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charts/chart4.xml" ContentType="application/vnd.openxmlformats-officedocument.drawingml.chart+xml"/>
  <Override PartName="/xl/worksheets/sheet139.xml" ContentType="application/vnd.openxmlformats-officedocument.spreadsheetml.worksheet+xml"/>
  <Override PartName="/xl/drawings/drawing17.xml" ContentType="application/vnd.openxmlformats-officedocument.drawingml.chartshapes+xml"/>
  <Override PartName="/xl/drawings/drawing28.xml" ContentType="application/vnd.openxmlformats-officedocument.drawing+xml"/>
  <Default Extension="xml" ContentType="application/xml"/>
  <Override PartName="/xl/worksheets/sheet128.xml" ContentType="application/vnd.openxmlformats-officedocument.spreadsheetml.worksheet+xml"/>
  <Override PartName="/xl/externalLinks/externalLink5.xml" ContentType="application/vnd.openxmlformats-officedocument.spreadsheetml.externalLink+xml"/>
  <Override PartName="/xl/drawings/drawing2.xml" ContentType="application/vnd.openxmlformats-officedocument.drawing+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worksheets/sheet164.xml" ContentType="application/vnd.openxmlformats-officedocument.spreadsheetml.worksheet+xml"/>
  <Override PartName="/xl/worksheets/sheet87.xml" ContentType="application/vnd.openxmlformats-officedocument.spreadsheetml.worksheet+xml"/>
  <Override PartName="/xl/worksheets/sheet106.xml" ContentType="application/vnd.openxmlformats-officedocument.spreadsheetml.worksheet+xml"/>
  <Override PartName="/xl/worksheets/sheet153.xml" ContentType="application/vnd.openxmlformats-officedocument.spreadsheetml.worksheet+xml"/>
  <Override PartName="/xl/charts/chart16.xml" ContentType="application/vnd.openxmlformats-officedocument.drawingml.chart+xml"/>
  <Override PartName="/xl/drawings/drawing20.xml" ContentType="application/vnd.openxmlformats-officedocument.drawing+xml"/>
  <Override PartName="/xl/worksheets/sheet29.xml" ContentType="application/vnd.openxmlformats-officedocument.spreadsheetml.worksheet+xml"/>
  <Override PartName="/xl/worksheets/sheet76.xml" ContentType="application/vnd.openxmlformats-officedocument.spreadsheetml.worksheet+xml"/>
  <Override PartName="/xl/worksheets/sheet131.xml" ContentType="application/vnd.openxmlformats-officedocument.spreadsheetml.worksheet+xml"/>
  <Override PartName="/xl/worksheets/sheet142.xml" ContentType="application/vnd.openxmlformats-officedocument.spreadsheetml.worksheet+xml"/>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120.xml" ContentType="application/vnd.openxmlformats-officedocument.spreadsheetml.worksheet+xml"/>
  <Override PartName="/xl/charts/chart9.xml" ContentType="application/vnd.openxmlformats-officedocument.drawingml.chart+xml"/>
  <Override PartName="/xl/worksheets/sheet43.xml" ContentType="application/vnd.openxmlformats-officedocument.spreadsheetml.worksheet+xml"/>
  <Override PartName="/xl/worksheets/sheet90.xml" ContentType="application/vnd.openxmlformats-officedocument.spreadsheetml.worksheet+xml"/>
  <Default Extension="png" ContentType="image/png"/>
  <Override PartName="/xl/worksheets/sheet14.xml" ContentType="application/vnd.openxmlformats-officedocument.spreadsheetml.worksheet+xml"/>
  <Override PartName="/xl/worksheets/sheet32.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charts/chart5.xml" ContentType="application/vnd.openxmlformats-officedocument.drawingml.chart+xml"/>
  <Override PartName="/xl/drawings/drawing7.xml" ContentType="application/vnd.openxmlformats-officedocument.drawing+xml"/>
  <Override PartName="/xl/drawings/drawing29.xml" ContentType="application/vnd.openxmlformats-officedocument.drawing+xml"/>
  <Override PartName="/xl/worksheets/sheet8.xml" ContentType="application/vnd.openxmlformats-officedocument.spreadsheetml.worksheet+xml"/>
  <Override PartName="/xl/worksheets/sheet21.xml" ContentType="application/vnd.openxmlformats-officedocument.spreadsheetml.worksheet+xml"/>
  <Override PartName="/xl/worksheets/sheet158.xml" ContentType="application/vnd.openxmlformats-officedocument.spreadsheetml.worksheet+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worksheets/sheet129.xml" ContentType="application/vnd.openxmlformats-officedocument.spreadsheetml.worksheet+xml"/>
  <Override PartName="/xl/worksheets/sheet147.xml" ContentType="application/vnd.openxmlformats-officedocument.spreadsheetml.worksheet+xml"/>
  <Override PartName="/xl/embeddings/oleObject1.bin" ContentType="application/vnd.openxmlformats-officedocument.oleObject"/>
  <Override PartName="/xl/charts/chart1.xml" ContentType="application/vnd.openxmlformats-officedocument.drawingml.chart+xml"/>
  <Override PartName="/xl/drawings/drawing3.xml" ContentType="application/vnd.openxmlformats-officedocument.drawing+xml"/>
  <Override PartName="/xl/drawings/drawing25.xml" ContentType="application/vnd.openxmlformats-officedocument.drawing+xml"/>
  <Override PartName="/docProps/app.xml" ContentType="application/vnd.openxmlformats-officedocument.extended-properties+xml"/>
  <Override PartName="/xl/worksheets/sheet99.xml" ContentType="application/vnd.openxmlformats-officedocument.spreadsheetml.worksheet+xml"/>
  <Override PartName="/xl/worksheets/sheet107.xml" ContentType="application/vnd.openxmlformats-officedocument.spreadsheetml.worksheet+xml"/>
  <Override PartName="/xl/worksheets/sheet118.xml" ContentType="application/vnd.openxmlformats-officedocument.spreadsheetml.worksheet+xml"/>
  <Override PartName="/xl/worksheets/sheet136.xml" ContentType="application/vnd.openxmlformats-officedocument.spreadsheetml.worksheet+xml"/>
  <Override PartName="/xl/worksheets/sheet154.xml" ContentType="application/vnd.openxmlformats-officedocument.spreadsheetml.worksheet+xml"/>
  <Override PartName="/xl/worksheets/sheet165.xml" ContentType="application/vnd.openxmlformats-officedocument.spreadsheetml.worksheet+xml"/>
  <Override PartName="/xl/externalLinks/externalLink2.xml" ContentType="application/vnd.openxmlformats-officedocument.spreadsheetml.externalLink+xml"/>
  <Override PartName="/xl/drawings/drawing14.xml" ContentType="application/vnd.openxmlformats-officedocument.drawing+xml"/>
  <Override PartName="/xl/worksheets/sheet59.xml" ContentType="application/vnd.openxmlformats-officedocument.spreadsheetml.worksheet+xml"/>
  <Override PartName="/xl/worksheets/sheet77.xml" ContentType="application/vnd.openxmlformats-officedocument.spreadsheetml.worksheet+xml"/>
  <Override PartName="/xl/worksheets/sheet88.xml" ContentType="application/vnd.openxmlformats-officedocument.spreadsheetml.worksheet+xml"/>
  <Override PartName="/xl/worksheets/sheet114.xml" ContentType="application/vnd.openxmlformats-officedocument.spreadsheetml.worksheet+xml"/>
  <Override PartName="/xl/worksheets/sheet125.xml" ContentType="application/vnd.openxmlformats-officedocument.spreadsheetml.worksheet+xml"/>
  <Override PartName="/xl/worksheets/sheet143.xml" ContentType="application/vnd.openxmlformats-officedocument.spreadsheetml.worksheet+xml"/>
  <Override PartName="/xl/worksheets/sheet161.xml" ContentType="application/vnd.openxmlformats-officedocument.spreadsheetml.worksheet+xml"/>
  <Default Extension="vml" ContentType="application/vnd.openxmlformats-officedocument.vmlDrawing"/>
  <Override PartName="/xl/charts/chart17.xml" ContentType="application/vnd.openxmlformats-officedocument.drawingml.chart+xml"/>
  <Override PartName="/xl/drawings/drawing21.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48.xml" ContentType="application/vnd.openxmlformats-officedocument.spreadsheetml.worksheet+xml"/>
  <Override PartName="/xl/worksheets/sheet66.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worksheets/sheet132.xml" ContentType="application/vnd.openxmlformats-officedocument.spreadsheetml.worksheet+xml"/>
  <Override PartName="/xl/worksheets/sheet150.xml" ContentType="application/vnd.openxmlformats-officedocument.spreadsheetml.worksheet+xml"/>
  <Override PartName="/xl/charts/chart13.xml" ContentType="application/vnd.openxmlformats-officedocument.drawingml.chart+xml"/>
  <Override PartName="/xl/drawings/drawing10.xml" ContentType="application/vnd.openxmlformats-officedocument.drawing+xml"/>
  <Override PartName="/xl/charts/chart24.xml" ContentType="application/vnd.openxmlformats-officedocument.drawingml.chart+xml"/>
  <Override PartName="/xl/worksheets/sheet26.xml" ContentType="application/vnd.openxmlformats-officedocument.spreadsheetml.worksheet+xml"/>
  <Override PartName="/xl/worksheets/sheet37.xml" ContentType="application/vnd.openxmlformats-officedocument.spreadsheetml.worksheet+xml"/>
  <Override PartName="/xl/worksheets/sheet55.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charts/chart6.xml" ContentType="application/vnd.openxmlformats-officedocument.drawingml.chart+xml"/>
  <Override PartName="/xl/charts/chart20.xml" ContentType="application/vnd.openxmlformats-officedocument.drawingml.char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worksheets/sheet159.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worksheets/sheet137.xml" ContentType="application/vnd.openxmlformats-officedocument.spreadsheetml.worksheet+xml"/>
  <Override PartName="/xl/worksheets/sheet148.xml" ContentType="application/vnd.openxmlformats-officedocument.spreadsheetml.worksheet+xml"/>
  <Override PartName="/xl/worksheets/sheet166.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worksheets/sheet89.xml" ContentType="application/vnd.openxmlformats-officedocument.spreadsheetml.worksheet+xml"/>
  <Override PartName="/xl/worksheets/sheet108.xml" ContentType="application/vnd.openxmlformats-officedocument.spreadsheetml.worksheet+xml"/>
  <Override PartName="/xl/worksheets/sheet126.xml" ContentType="application/vnd.openxmlformats-officedocument.spreadsheetml.worksheet+xml"/>
  <Override PartName="/xl/worksheets/sheet155.xml" ContentType="application/vnd.openxmlformats-officedocument.spreadsheetml.worksheet+xml"/>
  <Override PartName="/xl/externalLinks/externalLink3.xml" ContentType="application/vnd.openxmlformats-officedocument.spreadsheetml.externalLink+xml"/>
  <Override PartName="/xl/charts/chart18.xml" ContentType="application/vnd.openxmlformats-officedocument.drawingml.chart+xml"/>
  <Override PartName="/xl/drawings/drawing22.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worksheets/sheet133.xml" ContentType="application/vnd.openxmlformats-officedocument.spreadsheetml.worksheet+xml"/>
  <Override PartName="/xl/worksheets/sheet144.xml" ContentType="application/vnd.openxmlformats-officedocument.spreadsheetml.worksheet+xml"/>
  <Override PartName="/xl/worksheets/sheet162.xml" ContentType="application/vnd.openxmlformats-officedocument.spreadsheetml.worksheet+xml"/>
  <Override PartName="/xl/drawings/drawing11.xml" ContentType="application/vnd.openxmlformats-officedocument.drawing+xml"/>
  <Override PartName="/xl/charts/chart25.xml" ContentType="application/vnd.openxmlformats-officedocument.drawingml.chart+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Override PartName="/xl/worksheets/sheet151.xml" ContentType="application/vnd.openxmlformats-officedocument.spreadsheetml.worksheet+xml"/>
  <Override PartName="/xl/charts/chart14.xml" ContentType="application/vnd.openxmlformats-officedocument.drawingml.chart+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11.xml" ContentType="application/vnd.openxmlformats-officedocument.spreadsheetml.worksheet+xml"/>
  <Override PartName="/xl/worksheets/sheet140.xml" ContentType="application/vnd.openxmlformats-officedocument.spreadsheetml.worksheet+xml"/>
  <Override PartName="/xl/charts/chart21.xml" ContentType="application/vnd.openxmlformats-officedocument.drawingml.chart+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Override PartName="/xl/worksheets/sheet100.xml" ContentType="application/vnd.openxmlformats-officedocument.spreadsheetml.worksheet+xml"/>
  <Override PartName="/xl/charts/chart7.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xml"/>
  <Override PartName="/xl/worksheets/sheet23.xml" ContentType="application/vnd.openxmlformats-officedocument.spreadsheetml.worksheet+xml"/>
  <Override PartName="/xl/worksheets/sheet4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worksheets/sheet149.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ml.chartshapes+xml"/>
  <Override PartName="/xl/drawings/drawing27.xml" ContentType="application/vnd.openxmlformats-officedocument.drawing+xml"/>
  <Override PartName="/xl/worksheets/sheet109.xml" ContentType="application/vnd.openxmlformats-officedocument.spreadsheetml.worksheet+xml"/>
  <Override PartName="/xl/worksheets/sheet138.xml" ContentType="application/vnd.openxmlformats-officedocument.spreadsheetml.worksheet+xml"/>
  <Override PartName="/xl/worksheets/sheet156.xml" ContentType="application/vnd.openxmlformats-officedocument.spreadsheetml.worksheet+xml"/>
  <Override PartName="/xl/externalLinks/externalLink4.xml" ContentType="application/vnd.openxmlformats-officedocument.spreadsheetml.externalLink+xml"/>
  <Override PartName="/xl/drawings/drawing16.xml" ContentType="application/vnd.openxmlformats-officedocument.drawing+xml"/>
  <Override PartName="/xl/worksheets/sheet2.xml" ContentType="application/vnd.openxmlformats-officedocument.spreadsheetml.worksheet+xml"/>
  <Override PartName="/xl/worksheets/sheet116.xml" ContentType="application/vnd.openxmlformats-officedocument.spreadsheetml.worksheet+xml"/>
  <Override PartName="/xl/worksheets/sheet127.xml" ContentType="application/vnd.openxmlformats-officedocument.spreadsheetml.worksheet+xml"/>
  <Override PartName="/xl/worksheets/sheet145.xml" ContentType="application/vnd.openxmlformats-officedocument.spreadsheetml.worksheet+xml"/>
  <Override PartName="/xl/drawings/drawing1.xml" ContentType="application/vnd.openxmlformats-officedocument.drawing+xml"/>
  <Override PartName="/xl/charts/chart19.xml" ContentType="application/vnd.openxmlformats-officedocument.drawingml.chart+xml"/>
  <Override PartName="/xl/drawings/drawing23.xml" ContentType="application/vnd.openxmlformats-officedocument.drawing+xml"/>
  <Override PartName="/xl/worksheets/sheet68.xml" ContentType="application/vnd.openxmlformats-officedocument.spreadsheetml.worksheet+xml"/>
  <Override PartName="/xl/worksheets/sheet79.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worksheets/sheet134.xml" ContentType="application/vnd.openxmlformats-officedocument.spreadsheetml.worksheet+xml"/>
  <Override PartName="/xl/worksheets/sheet152.xml" ContentType="application/vnd.openxmlformats-officedocument.spreadsheetml.worksheet+xml"/>
  <Override PartName="/xl/worksheets/sheet163.xml" ContentType="application/vnd.openxmlformats-officedocument.spreadsheetml.worksheet+xml"/>
  <Override PartName="/xl/drawings/drawing12.xml" ContentType="application/vnd.openxmlformats-officedocument.drawingml.chartshapes+xml"/>
  <Override PartName="/xl/charts/chart26.xml" ContentType="application/vnd.openxmlformats-officedocument.drawingml.chart+xml"/>
  <Override PartName="/xl/drawings/drawing30.xml" ContentType="application/vnd.openxmlformats-officedocument.drawing+xml"/>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worksheets/sheet141.xml" ContentType="application/vnd.openxmlformats-officedocument.spreadsheetml.worksheet+xml"/>
  <Override PartName="/xl/charts/chart15.xml" ContentType="application/vnd.openxmlformats-officedocument.drawingml.chart+xml"/>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worksheets/sheet130.xml" ContentType="application/vnd.openxmlformats-officedocument.spreadsheetml.worksheet+xml"/>
  <Override PartName="/xl/charts/chart8.xml" ContentType="application/vnd.openxmlformats-officedocument.drawingml.chart+xml"/>
  <Override PartName="/xl/charts/chart11.xml" ContentType="application/vnd.openxmlformats-officedocument.drawingml.chart+xml"/>
  <Override PartName="/xl/charts/chart22.xml" ContentType="application/vnd.openxmlformats-officedocument.drawingml.chart+xml"/>
  <Override PartName="/xl/worksheets/sheet53.xml" ContentType="application/vnd.openxmlformats-officedocument.spreadsheetml.worksheet+xml"/>
  <Override PartName="/xl/worksheets/sheet42.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157.xml" ContentType="application/vnd.openxmlformats-officedocument.spreadsheetml.worksheet+xml"/>
  <Override PartName="/xl/worksheets/sheet135.xml" ContentType="application/vnd.openxmlformats-officedocument.spreadsheetml.worksheet+xml"/>
  <Override PartName="/xl/worksheets/sheet146.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xl/worksheets/sheet69.xml" ContentType="application/vnd.openxmlformats-officedocument.spreadsheetml.worksheet+xml"/>
  <Override PartName="/xl/worksheets/sheet124.xml" ContentType="application/vnd.openxmlformats-officedocument.spreadsheetml.worksheet+xml"/>
  <Override PartName="/xl/externalLinks/externalLink1.xml" ContentType="application/vnd.openxmlformats-officedocument.spreadsheetml.externalLink+xml"/>
  <Override PartName="/xl/worksheets/sheet47.xml" ContentType="application/vnd.openxmlformats-officedocument.spreadsheetml.worksheet+xml"/>
  <Override PartName="/xl/worksheets/sheet58.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worksheets/sheet160.xml" ContentType="application/vnd.openxmlformats-officedocument.spreadsheetml.worksheet+xml"/>
  <Override PartName="/xl/sharedStrings.xml" ContentType="application/vnd.openxmlformats-officedocument.spreadsheetml.sharedStrings+xml"/>
  <Override PartName="/xl/charts/chart23.xml" ContentType="application/vnd.openxmlformats-officedocument.drawingml.chart+xml"/>
  <Override PartName="/xl/worksheets/sheet36.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charts/chart12.xml" ContentType="application/vnd.openxmlformats-officedocument.drawingml.chart+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9810" yWindow="180" windowWidth="8805" windowHeight="11445" tabRatio="814" firstSheet="1" activeTab="1"/>
  </bookViews>
  <sheets>
    <sheet name="XXXX" sheetId="1" state="veryHidden" r:id="rId1"/>
    <sheet name="pagecouvert." sheetId="2" r:id="rId2"/>
    <sheet name="tabmat" sheetId="3" r:id="rId3"/>
    <sheet name="Noteutili" sheetId="4" r:id="rId4"/>
    <sheet name="pageint.sect1" sheetId="5" r:id="rId5"/>
    <sheet name="actifs" sheetId="6" r:id="rId6"/>
    <sheet name="dispo." sheetId="7" r:id="rId7"/>
    <sheet name="bonsbrh" sheetId="8" r:id="rId8"/>
    <sheet name="prêts nets" sheetId="9" r:id="rId9"/>
    <sheet name="dépôts" sheetId="10" r:id="rId10"/>
    <sheet name="dépôts us" sheetId="11" r:id="rId11"/>
    <sheet name="av.desact." sheetId="12" r:id="rId12"/>
    <sheet name="revint." sheetId="13" r:id="rId13"/>
    <sheet name="m.net%revint" sheetId="14" r:id="rId14"/>
    <sheet name="aut.rev." sheetId="15" r:id="rId15"/>
    <sheet name="fraisd'expl." sheetId="16" r:id="rId16"/>
    <sheet name="f.d'exp%pnb" sheetId="17" r:id="rId17"/>
    <sheet name="bénef.net" sheetId="18" r:id="rId18"/>
    <sheet name="employés" sheetId="20" r:id="rId19"/>
    <sheet name="nbre de prêts" sheetId="21" r:id="rId20"/>
    <sheet name="nbre de cptes de dépôts " sheetId="22" r:id="rId21"/>
    <sheet name="dépôts P-AU-P et Prov. " sheetId="23" r:id="rId22"/>
    <sheet name=" dépôts à vue" sheetId="314" r:id="rId23"/>
    <sheet name=" dépôts d'épargne" sheetId="315" r:id="rId24"/>
    <sheet name=" dépôts à terme" sheetId="316" r:id="rId25"/>
    <sheet name="pageintsect2" sheetId="27" r:id="rId26"/>
    <sheet name="sofiinfisys" sheetId="28" r:id="rId27"/>
    <sheet name="partdemarc. " sheetId="182" r:id="rId28"/>
    <sheet name="partdemarc.  (2)" sheetId="234" r:id="rId29"/>
    <sheet name="partdemarc.  (3)" sheetId="343" r:id="rId30"/>
    <sheet name="partdemarc. (4)" sheetId="183" r:id="rId31"/>
    <sheet name="partdemarc. (5)" sheetId="29" r:id="rId32"/>
    <sheet name="somfinbilsys" sheetId="30" r:id="rId33"/>
    <sheet name="sofibilcompsys" sheetId="31" r:id="rId34"/>
    <sheet name="sofibilgdes&amp;$ " sheetId="32" r:id="rId35"/>
    <sheet name="somfinrésys" sheetId="33" r:id="rId36"/>
    <sheet name="somfindétvan" sheetId="34" r:id="rId37"/>
    <sheet name="pageint.sect3" sheetId="35" r:id="rId38"/>
    <sheet name="somfindétfsfin " sheetId="36" r:id="rId39"/>
    <sheet name="sysratfinclédéc. 14" sheetId="40" r:id="rId40"/>
    <sheet name="sysratfinclésept. 14 " sheetId="431" r:id="rId41"/>
    <sheet name="sysratfincléjuin 14 " sheetId="422" r:id="rId42"/>
    <sheet name="sysratfinclémars 14 " sheetId="413" r:id="rId43"/>
    <sheet name="sysratfinclédéc. 13 " sheetId="404" r:id="rId44"/>
    <sheet name="sysratfinclésept. 13" sheetId="398" r:id="rId45"/>
    <sheet name="sysratfincléjuin 13 " sheetId="384" r:id="rId46"/>
    <sheet name="sysratfinclémars 13 " sheetId="378" r:id="rId47"/>
    <sheet name="sysratfinclédéc. 12" sheetId="370" r:id="rId48"/>
    <sheet name="bilsysbandéc. 14  " sheetId="41" r:id="rId49"/>
    <sheet name="bilsysbandéc, 14gdes " sheetId="43" r:id="rId50"/>
    <sheet name="bilsysbandéc. 14$" sheetId="44" r:id="rId51"/>
    <sheet name="bilsysbansept. 14  " sheetId="432" r:id="rId52"/>
    <sheet name="bilsysbanjuin 14  " sheetId="423" r:id="rId53"/>
    <sheet name="bilsysbanmars 14  " sheetId="414" r:id="rId54"/>
    <sheet name="bilsysbandéc. 13 " sheetId="405" r:id="rId55"/>
    <sheet name="bilsysbanjuin 13  " sheetId="385" r:id="rId56"/>
    <sheet name="bilsysbanmars 13 " sheetId="379" r:id="rId57"/>
    <sheet name="bilsysbandéc. 12  " sheetId="371" r:id="rId58"/>
    <sheet name="bilsysbansept. 14.  " sheetId="397" r:id="rId59"/>
    <sheet name="bilsysbansept. 13" sheetId="299" r:id="rId60"/>
    <sheet name="bilsysbansept. 12 " sheetId="252" r:id="rId61"/>
    <sheet name="bilsysbansept. 11" sheetId="231" r:id="rId62"/>
    <sheet name="RÉSULTsyst  " sheetId="51" r:id="rId63"/>
    <sheet name="résultsyscumul " sheetId="52" r:id="rId64"/>
    <sheet name="pageint.sect4" sheetId="53" r:id="rId65"/>
    <sheet name="bncinfin " sheetId="74" r:id="rId66"/>
    <sheet name="bncvar" sheetId="75" r:id="rId67"/>
    <sheet name="bnccomp " sheetId="76" r:id="rId68"/>
    <sheet name="bncgdes&amp;$ " sheetId="77" r:id="rId69"/>
    <sheet name="bncrésult " sheetId="78" r:id="rId70"/>
    <sheet name="BNCVARAN " sheetId="79" r:id="rId71"/>
    <sheet name="bphinfin     " sheetId="80" r:id="rId72"/>
    <sheet name="bphvar" sheetId="81" r:id="rId73"/>
    <sheet name="bphcomp  " sheetId="82" r:id="rId74"/>
    <sheet name="bphgdes&amp;$" sheetId="83" r:id="rId75"/>
    <sheet name="BPHRÉSULT  " sheetId="84" r:id="rId76"/>
    <sheet name="BPHVARAN    " sheetId="85" r:id="rId77"/>
    <sheet name="buhinfin" sheetId="86" r:id="rId78"/>
    <sheet name="buhvar" sheetId="87" r:id="rId79"/>
    <sheet name="buhcomp" sheetId="88" r:id="rId80"/>
    <sheet name="buhgdes&amp;$" sheetId="89" r:id="rId81"/>
    <sheet name="buhrésult" sheetId="90" r:id="rId82"/>
    <sheet name="BUHVARAN" sheetId="91" r:id="rId83"/>
    <sheet name="capitalbkinfin " sheetId="92" r:id="rId84"/>
    <sheet name="capitalbkvar" sheetId="93" r:id="rId85"/>
    <sheet name="capitalbkcomp " sheetId="94" r:id="rId86"/>
    <sheet name="capitalbkgdes&amp;$" sheetId="95" r:id="rId87"/>
    <sheet name="CAPITALBKRÉSULT      " sheetId="96" r:id="rId88"/>
    <sheet name="CAPITALBKVARAN        " sheetId="97" r:id="rId89"/>
    <sheet name="cbnainfin" sheetId="98" r:id="rId90"/>
    <sheet name="cbnavar" sheetId="99" r:id="rId91"/>
    <sheet name="cbnacomp " sheetId="100" r:id="rId92"/>
    <sheet name="cbnagdes&amp;$" sheetId="101" r:id="rId93"/>
    <sheet name="CBNARÉSULT         " sheetId="102" r:id="rId94"/>
    <sheet name="CBNAVARAN           " sheetId="103" r:id="rId95"/>
    <sheet name="scotiainfin" sheetId="110" r:id="rId96"/>
    <sheet name="scotiavar" sheetId="111" r:id="rId97"/>
    <sheet name="scotiacomp  " sheetId="112" r:id="rId98"/>
    <sheet name="scotiagdes&amp;$" sheetId="113" r:id="rId99"/>
    <sheet name="SCOTIARÉSULT         " sheetId="114" r:id="rId100"/>
    <sheet name="SCOTIAVARAN            " sheetId="115" r:id="rId101"/>
    <sheet name="sogebkinfin  " sheetId="128" r:id="rId102"/>
    <sheet name="sogebkvar" sheetId="129" r:id="rId103"/>
    <sheet name="sogebkcomp " sheetId="130" r:id="rId104"/>
    <sheet name="sogebkgdes&amp;$  " sheetId="131" r:id="rId105"/>
    <sheet name="SOGEBKRÉSULT" sheetId="132" r:id="rId106"/>
    <sheet name="SOGEBKVARAN " sheetId="133" r:id="rId107"/>
    <sheet name="sgbelinfin" sheetId="134" r:id="rId108"/>
    <sheet name="sgbelvar" sheetId="135" r:id="rId109"/>
    <sheet name="sgbelcomp  " sheetId="136" r:id="rId110"/>
    <sheet name="sgbelgdes&amp;$" sheetId="137" r:id="rId111"/>
    <sheet name="SGBELRÉSULT       " sheetId="138" r:id="rId112"/>
    <sheet name="SGBELVARAN         " sheetId="139" r:id="rId113"/>
    <sheet name="unibkinfin" sheetId="140" r:id="rId114"/>
    <sheet name="unibkvar" sheetId="141" r:id="rId115"/>
    <sheet name="unibkcomp   " sheetId="142" r:id="rId116"/>
    <sheet name="unibkgdes&amp;$" sheetId="143" r:id="rId117"/>
    <sheet name="UNIBKRÉSULT   " sheetId="144" r:id="rId118"/>
    <sheet name="UNIBKVARAN     " sheetId="145" r:id="rId119"/>
    <sheet name="pageint.sect5" sheetId="186" r:id="rId120"/>
    <sheet name="posinette" sheetId="187" r:id="rId121"/>
    <sheet name="Apparentés déc. 14 " sheetId="433" r:id="rId122"/>
    <sheet name="Apparentés sept. 14 " sheetId="424" r:id="rId123"/>
    <sheet name="Apparentés juin 14 " sheetId="406" r:id="rId124"/>
    <sheet name="Apparentés mars 14 " sheetId="415" r:id="rId125"/>
    <sheet name="Apparentés déc. 13 " sheetId="403" r:id="rId126"/>
    <sheet name="Apparentés sept. 13 " sheetId="388" r:id="rId127"/>
    <sheet name="Apparentés juin 13" sheetId="364" r:id="rId128"/>
    <sheet name="Apparentés mars 13" sheetId="383" r:id="rId129"/>
    <sheet name="Apparentés déc. 12 " sheetId="372" r:id="rId130"/>
    <sheet name="Non apparentés déc. 14 " sheetId="434" r:id="rId131"/>
    <sheet name="Non apparentés sept. 14 " sheetId="425" r:id="rId132"/>
    <sheet name="Non apparentés juin 14 " sheetId="407" r:id="rId133"/>
    <sheet name="Non apparentés mars 14 " sheetId="416" r:id="rId134"/>
    <sheet name="Non apparentés déc. 13" sheetId="402" r:id="rId135"/>
    <sheet name="Non apparentés sept. 13 " sheetId="389" r:id="rId136"/>
    <sheet name="Non apparentés juin 13" sheetId="365" r:id="rId137"/>
    <sheet name="Non apparentés mars 13" sheetId="382" r:id="rId138"/>
    <sheet name="Non apparentés déc. 12 " sheetId="373" r:id="rId139"/>
    <sheet name="Secteur d'activité déc. 14 " sheetId="437" r:id="rId140"/>
    <sheet name="Secteur d'activité déc. 14 % " sheetId="435" r:id="rId141"/>
    <sheet name="Secteur d'activité déc. 14glob" sheetId="436" r:id="rId142"/>
    <sheet name="Secteur d'activité sept. 14 " sheetId="408" r:id="rId143"/>
    <sheet name="Secteur d'activité sept. 14 % " sheetId="409" r:id="rId144"/>
    <sheet name="Secteur d'activité sept. 14glob" sheetId="412" r:id="rId145"/>
    <sheet name="Secteur d'activité juin 14 " sheetId="426" r:id="rId146"/>
    <sheet name="Secteur d'activité juin 14 %" sheetId="427" r:id="rId147"/>
    <sheet name="Secteur d'activité juin 14g " sheetId="428" r:id="rId148"/>
    <sheet name="Secteur d'activité mars 14 " sheetId="421" r:id="rId149"/>
    <sheet name="Secteur d'activité mars 14 %" sheetId="420" r:id="rId150"/>
    <sheet name="Secteur d'activité mars 14g " sheetId="418" r:id="rId151"/>
    <sheet name="Secteur d'activité déc. 13 " sheetId="401" r:id="rId152"/>
    <sheet name="Secteur d'activité déc. 13 %" sheetId="400" r:id="rId153"/>
    <sheet name="Secteur d'activité sept. 13" sheetId="366" r:id="rId154"/>
    <sheet name="Secteur d'activité sept 13 %" sheetId="391" r:id="rId155"/>
    <sheet name="Secteur d'activité juin 13 " sheetId="390" r:id="rId156"/>
    <sheet name="Secteur d'activité juin 13 %" sheetId="377" r:id="rId157"/>
    <sheet name="Secteur d'activité mars 13 " sheetId="380" r:id="rId158"/>
    <sheet name="Secteur d'activité mars 13 % " sheetId="381" r:id="rId159"/>
    <sheet name="Secteur d'activité déc. 12 " sheetId="396" r:id="rId160"/>
    <sheet name="Secteur d'activité déc. 12 % " sheetId="374" r:id="rId161"/>
    <sheet name="suffondspropres" sheetId="195" r:id="rId162"/>
    <sheet name="pageint.annexe" sheetId="159" r:id="rId163"/>
    <sheet name="explication1" sheetId="160" r:id="rId164"/>
    <sheet name="explication2" sheetId="161" r:id="rId165"/>
    <sheet name="Sheet1" sheetId="324" state="hidden" r:id="rId166"/>
  </sheets>
  <externalReferences>
    <externalReference r:id="rId167"/>
    <externalReference r:id="rId168"/>
    <externalReference r:id="rId169"/>
    <externalReference r:id="rId170"/>
    <externalReference r:id="rId171"/>
  </externalReferences>
  <definedNames>
    <definedName name="_xlnm._FilterDatabase" localSheetId="27" hidden="1">'partdemarc. '!$E$30:$G$38</definedName>
    <definedName name="_xlnm._FilterDatabase" localSheetId="62" hidden="1">'RÉSULTsyst  '!$H$101:$I$109</definedName>
    <definedName name="_xlnm.Print_Area" localSheetId="24">' dépôts à terme'!$A$1:$K$155</definedName>
    <definedName name="_xlnm.Print_Area" localSheetId="22">' dépôts à vue'!$A$1:$K$156</definedName>
    <definedName name="_xlnm.Print_Area" localSheetId="23">' dépôts d''épargne'!$A$1:$K$156</definedName>
    <definedName name="_xlnm.Print_Area" localSheetId="129">'Apparentés déc. 12 '!$A$1:$N$61</definedName>
    <definedName name="_xlnm.Print_Area" localSheetId="125">'Apparentés déc. 13 '!$A$1:$N$61</definedName>
    <definedName name="_xlnm.Print_Area" localSheetId="121">'Apparentés déc. 14 '!$A$1:$N$61</definedName>
    <definedName name="_xlnm.Print_Area" localSheetId="127">'Apparentés juin 13'!$A$1:$N$61</definedName>
    <definedName name="_xlnm.Print_Area" localSheetId="123">'Apparentés juin 14 '!$A$1:$N$61</definedName>
    <definedName name="_xlnm.Print_Area" localSheetId="128">'Apparentés mars 13'!$A$1:$N$61</definedName>
    <definedName name="_xlnm.Print_Area" localSheetId="124">'Apparentés mars 14 '!$A$1:$N$61</definedName>
    <definedName name="_xlnm.Print_Area" localSheetId="126">'Apparentés sept. 13 '!$A$1:$N$61</definedName>
    <definedName name="_xlnm.Print_Area" localSheetId="122">'Apparentés sept. 14 '!$A$1:$N$61</definedName>
    <definedName name="_xlnm.Print_Area" localSheetId="49">'bilsysbandéc, 14gdes '!$A$1:$N$54</definedName>
    <definedName name="_xlnm.Print_Area" localSheetId="57">'bilsysbandéc. 12  '!$A$1:$N$64</definedName>
    <definedName name="_xlnm.Print_Area" localSheetId="54">'bilsysbandéc. 13 '!$A$1:$N$65</definedName>
    <definedName name="_xlnm.Print_Area" localSheetId="48">'bilsysbandéc. 14  '!$A$1:$N$65</definedName>
    <definedName name="_xlnm.Print_Area" localSheetId="50">'bilsysbandéc. 14$'!$A$1:$O$54</definedName>
    <definedName name="_xlnm.Print_Area" localSheetId="55">'bilsysbanjuin 13  '!$A$1:$N$64</definedName>
    <definedName name="_xlnm.Print_Area" localSheetId="52">'bilsysbanjuin 14  '!$A$1:$N$65</definedName>
    <definedName name="_xlnm.Print_Area" localSheetId="56">'bilsysbanmars 13 '!$A$1:$N$64</definedName>
    <definedName name="_xlnm.Print_Area" localSheetId="53">'bilsysbanmars 14  '!$A$1:$N$65</definedName>
    <definedName name="_xlnm.Print_Area" localSheetId="61">'bilsysbansept. 11'!$A$1:$N$64</definedName>
    <definedName name="_xlnm.Print_Area" localSheetId="60">'bilsysbansept. 12 '!$A$1:$N$64</definedName>
    <definedName name="_xlnm.Print_Area" localSheetId="59">'bilsysbansept. 13'!$A$1:$N$64</definedName>
    <definedName name="_xlnm.Print_Area" localSheetId="51">'bilsysbansept. 14  '!$A$1:$N$65</definedName>
    <definedName name="_xlnm.Print_Area" localSheetId="58">'bilsysbansept. 14.  '!$A$1:$N$64</definedName>
    <definedName name="_xlnm.Print_Area" localSheetId="67">'bnccomp '!$A$1:$Q$63</definedName>
    <definedName name="_xlnm.Print_Area" localSheetId="68">'bncgdes&amp;$ '!$A$1:$K$56</definedName>
    <definedName name="_xlnm.Print_Area" localSheetId="65">'bncinfin '!$A$1:$T$77</definedName>
    <definedName name="_xlnm.Print_Area" localSheetId="69">'bncrésult '!$A$1:$T$81</definedName>
    <definedName name="_xlnm.Print_Area" localSheetId="66">bncvar!$A$1:$P$63</definedName>
    <definedName name="_xlnm.Print_Area" localSheetId="73">'bphcomp  '!$A$1:$Q$64</definedName>
    <definedName name="_xlnm.Print_Area" localSheetId="74">'bphgdes&amp;$'!$A$1:$K$56</definedName>
    <definedName name="_xlnm.Print_Area" localSheetId="71">'bphinfin     '!$A$1:$T$77</definedName>
    <definedName name="_xlnm.Print_Area" localSheetId="75">'BPHRÉSULT  '!$A$1:$T$81</definedName>
    <definedName name="_xlnm.Print_Area" localSheetId="72">bphvar!$A$1:$P$63</definedName>
    <definedName name="_xlnm.Print_Area" localSheetId="79">buhcomp!$A$1:$Q$63</definedName>
    <definedName name="_xlnm.Print_Area" localSheetId="80">'buhgdes&amp;$'!$A$1:$K$60</definedName>
    <definedName name="_xlnm.Print_Area" localSheetId="77">buhinfin!$A$1:$T$77</definedName>
    <definedName name="_xlnm.Print_Area" localSheetId="81">buhrésult!$A$1:$T$81</definedName>
    <definedName name="_xlnm.Print_Area" localSheetId="78">buhvar!$A$1:$P$63</definedName>
    <definedName name="_xlnm.Print_Area" localSheetId="85">'capitalbkcomp '!$A$1:$Q$63</definedName>
    <definedName name="_xlnm.Print_Area" localSheetId="86">'capitalbkgdes&amp;$'!$A$1:$K$56</definedName>
    <definedName name="_xlnm.Print_Area" localSheetId="83">'capitalbkinfin '!$A$1:$T$79</definedName>
    <definedName name="_xlnm.Print_Area" localSheetId="87">'CAPITALBKRÉSULT      '!$A$1:$T$81</definedName>
    <definedName name="_xlnm.Print_Area" localSheetId="84">capitalbkvar!$A$1:$P$63</definedName>
    <definedName name="_xlnm.Print_Area" localSheetId="91">'cbnacomp '!$A$1:$Q$64</definedName>
    <definedName name="_xlnm.Print_Area" localSheetId="92">'cbnagdes&amp;$'!$A$1:$K$56</definedName>
    <definedName name="_xlnm.Print_Area" localSheetId="89">cbnainfin!$A$1:$T$76</definedName>
    <definedName name="_xlnm.Print_Area" localSheetId="93">'CBNARÉSULT         '!$A$1:$T$81</definedName>
    <definedName name="_xlnm.Print_Area" localSheetId="90">cbnavar!$A$1:$P$63</definedName>
    <definedName name="_xlnm.Print_Area" localSheetId="21">'dépôts P-AU-P et Prov. '!$A$1:$L$90</definedName>
    <definedName name="_xlnm.Print_Area" localSheetId="18">employés!$A$1:$AC$141</definedName>
    <definedName name="_xlnm.Print_Area" localSheetId="164">explication2!$A$1:$K$33</definedName>
    <definedName name="_xlnm.Print_Area" localSheetId="16">'f.d''exp%pnb'!$A$1:$S$55</definedName>
    <definedName name="_xlnm.Print_Area" localSheetId="20">'nbre de cptes de dépôts '!$A$1:$O$69</definedName>
    <definedName name="_xlnm.Print_Area" localSheetId="19">'nbre de prêts'!$A$1:$AB$138</definedName>
    <definedName name="_xlnm.Print_Area" localSheetId="138">'Non apparentés déc. 12 '!$A$1:$O$54</definedName>
    <definedName name="_xlnm.Print_Area" localSheetId="134">'Non apparentés déc. 13'!$A$1:$O$54</definedName>
    <definedName name="_xlnm.Print_Area" localSheetId="130">'Non apparentés déc. 14 '!$A$1:$O$54</definedName>
    <definedName name="_xlnm.Print_Area" localSheetId="136">'Non apparentés juin 13'!$A$1:$O$54</definedName>
    <definedName name="_xlnm.Print_Area" localSheetId="132">'Non apparentés juin 14 '!$A$1:$O$54</definedName>
    <definedName name="_xlnm.Print_Area" localSheetId="137">'Non apparentés mars 13'!$A$1:$O$54</definedName>
    <definedName name="_xlnm.Print_Area" localSheetId="133">'Non apparentés mars 14 '!$A$1:$O$54</definedName>
    <definedName name="_xlnm.Print_Area" localSheetId="135">'Non apparentés sept. 13 '!$A$1:$O$54</definedName>
    <definedName name="_xlnm.Print_Area" localSheetId="131">'Non apparentés sept. 14 '!$A$1:$O$54</definedName>
    <definedName name="_xlnm.Print_Area" localSheetId="3">Noteutili!$A$1:$M$37</definedName>
    <definedName name="_xlnm.Print_Area" localSheetId="1">pagecouvert.!$A$1:$M$38</definedName>
    <definedName name="_xlnm.Print_Area" localSheetId="27">'partdemarc. '!$A$1:$P$64</definedName>
    <definedName name="_xlnm.Print_Area" localSheetId="28">'partdemarc.  (2)'!$A$1:$N$60</definedName>
    <definedName name="_xlnm.Print_Area" localSheetId="29">'partdemarc.  (3)'!$A$1:$J$45</definedName>
    <definedName name="_xlnm.Print_Area" localSheetId="30">'partdemarc. (4)'!$A$1:$L$62</definedName>
    <definedName name="_xlnm.Print_Area" localSheetId="31">'partdemarc. (5)'!$A$1:$O$71</definedName>
    <definedName name="_xlnm.Print_Area" localSheetId="120">posinette!$A$1:$P$53</definedName>
    <definedName name="_xlnm.Print_Area" localSheetId="63">'résultsyscumul '!$A$1:$R$84</definedName>
    <definedName name="_xlnm.Print_Area" localSheetId="62">'RÉSULTsyst  '!$A$1:$S$86</definedName>
    <definedName name="_xlnm.Print_Area" localSheetId="97">'scotiacomp  '!$A$1:$Q$64</definedName>
    <definedName name="_xlnm.Print_Area" localSheetId="98">'scotiagdes&amp;$'!$A$1:$K$56</definedName>
    <definedName name="_xlnm.Print_Area" localSheetId="95">scotiainfin!$A$1:$T$76</definedName>
    <definedName name="_xlnm.Print_Area" localSheetId="99">'SCOTIARÉSULT         '!$A$1:$T$81</definedName>
    <definedName name="_xlnm.Print_Area" localSheetId="96">scotiavar!$A$1:$P$63</definedName>
    <definedName name="_xlnm.Print_Area" localSheetId="159">'Secteur d''activité déc. 12 '!$A$1:$N$77</definedName>
    <definedName name="_xlnm.Print_Area" localSheetId="160">'Secteur d''activité déc. 12 % '!$A$1:$N$77</definedName>
    <definedName name="_xlnm.Print_Area" localSheetId="151">'Secteur d''activité déc. 13 '!$A$1:$N$77</definedName>
    <definedName name="_xlnm.Print_Area" localSheetId="152">'Secteur d''activité déc. 13 %'!$A$1:$N$77</definedName>
    <definedName name="_xlnm.Print_Area" localSheetId="139">'Secteur d''activité déc. 14 '!$A$1:$N$77</definedName>
    <definedName name="_xlnm.Print_Area" localSheetId="140">'Secteur d''activité déc. 14 % '!$A$1:$N$77</definedName>
    <definedName name="_xlnm.Print_Area" localSheetId="141">'Secteur d''activité déc. 14glob'!$A$1:$N$43</definedName>
    <definedName name="_xlnm.Print_Area" localSheetId="155">'Secteur d''activité juin 13 '!$A$1:$N$77</definedName>
    <definedName name="_xlnm.Print_Area" localSheetId="156">'Secteur d''activité juin 13 %'!$A$1:$N$77</definedName>
    <definedName name="_xlnm.Print_Area" localSheetId="145">'Secteur d''activité juin 14 '!$A$1:$N$77</definedName>
    <definedName name="_xlnm.Print_Area" localSheetId="146">'Secteur d''activité juin 14 %'!$A$1:$N$77</definedName>
    <definedName name="_xlnm.Print_Area" localSheetId="147">'Secteur d''activité juin 14g '!$A$1:$N$43</definedName>
    <definedName name="_xlnm.Print_Area" localSheetId="157">'Secteur d''activité mars 13 '!$A$1:$N$77</definedName>
    <definedName name="_xlnm.Print_Area" localSheetId="158">'Secteur d''activité mars 13 % '!$A$1:$N$77</definedName>
    <definedName name="_xlnm.Print_Area" localSheetId="148">'Secteur d''activité mars 14 '!$A$1:$N$77</definedName>
    <definedName name="_xlnm.Print_Area" localSheetId="149">'Secteur d''activité mars 14 %'!$A$1:$N$77</definedName>
    <definedName name="_xlnm.Print_Area" localSheetId="150">'Secteur d''activité mars 14g '!$A$1:$N$43</definedName>
    <definedName name="_xlnm.Print_Area" localSheetId="154">'Secteur d''activité sept 13 %'!$A$1:$N$77</definedName>
    <definedName name="_xlnm.Print_Area" localSheetId="153">'Secteur d''activité sept. 13'!$A$1:$N$77</definedName>
    <definedName name="_xlnm.Print_Area" localSheetId="142">'Secteur d''activité sept. 14 '!$A$1:$N$77</definedName>
    <definedName name="_xlnm.Print_Area" localSheetId="143">'Secteur d''activité sept. 14 % '!$A$1:$N$77</definedName>
    <definedName name="_xlnm.Print_Area" localSheetId="144">'Secteur d''activité sept. 14glob'!$A$1:$N$43</definedName>
    <definedName name="_xlnm.Print_Area" localSheetId="109">'sgbelcomp  '!$A$1:$Q$64</definedName>
    <definedName name="_xlnm.Print_Area" localSheetId="110">'sgbelgdes&amp;$'!$A$1:$K$56</definedName>
    <definedName name="_xlnm.Print_Area" localSheetId="107">sgbelinfin!$A$1:$T$76</definedName>
    <definedName name="_xlnm.Print_Area" localSheetId="111">'SGBELRÉSULT       '!$A$1:$T$81</definedName>
    <definedName name="_xlnm.Print_Area" localSheetId="108">sgbelvar!$A$1:$P$63</definedName>
    <definedName name="_xlnm.Print_Area" localSheetId="165">Sheet1!$A$1:$Q$65</definedName>
    <definedName name="_xlnm.Print_Area" localSheetId="33">sofibilcompsys!$A$1:$Q$65</definedName>
    <definedName name="_xlnm.Print_Area" localSheetId="34">'sofibilgdes&amp;$ '!$A$1:$K$57</definedName>
    <definedName name="_xlnm.Print_Area" localSheetId="26">sofiinfisys!$A$1:$T$82</definedName>
    <definedName name="_xlnm.Print_Area" localSheetId="103">'sogebkcomp '!$A$1:$Q$63</definedName>
    <definedName name="_xlnm.Print_Area" localSheetId="104">'sogebkgdes&amp;$  '!$A$1:$K$56</definedName>
    <definedName name="_xlnm.Print_Area" localSheetId="101">'sogebkinfin  '!$A$1:$T$78</definedName>
    <definedName name="_xlnm.Print_Area" localSheetId="105">SOGEBKRÉSULT!$A$1:$T$81</definedName>
    <definedName name="_xlnm.Print_Area" localSheetId="102">sogebkvar!$A$1:$P$63</definedName>
    <definedName name="_xlnm.Print_Area" localSheetId="32">somfinbilsys!$A$2:$P$63</definedName>
    <definedName name="_xlnm.Print_Area" localSheetId="38">'somfindétfsfin '!$A$1:$P$74</definedName>
    <definedName name="_xlnm.Print_Area" localSheetId="36">somfindétvan!$A$1:$L$48</definedName>
    <definedName name="_xlnm.Print_Area" localSheetId="35">somfinrésys!$A$2:$T$81</definedName>
    <definedName name="_xlnm.Print_Area" localSheetId="161">suffondspropres!$A$1:$O$45</definedName>
    <definedName name="_xlnm.Print_Area" localSheetId="47">'sysratfinclédéc. 12'!$A$1:$O$85</definedName>
    <definedName name="_xlnm.Print_Area" localSheetId="43">'sysratfinclédéc. 13 '!$A$1:$O$85</definedName>
    <definedName name="_xlnm.Print_Area" localSheetId="39">'sysratfinclédéc. 14'!$A$1:$O$85</definedName>
    <definedName name="_xlnm.Print_Area" localSheetId="45">'sysratfincléjuin 13 '!$A$1:$O$85</definedName>
    <definedName name="_xlnm.Print_Area" localSheetId="41">'sysratfincléjuin 14 '!$A$1:$O$85</definedName>
    <definedName name="_xlnm.Print_Area" localSheetId="46">'sysratfinclémars 13 '!$A$1:$O$85</definedName>
    <definedName name="_xlnm.Print_Area" localSheetId="42">'sysratfinclémars 14 '!$A$1:$O$85</definedName>
    <definedName name="_xlnm.Print_Area" localSheetId="44">'sysratfinclésept. 13'!$A$1:$O$85</definedName>
    <definedName name="_xlnm.Print_Area" localSheetId="40">'sysratfinclésept. 14 '!$A$1:$O$85</definedName>
    <definedName name="_xlnm.Print_Area" localSheetId="2">tabmat!$A$1:$N$71</definedName>
    <definedName name="_xlnm.Print_Area" localSheetId="115">'unibkcomp   '!$A$1:$Q$64</definedName>
    <definedName name="_xlnm.Print_Area" localSheetId="116">'unibkgdes&amp;$'!$A$1:$K$56</definedName>
    <definedName name="_xlnm.Print_Area" localSheetId="113">unibkinfin!$A$1:$T$79</definedName>
    <definedName name="_xlnm.Print_Area" localSheetId="117">'UNIBKRÉSULT   '!$A$1:$T$81</definedName>
    <definedName name="_xlnm.Print_Area" localSheetId="114">unibkvar!$A$1:$P$63</definedName>
  </definedNames>
  <calcPr calcId="125725"/>
  <fileRecoveryPr autoRecover="0"/>
</workbook>
</file>

<file path=xl/calcChain.xml><?xml version="1.0" encoding="utf-8"?>
<calcChain xmlns="http://schemas.openxmlformats.org/spreadsheetml/2006/main">
  <c r="L22" i="436"/>
  <c r="L21"/>
  <c r="L20"/>
  <c r="L19"/>
  <c r="L18"/>
  <c r="L17"/>
  <c r="L16"/>
  <c r="L15"/>
  <c r="L14"/>
  <c r="K22"/>
  <c r="K21"/>
  <c r="K20"/>
  <c r="K19"/>
  <c r="K18"/>
  <c r="K17"/>
  <c r="K16"/>
  <c r="K15"/>
  <c r="K14"/>
  <c r="J22"/>
  <c r="J21"/>
  <c r="J20"/>
  <c r="J19"/>
  <c r="J18"/>
  <c r="J17"/>
  <c r="J16"/>
  <c r="J15"/>
  <c r="J14"/>
  <c r="I22"/>
  <c r="I21"/>
  <c r="I20"/>
  <c r="I19"/>
  <c r="I18"/>
  <c r="I17"/>
  <c r="I16"/>
  <c r="I15"/>
  <c r="I14"/>
  <c r="H22"/>
  <c r="H21"/>
  <c r="H20"/>
  <c r="H19"/>
  <c r="H18"/>
  <c r="H17"/>
  <c r="H16"/>
  <c r="H15"/>
  <c r="H14"/>
  <c r="G22"/>
  <c r="G21"/>
  <c r="G20"/>
  <c r="G19"/>
  <c r="G18"/>
  <c r="G17"/>
  <c r="G16"/>
  <c r="G15"/>
  <c r="G14"/>
  <c r="F22"/>
  <c r="F21"/>
  <c r="F20"/>
  <c r="F19"/>
  <c r="F18"/>
  <c r="F17"/>
  <c r="F16"/>
  <c r="F15"/>
  <c r="F14"/>
  <c r="E22"/>
  <c r="E21"/>
  <c r="E20"/>
  <c r="E19"/>
  <c r="E18"/>
  <c r="E17"/>
  <c r="E16"/>
  <c r="E15"/>
  <c r="D22"/>
  <c r="D21"/>
  <c r="D20"/>
  <c r="D19"/>
  <c r="D18"/>
  <c r="D17"/>
  <c r="E14"/>
  <c r="D16"/>
  <c r="D15"/>
  <c r="D14"/>
  <c r="L76" i="437"/>
  <c r="K76"/>
  <c r="I76"/>
  <c r="H76"/>
  <c r="G76"/>
  <c r="F76"/>
  <c r="E76"/>
  <c r="D76"/>
  <c r="M75"/>
  <c r="M74"/>
  <c r="M73"/>
  <c r="M72"/>
  <c r="M71"/>
  <c r="M70"/>
  <c r="M69"/>
  <c r="M68"/>
  <c r="L63"/>
  <c r="K63"/>
  <c r="I63"/>
  <c r="H63"/>
  <c r="G63"/>
  <c r="F63"/>
  <c r="E63"/>
  <c r="D63"/>
  <c r="M62"/>
  <c r="M61"/>
  <c r="M60"/>
  <c r="M59"/>
  <c r="M58"/>
  <c r="M57"/>
  <c r="M56"/>
  <c r="L52"/>
  <c r="L74" i="435" s="1"/>
  <c r="K52" i="437"/>
  <c r="K75" i="435" s="1"/>
  <c r="J52" i="437"/>
  <c r="J74" i="435" s="1"/>
  <c r="I52" i="437"/>
  <c r="I75" i="435" s="1"/>
  <c r="H52" i="437"/>
  <c r="H74" i="435" s="1"/>
  <c r="G52" i="437"/>
  <c r="G75" i="435" s="1"/>
  <c r="F52" i="437"/>
  <c r="F74" i="435" s="1"/>
  <c r="E52" i="437"/>
  <c r="E75" i="435" s="1"/>
  <c r="D52" i="437"/>
  <c r="D75" i="435" s="1"/>
  <c r="M51" i="437"/>
  <c r="M50"/>
  <c r="M49"/>
  <c r="M48"/>
  <c r="M47"/>
  <c r="M46"/>
  <c r="M45"/>
  <c r="M44"/>
  <c r="M43"/>
  <c r="M42"/>
  <c r="M41"/>
  <c r="M40"/>
  <c r="M39"/>
  <c r="M38"/>
  <c r="M37"/>
  <c r="M36"/>
  <c r="M35"/>
  <c r="M34"/>
  <c r="M33"/>
  <c r="M32"/>
  <c r="M31"/>
  <c r="M30"/>
  <c r="M29"/>
  <c r="M28"/>
  <c r="M27"/>
  <c r="M26"/>
  <c r="M25"/>
  <c r="M24"/>
  <c r="M23"/>
  <c r="M22"/>
  <c r="I33" i="434"/>
  <c r="M33" s="1"/>
  <c r="H33"/>
  <c r="I32"/>
  <c r="M32" s="1"/>
  <c r="H32"/>
  <c r="I31"/>
  <c r="M31" s="1"/>
  <c r="H31"/>
  <c r="I30"/>
  <c r="M30" s="1"/>
  <c r="H30"/>
  <c r="I29"/>
  <c r="L29" s="1"/>
  <c r="H29"/>
  <c r="I28"/>
  <c r="L28" s="1"/>
  <c r="H28"/>
  <c r="I27"/>
  <c r="L27" s="1"/>
  <c r="H27"/>
  <c r="I26"/>
  <c r="L26" s="1"/>
  <c r="H26"/>
  <c r="I25"/>
  <c r="L25" s="1"/>
  <c r="H25"/>
  <c r="D60" i="433"/>
  <c r="D59"/>
  <c r="D58"/>
  <c r="D57"/>
  <c r="D56"/>
  <c r="D55"/>
  <c r="D54"/>
  <c r="D53"/>
  <c r="D52"/>
  <c r="I40"/>
  <c r="M40" s="1"/>
  <c r="H40"/>
  <c r="N39"/>
  <c r="I39"/>
  <c r="H39"/>
  <c r="I38"/>
  <c r="K38" s="1"/>
  <c r="H38"/>
  <c r="I37"/>
  <c r="L37" s="1"/>
  <c r="H37"/>
  <c r="I36"/>
  <c r="L36" s="1"/>
  <c r="H36"/>
  <c r="I35"/>
  <c r="L35" s="1"/>
  <c r="H35"/>
  <c r="I34"/>
  <c r="L34" s="1"/>
  <c r="H34"/>
  <c r="I33"/>
  <c r="K33" s="1"/>
  <c r="H33"/>
  <c r="I32"/>
  <c r="M32" s="1"/>
  <c r="H32"/>
  <c r="L40" l="1"/>
  <c r="K40"/>
  <c r="N40" s="1"/>
  <c r="K29" i="434"/>
  <c r="N29" s="1"/>
  <c r="K28"/>
  <c r="N28" s="1"/>
  <c r="M28"/>
  <c r="K27"/>
  <c r="N27" s="1"/>
  <c r="M27"/>
  <c r="K26"/>
  <c r="N26" s="1"/>
  <c r="M26"/>
  <c r="K25"/>
  <c r="L22" i="435"/>
  <c r="L24"/>
  <c r="L26"/>
  <c r="L28"/>
  <c r="L30"/>
  <c r="L32"/>
  <c r="L34"/>
  <c r="L36"/>
  <c r="L38"/>
  <c r="L40"/>
  <c r="L42"/>
  <c r="L44"/>
  <c r="L46"/>
  <c r="L48"/>
  <c r="L50"/>
  <c r="L56"/>
  <c r="L58"/>
  <c r="L60"/>
  <c r="L62"/>
  <c r="L69"/>
  <c r="L71"/>
  <c r="L73"/>
  <c r="L75"/>
  <c r="L23"/>
  <c r="L25"/>
  <c r="L27"/>
  <c r="L29"/>
  <c r="L31"/>
  <c r="L33"/>
  <c r="L35"/>
  <c r="L37"/>
  <c r="L39"/>
  <c r="L41"/>
  <c r="L43"/>
  <c r="L45"/>
  <c r="L47"/>
  <c r="L49"/>
  <c r="L51"/>
  <c r="L57"/>
  <c r="L59"/>
  <c r="L61"/>
  <c r="L68"/>
  <c r="L70"/>
  <c r="L72"/>
  <c r="K22"/>
  <c r="K23"/>
  <c r="K24"/>
  <c r="K25"/>
  <c r="K26"/>
  <c r="K27"/>
  <c r="K28"/>
  <c r="K29"/>
  <c r="K30"/>
  <c r="K31"/>
  <c r="K32"/>
  <c r="K33"/>
  <c r="K34"/>
  <c r="K35"/>
  <c r="K36"/>
  <c r="K37"/>
  <c r="K38"/>
  <c r="K39"/>
  <c r="K40"/>
  <c r="K41"/>
  <c r="K42"/>
  <c r="K43"/>
  <c r="K44"/>
  <c r="K45"/>
  <c r="K46"/>
  <c r="K47"/>
  <c r="K48"/>
  <c r="K49"/>
  <c r="K50"/>
  <c r="K51"/>
  <c r="K56"/>
  <c r="K57"/>
  <c r="K58"/>
  <c r="K59"/>
  <c r="K60"/>
  <c r="K61"/>
  <c r="K62"/>
  <c r="K68"/>
  <c r="K69"/>
  <c r="K70"/>
  <c r="K71"/>
  <c r="K72"/>
  <c r="K73"/>
  <c r="K74"/>
  <c r="J22"/>
  <c r="J24"/>
  <c r="J26"/>
  <c r="J28"/>
  <c r="J30"/>
  <c r="J32"/>
  <c r="J34"/>
  <c r="J36"/>
  <c r="J38"/>
  <c r="J40"/>
  <c r="J42"/>
  <c r="J44"/>
  <c r="J46"/>
  <c r="J48"/>
  <c r="J50"/>
  <c r="J56"/>
  <c r="J58"/>
  <c r="J60"/>
  <c r="J62"/>
  <c r="J69"/>
  <c r="J71"/>
  <c r="J73"/>
  <c r="J75"/>
  <c r="J23"/>
  <c r="J25"/>
  <c r="J27"/>
  <c r="J29"/>
  <c r="J31"/>
  <c r="J33"/>
  <c r="J35"/>
  <c r="J37"/>
  <c r="J39"/>
  <c r="J41"/>
  <c r="J43"/>
  <c r="J45"/>
  <c r="J47"/>
  <c r="J49"/>
  <c r="J51"/>
  <c r="J57"/>
  <c r="J59"/>
  <c r="J61"/>
  <c r="J68"/>
  <c r="J70"/>
  <c r="J72"/>
  <c r="I22"/>
  <c r="I23"/>
  <c r="I24"/>
  <c r="I25"/>
  <c r="I26"/>
  <c r="I27"/>
  <c r="I28"/>
  <c r="I29"/>
  <c r="I30"/>
  <c r="I31"/>
  <c r="I32"/>
  <c r="I33"/>
  <c r="I34"/>
  <c r="I35"/>
  <c r="I36"/>
  <c r="I37"/>
  <c r="I38"/>
  <c r="I39"/>
  <c r="I40"/>
  <c r="I41"/>
  <c r="I42"/>
  <c r="I43"/>
  <c r="I44"/>
  <c r="I45"/>
  <c r="I46"/>
  <c r="I47"/>
  <c r="I48"/>
  <c r="I49"/>
  <c r="I50"/>
  <c r="I51"/>
  <c r="I56"/>
  <c r="I57"/>
  <c r="I58"/>
  <c r="I59"/>
  <c r="I60"/>
  <c r="I61"/>
  <c r="I62"/>
  <c r="I68"/>
  <c r="I69"/>
  <c r="I70"/>
  <c r="I71"/>
  <c r="I72"/>
  <c r="I73"/>
  <c r="I74"/>
  <c r="H22"/>
  <c r="H24"/>
  <c r="H26"/>
  <c r="H28"/>
  <c r="H30"/>
  <c r="H32"/>
  <c r="H34"/>
  <c r="H36"/>
  <c r="H38"/>
  <c r="H40"/>
  <c r="H42"/>
  <c r="H44"/>
  <c r="H46"/>
  <c r="H48"/>
  <c r="H50"/>
  <c r="H56"/>
  <c r="H58"/>
  <c r="H60"/>
  <c r="H62"/>
  <c r="H69"/>
  <c r="H71"/>
  <c r="H73"/>
  <c r="H75"/>
  <c r="H23"/>
  <c r="H25"/>
  <c r="H27"/>
  <c r="H29"/>
  <c r="H31"/>
  <c r="H33"/>
  <c r="H35"/>
  <c r="H37"/>
  <c r="H39"/>
  <c r="H41"/>
  <c r="H43"/>
  <c r="H45"/>
  <c r="H47"/>
  <c r="H49"/>
  <c r="H51"/>
  <c r="H57"/>
  <c r="H59"/>
  <c r="H61"/>
  <c r="H68"/>
  <c r="H70"/>
  <c r="H72"/>
  <c r="G22"/>
  <c r="G23"/>
  <c r="G24"/>
  <c r="G25"/>
  <c r="G26"/>
  <c r="G27"/>
  <c r="G28"/>
  <c r="G29"/>
  <c r="G30"/>
  <c r="G31"/>
  <c r="G32"/>
  <c r="G33"/>
  <c r="G34"/>
  <c r="G35"/>
  <c r="G36"/>
  <c r="G37"/>
  <c r="G38"/>
  <c r="G39"/>
  <c r="G40"/>
  <c r="G41"/>
  <c r="G42"/>
  <c r="G43"/>
  <c r="G44"/>
  <c r="G45"/>
  <c r="G46"/>
  <c r="G47"/>
  <c r="G48"/>
  <c r="G49"/>
  <c r="G50"/>
  <c r="G51"/>
  <c r="G56"/>
  <c r="G57"/>
  <c r="G58"/>
  <c r="G59"/>
  <c r="G60"/>
  <c r="G61"/>
  <c r="G62"/>
  <c r="G68"/>
  <c r="G69"/>
  <c r="G70"/>
  <c r="G71"/>
  <c r="G72"/>
  <c r="G73"/>
  <c r="G74"/>
  <c r="M76" i="437"/>
  <c r="M63"/>
  <c r="F22" i="435"/>
  <c r="F24"/>
  <c r="F26"/>
  <c r="F28"/>
  <c r="F30"/>
  <c r="F32"/>
  <c r="F34"/>
  <c r="F36"/>
  <c r="F38"/>
  <c r="F40"/>
  <c r="F42"/>
  <c r="F44"/>
  <c r="F46"/>
  <c r="F48"/>
  <c r="F50"/>
  <c r="F56"/>
  <c r="F58"/>
  <c r="F60"/>
  <c r="F62"/>
  <c r="F69"/>
  <c r="F71"/>
  <c r="F73"/>
  <c r="F75"/>
  <c r="F23"/>
  <c r="F25"/>
  <c r="F27"/>
  <c r="F29"/>
  <c r="F31"/>
  <c r="F33"/>
  <c r="F35"/>
  <c r="F37"/>
  <c r="F39"/>
  <c r="F41"/>
  <c r="F43"/>
  <c r="F45"/>
  <c r="F47"/>
  <c r="F49"/>
  <c r="F51"/>
  <c r="F57"/>
  <c r="F59"/>
  <c r="F61"/>
  <c r="F68"/>
  <c r="F70"/>
  <c r="F72"/>
  <c r="M52" i="437"/>
  <c r="M75" i="435" s="1"/>
  <c r="E22"/>
  <c r="E23"/>
  <c r="E24"/>
  <c r="E25"/>
  <c r="E26"/>
  <c r="E27"/>
  <c r="E28"/>
  <c r="E29"/>
  <c r="E30"/>
  <c r="E31"/>
  <c r="E32"/>
  <c r="E33"/>
  <c r="E34"/>
  <c r="E35"/>
  <c r="E36"/>
  <c r="E37"/>
  <c r="E38"/>
  <c r="E39"/>
  <c r="E40"/>
  <c r="E41"/>
  <c r="E42"/>
  <c r="E43"/>
  <c r="E44"/>
  <c r="E45"/>
  <c r="E46"/>
  <c r="E47"/>
  <c r="E48"/>
  <c r="E49"/>
  <c r="E50"/>
  <c r="E51"/>
  <c r="E56"/>
  <c r="E57"/>
  <c r="E58"/>
  <c r="E59"/>
  <c r="E60"/>
  <c r="E61"/>
  <c r="E62"/>
  <c r="E68"/>
  <c r="E69"/>
  <c r="E70"/>
  <c r="E71"/>
  <c r="E72"/>
  <c r="E73"/>
  <c r="E74"/>
  <c r="D22"/>
  <c r="D23"/>
  <c r="D24"/>
  <c r="D25"/>
  <c r="D26"/>
  <c r="D27"/>
  <c r="D28"/>
  <c r="D29"/>
  <c r="D30"/>
  <c r="D31"/>
  <c r="D32"/>
  <c r="D33"/>
  <c r="D34"/>
  <c r="D35"/>
  <c r="D36"/>
  <c r="D37"/>
  <c r="D38"/>
  <c r="D39"/>
  <c r="D40"/>
  <c r="D41"/>
  <c r="D42"/>
  <c r="D43"/>
  <c r="D44"/>
  <c r="D45"/>
  <c r="D46"/>
  <c r="D47"/>
  <c r="D48"/>
  <c r="D49"/>
  <c r="D50"/>
  <c r="D51"/>
  <c r="D56"/>
  <c r="D57"/>
  <c r="D58"/>
  <c r="D59"/>
  <c r="D60"/>
  <c r="D61"/>
  <c r="D62"/>
  <c r="D68"/>
  <c r="D69"/>
  <c r="D70"/>
  <c r="D71"/>
  <c r="D72"/>
  <c r="D73"/>
  <c r="D74"/>
  <c r="K52"/>
  <c r="J52"/>
  <c r="G52"/>
  <c r="F52"/>
  <c r="E52"/>
  <c r="M14" i="436"/>
  <c r="M15"/>
  <c r="M16"/>
  <c r="M17"/>
  <c r="M18"/>
  <c r="M19"/>
  <c r="M20"/>
  <c r="M21"/>
  <c r="M22"/>
  <c r="E23"/>
  <c r="E34" s="1"/>
  <c r="G23"/>
  <c r="G36" s="1"/>
  <c r="I23"/>
  <c r="I34" s="1"/>
  <c r="K23"/>
  <c r="K36" s="1"/>
  <c r="D23"/>
  <c r="D35" s="1"/>
  <c r="F23"/>
  <c r="F33" s="1"/>
  <c r="H23"/>
  <c r="H35" s="1"/>
  <c r="J23"/>
  <c r="J33" s="1"/>
  <c r="L23"/>
  <c r="L35" s="1"/>
  <c r="M25" i="434"/>
  <c r="N25" s="1"/>
  <c r="L30"/>
  <c r="L31"/>
  <c r="L32"/>
  <c r="L33"/>
  <c r="K30"/>
  <c r="N30" s="1"/>
  <c r="K31"/>
  <c r="N31" s="1"/>
  <c r="K32"/>
  <c r="N32" s="1"/>
  <c r="K33"/>
  <c r="N33" s="1"/>
  <c r="L32" i="433"/>
  <c r="L33"/>
  <c r="N33" s="1"/>
  <c r="K34"/>
  <c r="M34"/>
  <c r="K35"/>
  <c r="M35"/>
  <c r="K36"/>
  <c r="M36"/>
  <c r="K37"/>
  <c r="N37" s="1"/>
  <c r="L38"/>
  <c r="N38" s="1"/>
  <c r="K32"/>
  <c r="N32" s="1"/>
  <c r="O55" i="74"/>
  <c r="O52"/>
  <c r="O49"/>
  <c r="O44"/>
  <c r="O42"/>
  <c r="G90" i="316"/>
  <c r="G83"/>
  <c r="G80"/>
  <c r="G79"/>
  <c r="G68"/>
  <c r="G48"/>
  <c r="G45"/>
  <c r="G40"/>
  <c r="G39"/>
  <c r="G38"/>
  <c r="G37"/>
  <c r="G32"/>
  <c r="G30"/>
  <c r="G29"/>
  <c r="G19"/>
  <c r="G10"/>
  <c r="K21" i="22"/>
  <c r="K20"/>
  <c r="K19"/>
  <c r="K34"/>
  <c r="K33"/>
  <c r="K32"/>
  <c r="K46"/>
  <c r="K45"/>
  <c r="K44"/>
  <c r="J59"/>
  <c r="I59"/>
  <c r="H59"/>
  <c r="G59"/>
  <c r="F59"/>
  <c r="E59"/>
  <c r="D59"/>
  <c r="C59"/>
  <c r="B59"/>
  <c r="K58"/>
  <c r="K57"/>
  <c r="K56"/>
  <c r="K59" s="1"/>
  <c r="N36" i="433" l="1"/>
  <c r="N35"/>
  <c r="L76" i="435"/>
  <c r="L52"/>
  <c r="L63"/>
  <c r="K63"/>
  <c r="K76"/>
  <c r="I63"/>
  <c r="I76"/>
  <c r="I52"/>
  <c r="H52"/>
  <c r="H76"/>
  <c r="H63"/>
  <c r="G76"/>
  <c r="G63"/>
  <c r="M73"/>
  <c r="M69"/>
  <c r="M71"/>
  <c r="M61"/>
  <c r="M74"/>
  <c r="M72"/>
  <c r="M70"/>
  <c r="M68"/>
  <c r="M57"/>
  <c r="M62"/>
  <c r="M59"/>
  <c r="M51"/>
  <c r="M60"/>
  <c r="M58"/>
  <c r="M56"/>
  <c r="M50"/>
  <c r="M48"/>
  <c r="M49"/>
  <c r="M44"/>
  <c r="M46"/>
  <c r="M42"/>
  <c r="M47"/>
  <c r="M45"/>
  <c r="M43"/>
  <c r="M41"/>
  <c r="M40"/>
  <c r="M38"/>
  <c r="M39"/>
  <c r="M34"/>
  <c r="M36"/>
  <c r="M31"/>
  <c r="M37"/>
  <c r="M35"/>
  <c r="M33"/>
  <c r="M29"/>
  <c r="M25"/>
  <c r="M32"/>
  <c r="M30"/>
  <c r="M27"/>
  <c r="M22"/>
  <c r="M28"/>
  <c r="M26"/>
  <c r="M24"/>
  <c r="M23"/>
  <c r="F76"/>
  <c r="F63"/>
  <c r="E63"/>
  <c r="E76"/>
  <c r="D76"/>
  <c r="D52"/>
  <c r="D63"/>
  <c r="K41" i="436"/>
  <c r="G41"/>
  <c r="L40"/>
  <c r="H40"/>
  <c r="D40"/>
  <c r="I39"/>
  <c r="E39"/>
  <c r="J38"/>
  <c r="F38"/>
  <c r="K37"/>
  <c r="G37"/>
  <c r="L36"/>
  <c r="H36"/>
  <c r="D36"/>
  <c r="I35"/>
  <c r="E35"/>
  <c r="J34"/>
  <c r="F34"/>
  <c r="K33"/>
  <c r="G33"/>
  <c r="L41"/>
  <c r="H41"/>
  <c r="D41"/>
  <c r="I40"/>
  <c r="E40"/>
  <c r="J39"/>
  <c r="F39"/>
  <c r="K38"/>
  <c r="G38"/>
  <c r="L37"/>
  <c r="H37"/>
  <c r="D37"/>
  <c r="I36"/>
  <c r="E36"/>
  <c r="J35"/>
  <c r="F35"/>
  <c r="K34"/>
  <c r="G34"/>
  <c r="L33"/>
  <c r="H33"/>
  <c r="D33"/>
  <c r="M23"/>
  <c r="M38" s="1"/>
  <c r="I41"/>
  <c r="E41"/>
  <c r="J40"/>
  <c r="F40"/>
  <c r="K39"/>
  <c r="G39"/>
  <c r="L38"/>
  <c r="H38"/>
  <c r="D38"/>
  <c r="I37"/>
  <c r="E37"/>
  <c r="J36"/>
  <c r="F36"/>
  <c r="K35"/>
  <c r="G35"/>
  <c r="L34"/>
  <c r="H34"/>
  <c r="D34"/>
  <c r="I33"/>
  <c r="E33"/>
  <c r="E42" s="1"/>
  <c r="J41"/>
  <c r="F41"/>
  <c r="K40"/>
  <c r="G40"/>
  <c r="L39"/>
  <c r="H39"/>
  <c r="D39"/>
  <c r="I38"/>
  <c r="E38"/>
  <c r="J37"/>
  <c r="F37"/>
  <c r="N34" i="433"/>
  <c r="B57" i="183"/>
  <c r="B56"/>
  <c r="B55"/>
  <c r="B54"/>
  <c r="B53"/>
  <c r="B52"/>
  <c r="B51"/>
  <c r="B50"/>
  <c r="B49"/>
  <c r="B40"/>
  <c r="B39"/>
  <c r="B37"/>
  <c r="B38"/>
  <c r="B36"/>
  <c r="B35"/>
  <c r="B34"/>
  <c r="B33"/>
  <c r="B32"/>
  <c r="E20"/>
  <c r="E19"/>
  <c r="E18"/>
  <c r="E17"/>
  <c r="E16"/>
  <c r="E15"/>
  <c r="E14"/>
  <c r="E12"/>
  <c r="E13"/>
  <c r="B20"/>
  <c r="B19"/>
  <c r="B18"/>
  <c r="B17"/>
  <c r="B16"/>
  <c r="B15"/>
  <c r="B14"/>
  <c r="B13"/>
  <c r="B12"/>
  <c r="B29" i="135"/>
  <c r="B28"/>
  <c r="B27"/>
  <c r="B35" i="111"/>
  <c r="I17" i="99"/>
  <c r="C51" i="90"/>
  <c r="C51" i="89"/>
  <c r="C50"/>
  <c r="C49"/>
  <c r="C48"/>
  <c r="J42" i="436" l="1"/>
  <c r="M63" i="435"/>
  <c r="M76"/>
  <c r="F42" i="436"/>
  <c r="M52" i="435"/>
  <c r="M35" i="436"/>
  <c r="M39"/>
  <c r="D42"/>
  <c r="L42"/>
  <c r="K42"/>
  <c r="M36"/>
  <c r="M40"/>
  <c r="I42"/>
  <c r="M37"/>
  <c r="M41"/>
  <c r="M33"/>
  <c r="H42"/>
  <c r="G42"/>
  <c r="M34"/>
  <c r="L63" i="41"/>
  <c r="K63"/>
  <c r="L62"/>
  <c r="K62"/>
  <c r="L61"/>
  <c r="K61"/>
  <c r="L59"/>
  <c r="K59"/>
  <c r="L58"/>
  <c r="K58"/>
  <c r="L57"/>
  <c r="K57"/>
  <c r="L51"/>
  <c r="K51"/>
  <c r="L50"/>
  <c r="K50"/>
  <c r="L49"/>
  <c r="K49"/>
  <c r="L48"/>
  <c r="K48"/>
  <c r="L44"/>
  <c r="K44"/>
  <c r="L41"/>
  <c r="K41"/>
  <c r="L40"/>
  <c r="K40"/>
  <c r="L39"/>
  <c r="K39"/>
  <c r="L35"/>
  <c r="K35"/>
  <c r="L34"/>
  <c r="K34"/>
  <c r="L33"/>
  <c r="K33"/>
  <c r="L29"/>
  <c r="K29"/>
  <c r="L28"/>
  <c r="K28"/>
  <c r="L27"/>
  <c r="K27"/>
  <c r="L22"/>
  <c r="K22"/>
  <c r="L21"/>
  <c r="K21"/>
  <c r="L20"/>
  <c r="K20"/>
  <c r="L19"/>
  <c r="K19"/>
  <c r="L18"/>
  <c r="K18"/>
  <c r="L17"/>
  <c r="K17"/>
  <c r="L14"/>
  <c r="K14"/>
  <c r="L13"/>
  <c r="K13"/>
  <c r="L12"/>
  <c r="K12"/>
  <c r="L11"/>
  <c r="K11"/>
  <c r="I63"/>
  <c r="I62"/>
  <c r="I61"/>
  <c r="I59"/>
  <c r="I58"/>
  <c r="I57"/>
  <c r="I51"/>
  <c r="I50"/>
  <c r="I49"/>
  <c r="I48"/>
  <c r="I44"/>
  <c r="I41"/>
  <c r="I40"/>
  <c r="I39"/>
  <c r="I35"/>
  <c r="I34"/>
  <c r="I33"/>
  <c r="I29"/>
  <c r="I28"/>
  <c r="I27"/>
  <c r="I22"/>
  <c r="I21"/>
  <c r="I20"/>
  <c r="I19"/>
  <c r="I18"/>
  <c r="I17"/>
  <c r="I14"/>
  <c r="I13"/>
  <c r="I12"/>
  <c r="I11"/>
  <c r="G63"/>
  <c r="F63"/>
  <c r="E63"/>
  <c r="D63"/>
  <c r="G62"/>
  <c r="F62"/>
  <c r="E62"/>
  <c r="D62"/>
  <c r="G61"/>
  <c r="F61"/>
  <c r="E61"/>
  <c r="D61"/>
  <c r="G59"/>
  <c r="F59"/>
  <c r="E59"/>
  <c r="D59"/>
  <c r="G58"/>
  <c r="F58"/>
  <c r="E58"/>
  <c r="D58"/>
  <c r="G57"/>
  <c r="F57"/>
  <c r="E57"/>
  <c r="D57"/>
  <c r="G51"/>
  <c r="F51"/>
  <c r="E51"/>
  <c r="D51"/>
  <c r="G50"/>
  <c r="F50"/>
  <c r="E50"/>
  <c r="D50"/>
  <c r="G49"/>
  <c r="F49"/>
  <c r="E49"/>
  <c r="D49"/>
  <c r="G48"/>
  <c r="F48"/>
  <c r="E48"/>
  <c r="D48"/>
  <c r="G44"/>
  <c r="F44"/>
  <c r="E44"/>
  <c r="D44"/>
  <c r="G41"/>
  <c r="F41"/>
  <c r="E41"/>
  <c r="D41"/>
  <c r="G40"/>
  <c r="F40"/>
  <c r="E40"/>
  <c r="D40"/>
  <c r="G39"/>
  <c r="F39"/>
  <c r="E39"/>
  <c r="D39"/>
  <c r="G35"/>
  <c r="F35"/>
  <c r="E35"/>
  <c r="D35"/>
  <c r="G34"/>
  <c r="F34"/>
  <c r="E34"/>
  <c r="D34"/>
  <c r="G33"/>
  <c r="F33"/>
  <c r="E33"/>
  <c r="D33"/>
  <c r="G29"/>
  <c r="F29"/>
  <c r="E29"/>
  <c r="D29"/>
  <c r="G28"/>
  <c r="F28"/>
  <c r="E28"/>
  <c r="D28"/>
  <c r="G27"/>
  <c r="F27"/>
  <c r="E27"/>
  <c r="D27"/>
  <c r="G22"/>
  <c r="F22"/>
  <c r="E22"/>
  <c r="D22"/>
  <c r="G21"/>
  <c r="F21"/>
  <c r="E21"/>
  <c r="D21"/>
  <c r="G20"/>
  <c r="F20"/>
  <c r="E20"/>
  <c r="D20"/>
  <c r="G19"/>
  <c r="F19"/>
  <c r="E19"/>
  <c r="D19"/>
  <c r="G18"/>
  <c r="F18"/>
  <c r="E18"/>
  <c r="D18"/>
  <c r="G17"/>
  <c r="F17"/>
  <c r="E17"/>
  <c r="D17"/>
  <c r="G14"/>
  <c r="F14"/>
  <c r="E14"/>
  <c r="D14"/>
  <c r="G13"/>
  <c r="F13"/>
  <c r="E13"/>
  <c r="D13"/>
  <c r="G12"/>
  <c r="F12"/>
  <c r="E12"/>
  <c r="D12"/>
  <c r="G11"/>
  <c r="F11"/>
  <c r="E11"/>
  <c r="D11"/>
  <c r="C63"/>
  <c r="C62"/>
  <c r="C61"/>
  <c r="C59"/>
  <c r="C58"/>
  <c r="C57"/>
  <c r="C51"/>
  <c r="C50"/>
  <c r="C49"/>
  <c r="C48"/>
  <c r="C44"/>
  <c r="C41"/>
  <c r="C40"/>
  <c r="C39"/>
  <c r="C35"/>
  <c r="C34"/>
  <c r="C33"/>
  <c r="C29"/>
  <c r="C28"/>
  <c r="C27"/>
  <c r="C22"/>
  <c r="C21"/>
  <c r="C20"/>
  <c r="C19"/>
  <c r="C18"/>
  <c r="C17"/>
  <c r="C14"/>
  <c r="C13"/>
  <c r="C12"/>
  <c r="C11"/>
  <c r="B63"/>
  <c r="B62"/>
  <c r="B61"/>
  <c r="B59"/>
  <c r="B58"/>
  <c r="B57"/>
  <c r="B51"/>
  <c r="B50"/>
  <c r="B49"/>
  <c r="B48"/>
  <c r="B44"/>
  <c r="B41"/>
  <c r="B40"/>
  <c r="B39"/>
  <c r="B35"/>
  <c r="B34"/>
  <c r="B33"/>
  <c r="B29"/>
  <c r="B28"/>
  <c r="B27"/>
  <c r="B22"/>
  <c r="B21"/>
  <c r="B20"/>
  <c r="B19"/>
  <c r="B18"/>
  <c r="B17"/>
  <c r="B14"/>
  <c r="B13"/>
  <c r="B12"/>
  <c r="B11"/>
  <c r="K10"/>
  <c r="L10"/>
  <c r="I10"/>
  <c r="G10"/>
  <c r="F10"/>
  <c r="E10"/>
  <c r="D10"/>
  <c r="C10"/>
  <c r="B10"/>
  <c r="O55" i="80"/>
  <c r="O52"/>
  <c r="O49"/>
  <c r="O44"/>
  <c r="O42"/>
  <c r="I17" i="81"/>
  <c r="I44"/>
  <c r="AB136" i="21"/>
  <c r="AC138" i="20"/>
  <c r="J84" i="41"/>
  <c r="J83"/>
  <c r="J82"/>
  <c r="J81"/>
  <c r="J80"/>
  <c r="J79"/>
  <c r="J78"/>
  <c r="J77"/>
  <c r="J76"/>
  <c r="G84"/>
  <c r="G83"/>
  <c r="G81"/>
  <c r="G82"/>
  <c r="G78"/>
  <c r="G79"/>
  <c r="G80"/>
  <c r="G77"/>
  <c r="G76"/>
  <c r="J18" i="30"/>
  <c r="I41" i="97"/>
  <c r="M42" i="436" l="1"/>
  <c r="T79" i="144"/>
  <c r="T74"/>
  <c r="T73"/>
  <c r="T72"/>
  <c r="T71"/>
  <c r="T65"/>
  <c r="T60"/>
  <c r="T59"/>
  <c r="T58"/>
  <c r="T54"/>
  <c r="T52"/>
  <c r="T51"/>
  <c r="T50"/>
  <c r="I63" i="141"/>
  <c r="I62"/>
  <c r="I61"/>
  <c r="I51"/>
  <c r="I49"/>
  <c r="I48"/>
  <c r="I44"/>
  <c r="I41"/>
  <c r="I40"/>
  <c r="I39"/>
  <c r="I35"/>
  <c r="I29"/>
  <c r="I28"/>
  <c r="I27"/>
  <c r="I22"/>
  <c r="I21"/>
  <c r="I20"/>
  <c r="I19"/>
  <c r="I14"/>
  <c r="I13"/>
  <c r="I12"/>
  <c r="I11"/>
  <c r="I10"/>
  <c r="M39"/>
  <c r="C51" i="143"/>
  <c r="C50"/>
  <c r="C49"/>
  <c r="C48"/>
  <c r="O55" i="140"/>
  <c r="O49"/>
  <c r="O52"/>
  <c r="O44"/>
  <c r="O42"/>
  <c r="I18" i="32"/>
  <c r="T79" i="138" l="1"/>
  <c r="T74"/>
  <c r="T73"/>
  <c r="T72"/>
  <c r="T71"/>
  <c r="T65"/>
  <c r="T60"/>
  <c r="T59"/>
  <c r="T58"/>
  <c r="T54"/>
  <c r="T52"/>
  <c r="T51"/>
  <c r="T50"/>
  <c r="C51" i="137"/>
  <c r="C50"/>
  <c r="C49"/>
  <c r="C48"/>
  <c r="I63" i="135"/>
  <c r="I62"/>
  <c r="I61"/>
  <c r="I51"/>
  <c r="I49"/>
  <c r="I48"/>
  <c r="I44"/>
  <c r="I41"/>
  <c r="I39"/>
  <c r="I35"/>
  <c r="I29"/>
  <c r="I28"/>
  <c r="I27"/>
  <c r="I22"/>
  <c r="I21"/>
  <c r="I20"/>
  <c r="I19"/>
  <c r="I14"/>
  <c r="I13"/>
  <c r="I12"/>
  <c r="I11"/>
  <c r="I10"/>
  <c r="O54" i="134"/>
  <c r="O51"/>
  <c r="O48"/>
  <c r="O43"/>
  <c r="O41"/>
  <c r="T79" i="132"/>
  <c r="T74"/>
  <c r="T73"/>
  <c r="T72"/>
  <c r="T71"/>
  <c r="T65"/>
  <c r="T60"/>
  <c r="T59"/>
  <c r="T58"/>
  <c r="T54"/>
  <c r="T52"/>
  <c r="T51"/>
  <c r="T50"/>
  <c r="C51" i="131"/>
  <c r="C50"/>
  <c r="C49"/>
  <c r="C48"/>
  <c r="I63" i="129"/>
  <c r="I62"/>
  <c r="I61"/>
  <c r="I51"/>
  <c r="I50"/>
  <c r="I49"/>
  <c r="I48"/>
  <c r="I44"/>
  <c r="I41"/>
  <c r="I40"/>
  <c r="I35"/>
  <c r="I29"/>
  <c r="I28"/>
  <c r="I27"/>
  <c r="I22"/>
  <c r="I21"/>
  <c r="I20"/>
  <c r="I19"/>
  <c r="I17"/>
  <c r="I14"/>
  <c r="I13"/>
  <c r="I12"/>
  <c r="I11"/>
  <c r="I10"/>
  <c r="M40"/>
  <c r="M41"/>
  <c r="O54" i="128"/>
  <c r="O51"/>
  <c r="O48"/>
  <c r="O43"/>
  <c r="O41"/>
  <c r="T79" i="114"/>
  <c r="T74"/>
  <c r="T73"/>
  <c r="T72"/>
  <c r="T71"/>
  <c r="T65"/>
  <c r="T60"/>
  <c r="T59"/>
  <c r="T58"/>
  <c r="T54"/>
  <c r="T52"/>
  <c r="T51"/>
  <c r="T50"/>
  <c r="C51" i="113"/>
  <c r="C50"/>
  <c r="C48"/>
  <c r="I63" i="111"/>
  <c r="I62"/>
  <c r="I61"/>
  <c r="I51"/>
  <c r="I48"/>
  <c r="I44"/>
  <c r="I41"/>
  <c r="I35"/>
  <c r="I29"/>
  <c r="I28"/>
  <c r="I27"/>
  <c r="I22"/>
  <c r="I21"/>
  <c r="I20"/>
  <c r="I14"/>
  <c r="I12"/>
  <c r="I11"/>
  <c r="I10"/>
  <c r="P49"/>
  <c r="P48"/>
  <c r="O54" i="110"/>
  <c r="O51"/>
  <c r="O48"/>
  <c r="O43"/>
  <c r="O41"/>
  <c r="T79" i="102"/>
  <c r="T74"/>
  <c r="T73"/>
  <c r="T72"/>
  <c r="T71"/>
  <c r="T65"/>
  <c r="T60"/>
  <c r="T59"/>
  <c r="T58"/>
  <c r="T54"/>
  <c r="T52"/>
  <c r="T51"/>
  <c r="T53" s="1"/>
  <c r="T50"/>
  <c r="I63" i="99"/>
  <c r="I62"/>
  <c r="I61"/>
  <c r="I51"/>
  <c r="I49"/>
  <c r="I48"/>
  <c r="I44"/>
  <c r="I41"/>
  <c r="I35"/>
  <c r="I33"/>
  <c r="I29"/>
  <c r="I28"/>
  <c r="I27"/>
  <c r="I22"/>
  <c r="I21"/>
  <c r="I20"/>
  <c r="I14"/>
  <c r="I12"/>
  <c r="I11"/>
  <c r="I10"/>
  <c r="L59"/>
  <c r="L35"/>
  <c r="L14"/>
  <c r="O33"/>
  <c r="C51" i="101"/>
  <c r="C50"/>
  <c r="C49"/>
  <c r="C48"/>
  <c r="O54" i="98"/>
  <c r="O51"/>
  <c r="N51"/>
  <c r="O48"/>
  <c r="O43"/>
  <c r="O41"/>
  <c r="O54" i="92"/>
  <c r="O51"/>
  <c r="O48"/>
  <c r="O43"/>
  <c r="O41"/>
  <c r="T79" i="96"/>
  <c r="T74"/>
  <c r="T73"/>
  <c r="T72"/>
  <c r="T71"/>
  <c r="T65"/>
  <c r="T60"/>
  <c r="T59"/>
  <c r="T58"/>
  <c r="T54"/>
  <c r="T52"/>
  <c r="T51"/>
  <c r="T50"/>
  <c r="B10" i="94"/>
  <c r="I63" i="93"/>
  <c r="I62"/>
  <c r="I61"/>
  <c r="I51"/>
  <c r="I50"/>
  <c r="I49"/>
  <c r="I48"/>
  <c r="I44"/>
  <c r="I41"/>
  <c r="I35"/>
  <c r="I29"/>
  <c r="I28"/>
  <c r="I27"/>
  <c r="I22"/>
  <c r="I21"/>
  <c r="I20"/>
  <c r="I19"/>
  <c r="I17"/>
  <c r="I14"/>
  <c r="I13"/>
  <c r="I12"/>
  <c r="I11"/>
  <c r="I10"/>
  <c r="M17"/>
  <c r="C51" i="95"/>
  <c r="C50"/>
  <c r="C49"/>
  <c r="C48"/>
  <c r="T74" i="90"/>
  <c r="T73"/>
  <c r="T72"/>
  <c r="T71"/>
  <c r="T65"/>
  <c r="T60"/>
  <c r="T59"/>
  <c r="T58"/>
  <c r="T54"/>
  <c r="T52"/>
  <c r="T51"/>
  <c r="T50"/>
  <c r="I49" i="89"/>
  <c r="I63" i="87"/>
  <c r="I62"/>
  <c r="I61"/>
  <c r="I51"/>
  <c r="I50"/>
  <c r="I48"/>
  <c r="I44"/>
  <c r="I41"/>
  <c r="I35"/>
  <c r="I29"/>
  <c r="I28"/>
  <c r="I27"/>
  <c r="I22"/>
  <c r="I21"/>
  <c r="I20"/>
  <c r="I19"/>
  <c r="I14"/>
  <c r="I13"/>
  <c r="I12"/>
  <c r="I11"/>
  <c r="I10"/>
  <c r="J49"/>
  <c r="I49" s="1"/>
  <c r="N63"/>
  <c r="P49"/>
  <c r="O54" i="86"/>
  <c r="O51"/>
  <c r="O48"/>
  <c r="O43"/>
  <c r="O41"/>
  <c r="T79" i="84" l="1"/>
  <c r="T74"/>
  <c r="T73"/>
  <c r="T72"/>
  <c r="T71"/>
  <c r="T65"/>
  <c r="T60"/>
  <c r="T59"/>
  <c r="T58"/>
  <c r="T54"/>
  <c r="T52"/>
  <c r="T51"/>
  <c r="T50"/>
  <c r="C51" i="83"/>
  <c r="C50"/>
  <c r="C49"/>
  <c r="C48"/>
  <c r="I63" i="81"/>
  <c r="I62"/>
  <c r="I61"/>
  <c r="I51"/>
  <c r="I50"/>
  <c r="I49"/>
  <c r="I48"/>
  <c r="I41"/>
  <c r="I39"/>
  <c r="I35"/>
  <c r="I29"/>
  <c r="I28"/>
  <c r="I27"/>
  <c r="I22"/>
  <c r="I21"/>
  <c r="I20"/>
  <c r="I19"/>
  <c r="I14"/>
  <c r="I12"/>
  <c r="I11"/>
  <c r="I10"/>
  <c r="K39"/>
  <c r="M39"/>
  <c r="L36"/>
  <c r="T74" i="78"/>
  <c r="T73"/>
  <c r="T72"/>
  <c r="T71"/>
  <c r="T65"/>
  <c r="T60"/>
  <c r="T59"/>
  <c r="T58"/>
  <c r="T54"/>
  <c r="T52"/>
  <c r="T51"/>
  <c r="T50"/>
  <c r="J18" i="76"/>
  <c r="C51" i="77"/>
  <c r="C50"/>
  <c r="C49"/>
  <c r="C48"/>
  <c r="I49"/>
  <c r="I18" i="75"/>
  <c r="I63"/>
  <c r="I62"/>
  <c r="I61"/>
  <c r="I51"/>
  <c r="I49"/>
  <c r="I48"/>
  <c r="I44"/>
  <c r="I41"/>
  <c r="I39"/>
  <c r="I35"/>
  <c r="I29"/>
  <c r="I28"/>
  <c r="I27"/>
  <c r="I22"/>
  <c r="I21"/>
  <c r="I20"/>
  <c r="I19"/>
  <c r="I17"/>
  <c r="I14"/>
  <c r="I12"/>
  <c r="I11"/>
  <c r="I10"/>
  <c r="P49"/>
  <c r="F156" i="432"/>
  <c r="J84"/>
  <c r="G84"/>
  <c r="J83"/>
  <c r="G83"/>
  <c r="J82"/>
  <c r="G82"/>
  <c r="J81"/>
  <c r="G81"/>
  <c r="J80"/>
  <c r="G80"/>
  <c r="J79"/>
  <c r="G79"/>
  <c r="J78"/>
  <c r="G78"/>
  <c r="J77"/>
  <c r="G77"/>
  <c r="J76"/>
  <c r="G76"/>
  <c r="M63"/>
  <c r="J63"/>
  <c r="H63"/>
  <c r="M62"/>
  <c r="J62"/>
  <c r="H62"/>
  <c r="M61"/>
  <c r="J61"/>
  <c r="H61"/>
  <c r="M59"/>
  <c r="J59"/>
  <c r="H59"/>
  <c r="M58"/>
  <c r="J58"/>
  <c r="H58"/>
  <c r="M57"/>
  <c r="J57"/>
  <c r="H57"/>
  <c r="N57" s="1"/>
  <c r="M51"/>
  <c r="J51"/>
  <c r="H51"/>
  <c r="M50"/>
  <c r="J50"/>
  <c r="H50"/>
  <c r="N50" s="1"/>
  <c r="M49"/>
  <c r="J49"/>
  <c r="H49"/>
  <c r="L52"/>
  <c r="K52"/>
  <c r="J48"/>
  <c r="J52" s="1"/>
  <c r="G52"/>
  <c r="F52"/>
  <c r="E52"/>
  <c r="D52"/>
  <c r="C52"/>
  <c r="B52"/>
  <c r="M44"/>
  <c r="J44"/>
  <c r="H44"/>
  <c r="M41"/>
  <c r="J41"/>
  <c r="H41"/>
  <c r="M40"/>
  <c r="J40"/>
  <c r="H40"/>
  <c r="L42"/>
  <c r="K42"/>
  <c r="I42"/>
  <c r="G42"/>
  <c r="F42"/>
  <c r="E42"/>
  <c r="D42"/>
  <c r="C42"/>
  <c r="H39"/>
  <c r="M35"/>
  <c r="J35"/>
  <c r="H35"/>
  <c r="M34"/>
  <c r="J34"/>
  <c r="H34"/>
  <c r="L36"/>
  <c r="K36"/>
  <c r="I36"/>
  <c r="G36"/>
  <c r="F36"/>
  <c r="E36"/>
  <c r="D36"/>
  <c r="C36"/>
  <c r="H33"/>
  <c r="M29"/>
  <c r="J29"/>
  <c r="H29"/>
  <c r="M28"/>
  <c r="J28"/>
  <c r="H28"/>
  <c r="L30"/>
  <c r="K30"/>
  <c r="I30"/>
  <c r="G30"/>
  <c r="F30"/>
  <c r="E30"/>
  <c r="D30"/>
  <c r="C30"/>
  <c r="H27"/>
  <c r="M22"/>
  <c r="J22"/>
  <c r="H22"/>
  <c r="M21"/>
  <c r="J21"/>
  <c r="H21"/>
  <c r="N21" s="1"/>
  <c r="M20"/>
  <c r="J20"/>
  <c r="H20"/>
  <c r="M19"/>
  <c r="J19"/>
  <c r="H19"/>
  <c r="M18"/>
  <c r="J18"/>
  <c r="H18"/>
  <c r="M17"/>
  <c r="J17"/>
  <c r="H17"/>
  <c r="N17" s="1"/>
  <c r="M14"/>
  <c r="J14"/>
  <c r="H14"/>
  <c r="M13"/>
  <c r="J13"/>
  <c r="H13"/>
  <c r="M12"/>
  <c r="J12"/>
  <c r="H12"/>
  <c r="M11"/>
  <c r="J11"/>
  <c r="H11"/>
  <c r="L15"/>
  <c r="L23" s="1"/>
  <c r="M10"/>
  <c r="M15" s="1"/>
  <c r="M23" s="1"/>
  <c r="I15"/>
  <c r="I23" s="1"/>
  <c r="G15"/>
  <c r="G23" s="1"/>
  <c r="F15"/>
  <c r="F23" s="1"/>
  <c r="E15"/>
  <c r="E23" s="1"/>
  <c r="D15"/>
  <c r="D23" s="1"/>
  <c r="C15"/>
  <c r="C23" s="1"/>
  <c r="B15"/>
  <c r="B23" s="1"/>
  <c r="M166" i="431"/>
  <c r="K166"/>
  <c r="J166"/>
  <c r="D166"/>
  <c r="C166"/>
  <c r="B166"/>
  <c r="N18" i="432" l="1"/>
  <c r="N20"/>
  <c r="N22"/>
  <c r="N58"/>
  <c r="N61"/>
  <c r="N62"/>
  <c r="N63"/>
  <c r="N40"/>
  <c r="N41"/>
  <c r="N35"/>
  <c r="N28"/>
  <c r="N12"/>
  <c r="N13"/>
  <c r="N14"/>
  <c r="H52"/>
  <c r="H30"/>
  <c r="D53"/>
  <c r="D45"/>
  <c r="F53"/>
  <c r="F45"/>
  <c r="I45"/>
  <c r="L53"/>
  <c r="L45"/>
  <c r="H36"/>
  <c r="C53"/>
  <c r="C45"/>
  <c r="E53"/>
  <c r="E45"/>
  <c r="G53"/>
  <c r="G45"/>
  <c r="K53"/>
  <c r="K45"/>
  <c r="H42"/>
  <c r="N11"/>
  <c r="N19"/>
  <c r="N29"/>
  <c r="N34"/>
  <c r="N44"/>
  <c r="N49"/>
  <c r="N51"/>
  <c r="N59"/>
  <c r="H10"/>
  <c r="J10"/>
  <c r="J15" s="1"/>
  <c r="J23" s="1"/>
  <c r="K15"/>
  <c r="K23" s="1"/>
  <c r="M27"/>
  <c r="M30" s="1"/>
  <c r="B30"/>
  <c r="M33"/>
  <c r="M36" s="1"/>
  <c r="B36"/>
  <c r="M39"/>
  <c r="M42" s="1"/>
  <c r="B42"/>
  <c r="M48"/>
  <c r="M52" s="1"/>
  <c r="I52"/>
  <c r="I53" s="1"/>
  <c r="J27"/>
  <c r="J30" s="1"/>
  <c r="J33"/>
  <c r="J36" s="1"/>
  <c r="J39"/>
  <c r="J42" s="1"/>
  <c r="H48"/>
  <c r="N48" l="1"/>
  <c r="M45"/>
  <c r="N52"/>
  <c r="J53"/>
  <c r="J45"/>
  <c r="M53"/>
  <c r="N39"/>
  <c r="N42" s="1"/>
  <c r="N33"/>
  <c r="N36" s="1"/>
  <c r="N27"/>
  <c r="N30" s="1"/>
  <c r="B53"/>
  <c r="B45"/>
  <c r="H45" s="1"/>
  <c r="H15"/>
  <c r="H23" s="1"/>
  <c r="H15" i="40" s="1"/>
  <c r="N10" i="432"/>
  <c r="N15" s="1"/>
  <c r="N23" s="1"/>
  <c r="H53"/>
  <c r="N15" i="40" l="1"/>
  <c r="N11"/>
  <c r="H11"/>
  <c r="N45" i="432"/>
  <c r="N53"/>
  <c r="F19" i="182" l="1"/>
  <c r="F18"/>
  <c r="F17"/>
  <c r="F16"/>
  <c r="F15"/>
  <c r="F14"/>
  <c r="F13"/>
  <c r="F12"/>
  <c r="F11"/>
  <c r="F37"/>
  <c r="F38"/>
  <c r="F35"/>
  <c r="F36"/>
  <c r="F34"/>
  <c r="F33"/>
  <c r="F32"/>
  <c r="F31"/>
  <c r="F30"/>
  <c r="F56"/>
  <c r="F55"/>
  <c r="F54"/>
  <c r="F53"/>
  <c r="F52"/>
  <c r="F51"/>
  <c r="F50"/>
  <c r="F49"/>
  <c r="F48"/>
  <c r="O56" i="28"/>
  <c r="O53"/>
  <c r="O50"/>
  <c r="O45"/>
  <c r="O43"/>
  <c r="H76" i="426"/>
  <c r="D99" i="316" l="1"/>
  <c r="H18" i="76" l="1"/>
  <c r="M76" i="427" l="1"/>
  <c r="L76"/>
  <c r="K76"/>
  <c r="I76"/>
  <c r="H76"/>
  <c r="G76"/>
  <c r="F76"/>
  <c r="E76"/>
  <c r="D76"/>
  <c r="M63"/>
  <c r="L63"/>
  <c r="K63"/>
  <c r="I63"/>
  <c r="H63"/>
  <c r="G63"/>
  <c r="F63"/>
  <c r="E63"/>
  <c r="D63"/>
  <c r="M52"/>
  <c r="K52"/>
  <c r="J52"/>
  <c r="I52"/>
  <c r="H52"/>
  <c r="G52"/>
  <c r="F52"/>
  <c r="E52"/>
  <c r="D52"/>
  <c r="L76" i="426"/>
  <c r="K76"/>
  <c r="I76"/>
  <c r="G76"/>
  <c r="F76"/>
  <c r="E76"/>
  <c r="D76"/>
  <c r="M75"/>
  <c r="M74"/>
  <c r="M73"/>
  <c r="M72"/>
  <c r="M71"/>
  <c r="M70"/>
  <c r="M69"/>
  <c r="M68"/>
  <c r="L63"/>
  <c r="K63"/>
  <c r="I63"/>
  <c r="H63"/>
  <c r="G63"/>
  <c r="F63"/>
  <c r="E63"/>
  <c r="D63"/>
  <c r="M62"/>
  <c r="M61"/>
  <c r="M60"/>
  <c r="M59"/>
  <c r="M58"/>
  <c r="M57"/>
  <c r="M56"/>
  <c r="L52"/>
  <c r="K52"/>
  <c r="J52"/>
  <c r="I52"/>
  <c r="H52"/>
  <c r="G52"/>
  <c r="F52"/>
  <c r="E52"/>
  <c r="D52"/>
  <c r="M52"/>
  <c r="I33" i="425"/>
  <c r="M33" s="1"/>
  <c r="H33"/>
  <c r="I32"/>
  <c r="M32" s="1"/>
  <c r="H32"/>
  <c r="I31"/>
  <c r="M31" s="1"/>
  <c r="H31"/>
  <c r="I30"/>
  <c r="M30" s="1"/>
  <c r="H30"/>
  <c r="I29"/>
  <c r="L29" s="1"/>
  <c r="H29"/>
  <c r="I28"/>
  <c r="L28" s="1"/>
  <c r="H28"/>
  <c r="I27"/>
  <c r="H27"/>
  <c r="I26"/>
  <c r="M26" s="1"/>
  <c r="H26"/>
  <c r="I25"/>
  <c r="M25" s="1"/>
  <c r="H25"/>
  <c r="D60" i="424"/>
  <c r="D59"/>
  <c r="D58"/>
  <c r="D57"/>
  <c r="D56"/>
  <c r="D55"/>
  <c r="D54"/>
  <c r="D53"/>
  <c r="D52"/>
  <c r="I40"/>
  <c r="H40"/>
  <c r="N39"/>
  <c r="I39"/>
  <c r="H39"/>
  <c r="I38"/>
  <c r="L38" s="1"/>
  <c r="H38"/>
  <c r="I37"/>
  <c r="K37" s="1"/>
  <c r="H37"/>
  <c r="I36"/>
  <c r="M36" s="1"/>
  <c r="H36"/>
  <c r="I35"/>
  <c r="M35" s="1"/>
  <c r="H35"/>
  <c r="I34"/>
  <c r="M34" s="1"/>
  <c r="H34"/>
  <c r="I33"/>
  <c r="L33" s="1"/>
  <c r="H33"/>
  <c r="I32"/>
  <c r="L32" s="1"/>
  <c r="H32"/>
  <c r="T79" i="90"/>
  <c r="F156" i="423"/>
  <c r="J84"/>
  <c r="G84"/>
  <c r="J83"/>
  <c r="G83"/>
  <c r="J82"/>
  <c r="G82"/>
  <c r="J81"/>
  <c r="G81"/>
  <c r="J80"/>
  <c r="G80"/>
  <c r="J79"/>
  <c r="G79"/>
  <c r="G78"/>
  <c r="J77"/>
  <c r="G77"/>
  <c r="J76"/>
  <c r="G76"/>
  <c r="M63"/>
  <c r="J63"/>
  <c r="H63"/>
  <c r="M62"/>
  <c r="J62"/>
  <c r="H62"/>
  <c r="M61"/>
  <c r="J61"/>
  <c r="H61"/>
  <c r="M59"/>
  <c r="J59"/>
  <c r="H59"/>
  <c r="M58"/>
  <c r="J58"/>
  <c r="H58"/>
  <c r="M57"/>
  <c r="J57"/>
  <c r="H57"/>
  <c r="M51"/>
  <c r="J51"/>
  <c r="H51"/>
  <c r="M50"/>
  <c r="J50"/>
  <c r="H50"/>
  <c r="M49"/>
  <c r="J49"/>
  <c r="L52"/>
  <c r="K52"/>
  <c r="J48"/>
  <c r="G52"/>
  <c r="F52"/>
  <c r="E52"/>
  <c r="D52"/>
  <c r="C52"/>
  <c r="M44"/>
  <c r="J44"/>
  <c r="H44"/>
  <c r="M41"/>
  <c r="J41"/>
  <c r="H41"/>
  <c r="M40"/>
  <c r="J40"/>
  <c r="H40"/>
  <c r="L42"/>
  <c r="K42"/>
  <c r="I42"/>
  <c r="G42"/>
  <c r="F42"/>
  <c r="E42"/>
  <c r="D42"/>
  <c r="C42"/>
  <c r="H39"/>
  <c r="M35"/>
  <c r="J35"/>
  <c r="H35"/>
  <c r="M34"/>
  <c r="J34"/>
  <c r="H34"/>
  <c r="L36"/>
  <c r="K36"/>
  <c r="I36"/>
  <c r="G36"/>
  <c r="F36"/>
  <c r="E36"/>
  <c r="D36"/>
  <c r="C36"/>
  <c r="H33"/>
  <c r="M29"/>
  <c r="J29"/>
  <c r="H29"/>
  <c r="M28"/>
  <c r="J28"/>
  <c r="H28"/>
  <c r="L30"/>
  <c r="K30"/>
  <c r="I30"/>
  <c r="G30"/>
  <c r="F30"/>
  <c r="E30"/>
  <c r="D30"/>
  <c r="C30"/>
  <c r="H27"/>
  <c r="M22"/>
  <c r="J22"/>
  <c r="H22"/>
  <c r="M21"/>
  <c r="J21"/>
  <c r="H21"/>
  <c r="M20"/>
  <c r="J20"/>
  <c r="M19"/>
  <c r="J19"/>
  <c r="H19"/>
  <c r="M18"/>
  <c r="J18"/>
  <c r="H18"/>
  <c r="M17"/>
  <c r="J17"/>
  <c r="H17"/>
  <c r="N17" s="1"/>
  <c r="M14"/>
  <c r="J14"/>
  <c r="H14"/>
  <c r="M13"/>
  <c r="J13"/>
  <c r="H13"/>
  <c r="N13" s="1"/>
  <c r="M12"/>
  <c r="J12"/>
  <c r="H12"/>
  <c r="M11"/>
  <c r="J11"/>
  <c r="H11"/>
  <c r="N11" s="1"/>
  <c r="L15"/>
  <c r="L23" s="1"/>
  <c r="M10"/>
  <c r="M15" s="1"/>
  <c r="M23" s="1"/>
  <c r="I15"/>
  <c r="I23" s="1"/>
  <c r="G15"/>
  <c r="G23" s="1"/>
  <c r="F15"/>
  <c r="F23" s="1"/>
  <c r="E15"/>
  <c r="E23" s="1"/>
  <c r="D15"/>
  <c r="D23" s="1"/>
  <c r="C15"/>
  <c r="C23" s="1"/>
  <c r="B15"/>
  <c r="A25" i="234"/>
  <c r="M166" i="422"/>
  <c r="K166"/>
  <c r="J166"/>
  <c r="D166"/>
  <c r="C166"/>
  <c r="B166"/>
  <c r="J22" i="22"/>
  <c r="I22"/>
  <c r="H22"/>
  <c r="G22"/>
  <c r="F22"/>
  <c r="E22"/>
  <c r="D22"/>
  <c r="C22"/>
  <c r="B22"/>
  <c r="J35"/>
  <c r="I35"/>
  <c r="H35"/>
  <c r="G35"/>
  <c r="F35"/>
  <c r="E35"/>
  <c r="D35"/>
  <c r="C35"/>
  <c r="B35"/>
  <c r="J47"/>
  <c r="I47"/>
  <c r="H47"/>
  <c r="G47"/>
  <c r="F47"/>
  <c r="E47"/>
  <c r="D47"/>
  <c r="C47"/>
  <c r="B47"/>
  <c r="AB134" i="21"/>
  <c r="AC136" i="20"/>
  <c r="K47" i="22" l="1"/>
  <c r="K35"/>
  <c r="K22"/>
  <c r="K40" i="424"/>
  <c r="M40"/>
  <c r="N12" i="423"/>
  <c r="N14"/>
  <c r="N18"/>
  <c r="M27" i="425"/>
  <c r="K27"/>
  <c r="K29"/>
  <c r="N29" s="1"/>
  <c r="L27"/>
  <c r="M76" i="426"/>
  <c r="M63"/>
  <c r="N21" i="423"/>
  <c r="N22"/>
  <c r="N28"/>
  <c r="N29"/>
  <c r="N34"/>
  <c r="N35"/>
  <c r="N40"/>
  <c r="N41"/>
  <c r="N44"/>
  <c r="J52"/>
  <c r="N50"/>
  <c r="N57"/>
  <c r="N58"/>
  <c r="N61"/>
  <c r="N62"/>
  <c r="N63"/>
  <c r="L52" i="427"/>
  <c r="M14" i="428"/>
  <c r="M15"/>
  <c r="M16"/>
  <c r="M17"/>
  <c r="M18"/>
  <c r="M19"/>
  <c r="M20"/>
  <c r="M21"/>
  <c r="M22"/>
  <c r="E23"/>
  <c r="G23"/>
  <c r="I23"/>
  <c r="K23"/>
  <c r="D23"/>
  <c r="F23"/>
  <c r="H23"/>
  <c r="J23"/>
  <c r="L23"/>
  <c r="L25" i="425"/>
  <c r="L26"/>
  <c r="K28"/>
  <c r="M28"/>
  <c r="L30"/>
  <c r="L31"/>
  <c r="L32"/>
  <c r="L33"/>
  <c r="K25"/>
  <c r="N25" s="1"/>
  <c r="K26"/>
  <c r="N26" s="1"/>
  <c r="K30"/>
  <c r="N30" s="1"/>
  <c r="K31"/>
  <c r="N31" s="1"/>
  <c r="K32"/>
  <c r="N32" s="1"/>
  <c r="K33"/>
  <c r="N33" s="1"/>
  <c r="K32" i="424"/>
  <c r="M32"/>
  <c r="K33"/>
  <c r="N33" s="1"/>
  <c r="L34"/>
  <c r="L35"/>
  <c r="L36"/>
  <c r="L37"/>
  <c r="N37" s="1"/>
  <c r="K38"/>
  <c r="N38" s="1"/>
  <c r="K34"/>
  <c r="N34" s="1"/>
  <c r="K35"/>
  <c r="K36"/>
  <c r="N36" s="1"/>
  <c r="C53" i="423"/>
  <c r="C45"/>
  <c r="E53"/>
  <c r="E45"/>
  <c r="G53"/>
  <c r="G45"/>
  <c r="K53"/>
  <c r="K45"/>
  <c r="H36"/>
  <c r="N19"/>
  <c r="H30"/>
  <c r="D53"/>
  <c r="D45"/>
  <c r="F53"/>
  <c r="F45"/>
  <c r="I45"/>
  <c r="L53"/>
  <c r="L45"/>
  <c r="H42"/>
  <c r="N51"/>
  <c r="N59"/>
  <c r="H10"/>
  <c r="J10"/>
  <c r="J15" s="1"/>
  <c r="J23" s="1"/>
  <c r="K15"/>
  <c r="K23" s="1"/>
  <c r="M27"/>
  <c r="M30" s="1"/>
  <c r="B30"/>
  <c r="M33"/>
  <c r="M36" s="1"/>
  <c r="B36"/>
  <c r="M39"/>
  <c r="M42" s="1"/>
  <c r="B42"/>
  <c r="M48"/>
  <c r="M52" s="1"/>
  <c r="I52"/>
  <c r="I53" s="1"/>
  <c r="J27"/>
  <c r="J30" s="1"/>
  <c r="J33"/>
  <c r="J36" s="1"/>
  <c r="J39"/>
  <c r="J42" s="1"/>
  <c r="H48"/>
  <c r="N40" i="424" l="1"/>
  <c r="N32"/>
  <c r="N27" i="425"/>
  <c r="M23" i="428"/>
  <c r="N28" i="425"/>
  <c r="N35" i="424"/>
  <c r="J78" i="423"/>
  <c r="M53"/>
  <c r="N33"/>
  <c r="N36" s="1"/>
  <c r="J53"/>
  <c r="J45"/>
  <c r="B45"/>
  <c r="H45" s="1"/>
  <c r="H15"/>
  <c r="N10"/>
  <c r="N15" s="1"/>
  <c r="N48"/>
  <c r="N39"/>
  <c r="N42" s="1"/>
  <c r="N27"/>
  <c r="N30" s="1"/>
  <c r="M45"/>
  <c r="J42" i="428" l="1"/>
  <c r="E42"/>
  <c r="F42"/>
  <c r="D42"/>
  <c r="L42"/>
  <c r="K42"/>
  <c r="I42"/>
  <c r="H42"/>
  <c r="G42"/>
  <c r="H20" i="423"/>
  <c r="N20" s="1"/>
  <c r="N23" s="1"/>
  <c r="B23"/>
  <c r="H23"/>
  <c r="N45"/>
  <c r="F16" i="314"/>
  <c r="M42" i="428" l="1"/>
  <c r="G52" i="41" l="1"/>
  <c r="F18" i="76" l="1"/>
  <c r="L76" i="421"/>
  <c r="K76"/>
  <c r="I76"/>
  <c r="H76"/>
  <c r="G76"/>
  <c r="F76"/>
  <c r="E76"/>
  <c r="D76"/>
  <c r="M75"/>
  <c r="M74"/>
  <c r="M73"/>
  <c r="M72"/>
  <c r="M71"/>
  <c r="M70"/>
  <c r="M69"/>
  <c r="M68"/>
  <c r="L63"/>
  <c r="K63"/>
  <c r="I63"/>
  <c r="H63"/>
  <c r="G63"/>
  <c r="F63"/>
  <c r="E63"/>
  <c r="D63"/>
  <c r="M62"/>
  <c r="M61"/>
  <c r="M60"/>
  <c r="M59"/>
  <c r="M58"/>
  <c r="M57"/>
  <c r="M56"/>
  <c r="M63" s="1"/>
  <c r="L52"/>
  <c r="K52"/>
  <c r="J52"/>
  <c r="I52"/>
  <c r="H52"/>
  <c r="G52"/>
  <c r="F52"/>
  <c r="E52"/>
  <c r="D52"/>
  <c r="M51"/>
  <c r="M50"/>
  <c r="M49"/>
  <c r="M48"/>
  <c r="M47"/>
  <c r="M46"/>
  <c r="M45"/>
  <c r="M44"/>
  <c r="M43"/>
  <c r="M42"/>
  <c r="M41"/>
  <c r="M40"/>
  <c r="M39"/>
  <c r="M38"/>
  <c r="M37"/>
  <c r="M36"/>
  <c r="M35"/>
  <c r="M34"/>
  <c r="M33"/>
  <c r="M32"/>
  <c r="M31"/>
  <c r="M30"/>
  <c r="M29"/>
  <c r="M28"/>
  <c r="M27"/>
  <c r="M26"/>
  <c r="M25"/>
  <c r="M24"/>
  <c r="M23"/>
  <c r="M22"/>
  <c r="M52" s="1"/>
  <c r="I33" i="416"/>
  <c r="M33" s="1"/>
  <c r="H33"/>
  <c r="I32"/>
  <c r="M32" s="1"/>
  <c r="H32"/>
  <c r="I31"/>
  <c r="M31" s="1"/>
  <c r="H31"/>
  <c r="I30"/>
  <c r="M30" s="1"/>
  <c r="H30"/>
  <c r="K29"/>
  <c r="N29" s="1"/>
  <c r="I29"/>
  <c r="L29" s="1"/>
  <c r="H29"/>
  <c r="I28"/>
  <c r="L28" s="1"/>
  <c r="H28"/>
  <c r="I27"/>
  <c r="L27" s="1"/>
  <c r="H27"/>
  <c r="I26"/>
  <c r="M26" s="1"/>
  <c r="H26"/>
  <c r="I25"/>
  <c r="M25" s="1"/>
  <c r="H25"/>
  <c r="D60" i="415"/>
  <c r="D59"/>
  <c r="D58"/>
  <c r="D57"/>
  <c r="D56"/>
  <c r="D55"/>
  <c r="D54"/>
  <c r="D53"/>
  <c r="D52"/>
  <c r="I40"/>
  <c r="K40" s="1"/>
  <c r="N40" s="1"/>
  <c r="H40"/>
  <c r="N39"/>
  <c r="I39"/>
  <c r="H39"/>
  <c r="I38"/>
  <c r="L38" s="1"/>
  <c r="H38"/>
  <c r="I37"/>
  <c r="L37" s="1"/>
  <c r="H37"/>
  <c r="I36"/>
  <c r="L36" s="1"/>
  <c r="H36"/>
  <c r="I35"/>
  <c r="L35" s="1"/>
  <c r="H35"/>
  <c r="I34"/>
  <c r="L34" s="1"/>
  <c r="H34"/>
  <c r="I33"/>
  <c r="L33" s="1"/>
  <c r="H33"/>
  <c r="I32"/>
  <c r="L32" s="1"/>
  <c r="H32"/>
  <c r="F10" i="100"/>
  <c r="F156" i="414"/>
  <c r="J84"/>
  <c r="G84"/>
  <c r="J83"/>
  <c r="G83"/>
  <c r="J82"/>
  <c r="G82"/>
  <c r="J81"/>
  <c r="G81"/>
  <c r="J80"/>
  <c r="G80"/>
  <c r="J79"/>
  <c r="G79"/>
  <c r="J78"/>
  <c r="G78"/>
  <c r="J77"/>
  <c r="G77"/>
  <c r="J76"/>
  <c r="G76"/>
  <c r="M63"/>
  <c r="J63"/>
  <c r="H63"/>
  <c r="M62"/>
  <c r="J62"/>
  <c r="J61"/>
  <c r="H61"/>
  <c r="M59"/>
  <c r="J59"/>
  <c r="J58"/>
  <c r="H58"/>
  <c r="M57"/>
  <c r="J57"/>
  <c r="M51"/>
  <c r="J51"/>
  <c r="J50"/>
  <c r="H50"/>
  <c r="M49"/>
  <c r="J49"/>
  <c r="L52"/>
  <c r="K52"/>
  <c r="I52"/>
  <c r="G52"/>
  <c r="F52"/>
  <c r="E52"/>
  <c r="D52"/>
  <c r="C52"/>
  <c r="B52"/>
  <c r="M44"/>
  <c r="J44"/>
  <c r="J41"/>
  <c r="H41"/>
  <c r="M40"/>
  <c r="J40"/>
  <c r="H40"/>
  <c r="L42"/>
  <c r="M39"/>
  <c r="I42"/>
  <c r="G42"/>
  <c r="F42"/>
  <c r="E42"/>
  <c r="D42"/>
  <c r="C42"/>
  <c r="B42"/>
  <c r="J35"/>
  <c r="H35"/>
  <c r="M34"/>
  <c r="J34"/>
  <c r="L36"/>
  <c r="I36"/>
  <c r="G36"/>
  <c r="F36"/>
  <c r="E36"/>
  <c r="D36"/>
  <c r="C36"/>
  <c r="B36"/>
  <c r="M29"/>
  <c r="J29"/>
  <c r="M28"/>
  <c r="J28"/>
  <c r="H28"/>
  <c r="L30"/>
  <c r="M27"/>
  <c r="M30" s="1"/>
  <c r="I30"/>
  <c r="G30"/>
  <c r="F30"/>
  <c r="E30"/>
  <c r="D30"/>
  <c r="C30"/>
  <c r="B30"/>
  <c r="J22"/>
  <c r="H22"/>
  <c r="M21"/>
  <c r="J21"/>
  <c r="J20"/>
  <c r="H20"/>
  <c r="M19"/>
  <c r="J19"/>
  <c r="J18"/>
  <c r="H18"/>
  <c r="M17"/>
  <c r="J17"/>
  <c r="J14"/>
  <c r="H14"/>
  <c r="M13"/>
  <c r="J13"/>
  <c r="J12"/>
  <c r="H12"/>
  <c r="M11"/>
  <c r="J11"/>
  <c r="L15"/>
  <c r="L23" s="1"/>
  <c r="I15"/>
  <c r="I23" s="1"/>
  <c r="G15"/>
  <c r="G23" s="1"/>
  <c r="F15"/>
  <c r="F23" s="1"/>
  <c r="E15"/>
  <c r="E23" s="1"/>
  <c r="D15"/>
  <c r="D23" s="1"/>
  <c r="C15"/>
  <c r="C23" s="1"/>
  <c r="H10"/>
  <c r="M166" i="413"/>
  <c r="K166"/>
  <c r="J166"/>
  <c r="D166"/>
  <c r="C166"/>
  <c r="B166"/>
  <c r="AB132" i="21"/>
  <c r="AC134" i="20"/>
  <c r="M22" i="412" l="1"/>
  <c r="N28" i="414"/>
  <c r="K34" i="415"/>
  <c r="K35"/>
  <c r="K36"/>
  <c r="K37"/>
  <c r="N37" s="1"/>
  <c r="M76" i="421"/>
  <c r="M34" i="415"/>
  <c r="M35"/>
  <c r="M36"/>
  <c r="N40" i="414"/>
  <c r="N63"/>
  <c r="K15"/>
  <c r="K23" s="1"/>
  <c r="H11"/>
  <c r="N11" s="1"/>
  <c r="M12"/>
  <c r="N12" s="1"/>
  <c r="H13"/>
  <c r="N13" s="1"/>
  <c r="M14"/>
  <c r="N14" s="1"/>
  <c r="H17"/>
  <c r="N17" s="1"/>
  <c r="M18"/>
  <c r="N18" s="1"/>
  <c r="H19"/>
  <c r="N19" s="1"/>
  <c r="M20"/>
  <c r="N20" s="1"/>
  <c r="H21"/>
  <c r="M22"/>
  <c r="N22" s="1"/>
  <c r="H29"/>
  <c r="N29" s="1"/>
  <c r="M33"/>
  <c r="H34"/>
  <c r="N34" s="1"/>
  <c r="M35"/>
  <c r="N35" s="1"/>
  <c r="M41"/>
  <c r="M42" s="1"/>
  <c r="H44"/>
  <c r="N44" s="1"/>
  <c r="H49"/>
  <c r="N49" s="1"/>
  <c r="M50"/>
  <c r="N50" s="1"/>
  <c r="H51"/>
  <c r="N51" s="1"/>
  <c r="H57"/>
  <c r="N57" s="1"/>
  <c r="M58"/>
  <c r="H59"/>
  <c r="N59" s="1"/>
  <c r="M61"/>
  <c r="H62"/>
  <c r="N62" s="1"/>
  <c r="J23" i="412"/>
  <c r="M20"/>
  <c r="M19"/>
  <c r="M14"/>
  <c r="M16"/>
  <c r="M21"/>
  <c r="M18"/>
  <c r="M15"/>
  <c r="M17"/>
  <c r="M14" i="418"/>
  <c r="M15"/>
  <c r="M16"/>
  <c r="M17"/>
  <c r="M18"/>
  <c r="M19"/>
  <c r="M20"/>
  <c r="M21"/>
  <c r="M22"/>
  <c r="E23"/>
  <c r="G23"/>
  <c r="I23"/>
  <c r="K23"/>
  <c r="D23"/>
  <c r="F23"/>
  <c r="H23"/>
  <c r="J23"/>
  <c r="L23"/>
  <c r="L25" i="416"/>
  <c r="L26"/>
  <c r="M27"/>
  <c r="N27" s="1"/>
  <c r="K28"/>
  <c r="M28"/>
  <c r="L30"/>
  <c r="L31"/>
  <c r="L32"/>
  <c r="L33"/>
  <c r="K25"/>
  <c r="K26"/>
  <c r="N26" s="1"/>
  <c r="K30"/>
  <c r="N30" s="1"/>
  <c r="K31"/>
  <c r="N31" s="1"/>
  <c r="K32"/>
  <c r="N32" s="1"/>
  <c r="K33"/>
  <c r="N33" s="1"/>
  <c r="K32" i="415"/>
  <c r="M32"/>
  <c r="K33"/>
  <c r="N33" s="1"/>
  <c r="K38"/>
  <c r="N38" s="1"/>
  <c r="B53" i="414"/>
  <c r="B45"/>
  <c r="D53"/>
  <c r="D45"/>
  <c r="F53"/>
  <c r="F45"/>
  <c r="I53"/>
  <c r="I45"/>
  <c r="L53"/>
  <c r="L45"/>
  <c r="N21"/>
  <c r="H15"/>
  <c r="H23" s="1"/>
  <c r="C53"/>
  <c r="C45"/>
  <c r="E53"/>
  <c r="E45"/>
  <c r="G53"/>
  <c r="G45"/>
  <c r="N41"/>
  <c r="H52"/>
  <c r="N58"/>
  <c r="N61"/>
  <c r="M10"/>
  <c r="M15" s="1"/>
  <c r="M23" s="1"/>
  <c r="B15"/>
  <c r="B23" s="1"/>
  <c r="H27"/>
  <c r="J27"/>
  <c r="J30" s="1"/>
  <c r="K30"/>
  <c r="H33"/>
  <c r="J33"/>
  <c r="J36" s="1"/>
  <c r="K36"/>
  <c r="H39"/>
  <c r="J39"/>
  <c r="J42" s="1"/>
  <c r="K42"/>
  <c r="H48"/>
  <c r="J48"/>
  <c r="J52" s="1"/>
  <c r="J10"/>
  <c r="J15" s="1"/>
  <c r="J23" s="1"/>
  <c r="M48"/>
  <c r="M52" s="1"/>
  <c r="D23" i="412"/>
  <c r="F23"/>
  <c r="H23"/>
  <c r="K23"/>
  <c r="E23"/>
  <c r="G23"/>
  <c r="I23"/>
  <c r="L23"/>
  <c r="N36" i="415" l="1"/>
  <c r="N25" i="416"/>
  <c r="N48" i="414"/>
  <c r="N52" s="1"/>
  <c r="N32" i="415"/>
  <c r="N28" i="416"/>
  <c r="N35" i="415"/>
  <c r="N34"/>
  <c r="M36" i="414"/>
  <c r="M53" s="1"/>
  <c r="M23" i="412"/>
  <c r="M34" s="1"/>
  <c r="M23" i="418"/>
  <c r="H42" i="414"/>
  <c r="N39"/>
  <c r="N42" s="1"/>
  <c r="K53"/>
  <c r="K45"/>
  <c r="M45" s="1"/>
  <c r="H30"/>
  <c r="N27"/>
  <c r="N30" s="1"/>
  <c r="H36"/>
  <c r="N33"/>
  <c r="N36" s="1"/>
  <c r="J53"/>
  <c r="J45"/>
  <c r="N10"/>
  <c r="N15" s="1"/>
  <c r="N23" s="1"/>
  <c r="H45"/>
  <c r="J42" i="412"/>
  <c r="M41" l="1"/>
  <c r="N45" i="414"/>
  <c r="M38" i="412"/>
  <c r="M36"/>
  <c r="M39"/>
  <c r="M37"/>
  <c r="M33"/>
  <c r="M40"/>
  <c r="M35"/>
  <c r="J42" i="418"/>
  <c r="I42"/>
  <c r="F42"/>
  <c r="E42"/>
  <c r="D42"/>
  <c r="L42"/>
  <c r="K42"/>
  <c r="H42"/>
  <c r="G42"/>
  <c r="M42"/>
  <c r="H53" i="414"/>
  <c r="N53"/>
  <c r="D42" i="412"/>
  <c r="L42"/>
  <c r="F42"/>
  <c r="I42"/>
  <c r="H42"/>
  <c r="G42"/>
  <c r="K42"/>
  <c r="E42"/>
  <c r="Y130" i="21"/>
  <c r="P130"/>
  <c r="F130"/>
  <c r="R130"/>
  <c r="M42" i="412" l="1"/>
  <c r="V130" i="21"/>
  <c r="AA130"/>
  <c r="T130"/>
  <c r="H130"/>
  <c r="D130"/>
  <c r="D18" i="76"/>
  <c r="L76" i="408" l="1"/>
  <c r="K76"/>
  <c r="I76"/>
  <c r="H76"/>
  <c r="G76"/>
  <c r="F76"/>
  <c r="E76"/>
  <c r="D76"/>
  <c r="M75"/>
  <c r="M74"/>
  <c r="M73"/>
  <c r="M72"/>
  <c r="M71"/>
  <c r="M70"/>
  <c r="M69"/>
  <c r="M68"/>
  <c r="L63"/>
  <c r="K63"/>
  <c r="I63"/>
  <c r="H63"/>
  <c r="G63"/>
  <c r="F63"/>
  <c r="E63"/>
  <c r="D63"/>
  <c r="M62"/>
  <c r="M61"/>
  <c r="M60"/>
  <c r="M59"/>
  <c r="M58"/>
  <c r="M57"/>
  <c r="M56"/>
  <c r="L52"/>
  <c r="K52"/>
  <c r="J52"/>
  <c r="I52"/>
  <c r="H52"/>
  <c r="G52"/>
  <c r="F52"/>
  <c r="E52"/>
  <c r="D52"/>
  <c r="M51"/>
  <c r="M50"/>
  <c r="M49"/>
  <c r="M48"/>
  <c r="M47"/>
  <c r="M46"/>
  <c r="M45"/>
  <c r="M44"/>
  <c r="M43"/>
  <c r="M42"/>
  <c r="M41"/>
  <c r="M40"/>
  <c r="M39"/>
  <c r="M38"/>
  <c r="M37"/>
  <c r="M36"/>
  <c r="M35"/>
  <c r="M34"/>
  <c r="M33"/>
  <c r="M32"/>
  <c r="M31"/>
  <c r="M30"/>
  <c r="M29"/>
  <c r="M28"/>
  <c r="M27"/>
  <c r="M26"/>
  <c r="M25"/>
  <c r="M24"/>
  <c r="M23"/>
  <c r="M22"/>
  <c r="I33" i="407"/>
  <c r="M33" s="1"/>
  <c r="H33"/>
  <c r="I32"/>
  <c r="M32" s="1"/>
  <c r="H32"/>
  <c r="I31"/>
  <c r="M31" s="1"/>
  <c r="H31"/>
  <c r="I30"/>
  <c r="M30" s="1"/>
  <c r="H30"/>
  <c r="I29"/>
  <c r="H29"/>
  <c r="I28"/>
  <c r="M28" s="1"/>
  <c r="H28"/>
  <c r="I27"/>
  <c r="K27" s="1"/>
  <c r="H27"/>
  <c r="I26"/>
  <c r="L26" s="1"/>
  <c r="H26"/>
  <c r="I25"/>
  <c r="L25" s="1"/>
  <c r="H25"/>
  <c r="D60" i="406"/>
  <c r="D59"/>
  <c r="D58"/>
  <c r="D57"/>
  <c r="D56"/>
  <c r="D55"/>
  <c r="D54"/>
  <c r="D53"/>
  <c r="D52"/>
  <c r="I40"/>
  <c r="N40" s="1"/>
  <c r="H40"/>
  <c r="N39"/>
  <c r="I39"/>
  <c r="H39"/>
  <c r="I38"/>
  <c r="L38" s="1"/>
  <c r="H38"/>
  <c r="I37"/>
  <c r="K37" s="1"/>
  <c r="H37"/>
  <c r="I36"/>
  <c r="M36" s="1"/>
  <c r="H36"/>
  <c r="I35"/>
  <c r="M35" s="1"/>
  <c r="H35"/>
  <c r="I34"/>
  <c r="M34" s="1"/>
  <c r="H34"/>
  <c r="I33"/>
  <c r="L33" s="1"/>
  <c r="H33"/>
  <c r="I32"/>
  <c r="L32" s="1"/>
  <c r="H32"/>
  <c r="M27" i="407" l="1"/>
  <c r="L27"/>
  <c r="K33" i="406"/>
  <c r="N33" s="1"/>
  <c r="K33" i="407"/>
  <c r="K32"/>
  <c r="M52" i="408"/>
  <c r="M76"/>
  <c r="M63"/>
  <c r="K25" i="407"/>
  <c r="M25"/>
  <c r="K26"/>
  <c r="M26"/>
  <c r="L28"/>
  <c r="L29"/>
  <c r="L30"/>
  <c r="L31"/>
  <c r="L32"/>
  <c r="N32" s="1"/>
  <c r="L33"/>
  <c r="N33" s="1"/>
  <c r="K28"/>
  <c r="N28" s="1"/>
  <c r="K29"/>
  <c r="N29" s="1"/>
  <c r="K30"/>
  <c r="N30" s="1"/>
  <c r="K31"/>
  <c r="N31" s="1"/>
  <c r="K32" i="406"/>
  <c r="M32"/>
  <c r="L34"/>
  <c r="L35"/>
  <c r="L36"/>
  <c r="L37"/>
  <c r="N37" s="1"/>
  <c r="K38"/>
  <c r="N38" s="1"/>
  <c r="K34"/>
  <c r="K35"/>
  <c r="K36"/>
  <c r="N36" l="1"/>
  <c r="N32"/>
  <c r="N27" i="407"/>
  <c r="L52" i="409"/>
  <c r="L76"/>
  <c r="L63"/>
  <c r="K52"/>
  <c r="K63"/>
  <c r="K76"/>
  <c r="J52"/>
  <c r="I52"/>
  <c r="I63"/>
  <c r="I76"/>
  <c r="E52"/>
  <c r="E63"/>
  <c r="E76"/>
  <c r="F52"/>
  <c r="F63"/>
  <c r="F76"/>
  <c r="D52"/>
  <c r="D76"/>
  <c r="D63"/>
  <c r="H52"/>
  <c r="H63"/>
  <c r="H76"/>
  <c r="G52"/>
  <c r="G63"/>
  <c r="G76"/>
  <c r="N35" i="406"/>
  <c r="N26" i="407"/>
  <c r="N25"/>
  <c r="N34" i="406"/>
  <c r="M52" i="409" l="1"/>
  <c r="M76"/>
  <c r="M63"/>
  <c r="D50" i="83"/>
  <c r="F156" i="405"/>
  <c r="J84"/>
  <c r="G84"/>
  <c r="J83"/>
  <c r="G83"/>
  <c r="J82"/>
  <c r="G82"/>
  <c r="J81"/>
  <c r="G81"/>
  <c r="J80"/>
  <c r="G80"/>
  <c r="J79"/>
  <c r="G79"/>
  <c r="J78"/>
  <c r="G78"/>
  <c r="J77"/>
  <c r="G77"/>
  <c r="J76"/>
  <c r="G76"/>
  <c r="M63"/>
  <c r="J63"/>
  <c r="H63"/>
  <c r="M62"/>
  <c r="J62"/>
  <c r="J61"/>
  <c r="J59"/>
  <c r="H59"/>
  <c r="M58"/>
  <c r="J58"/>
  <c r="J57"/>
  <c r="J51"/>
  <c r="H51"/>
  <c r="M50"/>
  <c r="J50"/>
  <c r="J49"/>
  <c r="K52"/>
  <c r="J48"/>
  <c r="G52"/>
  <c r="F52"/>
  <c r="E52"/>
  <c r="D52"/>
  <c r="C52"/>
  <c r="B52"/>
  <c r="J44"/>
  <c r="M41"/>
  <c r="J41"/>
  <c r="M40"/>
  <c r="J40"/>
  <c r="L42"/>
  <c r="K42"/>
  <c r="I42"/>
  <c r="G42"/>
  <c r="F42"/>
  <c r="E42"/>
  <c r="D42"/>
  <c r="C42"/>
  <c r="H39"/>
  <c r="M35"/>
  <c r="J35"/>
  <c r="J34"/>
  <c r="H34"/>
  <c r="L36"/>
  <c r="K36"/>
  <c r="I36"/>
  <c r="G36"/>
  <c r="F36"/>
  <c r="E36"/>
  <c r="D36"/>
  <c r="C36"/>
  <c r="J29"/>
  <c r="M28"/>
  <c r="J28"/>
  <c r="L30"/>
  <c r="K30"/>
  <c r="I30"/>
  <c r="G30"/>
  <c r="F30"/>
  <c r="E30"/>
  <c r="D30"/>
  <c r="C30"/>
  <c r="J22"/>
  <c r="H22"/>
  <c r="M21"/>
  <c r="J21"/>
  <c r="J20"/>
  <c r="H20"/>
  <c r="M19"/>
  <c r="J19"/>
  <c r="J18"/>
  <c r="J17"/>
  <c r="H17"/>
  <c r="M14"/>
  <c r="J14"/>
  <c r="J13"/>
  <c r="H13"/>
  <c r="M12"/>
  <c r="J12"/>
  <c r="J11"/>
  <c r="H11"/>
  <c r="L15"/>
  <c r="L23" s="1"/>
  <c r="M10"/>
  <c r="I15"/>
  <c r="I23" s="1"/>
  <c r="G15"/>
  <c r="G23" s="1"/>
  <c r="F15"/>
  <c r="F23" s="1"/>
  <c r="E15"/>
  <c r="E23" s="1"/>
  <c r="D15"/>
  <c r="D23" s="1"/>
  <c r="C15"/>
  <c r="C23" s="1"/>
  <c r="B15"/>
  <c r="B23" s="1"/>
  <c r="M166" i="404"/>
  <c r="K166"/>
  <c r="J166"/>
  <c r="D166"/>
  <c r="C166"/>
  <c r="B166"/>
  <c r="A7" i="343"/>
  <c r="O35" i="28"/>
  <c r="N35"/>
  <c r="AB130" i="21"/>
  <c r="AC132" i="20"/>
  <c r="D60" i="403"/>
  <c r="H52" i="405" l="1"/>
  <c r="J52"/>
  <c r="M11"/>
  <c r="M13"/>
  <c r="M17"/>
  <c r="H41"/>
  <c r="N41" s="1"/>
  <c r="M44"/>
  <c r="M57"/>
  <c r="H58"/>
  <c r="M15"/>
  <c r="H28"/>
  <c r="N28" s="1"/>
  <c r="M29"/>
  <c r="H33"/>
  <c r="M34"/>
  <c r="N34" s="1"/>
  <c r="H12"/>
  <c r="N12" s="1"/>
  <c r="H14"/>
  <c r="N14" s="1"/>
  <c r="H18"/>
  <c r="M18"/>
  <c r="H19"/>
  <c r="N19" s="1"/>
  <c r="M20"/>
  <c r="H21"/>
  <c r="N21" s="1"/>
  <c r="M22"/>
  <c r="H27"/>
  <c r="H29"/>
  <c r="N29" s="1"/>
  <c r="J33"/>
  <c r="J36" s="1"/>
  <c r="H35"/>
  <c r="N35" s="1"/>
  <c r="H40"/>
  <c r="N40" s="1"/>
  <c r="H44"/>
  <c r="H49"/>
  <c r="H50"/>
  <c r="N50" s="1"/>
  <c r="M51"/>
  <c r="H57"/>
  <c r="N57" s="1"/>
  <c r="M59"/>
  <c r="H61"/>
  <c r="M61"/>
  <c r="H62"/>
  <c r="N62" s="1"/>
  <c r="N51"/>
  <c r="N58"/>
  <c r="N59"/>
  <c r="N63"/>
  <c r="C53"/>
  <c r="C45"/>
  <c r="E53"/>
  <c r="E45"/>
  <c r="G53"/>
  <c r="G45"/>
  <c r="K53"/>
  <c r="K45"/>
  <c r="H36"/>
  <c r="H42"/>
  <c r="N11"/>
  <c r="N13"/>
  <c r="N17"/>
  <c r="N20"/>
  <c r="N22"/>
  <c r="H30"/>
  <c r="D53"/>
  <c r="D45"/>
  <c r="F53"/>
  <c r="F45"/>
  <c r="I45"/>
  <c r="L45"/>
  <c r="H10"/>
  <c r="J10"/>
  <c r="J15" s="1"/>
  <c r="J23" s="1"/>
  <c r="K15"/>
  <c r="K23" s="1"/>
  <c r="M27"/>
  <c r="M30" s="1"/>
  <c r="B30"/>
  <c r="M33"/>
  <c r="M36" s="1"/>
  <c r="B36"/>
  <c r="M39"/>
  <c r="M42" s="1"/>
  <c r="B42"/>
  <c r="M48"/>
  <c r="I52"/>
  <c r="I53" s="1"/>
  <c r="J27"/>
  <c r="J30" s="1"/>
  <c r="J39"/>
  <c r="J42" s="1"/>
  <c r="H48"/>
  <c r="D38" i="195"/>
  <c r="D36"/>
  <c r="C38"/>
  <c r="C36"/>
  <c r="B38"/>
  <c r="B36"/>
  <c r="M23" i="405" l="1"/>
  <c r="N48"/>
  <c r="N44"/>
  <c r="N61"/>
  <c r="N18"/>
  <c r="J53"/>
  <c r="J45"/>
  <c r="H53"/>
  <c r="N39"/>
  <c r="N42" s="1"/>
  <c r="N33"/>
  <c r="N36" s="1"/>
  <c r="B53"/>
  <c r="B45"/>
  <c r="H45" s="1"/>
  <c r="H15"/>
  <c r="H23" s="1"/>
  <c r="N10"/>
  <c r="N15" s="1"/>
  <c r="N27"/>
  <c r="N30" s="1"/>
  <c r="M45"/>
  <c r="N23" l="1"/>
  <c r="N45"/>
  <c r="C65" i="102"/>
  <c r="B18" i="100"/>
  <c r="Y128" i="21"/>
  <c r="P128" l="1"/>
  <c r="C79" i="132"/>
  <c r="B18" i="130"/>
  <c r="T128" i="21"/>
  <c r="B18" i="94"/>
  <c r="B18" i="30" l="1"/>
  <c r="H18" i="142"/>
  <c r="F18"/>
  <c r="D18"/>
  <c r="P18"/>
  <c r="N18"/>
  <c r="L18"/>
  <c r="J18"/>
  <c r="B18"/>
  <c r="R128" i="21"/>
  <c r="D18" i="89"/>
  <c r="H128" i="21"/>
  <c r="B17" i="31" l="1"/>
  <c r="I18" i="30"/>
  <c r="V128" i="21"/>
  <c r="AA128"/>
  <c r="F128"/>
  <c r="D128"/>
  <c r="D18" i="137"/>
  <c r="D18" i="113"/>
  <c r="D18" i="83" l="1"/>
  <c r="D18" i="77"/>
  <c r="B18" i="76"/>
  <c r="H18" i="30"/>
  <c r="H17" i="31" s="1"/>
  <c r="F18" i="30"/>
  <c r="D18"/>
  <c r="J18" i="32"/>
  <c r="L18" i="44"/>
  <c r="K18"/>
  <c r="I18"/>
  <c r="J18" s="1"/>
  <c r="G18"/>
  <c r="F18"/>
  <c r="E18"/>
  <c r="D18"/>
  <c r="C18"/>
  <c r="B18"/>
  <c r="L18" i="43"/>
  <c r="K18"/>
  <c r="I18"/>
  <c r="J18" s="1"/>
  <c r="G18"/>
  <c r="F18"/>
  <c r="E18"/>
  <c r="D18"/>
  <c r="C18"/>
  <c r="B18"/>
  <c r="M18" i="41"/>
  <c r="J18"/>
  <c r="H18"/>
  <c r="D18" i="143"/>
  <c r="J18"/>
  <c r="J18" i="137"/>
  <c r="J18" i="131"/>
  <c r="J18" i="113"/>
  <c r="J18" i="101"/>
  <c r="J18" i="95"/>
  <c r="J18" i="89"/>
  <c r="J18" i="83"/>
  <c r="J18" i="77"/>
  <c r="D59" i="403"/>
  <c r="D58"/>
  <c r="D57"/>
  <c r="D56"/>
  <c r="D55"/>
  <c r="D54"/>
  <c r="D53"/>
  <c r="D52"/>
  <c r="I40"/>
  <c r="K40" s="1"/>
  <c r="N40" s="1"/>
  <c r="H40"/>
  <c r="I39"/>
  <c r="H39"/>
  <c r="I38"/>
  <c r="L38" s="1"/>
  <c r="H38"/>
  <c r="I37"/>
  <c r="K37" s="1"/>
  <c r="H37"/>
  <c r="I36"/>
  <c r="M36" s="1"/>
  <c r="H36"/>
  <c r="I35"/>
  <c r="L35" s="1"/>
  <c r="H35"/>
  <c r="I34"/>
  <c r="H34"/>
  <c r="I33"/>
  <c r="H33"/>
  <c r="I32"/>
  <c r="L32" s="1"/>
  <c r="H32"/>
  <c r="I33" i="402"/>
  <c r="M33" s="1"/>
  <c r="H33"/>
  <c r="I32"/>
  <c r="M32" s="1"/>
  <c r="H32"/>
  <c r="I31"/>
  <c r="M31" s="1"/>
  <c r="H31"/>
  <c r="I30"/>
  <c r="M30" s="1"/>
  <c r="H30"/>
  <c r="I29"/>
  <c r="M29" s="1"/>
  <c r="H29"/>
  <c r="I28"/>
  <c r="M28" s="1"/>
  <c r="H28"/>
  <c r="N27"/>
  <c r="I27"/>
  <c r="H27"/>
  <c r="I26"/>
  <c r="L26" s="1"/>
  <c r="H26"/>
  <c r="I25"/>
  <c r="L25" s="1"/>
  <c r="H25"/>
  <c r="L76" i="401"/>
  <c r="K76"/>
  <c r="I76"/>
  <c r="H76"/>
  <c r="G76"/>
  <c r="F76"/>
  <c r="E76"/>
  <c r="D76"/>
  <c r="M75"/>
  <c r="M74"/>
  <c r="M73"/>
  <c r="M72"/>
  <c r="M71"/>
  <c r="M70"/>
  <c r="M69"/>
  <c r="M68"/>
  <c r="L63"/>
  <c r="K63"/>
  <c r="I63"/>
  <c r="H63"/>
  <c r="G63"/>
  <c r="F63"/>
  <c r="E63"/>
  <c r="D63"/>
  <c r="M62"/>
  <c r="M61"/>
  <c r="M60"/>
  <c r="M59"/>
  <c r="M58"/>
  <c r="M57"/>
  <c r="M56"/>
  <c r="L52"/>
  <c r="K52"/>
  <c r="J52"/>
  <c r="I52"/>
  <c r="H52"/>
  <c r="G52"/>
  <c r="F52"/>
  <c r="E52"/>
  <c r="D52"/>
  <c r="M51"/>
  <c r="M50"/>
  <c r="M49"/>
  <c r="M48"/>
  <c r="M47"/>
  <c r="M46"/>
  <c r="M45"/>
  <c r="M44"/>
  <c r="M43"/>
  <c r="M42"/>
  <c r="M41"/>
  <c r="M40"/>
  <c r="M39"/>
  <c r="M38"/>
  <c r="M37"/>
  <c r="M36"/>
  <c r="M35"/>
  <c r="M34"/>
  <c r="M33"/>
  <c r="M32"/>
  <c r="M31"/>
  <c r="M30"/>
  <c r="M29"/>
  <c r="M28"/>
  <c r="M27"/>
  <c r="M26"/>
  <c r="M25"/>
  <c r="M24"/>
  <c r="M23"/>
  <c r="M22"/>
  <c r="AB128" i="21"/>
  <c r="AC130" i="20"/>
  <c r="D13" i="145"/>
  <c r="K39" i="141"/>
  <c r="G51" i="43"/>
  <c r="D36" i="139"/>
  <c r="D21"/>
  <c r="D16"/>
  <c r="I50" i="43"/>
  <c r="J50" s="1"/>
  <c r="I48"/>
  <c r="J48" s="1"/>
  <c r="K40" i="129"/>
  <c r="L36"/>
  <c r="D51" i="131"/>
  <c r="C52"/>
  <c r="D51" i="113"/>
  <c r="E51" s="1"/>
  <c r="L48" i="43"/>
  <c r="M33" i="99"/>
  <c r="D48" i="101"/>
  <c r="E48" s="1"/>
  <c r="K17" i="93"/>
  <c r="I12" i="97"/>
  <c r="D51" i="95"/>
  <c r="C52"/>
  <c r="D50" i="43"/>
  <c r="D48" i="89"/>
  <c r="E48" s="1"/>
  <c r="D62" i="299"/>
  <c r="M27" i="87"/>
  <c r="M28"/>
  <c r="M29"/>
  <c r="D34" i="85"/>
  <c r="C67" i="52"/>
  <c r="D48" i="83"/>
  <c r="E48" s="1"/>
  <c r="H56"/>
  <c r="D51" i="77"/>
  <c r="M35" i="75"/>
  <c r="L62" i="397"/>
  <c r="L61"/>
  <c r="L60"/>
  <c r="L58"/>
  <c r="L57"/>
  <c r="L56"/>
  <c r="L50"/>
  <c r="L49"/>
  <c r="L48"/>
  <c r="L47"/>
  <c r="L43"/>
  <c r="L40"/>
  <c r="L39"/>
  <c r="L38"/>
  <c r="L34"/>
  <c r="L33"/>
  <c r="L32"/>
  <c r="L28"/>
  <c r="L27"/>
  <c r="L26"/>
  <c r="L21"/>
  <c r="L20"/>
  <c r="L19"/>
  <c r="L19" i="36" s="1"/>
  <c r="L18" i="397"/>
  <c r="L17"/>
  <c r="L18" i="36" s="1"/>
  <c r="L14" i="397"/>
  <c r="L13"/>
  <c r="L12"/>
  <c r="L11"/>
  <c r="K62"/>
  <c r="M62" s="1"/>
  <c r="K61"/>
  <c r="K60"/>
  <c r="K58"/>
  <c r="K57"/>
  <c r="K56"/>
  <c r="K50"/>
  <c r="K49"/>
  <c r="K48"/>
  <c r="M48" s="1"/>
  <c r="K47"/>
  <c r="K43"/>
  <c r="K40"/>
  <c r="K39"/>
  <c r="M39" s="1"/>
  <c r="K38"/>
  <c r="K34"/>
  <c r="M34" s="1"/>
  <c r="K33"/>
  <c r="K32"/>
  <c r="K28"/>
  <c r="K27"/>
  <c r="K26"/>
  <c r="K21"/>
  <c r="M21" s="1"/>
  <c r="K20"/>
  <c r="K19"/>
  <c r="K19" i="36" s="1"/>
  <c r="K18" i="397"/>
  <c r="K17"/>
  <c r="K18" i="36" s="1"/>
  <c r="K14" i="397"/>
  <c r="K13"/>
  <c r="M13" s="1"/>
  <c r="K12"/>
  <c r="K11"/>
  <c r="M11" s="1"/>
  <c r="I62"/>
  <c r="I61"/>
  <c r="I60"/>
  <c r="I58"/>
  <c r="I57"/>
  <c r="I56"/>
  <c r="J56" s="1"/>
  <c r="I50"/>
  <c r="I49"/>
  <c r="J49" s="1"/>
  <c r="I48"/>
  <c r="I47"/>
  <c r="J47" s="1"/>
  <c r="I43"/>
  <c r="I40"/>
  <c r="J40" s="1"/>
  <c r="I39"/>
  <c r="I38"/>
  <c r="I34"/>
  <c r="I33"/>
  <c r="I32"/>
  <c r="I28"/>
  <c r="J28" s="1"/>
  <c r="I27"/>
  <c r="I26"/>
  <c r="I21"/>
  <c r="I20"/>
  <c r="J20" s="1"/>
  <c r="I19"/>
  <c r="J19" s="1"/>
  <c r="I18"/>
  <c r="I17"/>
  <c r="I18" i="36" s="1"/>
  <c r="J18" s="1"/>
  <c r="I14" i="397"/>
  <c r="J14" s="1"/>
  <c r="I13"/>
  <c r="I12"/>
  <c r="I11"/>
  <c r="G62"/>
  <c r="G61"/>
  <c r="G60"/>
  <c r="G58"/>
  <c r="G57"/>
  <c r="G56"/>
  <c r="G50"/>
  <c r="G49"/>
  <c r="G48"/>
  <c r="G51" s="1"/>
  <c r="G47"/>
  <c r="G43"/>
  <c r="G40"/>
  <c r="G39"/>
  <c r="G41" s="1"/>
  <c r="G38"/>
  <c r="G34"/>
  <c r="G33"/>
  <c r="G32"/>
  <c r="G28"/>
  <c r="G27"/>
  <c r="G29" s="1"/>
  <c r="G20" i="36" s="1"/>
  <c r="G26" i="397"/>
  <c r="G21"/>
  <c r="G20"/>
  <c r="G19"/>
  <c r="G19" i="36" s="1"/>
  <c r="G18" i="397"/>
  <c r="G17"/>
  <c r="G18" i="36" s="1"/>
  <c r="G14" i="397"/>
  <c r="G13"/>
  <c r="G12"/>
  <c r="G11"/>
  <c r="F62"/>
  <c r="F61"/>
  <c r="F60"/>
  <c r="F58"/>
  <c r="F57"/>
  <c r="F56"/>
  <c r="F50"/>
  <c r="F49"/>
  <c r="F48"/>
  <c r="F47"/>
  <c r="F51" s="1"/>
  <c r="F43"/>
  <c r="F40"/>
  <c r="F39"/>
  <c r="F38"/>
  <c r="F41" s="1"/>
  <c r="F34"/>
  <c r="F33"/>
  <c r="F35" s="1"/>
  <c r="F32"/>
  <c r="F28"/>
  <c r="F27"/>
  <c r="F26"/>
  <c r="F21"/>
  <c r="F20"/>
  <c r="F19"/>
  <c r="F19" i="36" s="1"/>
  <c r="F18" i="397"/>
  <c r="F17"/>
  <c r="F18" i="36" s="1"/>
  <c r="F14" i="397"/>
  <c r="F13"/>
  <c r="F12"/>
  <c r="F11"/>
  <c r="E62"/>
  <c r="E61"/>
  <c r="E60"/>
  <c r="E58"/>
  <c r="E57"/>
  <c r="E56"/>
  <c r="E50"/>
  <c r="E49"/>
  <c r="E48"/>
  <c r="E51" s="1"/>
  <c r="E47"/>
  <c r="E43"/>
  <c r="E40"/>
  <c r="E39"/>
  <c r="E41" s="1"/>
  <c r="E38"/>
  <c r="E34"/>
  <c r="E33"/>
  <c r="E32"/>
  <c r="E35" s="1"/>
  <c r="E28"/>
  <c r="E27"/>
  <c r="E29" s="1"/>
  <c r="E20" i="36" s="1"/>
  <c r="E26" i="397"/>
  <c r="E21"/>
  <c r="E20"/>
  <c r="E19"/>
  <c r="E19" i="36" s="1"/>
  <c r="E18" i="397"/>
  <c r="E17"/>
  <c r="E18" i="36" s="1"/>
  <c r="E14" i="397"/>
  <c r="E13"/>
  <c r="E12"/>
  <c r="E11"/>
  <c r="D61"/>
  <c r="D60"/>
  <c r="D58"/>
  <c r="D57"/>
  <c r="D56"/>
  <c r="D50"/>
  <c r="D49"/>
  <c r="D48"/>
  <c r="D51" s="1"/>
  <c r="D47"/>
  <c r="D43"/>
  <c r="D40"/>
  <c r="D39"/>
  <c r="D41" s="1"/>
  <c r="D38"/>
  <c r="D34"/>
  <c r="D33"/>
  <c r="D32"/>
  <c r="D35" s="1"/>
  <c r="D28"/>
  <c r="D27"/>
  <c r="D26"/>
  <c r="D21"/>
  <c r="D20"/>
  <c r="D19"/>
  <c r="D19" i="36" s="1"/>
  <c r="D18" i="397"/>
  <c r="D17"/>
  <c r="D18" i="36" s="1"/>
  <c r="D14" i="397"/>
  <c r="D13"/>
  <c r="D12"/>
  <c r="D11"/>
  <c r="C62"/>
  <c r="C61"/>
  <c r="C60"/>
  <c r="C58"/>
  <c r="H58" s="1"/>
  <c r="C57"/>
  <c r="C56"/>
  <c r="C50"/>
  <c r="C49"/>
  <c r="H49" s="1"/>
  <c r="C48"/>
  <c r="C47"/>
  <c r="C51" s="1"/>
  <c r="C43"/>
  <c r="C40"/>
  <c r="C39"/>
  <c r="C38"/>
  <c r="C41" s="1"/>
  <c r="C34"/>
  <c r="C33"/>
  <c r="H33" s="1"/>
  <c r="C32"/>
  <c r="C28"/>
  <c r="C27"/>
  <c r="C26"/>
  <c r="C29" s="1"/>
  <c r="C20" i="36" s="1"/>
  <c r="C21" i="397"/>
  <c r="C20"/>
  <c r="H20" s="1"/>
  <c r="C19"/>
  <c r="C19" i="36" s="1"/>
  <c r="C18" i="397"/>
  <c r="C17"/>
  <c r="C18" i="36" s="1"/>
  <c r="C14" i="397"/>
  <c r="C13"/>
  <c r="C12"/>
  <c r="C11"/>
  <c r="B62"/>
  <c r="B61"/>
  <c r="B60"/>
  <c r="H60" s="1"/>
  <c r="B58"/>
  <c r="B57"/>
  <c r="B56"/>
  <c r="B50"/>
  <c r="H50" s="1"/>
  <c r="B49"/>
  <c r="B48"/>
  <c r="B47"/>
  <c r="B43"/>
  <c r="B40"/>
  <c r="B39"/>
  <c r="B38"/>
  <c r="B34"/>
  <c r="H34" s="1"/>
  <c r="B33"/>
  <c r="B32"/>
  <c r="H32" s="1"/>
  <c r="B28"/>
  <c r="B27"/>
  <c r="B26"/>
  <c r="B21"/>
  <c r="H21" s="1"/>
  <c r="B20"/>
  <c r="B19"/>
  <c r="B19" i="36" s="1"/>
  <c r="B18" i="397"/>
  <c r="B17"/>
  <c r="B14"/>
  <c r="B13"/>
  <c r="B12"/>
  <c r="B11"/>
  <c r="L10"/>
  <c r="K10"/>
  <c r="I10"/>
  <c r="G10"/>
  <c r="G15" s="1"/>
  <c r="G22" s="1"/>
  <c r="G17" i="36" s="1"/>
  <c r="F10" i="397"/>
  <c r="E10"/>
  <c r="E15" s="1"/>
  <c r="E22" s="1"/>
  <c r="E17" i="36" s="1"/>
  <c r="D10" i="397"/>
  <c r="C10"/>
  <c r="H10" s="1"/>
  <c r="B10"/>
  <c r="B10" i="299"/>
  <c r="C10"/>
  <c r="D10"/>
  <c r="E10"/>
  <c r="F10"/>
  <c r="G10"/>
  <c r="B11"/>
  <c r="C11"/>
  <c r="D11"/>
  <c r="E11"/>
  <c r="F11"/>
  <c r="G11"/>
  <c r="B12"/>
  <c r="C12"/>
  <c r="D12"/>
  <c r="E12"/>
  <c r="F12"/>
  <c r="G12"/>
  <c r="B13"/>
  <c r="C13"/>
  <c r="D13"/>
  <c r="E13"/>
  <c r="F13"/>
  <c r="G13"/>
  <c r="B14"/>
  <c r="C14"/>
  <c r="D14"/>
  <c r="E14"/>
  <c r="F14"/>
  <c r="G14"/>
  <c r="B17"/>
  <c r="C17"/>
  <c r="D17"/>
  <c r="E17"/>
  <c r="F17"/>
  <c r="G17"/>
  <c r="B18"/>
  <c r="C18"/>
  <c r="D18"/>
  <c r="E18"/>
  <c r="F18"/>
  <c r="G18"/>
  <c r="B19"/>
  <c r="C19"/>
  <c r="D19"/>
  <c r="E19"/>
  <c r="F19"/>
  <c r="G19"/>
  <c r="B20"/>
  <c r="C20"/>
  <c r="D20"/>
  <c r="E20"/>
  <c r="F20"/>
  <c r="G20"/>
  <c r="B21"/>
  <c r="C21"/>
  <c r="D21"/>
  <c r="E21"/>
  <c r="F21"/>
  <c r="G21"/>
  <c r="B26"/>
  <c r="C26"/>
  <c r="D26"/>
  <c r="E26"/>
  <c r="F26"/>
  <c r="G26"/>
  <c r="B27"/>
  <c r="C27"/>
  <c r="D27"/>
  <c r="E27"/>
  <c r="F27"/>
  <c r="G27"/>
  <c r="B28"/>
  <c r="C28"/>
  <c r="D28"/>
  <c r="E28"/>
  <c r="F28"/>
  <c r="G28"/>
  <c r="B32"/>
  <c r="C32"/>
  <c r="D32"/>
  <c r="E32"/>
  <c r="F32"/>
  <c r="G32"/>
  <c r="B33"/>
  <c r="C33"/>
  <c r="D33"/>
  <c r="E33"/>
  <c r="F33"/>
  <c r="G33"/>
  <c r="B34"/>
  <c r="C34"/>
  <c r="D34"/>
  <c r="E34"/>
  <c r="F34"/>
  <c r="G34"/>
  <c r="M166" i="398"/>
  <c r="K166"/>
  <c r="J166"/>
  <c r="D166"/>
  <c r="C166"/>
  <c r="B166"/>
  <c r="F155" i="397"/>
  <c r="J62"/>
  <c r="J61"/>
  <c r="M60"/>
  <c r="J60"/>
  <c r="J58"/>
  <c r="M57"/>
  <c r="J57"/>
  <c r="M56"/>
  <c r="J50"/>
  <c r="M49"/>
  <c r="J48"/>
  <c r="L51"/>
  <c r="I51"/>
  <c r="I31" i="40" s="1"/>
  <c r="M43" i="397"/>
  <c r="J43"/>
  <c r="M40"/>
  <c r="J39"/>
  <c r="K41"/>
  <c r="H38"/>
  <c r="J34"/>
  <c r="M33"/>
  <c r="K35"/>
  <c r="G35"/>
  <c r="M28"/>
  <c r="M27"/>
  <c r="J27"/>
  <c r="L29"/>
  <c r="L20" i="36" s="1"/>
  <c r="I29" i="397"/>
  <c r="I20" i="36" s="1"/>
  <c r="J21" i="397"/>
  <c r="M20"/>
  <c r="H19"/>
  <c r="J18"/>
  <c r="J17"/>
  <c r="M14"/>
  <c r="H14"/>
  <c r="J13"/>
  <c r="J12"/>
  <c r="J11"/>
  <c r="K15"/>
  <c r="K22" s="1"/>
  <c r="K17" i="36" s="1"/>
  <c r="B42" i="183"/>
  <c r="D60" i="388"/>
  <c r="Y126" i="21"/>
  <c r="D126"/>
  <c r="T126"/>
  <c r="P126"/>
  <c r="F28" i="314"/>
  <c r="AA126" i="21"/>
  <c r="H126"/>
  <c r="F126"/>
  <c r="R126"/>
  <c r="V126"/>
  <c r="L76" i="396"/>
  <c r="K76"/>
  <c r="I76"/>
  <c r="H76"/>
  <c r="G76"/>
  <c r="F76"/>
  <c r="E76"/>
  <c r="D76"/>
  <c r="M75"/>
  <c r="M74"/>
  <c r="M73"/>
  <c r="M72"/>
  <c r="M71"/>
  <c r="M70"/>
  <c r="M69"/>
  <c r="M68"/>
  <c r="L63"/>
  <c r="K63"/>
  <c r="I63"/>
  <c r="H63"/>
  <c r="G63"/>
  <c r="F63"/>
  <c r="E63"/>
  <c r="D63"/>
  <c r="M62"/>
  <c r="M61"/>
  <c r="M60"/>
  <c r="M59"/>
  <c r="M58"/>
  <c r="M57"/>
  <c r="M56"/>
  <c r="L52"/>
  <c r="K52"/>
  <c r="J52"/>
  <c r="I52"/>
  <c r="H52"/>
  <c r="G52"/>
  <c r="F52"/>
  <c r="E52"/>
  <c r="D52"/>
  <c r="M51"/>
  <c r="M50"/>
  <c r="M49"/>
  <c r="M48"/>
  <c r="M47"/>
  <c r="M46"/>
  <c r="M45"/>
  <c r="M44"/>
  <c r="M43"/>
  <c r="M42"/>
  <c r="M41"/>
  <c r="M40"/>
  <c r="M39"/>
  <c r="M38"/>
  <c r="M37"/>
  <c r="M36"/>
  <c r="M35"/>
  <c r="M34"/>
  <c r="M33"/>
  <c r="M32"/>
  <c r="M31"/>
  <c r="M30"/>
  <c r="M29"/>
  <c r="M28"/>
  <c r="M27"/>
  <c r="M26"/>
  <c r="M25"/>
  <c r="M24"/>
  <c r="M23"/>
  <c r="M22"/>
  <c r="L76" i="390"/>
  <c r="K76"/>
  <c r="I76"/>
  <c r="H76"/>
  <c r="G76"/>
  <c r="F76"/>
  <c r="E76"/>
  <c r="D76"/>
  <c r="M75"/>
  <c r="M74"/>
  <c r="M73"/>
  <c r="M72"/>
  <c r="M71"/>
  <c r="M70"/>
  <c r="M69"/>
  <c r="M68"/>
  <c r="M76"/>
  <c r="L63"/>
  <c r="K63"/>
  <c r="I63"/>
  <c r="H63"/>
  <c r="G63"/>
  <c r="F63"/>
  <c r="E63"/>
  <c r="D63"/>
  <c r="M62"/>
  <c r="M61"/>
  <c r="M60"/>
  <c r="M59"/>
  <c r="M58"/>
  <c r="M57"/>
  <c r="M56"/>
  <c r="L52"/>
  <c r="K52"/>
  <c r="J52"/>
  <c r="I52"/>
  <c r="H52"/>
  <c r="G52"/>
  <c r="F52"/>
  <c r="E52"/>
  <c r="D52"/>
  <c r="M51"/>
  <c r="M50"/>
  <c r="M49"/>
  <c r="M48"/>
  <c r="M47"/>
  <c r="M46"/>
  <c r="M45"/>
  <c r="M44"/>
  <c r="M43"/>
  <c r="M42"/>
  <c r="M41"/>
  <c r="M40"/>
  <c r="M39"/>
  <c r="M38"/>
  <c r="M37"/>
  <c r="M36"/>
  <c r="M35"/>
  <c r="M34"/>
  <c r="M33"/>
  <c r="M32"/>
  <c r="M31"/>
  <c r="M30"/>
  <c r="M29"/>
  <c r="M28"/>
  <c r="M27"/>
  <c r="M26"/>
  <c r="M25"/>
  <c r="M24"/>
  <c r="M23"/>
  <c r="M22"/>
  <c r="M52" s="1"/>
  <c r="I33" i="389"/>
  <c r="M33" s="1"/>
  <c r="H33"/>
  <c r="I32"/>
  <c r="K32" s="1"/>
  <c r="H32"/>
  <c r="I31"/>
  <c r="M31" s="1"/>
  <c r="H31"/>
  <c r="I30"/>
  <c r="K30" s="1"/>
  <c r="H30"/>
  <c r="I29"/>
  <c r="M29" s="1"/>
  <c r="H29"/>
  <c r="I28"/>
  <c r="K28" s="1"/>
  <c r="H28"/>
  <c r="I27"/>
  <c r="M27" s="1"/>
  <c r="H27"/>
  <c r="I26"/>
  <c r="L26" s="1"/>
  <c r="H26"/>
  <c r="I25"/>
  <c r="L25" s="1"/>
  <c r="H25"/>
  <c r="D59" i="388"/>
  <c r="D58"/>
  <c r="D57"/>
  <c r="D56"/>
  <c r="D55"/>
  <c r="D54"/>
  <c r="D53"/>
  <c r="D52"/>
  <c r="I40"/>
  <c r="K40" s="1"/>
  <c r="H40"/>
  <c r="I39"/>
  <c r="H39"/>
  <c r="I38"/>
  <c r="L38" s="1"/>
  <c r="H38"/>
  <c r="I37"/>
  <c r="K37" s="1"/>
  <c r="H37"/>
  <c r="I36"/>
  <c r="M36" s="1"/>
  <c r="H36"/>
  <c r="I35"/>
  <c r="K35" s="1"/>
  <c r="N35" s="1"/>
  <c r="H35"/>
  <c r="I34"/>
  <c r="M34" s="1"/>
  <c r="H34"/>
  <c r="I33"/>
  <c r="N33"/>
  <c r="H33"/>
  <c r="I32"/>
  <c r="L32" s="1"/>
  <c r="H32"/>
  <c r="D49" i="131"/>
  <c r="D50" i="101"/>
  <c r="D49" i="95"/>
  <c r="E49" s="1"/>
  <c r="D49" i="89"/>
  <c r="K20" i="40"/>
  <c r="M41" i="41"/>
  <c r="H62"/>
  <c r="F155" i="385"/>
  <c r="M62"/>
  <c r="J62"/>
  <c r="H62"/>
  <c r="M61"/>
  <c r="J61"/>
  <c r="H61"/>
  <c r="M60"/>
  <c r="J60"/>
  <c r="H60"/>
  <c r="M58"/>
  <c r="J58"/>
  <c r="H58"/>
  <c r="M57"/>
  <c r="J57"/>
  <c r="H57"/>
  <c r="M56"/>
  <c r="J56"/>
  <c r="H56"/>
  <c r="M50"/>
  <c r="J50"/>
  <c r="H50"/>
  <c r="M49"/>
  <c r="J49"/>
  <c r="H49"/>
  <c r="M48"/>
  <c r="J48"/>
  <c r="L51"/>
  <c r="K51"/>
  <c r="I51"/>
  <c r="G51"/>
  <c r="F51"/>
  <c r="E51"/>
  <c r="C51"/>
  <c r="M43"/>
  <c r="J43"/>
  <c r="H43"/>
  <c r="L41"/>
  <c r="M40"/>
  <c r="J40"/>
  <c r="F41"/>
  <c r="H40"/>
  <c r="N40" s="1"/>
  <c r="M39"/>
  <c r="J39"/>
  <c r="K41"/>
  <c r="G41"/>
  <c r="E41"/>
  <c r="C41"/>
  <c r="H38"/>
  <c r="M34"/>
  <c r="J34"/>
  <c r="H34"/>
  <c r="M33"/>
  <c r="L35"/>
  <c r="G35"/>
  <c r="F35"/>
  <c r="E35"/>
  <c r="C35"/>
  <c r="H32"/>
  <c r="M28"/>
  <c r="J28"/>
  <c r="H28"/>
  <c r="M27"/>
  <c r="J27"/>
  <c r="H27"/>
  <c r="L29"/>
  <c r="K29"/>
  <c r="I29"/>
  <c r="G29"/>
  <c r="F29"/>
  <c r="E29"/>
  <c r="D29"/>
  <c r="C29"/>
  <c r="M21"/>
  <c r="J21"/>
  <c r="H21"/>
  <c r="M20"/>
  <c r="J20"/>
  <c r="H20"/>
  <c r="M19"/>
  <c r="J19"/>
  <c r="H19"/>
  <c r="N19" s="1"/>
  <c r="M18"/>
  <c r="J18"/>
  <c r="H18"/>
  <c r="M17"/>
  <c r="J17"/>
  <c r="H17"/>
  <c r="M14"/>
  <c r="J14"/>
  <c r="H14"/>
  <c r="M13"/>
  <c r="J13"/>
  <c r="H13"/>
  <c r="N13" s="1"/>
  <c r="M12"/>
  <c r="J12"/>
  <c r="H12"/>
  <c r="L15"/>
  <c r="L22" s="1"/>
  <c r="M11"/>
  <c r="J11"/>
  <c r="F15"/>
  <c r="F22" s="1"/>
  <c r="D15"/>
  <c r="D22" s="1"/>
  <c r="H11"/>
  <c r="K15"/>
  <c r="K22" s="1"/>
  <c r="G15"/>
  <c r="G22" s="1"/>
  <c r="E15"/>
  <c r="E22" s="1"/>
  <c r="C15"/>
  <c r="C22" s="1"/>
  <c r="M166" i="384"/>
  <c r="K166"/>
  <c r="J166"/>
  <c r="D166"/>
  <c r="C166"/>
  <c r="B166"/>
  <c r="AB126" i="21"/>
  <c r="AC128" i="20"/>
  <c r="B23" i="324"/>
  <c r="C23"/>
  <c r="B24"/>
  <c r="C24"/>
  <c r="B27"/>
  <c r="C27"/>
  <c r="B29"/>
  <c r="C29"/>
  <c r="B30"/>
  <c r="C30"/>
  <c r="B33"/>
  <c r="C33"/>
  <c r="B34"/>
  <c r="C34"/>
  <c r="B35"/>
  <c r="C35"/>
  <c r="B36"/>
  <c r="C36"/>
  <c r="B37"/>
  <c r="C37"/>
  <c r="B38"/>
  <c r="C38"/>
  <c r="B40"/>
  <c r="C40"/>
  <c r="B51"/>
  <c r="C51"/>
  <c r="D51"/>
  <c r="E51"/>
  <c r="F51"/>
  <c r="G51"/>
  <c r="H51"/>
  <c r="I51"/>
  <c r="J51"/>
  <c r="B52"/>
  <c r="C52"/>
  <c r="D52"/>
  <c r="E52"/>
  <c r="F52"/>
  <c r="G52"/>
  <c r="H52"/>
  <c r="I52"/>
  <c r="J52"/>
  <c r="B59"/>
  <c r="C59"/>
  <c r="D59"/>
  <c r="H30" i="195"/>
  <c r="J30"/>
  <c r="M30"/>
  <c r="H32"/>
  <c r="J32"/>
  <c r="M32"/>
  <c r="H34"/>
  <c r="J34"/>
  <c r="M34"/>
  <c r="E36"/>
  <c r="F36"/>
  <c r="G36"/>
  <c r="I36"/>
  <c r="J36"/>
  <c r="K36"/>
  <c r="L36"/>
  <c r="M36"/>
  <c r="E38"/>
  <c r="F38"/>
  <c r="G38"/>
  <c r="I38"/>
  <c r="K38"/>
  <c r="L38"/>
  <c r="J138"/>
  <c r="K138"/>
  <c r="M138"/>
  <c r="D52" i="374"/>
  <c r="E52"/>
  <c r="F52"/>
  <c r="G52"/>
  <c r="H52"/>
  <c r="I52"/>
  <c r="J52"/>
  <c r="K52"/>
  <c r="L52"/>
  <c r="M52"/>
  <c r="D63"/>
  <c r="E63"/>
  <c r="F63"/>
  <c r="G63"/>
  <c r="H63"/>
  <c r="I63"/>
  <c r="K63"/>
  <c r="L63"/>
  <c r="M63"/>
  <c r="D76"/>
  <c r="E76"/>
  <c r="F76"/>
  <c r="G76"/>
  <c r="H76"/>
  <c r="I76"/>
  <c r="K76"/>
  <c r="L76"/>
  <c r="M76"/>
  <c r="D52" i="381"/>
  <c r="E52"/>
  <c r="F52"/>
  <c r="G52"/>
  <c r="H52"/>
  <c r="I52"/>
  <c r="J52"/>
  <c r="K52"/>
  <c r="L52"/>
  <c r="M52"/>
  <c r="D63"/>
  <c r="E63"/>
  <c r="F63"/>
  <c r="G63"/>
  <c r="H63"/>
  <c r="I63"/>
  <c r="K63"/>
  <c r="L63"/>
  <c r="M63"/>
  <c r="D76"/>
  <c r="E76"/>
  <c r="F76"/>
  <c r="G76"/>
  <c r="H76"/>
  <c r="I76"/>
  <c r="K76"/>
  <c r="L76"/>
  <c r="M76"/>
  <c r="M22" i="380"/>
  <c r="M23"/>
  <c r="M24"/>
  <c r="M25"/>
  <c r="M26"/>
  <c r="M27"/>
  <c r="M28"/>
  <c r="M29"/>
  <c r="M30"/>
  <c r="M31"/>
  <c r="M32"/>
  <c r="M33"/>
  <c r="M34"/>
  <c r="M35"/>
  <c r="M36"/>
  <c r="M37"/>
  <c r="M38"/>
  <c r="M39"/>
  <c r="M40"/>
  <c r="M41"/>
  <c r="M42"/>
  <c r="M43"/>
  <c r="M44"/>
  <c r="M45"/>
  <c r="M46"/>
  <c r="M47"/>
  <c r="M48"/>
  <c r="M49"/>
  <c r="M50"/>
  <c r="M51"/>
  <c r="D52"/>
  <c r="E52"/>
  <c r="F52"/>
  <c r="G52"/>
  <c r="H52"/>
  <c r="I52"/>
  <c r="J52"/>
  <c r="K52"/>
  <c r="L52"/>
  <c r="M52"/>
  <c r="M56"/>
  <c r="M57"/>
  <c r="M58"/>
  <c r="M59"/>
  <c r="M60"/>
  <c r="M61"/>
  <c r="M62"/>
  <c r="D63"/>
  <c r="E63"/>
  <c r="F63"/>
  <c r="G63"/>
  <c r="H63"/>
  <c r="I63"/>
  <c r="K63"/>
  <c r="L63"/>
  <c r="M63"/>
  <c r="M68"/>
  <c r="M69"/>
  <c r="M70"/>
  <c r="M71"/>
  <c r="M72"/>
  <c r="M73"/>
  <c r="M74"/>
  <c r="M75"/>
  <c r="D76"/>
  <c r="E76"/>
  <c r="F76"/>
  <c r="G76"/>
  <c r="H76"/>
  <c r="I76"/>
  <c r="K76"/>
  <c r="L76"/>
  <c r="M76"/>
  <c r="M22" i="366"/>
  <c r="M23"/>
  <c r="M24"/>
  <c r="M25"/>
  <c r="M26"/>
  <c r="M27"/>
  <c r="M28"/>
  <c r="M29"/>
  <c r="M30"/>
  <c r="M31"/>
  <c r="M32"/>
  <c r="M33"/>
  <c r="M34"/>
  <c r="M35"/>
  <c r="M36"/>
  <c r="M37"/>
  <c r="M38"/>
  <c r="M39"/>
  <c r="M40"/>
  <c r="M41"/>
  <c r="M42"/>
  <c r="M43"/>
  <c r="M44"/>
  <c r="M45"/>
  <c r="M46"/>
  <c r="M47"/>
  <c r="M48"/>
  <c r="M49"/>
  <c r="M50"/>
  <c r="M51"/>
  <c r="D52"/>
  <c r="D34" i="391"/>
  <c r="E52" i="366"/>
  <c r="E49" i="391" s="1"/>
  <c r="F52" i="366"/>
  <c r="F47" i="391" s="1"/>
  <c r="G52" i="366"/>
  <c r="G28" i="391" s="1"/>
  <c r="H52" i="366"/>
  <c r="H25" i="391" s="1"/>
  <c r="I52" i="366"/>
  <c r="I35" i="391" s="1"/>
  <c r="J52" i="366"/>
  <c r="J51" i="391"/>
  <c r="K52" i="366"/>
  <c r="K49" i="391" s="1"/>
  <c r="L52" i="366"/>
  <c r="L40" i="391" s="1"/>
  <c r="M56" i="366"/>
  <c r="M57"/>
  <c r="M58"/>
  <c r="M59"/>
  <c r="M60"/>
  <c r="M61"/>
  <c r="M62"/>
  <c r="D63"/>
  <c r="E63"/>
  <c r="F63"/>
  <c r="G63"/>
  <c r="H63"/>
  <c r="I63"/>
  <c r="K63"/>
  <c r="L63"/>
  <c r="M68"/>
  <c r="M69"/>
  <c r="M70"/>
  <c r="M71"/>
  <c r="M72"/>
  <c r="M73"/>
  <c r="M74"/>
  <c r="M75"/>
  <c r="D76"/>
  <c r="E76"/>
  <c r="F76"/>
  <c r="G76"/>
  <c r="H76"/>
  <c r="I76"/>
  <c r="K76"/>
  <c r="L76"/>
  <c r="H25" i="373"/>
  <c r="I25"/>
  <c r="K25"/>
  <c r="L25"/>
  <c r="M25"/>
  <c r="N25"/>
  <c r="H26"/>
  <c r="I26"/>
  <c r="K26" s="1"/>
  <c r="H27"/>
  <c r="I27"/>
  <c r="N27"/>
  <c r="H28"/>
  <c r="I28"/>
  <c r="K28" s="1"/>
  <c r="L28"/>
  <c r="H29"/>
  <c r="I29"/>
  <c r="K29" s="1"/>
  <c r="H30"/>
  <c r="I30"/>
  <c r="K30" s="1"/>
  <c r="L30"/>
  <c r="H31"/>
  <c r="I31"/>
  <c r="K31" s="1"/>
  <c r="H32"/>
  <c r="I32"/>
  <c r="K32" s="1"/>
  <c r="H33"/>
  <c r="I33"/>
  <c r="K33" s="1"/>
  <c r="L33"/>
  <c r="H25" i="382"/>
  <c r="I25"/>
  <c r="K25"/>
  <c r="L25"/>
  <c r="M25"/>
  <c r="N25" s="1"/>
  <c r="H26"/>
  <c r="I26"/>
  <c r="K26" s="1"/>
  <c r="H27"/>
  <c r="I27"/>
  <c r="N27"/>
  <c r="H28"/>
  <c r="I28"/>
  <c r="K28" s="1"/>
  <c r="H29"/>
  <c r="I29"/>
  <c r="K29" s="1"/>
  <c r="H30"/>
  <c r="I30"/>
  <c r="K30" s="1"/>
  <c r="H31"/>
  <c r="I31"/>
  <c r="K31" s="1"/>
  <c r="H32"/>
  <c r="I32"/>
  <c r="K32" s="1"/>
  <c r="H33"/>
  <c r="I33"/>
  <c r="K33" s="1"/>
  <c r="H25" i="365"/>
  <c r="I25"/>
  <c r="K25" s="1"/>
  <c r="H26"/>
  <c r="I26"/>
  <c r="K26" s="1"/>
  <c r="H27"/>
  <c r="I27"/>
  <c r="N27"/>
  <c r="H28"/>
  <c r="I28"/>
  <c r="K28" s="1"/>
  <c r="H29"/>
  <c r="I29"/>
  <c r="K29" s="1"/>
  <c r="H30"/>
  <c r="I30"/>
  <c r="K30" s="1"/>
  <c r="H31"/>
  <c r="I31"/>
  <c r="K31" s="1"/>
  <c r="H32"/>
  <c r="I32"/>
  <c r="K32" s="1"/>
  <c r="H33"/>
  <c r="I33"/>
  <c r="K33" s="1"/>
  <c r="H32" i="372"/>
  <c r="I32"/>
  <c r="K32" s="1"/>
  <c r="L32"/>
  <c r="H33"/>
  <c r="I33"/>
  <c r="M33" s="1"/>
  <c r="N33" s="1"/>
  <c r="H34"/>
  <c r="I34"/>
  <c r="K34" s="1"/>
  <c r="H35"/>
  <c r="I35"/>
  <c r="K35" s="1"/>
  <c r="N35" s="1"/>
  <c r="H36"/>
  <c r="I36"/>
  <c r="K36" s="1"/>
  <c r="H37"/>
  <c r="I37"/>
  <c r="K37" s="1"/>
  <c r="H38"/>
  <c r="I38"/>
  <c r="K38" s="1"/>
  <c r="H39"/>
  <c r="I39"/>
  <c r="K39" s="1"/>
  <c r="H40"/>
  <c r="I40"/>
  <c r="D52"/>
  <c r="D53"/>
  <c r="D54"/>
  <c r="D55"/>
  <c r="D56"/>
  <c r="D57"/>
  <c r="D58"/>
  <c r="D59"/>
  <c r="H32" i="383"/>
  <c r="I32"/>
  <c r="K32" s="1"/>
  <c r="M32"/>
  <c r="H33"/>
  <c r="I33"/>
  <c r="L33" s="1"/>
  <c r="N33" s="1"/>
  <c r="H34"/>
  <c r="I34"/>
  <c r="K34" s="1"/>
  <c r="H35"/>
  <c r="I35"/>
  <c r="K35" s="1"/>
  <c r="N35" s="1"/>
  <c r="H36"/>
  <c r="I36"/>
  <c r="K36" s="1"/>
  <c r="H37"/>
  <c r="I37"/>
  <c r="K37" s="1"/>
  <c r="H38"/>
  <c r="I38"/>
  <c r="K38" s="1"/>
  <c r="H39"/>
  <c r="I39"/>
  <c r="K39" s="1"/>
  <c r="H40"/>
  <c r="I40"/>
  <c r="D52"/>
  <c r="D53"/>
  <c r="D54"/>
  <c r="D55"/>
  <c r="D56"/>
  <c r="D57"/>
  <c r="D58"/>
  <c r="D59"/>
  <c r="H32" i="364"/>
  <c r="I32"/>
  <c r="K32" s="1"/>
  <c r="H33"/>
  <c r="I33"/>
  <c r="L33" s="1"/>
  <c r="N33" s="1"/>
  <c r="H34"/>
  <c r="I34"/>
  <c r="K34" s="1"/>
  <c r="H35"/>
  <c r="I35"/>
  <c r="K35" s="1"/>
  <c r="N35" s="1"/>
  <c r="H36"/>
  <c r="I36"/>
  <c r="K36" s="1"/>
  <c r="H37"/>
  <c r="I37"/>
  <c r="K37" s="1"/>
  <c r="H38"/>
  <c r="I38"/>
  <c r="K38" s="1"/>
  <c r="H39"/>
  <c r="I39"/>
  <c r="K39" s="1"/>
  <c r="H40"/>
  <c r="I40"/>
  <c r="D52"/>
  <c r="D53"/>
  <c r="D54"/>
  <c r="D55"/>
  <c r="D56"/>
  <c r="D57"/>
  <c r="D58"/>
  <c r="D59"/>
  <c r="D12" i="145"/>
  <c r="I12"/>
  <c r="K12"/>
  <c r="I13"/>
  <c r="K13"/>
  <c r="D14"/>
  <c r="I14"/>
  <c r="K14"/>
  <c r="H15"/>
  <c r="J15"/>
  <c r="L15"/>
  <c r="L17" s="1"/>
  <c r="D16"/>
  <c r="I16"/>
  <c r="K16"/>
  <c r="H17"/>
  <c r="C57" i="324" s="1"/>
  <c r="D20" i="145"/>
  <c r="I20"/>
  <c r="K20"/>
  <c r="D21"/>
  <c r="I21"/>
  <c r="K21"/>
  <c r="D22"/>
  <c r="I22"/>
  <c r="K22"/>
  <c r="H23"/>
  <c r="C58" i="324" s="1"/>
  <c r="J23" i="145"/>
  <c r="L23"/>
  <c r="D27"/>
  <c r="D33"/>
  <c r="I33"/>
  <c r="K33"/>
  <c r="D34"/>
  <c r="I34"/>
  <c r="K34"/>
  <c r="D35"/>
  <c r="I35"/>
  <c r="K35"/>
  <c r="D36"/>
  <c r="I36"/>
  <c r="K36"/>
  <c r="H37"/>
  <c r="C60" i="324" s="1"/>
  <c r="J37" i="145"/>
  <c r="L37"/>
  <c r="D41"/>
  <c r="I41"/>
  <c r="K41"/>
  <c r="B10" i="144"/>
  <c r="D10"/>
  <c r="F10"/>
  <c r="H10"/>
  <c r="J10"/>
  <c r="G53" i="51" s="1"/>
  <c r="L10" i="144"/>
  <c r="N10"/>
  <c r="O10" s="1"/>
  <c r="P10"/>
  <c r="B11"/>
  <c r="G12" i="51" s="1"/>
  <c r="D11" i="144"/>
  <c r="F11"/>
  <c r="H11"/>
  <c r="J11"/>
  <c r="L11"/>
  <c r="N11"/>
  <c r="P11"/>
  <c r="B12"/>
  <c r="G13" i="51" s="1"/>
  <c r="D12" i="144"/>
  <c r="F12"/>
  <c r="H12"/>
  <c r="J12"/>
  <c r="L12"/>
  <c r="N12"/>
  <c r="O12" s="1"/>
  <c r="P12"/>
  <c r="B13"/>
  <c r="C101" i="51" s="1"/>
  <c r="H13" i="144"/>
  <c r="N13"/>
  <c r="P13"/>
  <c r="B14"/>
  <c r="G15" i="51" s="1"/>
  <c r="D14" i="144"/>
  <c r="F14"/>
  <c r="H14"/>
  <c r="J14"/>
  <c r="G57" i="51" s="1"/>
  <c r="L14" i="144"/>
  <c r="N14"/>
  <c r="P14"/>
  <c r="B18"/>
  <c r="G19" i="51" s="1"/>
  <c r="D18" i="144"/>
  <c r="F18"/>
  <c r="H18"/>
  <c r="J18"/>
  <c r="G61" i="51" s="1"/>
  <c r="L18" i="144"/>
  <c r="N18"/>
  <c r="P18"/>
  <c r="B19"/>
  <c r="G20" i="51" s="1"/>
  <c r="D19" i="144"/>
  <c r="F19"/>
  <c r="H19"/>
  <c r="J19"/>
  <c r="G62" i="51" s="1"/>
  <c r="L19" i="144"/>
  <c r="N19"/>
  <c r="P19"/>
  <c r="B20"/>
  <c r="D20"/>
  <c r="F20"/>
  <c r="H20"/>
  <c r="J20"/>
  <c r="G63" i="51" s="1"/>
  <c r="L20" i="144"/>
  <c r="N20"/>
  <c r="P20"/>
  <c r="B25"/>
  <c r="G26" i="51" s="1"/>
  <c r="D25" i="144"/>
  <c r="F25"/>
  <c r="H25"/>
  <c r="J25"/>
  <c r="G68" i="51" s="1"/>
  <c r="L25" i="144"/>
  <c r="N25"/>
  <c r="P25"/>
  <c r="B31"/>
  <c r="G32" i="51" s="1"/>
  <c r="D31" i="144"/>
  <c r="F31"/>
  <c r="H31"/>
  <c r="J31"/>
  <c r="G74" i="51" s="1"/>
  <c r="L31" i="144"/>
  <c r="N31"/>
  <c r="P31"/>
  <c r="B32"/>
  <c r="G33" i="51" s="1"/>
  <c r="D32" i="144"/>
  <c r="F32"/>
  <c r="H32"/>
  <c r="J32"/>
  <c r="G75" i="51" s="1"/>
  <c r="L32" i="144"/>
  <c r="N32"/>
  <c r="P32"/>
  <c r="B33"/>
  <c r="G34" i="51" s="1"/>
  <c r="D33" i="144"/>
  <c r="F33"/>
  <c r="H33"/>
  <c r="J33"/>
  <c r="G76" i="51" s="1"/>
  <c r="L33" i="144"/>
  <c r="N33"/>
  <c r="P33"/>
  <c r="B34"/>
  <c r="G35" i="51" s="1"/>
  <c r="D34" i="144"/>
  <c r="F34"/>
  <c r="H34"/>
  <c r="J34"/>
  <c r="G77" i="51" s="1"/>
  <c r="L34" i="144"/>
  <c r="N34"/>
  <c r="P34"/>
  <c r="B35"/>
  <c r="Q102" i="51" s="1"/>
  <c r="D35" i="144"/>
  <c r="F35"/>
  <c r="L35"/>
  <c r="B39"/>
  <c r="G40" i="51" s="1"/>
  <c r="D39" i="144"/>
  <c r="F39"/>
  <c r="H39"/>
  <c r="J39"/>
  <c r="G82" i="51" s="1"/>
  <c r="L39" i="144"/>
  <c r="N39"/>
  <c r="P39"/>
  <c r="C50"/>
  <c r="R50"/>
  <c r="B12" i="145" s="1"/>
  <c r="U50" i="144"/>
  <c r="F12" i="145" s="1"/>
  <c r="R51" i="144"/>
  <c r="U51"/>
  <c r="F13" i="145" s="1"/>
  <c r="G13" s="1"/>
  <c r="C52" i="144"/>
  <c r="R52"/>
  <c r="B14" i="145" s="1"/>
  <c r="C14" s="1"/>
  <c r="U52" i="144"/>
  <c r="F14" i="145" s="1"/>
  <c r="G14" s="1"/>
  <c r="B53" i="144"/>
  <c r="D53"/>
  <c r="D55" s="1"/>
  <c r="F53"/>
  <c r="H53"/>
  <c r="H55" s="1"/>
  <c r="H23" i="140" s="1"/>
  <c r="J53" i="144"/>
  <c r="L53"/>
  <c r="L55" s="1"/>
  <c r="N53"/>
  <c r="P53"/>
  <c r="P55" s="1"/>
  <c r="P23" i="140" s="1"/>
  <c r="T53" i="144"/>
  <c r="C54"/>
  <c r="R54"/>
  <c r="B16" i="145" s="1"/>
  <c r="C16" s="1"/>
  <c r="U54" i="144"/>
  <c r="F16" i="145" s="1"/>
  <c r="G16" s="1"/>
  <c r="C58" i="144"/>
  <c r="R58"/>
  <c r="B20" i="145" s="1"/>
  <c r="C20" s="1"/>
  <c r="U58" i="144"/>
  <c r="F20" i="145" s="1"/>
  <c r="C59" i="144"/>
  <c r="R59"/>
  <c r="B21" i="145" s="1"/>
  <c r="U59" i="144"/>
  <c r="F21" i="145" s="1"/>
  <c r="G21" s="1"/>
  <c r="C60" i="144"/>
  <c r="R60"/>
  <c r="B22" i="145" s="1"/>
  <c r="U60" i="144"/>
  <c r="F22" i="145" s="1"/>
  <c r="G22" s="1"/>
  <c r="B61" i="144"/>
  <c r="D61"/>
  <c r="F61"/>
  <c r="H61"/>
  <c r="J61"/>
  <c r="L61"/>
  <c r="N61"/>
  <c r="P61"/>
  <c r="T61"/>
  <c r="C65"/>
  <c r="R65"/>
  <c r="U65"/>
  <c r="F27" i="145" s="1"/>
  <c r="C71" i="144"/>
  <c r="R71"/>
  <c r="B33" i="145" s="1"/>
  <c r="U71" i="144"/>
  <c r="C72"/>
  <c r="R72"/>
  <c r="B34" i="145" s="1"/>
  <c r="C34" s="1"/>
  <c r="U72" i="144"/>
  <c r="F34" i="145" s="1"/>
  <c r="G34" s="1"/>
  <c r="C73" i="144"/>
  <c r="R73"/>
  <c r="B35" i="145" s="1"/>
  <c r="U73" i="144"/>
  <c r="F35" i="145" s="1"/>
  <c r="G35" s="1"/>
  <c r="C74" i="144"/>
  <c r="R74"/>
  <c r="B36" i="145" s="1"/>
  <c r="C36" s="1"/>
  <c r="U74" i="144"/>
  <c r="F36" i="145" s="1"/>
  <c r="G36" s="1"/>
  <c r="B75" i="144"/>
  <c r="D75"/>
  <c r="F75"/>
  <c r="H75"/>
  <c r="J75"/>
  <c r="L75"/>
  <c r="N75"/>
  <c r="P75"/>
  <c r="T75"/>
  <c r="C79"/>
  <c r="R79"/>
  <c r="S79" s="1"/>
  <c r="U79"/>
  <c r="F41" i="145" s="1"/>
  <c r="G41" s="1"/>
  <c r="D10" i="143"/>
  <c r="E10" s="1"/>
  <c r="J10"/>
  <c r="K10" s="1"/>
  <c r="D11"/>
  <c r="E11" s="1"/>
  <c r="J11"/>
  <c r="K11" s="1"/>
  <c r="D12"/>
  <c r="E12" s="1"/>
  <c r="J12"/>
  <c r="K12" s="1"/>
  <c r="D13"/>
  <c r="E13" s="1"/>
  <c r="J13"/>
  <c r="K13" s="1"/>
  <c r="D14"/>
  <c r="E14" s="1"/>
  <c r="J14"/>
  <c r="K14" s="1"/>
  <c r="B15"/>
  <c r="B23" s="1"/>
  <c r="C15"/>
  <c r="C23" s="1"/>
  <c r="H15"/>
  <c r="H23" s="1"/>
  <c r="I15"/>
  <c r="D17"/>
  <c r="J17"/>
  <c r="D19"/>
  <c r="E19" s="1"/>
  <c r="J19"/>
  <c r="K19" s="1"/>
  <c r="D20"/>
  <c r="E20" s="1"/>
  <c r="J20"/>
  <c r="K20" s="1"/>
  <c r="D21"/>
  <c r="J21"/>
  <c r="D22"/>
  <c r="E22" s="1"/>
  <c r="J22"/>
  <c r="K22" s="1"/>
  <c r="I23"/>
  <c r="D27"/>
  <c r="E27" s="1"/>
  <c r="J27"/>
  <c r="K27" s="1"/>
  <c r="D28"/>
  <c r="E28" s="1"/>
  <c r="J28"/>
  <c r="K28" s="1"/>
  <c r="D29"/>
  <c r="E29" s="1"/>
  <c r="J29"/>
  <c r="K29" s="1"/>
  <c r="B30"/>
  <c r="G69" i="432" s="1"/>
  <c r="C30" i="143"/>
  <c r="H30"/>
  <c r="I30"/>
  <c r="D33"/>
  <c r="J33"/>
  <c r="D34"/>
  <c r="J34"/>
  <c r="D35"/>
  <c r="E35" s="1"/>
  <c r="J35"/>
  <c r="K35" s="1"/>
  <c r="B36"/>
  <c r="C36"/>
  <c r="H36"/>
  <c r="I36"/>
  <c r="D39"/>
  <c r="J39"/>
  <c r="D40"/>
  <c r="J40"/>
  <c r="D41"/>
  <c r="E41" s="1"/>
  <c r="J41"/>
  <c r="K41" s="1"/>
  <c r="B42"/>
  <c r="C42"/>
  <c r="H42"/>
  <c r="I42"/>
  <c r="D44"/>
  <c r="E44" s="1"/>
  <c r="J44"/>
  <c r="K44" s="1"/>
  <c r="H45"/>
  <c r="J48"/>
  <c r="K48" s="1"/>
  <c r="D49"/>
  <c r="J49"/>
  <c r="D50"/>
  <c r="J50"/>
  <c r="D51"/>
  <c r="J51"/>
  <c r="B52"/>
  <c r="H52"/>
  <c r="I52"/>
  <c r="B10" i="142"/>
  <c r="D10"/>
  <c r="F10"/>
  <c r="H10"/>
  <c r="J10"/>
  <c r="L10"/>
  <c r="N10"/>
  <c r="P10"/>
  <c r="B11"/>
  <c r="D11"/>
  <c r="F11"/>
  <c r="H11"/>
  <c r="J11"/>
  <c r="L11"/>
  <c r="N11"/>
  <c r="P11"/>
  <c r="B12"/>
  <c r="D12"/>
  <c r="F12"/>
  <c r="H12"/>
  <c r="J12"/>
  <c r="L12"/>
  <c r="N12"/>
  <c r="P12"/>
  <c r="B13"/>
  <c r="D13"/>
  <c r="F13"/>
  <c r="H13"/>
  <c r="J13"/>
  <c r="L13"/>
  <c r="N13"/>
  <c r="P13"/>
  <c r="B14"/>
  <c r="D14"/>
  <c r="F14"/>
  <c r="H14"/>
  <c r="J14"/>
  <c r="L14"/>
  <c r="N14"/>
  <c r="P14"/>
  <c r="N15"/>
  <c r="B17"/>
  <c r="D17"/>
  <c r="F17"/>
  <c r="H17"/>
  <c r="J17"/>
  <c r="L17"/>
  <c r="N17"/>
  <c r="P17"/>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D29"/>
  <c r="F29"/>
  <c r="H29"/>
  <c r="J29"/>
  <c r="L29"/>
  <c r="N29"/>
  <c r="P29"/>
  <c r="B33"/>
  <c r="D33"/>
  <c r="F33"/>
  <c r="H33"/>
  <c r="J33"/>
  <c r="L33"/>
  <c r="N33"/>
  <c r="P33"/>
  <c r="B34"/>
  <c r="D34"/>
  <c r="F34"/>
  <c r="H34"/>
  <c r="J34"/>
  <c r="L34"/>
  <c r="N34"/>
  <c r="P34"/>
  <c r="B35"/>
  <c r="D35"/>
  <c r="F35"/>
  <c r="H35"/>
  <c r="J35"/>
  <c r="L35"/>
  <c r="N35"/>
  <c r="P35"/>
  <c r="B39"/>
  <c r="D39"/>
  <c r="F39"/>
  <c r="H39"/>
  <c r="J39"/>
  <c r="L39"/>
  <c r="N39"/>
  <c r="P39"/>
  <c r="B40"/>
  <c r="D40"/>
  <c r="F40"/>
  <c r="H40"/>
  <c r="J40"/>
  <c r="L40"/>
  <c r="N40"/>
  <c r="P40"/>
  <c r="B41"/>
  <c r="D41"/>
  <c r="F41"/>
  <c r="H41"/>
  <c r="J41"/>
  <c r="L41"/>
  <c r="N41"/>
  <c r="P41"/>
  <c r="B44"/>
  <c r="D44"/>
  <c r="F44"/>
  <c r="H44"/>
  <c r="J44"/>
  <c r="L44"/>
  <c r="N44"/>
  <c r="P44"/>
  <c r="B48"/>
  <c r="D48"/>
  <c r="F48"/>
  <c r="H48"/>
  <c r="J48"/>
  <c r="L48"/>
  <c r="N48"/>
  <c r="P48"/>
  <c r="B49"/>
  <c r="D49"/>
  <c r="F49"/>
  <c r="H49"/>
  <c r="J49"/>
  <c r="L49"/>
  <c r="N49"/>
  <c r="P49"/>
  <c r="B50"/>
  <c r="D50"/>
  <c r="F50"/>
  <c r="H50"/>
  <c r="J50"/>
  <c r="L50"/>
  <c r="N50"/>
  <c r="P50"/>
  <c r="B51"/>
  <c r="D51"/>
  <c r="F51"/>
  <c r="H51"/>
  <c r="J51"/>
  <c r="L51"/>
  <c r="N51"/>
  <c r="P51"/>
  <c r="K10" i="141"/>
  <c r="M10"/>
  <c r="O10"/>
  <c r="K11"/>
  <c r="M11"/>
  <c r="O11"/>
  <c r="K12"/>
  <c r="M12"/>
  <c r="O12"/>
  <c r="K13"/>
  <c r="M13"/>
  <c r="O13"/>
  <c r="K14"/>
  <c r="M14"/>
  <c r="O14"/>
  <c r="B15"/>
  <c r="D15"/>
  <c r="F15"/>
  <c r="H15"/>
  <c r="D76" i="432" s="1"/>
  <c r="J15" i="141"/>
  <c r="L15"/>
  <c r="L23" s="1"/>
  <c r="B48" i="182" s="1"/>
  <c r="N15" i="141"/>
  <c r="P15"/>
  <c r="O17"/>
  <c r="B19" i="142"/>
  <c r="K19" i="141"/>
  <c r="M19"/>
  <c r="O19"/>
  <c r="K20"/>
  <c r="M20"/>
  <c r="O20"/>
  <c r="K21"/>
  <c r="M21"/>
  <c r="O21"/>
  <c r="K22"/>
  <c r="M22"/>
  <c r="O22"/>
  <c r="J23"/>
  <c r="N23"/>
  <c r="N11" i="140" s="1"/>
  <c r="K27" i="141"/>
  <c r="M27"/>
  <c r="O27"/>
  <c r="K28"/>
  <c r="M28"/>
  <c r="O28"/>
  <c r="K29"/>
  <c r="M29"/>
  <c r="O29"/>
  <c r="B30"/>
  <c r="D30"/>
  <c r="F30"/>
  <c r="H30"/>
  <c r="J30"/>
  <c r="J30" i="182" s="1"/>
  <c r="L30" i="141"/>
  <c r="N30"/>
  <c r="P30"/>
  <c r="P14" i="140" s="1"/>
  <c r="K35" i="141"/>
  <c r="M35"/>
  <c r="O35"/>
  <c r="B36"/>
  <c r="D36"/>
  <c r="F36"/>
  <c r="H36"/>
  <c r="J36"/>
  <c r="L36"/>
  <c r="N36"/>
  <c r="P36"/>
  <c r="K41"/>
  <c r="M41"/>
  <c r="O41"/>
  <c r="B42"/>
  <c r="D42"/>
  <c r="F42"/>
  <c r="H42"/>
  <c r="J42"/>
  <c r="L42"/>
  <c r="N42"/>
  <c r="P42"/>
  <c r="K44"/>
  <c r="M44"/>
  <c r="O44"/>
  <c r="K48"/>
  <c r="M48"/>
  <c r="O48"/>
  <c r="K49"/>
  <c r="M49"/>
  <c r="O49"/>
  <c r="K51"/>
  <c r="M51"/>
  <c r="O51"/>
  <c r="B52"/>
  <c r="D52"/>
  <c r="F52"/>
  <c r="H52"/>
  <c r="M76" i="432" s="1"/>
  <c r="J52" i="141"/>
  <c r="L52"/>
  <c r="L15" i="140" s="1"/>
  <c r="N52" i="141"/>
  <c r="P52"/>
  <c r="P15" i="140" s="1"/>
  <c r="K61" i="141"/>
  <c r="M61"/>
  <c r="O61"/>
  <c r="K62"/>
  <c r="M62"/>
  <c r="O62"/>
  <c r="K63"/>
  <c r="M63"/>
  <c r="O63"/>
  <c r="O98"/>
  <c r="O108"/>
  <c r="O118" s="1"/>
  <c r="O174"/>
  <c r="J11" i="140"/>
  <c r="B12"/>
  <c r="D12"/>
  <c r="F12"/>
  <c r="H12"/>
  <c r="J12"/>
  <c r="L12"/>
  <c r="N12"/>
  <c r="P12"/>
  <c r="B13"/>
  <c r="D13"/>
  <c r="F13"/>
  <c r="H13"/>
  <c r="J13"/>
  <c r="I13" s="1"/>
  <c r="L13"/>
  <c r="N13"/>
  <c r="P13"/>
  <c r="B14"/>
  <c r="D14"/>
  <c r="F14"/>
  <c r="H14"/>
  <c r="J14"/>
  <c r="I14" s="1"/>
  <c r="L14"/>
  <c r="B15"/>
  <c r="N15"/>
  <c r="D24"/>
  <c r="H24"/>
  <c r="L24"/>
  <c r="B25"/>
  <c r="D25"/>
  <c r="F25"/>
  <c r="H25"/>
  <c r="J25"/>
  <c r="L25"/>
  <c r="N25"/>
  <c r="P25"/>
  <c r="R25"/>
  <c r="T25"/>
  <c r="B26"/>
  <c r="D26"/>
  <c r="F26"/>
  <c r="H26"/>
  <c r="J26"/>
  <c r="L26"/>
  <c r="P26"/>
  <c r="T26"/>
  <c r="B49"/>
  <c r="N49" s="1"/>
  <c r="B52"/>
  <c r="N52" s="1"/>
  <c r="B55"/>
  <c r="N55" s="1"/>
  <c r="O59"/>
  <c r="O61"/>
  <c r="B66"/>
  <c r="O66"/>
  <c r="O68"/>
  <c r="B70"/>
  <c r="O70"/>
  <c r="O76"/>
  <c r="D12" i="139"/>
  <c r="I12"/>
  <c r="K12"/>
  <c r="D13"/>
  <c r="D14"/>
  <c r="I14"/>
  <c r="K14"/>
  <c r="H15"/>
  <c r="H17" s="1"/>
  <c r="J15"/>
  <c r="J17" s="1"/>
  <c r="L15"/>
  <c r="I16"/>
  <c r="K16"/>
  <c r="L17"/>
  <c r="D20"/>
  <c r="I20"/>
  <c r="K20"/>
  <c r="I21"/>
  <c r="K21"/>
  <c r="D22"/>
  <c r="I22"/>
  <c r="K22"/>
  <c r="H23"/>
  <c r="J23"/>
  <c r="L23"/>
  <c r="D27"/>
  <c r="I27"/>
  <c r="K27"/>
  <c r="D33"/>
  <c r="I33"/>
  <c r="K33"/>
  <c r="D34"/>
  <c r="I34"/>
  <c r="K34"/>
  <c r="D35"/>
  <c r="I35"/>
  <c r="K35"/>
  <c r="I36"/>
  <c r="K36"/>
  <c r="H37"/>
  <c r="J37"/>
  <c r="L37"/>
  <c r="D41"/>
  <c r="I41"/>
  <c r="K41"/>
  <c r="B10" i="138"/>
  <c r="I11" i="51" s="1"/>
  <c r="D10" i="138"/>
  <c r="F10"/>
  <c r="F13" s="1"/>
  <c r="H10"/>
  <c r="J10"/>
  <c r="L10"/>
  <c r="M10"/>
  <c r="N10"/>
  <c r="P10"/>
  <c r="B11"/>
  <c r="I12" i="51" s="1"/>
  <c r="D11" i="138"/>
  <c r="F11"/>
  <c r="H11"/>
  <c r="J11"/>
  <c r="I54" i="51" s="1"/>
  <c r="L11" i="138"/>
  <c r="N11"/>
  <c r="P11"/>
  <c r="B12"/>
  <c r="I13" i="51" s="1"/>
  <c r="D12" i="138"/>
  <c r="F12"/>
  <c r="H12"/>
  <c r="J12"/>
  <c r="I55" i="51" s="1"/>
  <c r="L12" i="138"/>
  <c r="N12"/>
  <c r="P12"/>
  <c r="J55" i="51" s="1"/>
  <c r="B14" i="138"/>
  <c r="I15" i="51" s="1"/>
  <c r="D14" i="138"/>
  <c r="F14"/>
  <c r="H14"/>
  <c r="J14"/>
  <c r="I57" i="51" s="1"/>
  <c r="L14" i="138"/>
  <c r="N14"/>
  <c r="P14"/>
  <c r="B18"/>
  <c r="I19" i="51" s="1"/>
  <c r="D18" i="138"/>
  <c r="F18"/>
  <c r="H18"/>
  <c r="J18"/>
  <c r="I61" i="51" s="1"/>
  <c r="L18" i="138"/>
  <c r="N18"/>
  <c r="P18"/>
  <c r="B19"/>
  <c r="I20" i="51" s="1"/>
  <c r="D19" i="138"/>
  <c r="F19"/>
  <c r="H19"/>
  <c r="J19"/>
  <c r="I62" i="51" s="1"/>
  <c r="L19" i="138"/>
  <c r="N19"/>
  <c r="P19"/>
  <c r="B20"/>
  <c r="I21" i="51" s="1"/>
  <c r="D20" i="138"/>
  <c r="F20"/>
  <c r="H20"/>
  <c r="J20"/>
  <c r="I63" i="51" s="1"/>
  <c r="L20" i="138"/>
  <c r="N20"/>
  <c r="P20"/>
  <c r="B21"/>
  <c r="I109" i="51" s="1"/>
  <c r="D21" i="138"/>
  <c r="F21"/>
  <c r="B25"/>
  <c r="I26" i="51" s="1"/>
  <c r="D25" i="138"/>
  <c r="F25"/>
  <c r="H25"/>
  <c r="J25"/>
  <c r="I68" i="51" s="1"/>
  <c r="L25" i="138"/>
  <c r="N25"/>
  <c r="P25"/>
  <c r="B31"/>
  <c r="I32" i="51" s="1"/>
  <c r="D31" i="138"/>
  <c r="F31"/>
  <c r="H31"/>
  <c r="J31"/>
  <c r="I74" i="51" s="1"/>
  <c r="L31" i="138"/>
  <c r="N31"/>
  <c r="P31"/>
  <c r="B32"/>
  <c r="I33" i="51" s="1"/>
  <c r="D32" i="138"/>
  <c r="F32"/>
  <c r="H32"/>
  <c r="J32"/>
  <c r="I75" i="51" s="1"/>
  <c r="L32" i="138"/>
  <c r="N32"/>
  <c r="P32"/>
  <c r="B33"/>
  <c r="I34" i="51" s="1"/>
  <c r="D33" i="138"/>
  <c r="F33"/>
  <c r="H33"/>
  <c r="J33"/>
  <c r="I76" i="51" s="1"/>
  <c r="L33" i="138"/>
  <c r="N33"/>
  <c r="P33"/>
  <c r="B34"/>
  <c r="I35" i="51" s="1"/>
  <c r="D34" i="138"/>
  <c r="F34"/>
  <c r="H34"/>
  <c r="J34"/>
  <c r="I77" i="51" s="1"/>
  <c r="L34" i="138"/>
  <c r="N34"/>
  <c r="P34"/>
  <c r="N35"/>
  <c r="B39"/>
  <c r="I40" i="51" s="1"/>
  <c r="D39" i="138"/>
  <c r="F39"/>
  <c r="H39"/>
  <c r="J39"/>
  <c r="I82" i="51" s="1"/>
  <c r="L39" i="138"/>
  <c r="N39"/>
  <c r="P39"/>
  <c r="U49"/>
  <c r="C50"/>
  <c r="R50"/>
  <c r="B12" i="139" s="1"/>
  <c r="C12" s="1"/>
  <c r="U50" i="138"/>
  <c r="F12" i="139" s="1"/>
  <c r="R51" i="138"/>
  <c r="B13" i="139" s="1"/>
  <c r="U51" i="138"/>
  <c r="F13" i="139" s="1"/>
  <c r="C52" i="138"/>
  <c r="R52"/>
  <c r="S52" s="1"/>
  <c r="U52"/>
  <c r="F14" i="139" s="1"/>
  <c r="G14" s="1"/>
  <c r="B53" i="138"/>
  <c r="B55" s="1"/>
  <c r="D53"/>
  <c r="F53"/>
  <c r="H53"/>
  <c r="J53"/>
  <c r="L53"/>
  <c r="N53"/>
  <c r="P53"/>
  <c r="P55" s="1"/>
  <c r="P23" i="134" s="1"/>
  <c r="T53" i="138"/>
  <c r="C54"/>
  <c r="R54"/>
  <c r="B16" i="139" s="1"/>
  <c r="U54" i="138"/>
  <c r="F16" i="139" s="1"/>
  <c r="G16" s="1"/>
  <c r="F55" i="138"/>
  <c r="H55"/>
  <c r="C58"/>
  <c r="R58"/>
  <c r="B20" i="139" s="1"/>
  <c r="U58" i="138"/>
  <c r="F20" i="139" s="1"/>
  <c r="C59" i="138"/>
  <c r="R59"/>
  <c r="B21" i="139" s="1"/>
  <c r="U59" i="138"/>
  <c r="C60"/>
  <c r="R60"/>
  <c r="B22" i="139" s="1"/>
  <c r="U60" i="138"/>
  <c r="B61"/>
  <c r="D61"/>
  <c r="F61"/>
  <c r="H61"/>
  <c r="J61"/>
  <c r="L61"/>
  <c r="N61"/>
  <c r="P61"/>
  <c r="C65"/>
  <c r="R65"/>
  <c r="B27" i="139" s="1"/>
  <c r="C27" s="1"/>
  <c r="U65" i="138"/>
  <c r="F27" i="139" s="1"/>
  <c r="G27" s="1"/>
  <c r="C71" i="138"/>
  <c r="R71"/>
  <c r="B33" i="139" s="1"/>
  <c r="U71" i="138"/>
  <c r="F33" i="139" s="1"/>
  <c r="G33" s="1"/>
  <c r="C72" i="138"/>
  <c r="R72"/>
  <c r="B34" i="139" s="1"/>
  <c r="C34" s="1"/>
  <c r="U72" i="138"/>
  <c r="C73"/>
  <c r="R73"/>
  <c r="B35" i="139" s="1"/>
  <c r="C35" s="1"/>
  <c r="U73" i="138"/>
  <c r="F35" i="139" s="1"/>
  <c r="G35" s="1"/>
  <c r="C74" i="138"/>
  <c r="R74"/>
  <c r="B36" i="139" s="1"/>
  <c r="U74" i="138"/>
  <c r="F36" i="139" s="1"/>
  <c r="G36" s="1"/>
  <c r="B75" i="138"/>
  <c r="D75"/>
  <c r="F75"/>
  <c r="H75"/>
  <c r="J75"/>
  <c r="L75"/>
  <c r="N75"/>
  <c r="P75"/>
  <c r="T75"/>
  <c r="T26" i="134" s="1"/>
  <c r="C79" i="138"/>
  <c r="R79"/>
  <c r="S79" s="1"/>
  <c r="U79"/>
  <c r="F41" i="139" s="1"/>
  <c r="G41" s="1"/>
  <c r="D10" i="137"/>
  <c r="E10" s="1"/>
  <c r="J10"/>
  <c r="K10" s="1"/>
  <c r="D11"/>
  <c r="E11" s="1"/>
  <c r="J11"/>
  <c r="K11" s="1"/>
  <c r="D12"/>
  <c r="E12" s="1"/>
  <c r="J12"/>
  <c r="K12" s="1"/>
  <c r="D13"/>
  <c r="E13" s="1"/>
  <c r="J13"/>
  <c r="K13" s="1"/>
  <c r="D14"/>
  <c r="E14" s="1"/>
  <c r="J14"/>
  <c r="K14" s="1"/>
  <c r="B15"/>
  <c r="C15"/>
  <c r="H15"/>
  <c r="I15"/>
  <c r="D17"/>
  <c r="J17"/>
  <c r="D19"/>
  <c r="E19" s="1"/>
  <c r="J19"/>
  <c r="K19" s="1"/>
  <c r="D20"/>
  <c r="E20" s="1"/>
  <c r="J20"/>
  <c r="K20" s="1"/>
  <c r="D21"/>
  <c r="J21"/>
  <c r="D22"/>
  <c r="E22" s="1"/>
  <c r="J22"/>
  <c r="K22" s="1"/>
  <c r="H23"/>
  <c r="I23"/>
  <c r="D27"/>
  <c r="E27" s="1"/>
  <c r="J27"/>
  <c r="K27" s="1"/>
  <c r="D28"/>
  <c r="E28" s="1"/>
  <c r="J28"/>
  <c r="K28" s="1"/>
  <c r="D29"/>
  <c r="E29" s="1"/>
  <c r="J29"/>
  <c r="K29" s="1"/>
  <c r="B30"/>
  <c r="I69" i="432" s="1"/>
  <c r="J69" s="1"/>
  <c r="C30" i="137"/>
  <c r="H30"/>
  <c r="I30"/>
  <c r="J30" s="1"/>
  <c r="K30" s="1"/>
  <c r="D33"/>
  <c r="J33"/>
  <c r="D34"/>
  <c r="J34"/>
  <c r="D35"/>
  <c r="E35" s="1"/>
  <c r="J35"/>
  <c r="K35" s="1"/>
  <c r="B36"/>
  <c r="C36"/>
  <c r="H36"/>
  <c r="I36"/>
  <c r="D39"/>
  <c r="J39"/>
  <c r="K39" s="1"/>
  <c r="D40"/>
  <c r="J40"/>
  <c r="D41"/>
  <c r="J41"/>
  <c r="B42"/>
  <c r="C42"/>
  <c r="H42"/>
  <c r="I42"/>
  <c r="D44"/>
  <c r="E44" s="1"/>
  <c r="J44"/>
  <c r="K44" s="1"/>
  <c r="H45"/>
  <c r="J48"/>
  <c r="K48" s="1"/>
  <c r="D49"/>
  <c r="J49"/>
  <c r="D51"/>
  <c r="J51"/>
  <c r="B52"/>
  <c r="H52"/>
  <c r="I52"/>
  <c r="J52" s="1"/>
  <c r="B10" i="136"/>
  <c r="D10"/>
  <c r="F10"/>
  <c r="H10"/>
  <c r="J10"/>
  <c r="L10"/>
  <c r="N10"/>
  <c r="P10"/>
  <c r="B11"/>
  <c r="D11"/>
  <c r="F11"/>
  <c r="H11"/>
  <c r="J11"/>
  <c r="L11"/>
  <c r="N11"/>
  <c r="P11"/>
  <c r="B12"/>
  <c r="D12"/>
  <c r="F12"/>
  <c r="H12"/>
  <c r="J12"/>
  <c r="L12"/>
  <c r="N12"/>
  <c r="P12"/>
  <c r="B13"/>
  <c r="D13"/>
  <c r="F13"/>
  <c r="H13"/>
  <c r="J13"/>
  <c r="L13"/>
  <c r="N13"/>
  <c r="P13"/>
  <c r="B14"/>
  <c r="D14"/>
  <c r="F14"/>
  <c r="H14"/>
  <c r="J14"/>
  <c r="L14"/>
  <c r="N14"/>
  <c r="P14"/>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D29"/>
  <c r="F29"/>
  <c r="H29"/>
  <c r="J29"/>
  <c r="L29"/>
  <c r="N29"/>
  <c r="P29"/>
  <c r="B33"/>
  <c r="J33"/>
  <c r="L33"/>
  <c r="N33"/>
  <c r="P33"/>
  <c r="B34"/>
  <c r="J34"/>
  <c r="L34"/>
  <c r="N34"/>
  <c r="P34"/>
  <c r="B35"/>
  <c r="D35"/>
  <c r="F35"/>
  <c r="H35"/>
  <c r="J35"/>
  <c r="L35"/>
  <c r="N35"/>
  <c r="P35"/>
  <c r="P36" s="1"/>
  <c r="B39"/>
  <c r="D39"/>
  <c r="F39"/>
  <c r="H39"/>
  <c r="J39"/>
  <c r="L39"/>
  <c r="N39"/>
  <c r="P39"/>
  <c r="B40"/>
  <c r="D40"/>
  <c r="F40"/>
  <c r="H40"/>
  <c r="J40"/>
  <c r="L40"/>
  <c r="N40"/>
  <c r="P40"/>
  <c r="B41"/>
  <c r="D41"/>
  <c r="F41"/>
  <c r="H41"/>
  <c r="J41"/>
  <c r="L41"/>
  <c r="N41"/>
  <c r="P41"/>
  <c r="B44"/>
  <c r="D44"/>
  <c r="F44"/>
  <c r="H44"/>
  <c r="J44"/>
  <c r="L44"/>
  <c r="N44"/>
  <c r="P44"/>
  <c r="B48"/>
  <c r="D48"/>
  <c r="F48"/>
  <c r="H48"/>
  <c r="J48"/>
  <c r="L48"/>
  <c r="N48"/>
  <c r="P48"/>
  <c r="B49"/>
  <c r="D49"/>
  <c r="F49"/>
  <c r="H49"/>
  <c r="J49"/>
  <c r="L49"/>
  <c r="N49"/>
  <c r="P49"/>
  <c r="B50"/>
  <c r="D50"/>
  <c r="F50"/>
  <c r="H50"/>
  <c r="J50"/>
  <c r="L50"/>
  <c r="N50"/>
  <c r="P50"/>
  <c r="B51"/>
  <c r="D51"/>
  <c r="F51"/>
  <c r="H51"/>
  <c r="J51"/>
  <c r="L51"/>
  <c r="N51"/>
  <c r="P51"/>
  <c r="J52"/>
  <c r="K10" i="135"/>
  <c r="M10"/>
  <c r="O10"/>
  <c r="K11"/>
  <c r="M11"/>
  <c r="O11"/>
  <c r="K12"/>
  <c r="M12"/>
  <c r="O12"/>
  <c r="K13"/>
  <c r="M13"/>
  <c r="O13"/>
  <c r="K14"/>
  <c r="M14"/>
  <c r="O14"/>
  <c r="B15"/>
  <c r="D83" i="41" s="1"/>
  <c r="D15" i="135"/>
  <c r="F15"/>
  <c r="H15"/>
  <c r="D83" i="432" s="1"/>
  <c r="J15" i="135"/>
  <c r="J23" s="1"/>
  <c r="L15"/>
  <c r="N15"/>
  <c r="P15"/>
  <c r="P23" s="1"/>
  <c r="P11" i="134" s="1"/>
  <c r="K19" i="135"/>
  <c r="M19"/>
  <c r="O19"/>
  <c r="K20"/>
  <c r="M20"/>
  <c r="O20"/>
  <c r="K21"/>
  <c r="M21"/>
  <c r="O21"/>
  <c r="K22"/>
  <c r="M22"/>
  <c r="O22"/>
  <c r="B23"/>
  <c r="D23"/>
  <c r="F23"/>
  <c r="F11" i="134" s="1"/>
  <c r="L23" i="135"/>
  <c r="B54" i="182" s="1"/>
  <c r="K27" i="135"/>
  <c r="M27"/>
  <c r="O27"/>
  <c r="K28"/>
  <c r="M28"/>
  <c r="O28"/>
  <c r="K29"/>
  <c r="M29"/>
  <c r="O29"/>
  <c r="B30"/>
  <c r="D30"/>
  <c r="D14" i="134" s="1"/>
  <c r="F30" i="135"/>
  <c r="H30"/>
  <c r="H14" i="134" s="1"/>
  <c r="J30" i="135"/>
  <c r="J36" i="182" s="1"/>
  <c r="L30" i="135"/>
  <c r="J55" i="182" s="1"/>
  <c r="N30" i="135"/>
  <c r="P30"/>
  <c r="D33"/>
  <c r="F33"/>
  <c r="H33"/>
  <c r="D34"/>
  <c r="D34" i="136" s="1"/>
  <c r="F34" i="135"/>
  <c r="J33" i="385"/>
  <c r="H34" i="135"/>
  <c r="K35"/>
  <c r="M35"/>
  <c r="O35"/>
  <c r="B36"/>
  <c r="H36"/>
  <c r="J36"/>
  <c r="L36"/>
  <c r="N36"/>
  <c r="P36"/>
  <c r="K39"/>
  <c r="M39"/>
  <c r="O39"/>
  <c r="K41"/>
  <c r="M41"/>
  <c r="O41"/>
  <c r="B42"/>
  <c r="D42"/>
  <c r="F42"/>
  <c r="H42"/>
  <c r="J42"/>
  <c r="L42"/>
  <c r="N42"/>
  <c r="P42"/>
  <c r="P45" s="1"/>
  <c r="K44"/>
  <c r="M44"/>
  <c r="O44"/>
  <c r="K48"/>
  <c r="M48"/>
  <c r="O48"/>
  <c r="K49"/>
  <c r="M49"/>
  <c r="O49"/>
  <c r="K51"/>
  <c r="M51"/>
  <c r="O51"/>
  <c r="B52"/>
  <c r="D52"/>
  <c r="D15" i="134" s="1"/>
  <c r="F52" i="135"/>
  <c r="H52"/>
  <c r="J52"/>
  <c r="L52"/>
  <c r="N52"/>
  <c r="P52"/>
  <c r="P15" i="134" s="1"/>
  <c r="J53" i="135"/>
  <c r="L53"/>
  <c r="K61"/>
  <c r="M61"/>
  <c r="O61"/>
  <c r="K62"/>
  <c r="M62"/>
  <c r="O62"/>
  <c r="K63"/>
  <c r="M63"/>
  <c r="O63"/>
  <c r="B12" i="134"/>
  <c r="D12"/>
  <c r="F12"/>
  <c r="H12"/>
  <c r="J12"/>
  <c r="L12"/>
  <c r="N12"/>
  <c r="P12"/>
  <c r="B13"/>
  <c r="D13"/>
  <c r="F13"/>
  <c r="H13"/>
  <c r="J13"/>
  <c r="I13" s="1"/>
  <c r="L13"/>
  <c r="N13"/>
  <c r="P13"/>
  <c r="B14"/>
  <c r="F14"/>
  <c r="J14"/>
  <c r="I14" s="1"/>
  <c r="N14"/>
  <c r="J15"/>
  <c r="N15"/>
  <c r="H23"/>
  <c r="B24"/>
  <c r="D24"/>
  <c r="F24"/>
  <c r="H24"/>
  <c r="J24"/>
  <c r="L24"/>
  <c r="P24"/>
  <c r="B25"/>
  <c r="D25"/>
  <c r="F25"/>
  <c r="H25"/>
  <c r="J25"/>
  <c r="L25"/>
  <c r="N25"/>
  <c r="P25"/>
  <c r="T25"/>
  <c r="D26"/>
  <c r="H26"/>
  <c r="L26"/>
  <c r="P26"/>
  <c r="B43"/>
  <c r="N43" s="1"/>
  <c r="B48"/>
  <c r="N48" s="1"/>
  <c r="B51"/>
  <c r="N51" s="1"/>
  <c r="O58"/>
  <c r="O60"/>
  <c r="O65"/>
  <c r="O67"/>
  <c r="B69"/>
  <c r="O69"/>
  <c r="O75"/>
  <c r="D12" i="133"/>
  <c r="I12"/>
  <c r="K12"/>
  <c r="D13"/>
  <c r="I13"/>
  <c r="K13"/>
  <c r="D14"/>
  <c r="I14"/>
  <c r="K14"/>
  <c r="H15"/>
  <c r="J15"/>
  <c r="L15"/>
  <c r="D16"/>
  <c r="I16"/>
  <c r="K16"/>
  <c r="H17"/>
  <c r="J17"/>
  <c r="L17"/>
  <c r="D20"/>
  <c r="I20"/>
  <c r="K20"/>
  <c r="D21"/>
  <c r="I21"/>
  <c r="K21"/>
  <c r="D22"/>
  <c r="I22"/>
  <c r="K22"/>
  <c r="H23"/>
  <c r="B58" i="324" s="1"/>
  <c r="J23" i="133"/>
  <c r="L23"/>
  <c r="J25"/>
  <c r="D27"/>
  <c r="I27"/>
  <c r="K27"/>
  <c r="D33"/>
  <c r="I33"/>
  <c r="K33"/>
  <c r="D34"/>
  <c r="I34"/>
  <c r="K34"/>
  <c r="D35"/>
  <c r="I35"/>
  <c r="K35"/>
  <c r="D36"/>
  <c r="I36"/>
  <c r="K36"/>
  <c r="H37"/>
  <c r="B60" i="324" s="1"/>
  <c r="J37" i="133"/>
  <c r="L37"/>
  <c r="D41"/>
  <c r="I41"/>
  <c r="K41"/>
  <c r="B10" i="132"/>
  <c r="F11" i="51" s="1"/>
  <c r="D10" i="132"/>
  <c r="F10"/>
  <c r="H10"/>
  <c r="J10"/>
  <c r="F53" i="51" s="1"/>
  <c r="L10" i="132"/>
  <c r="N10"/>
  <c r="O10" s="1"/>
  <c r="P10"/>
  <c r="B11"/>
  <c r="F12" i="51" s="1"/>
  <c r="D11" i="132"/>
  <c r="F11"/>
  <c r="H11"/>
  <c r="J11"/>
  <c r="L11"/>
  <c r="N11"/>
  <c r="P11"/>
  <c r="B12"/>
  <c r="F13" i="51" s="1"/>
  <c r="D12" i="132"/>
  <c r="F12"/>
  <c r="H12"/>
  <c r="J12"/>
  <c r="L12"/>
  <c r="N12"/>
  <c r="P12"/>
  <c r="B14"/>
  <c r="F15" i="51" s="1"/>
  <c r="D14" i="132"/>
  <c r="F14"/>
  <c r="H14"/>
  <c r="J14"/>
  <c r="F57" i="51" s="1"/>
  <c r="L14" i="132"/>
  <c r="N14"/>
  <c r="P14"/>
  <c r="B18"/>
  <c r="F19" i="51" s="1"/>
  <c r="D18" i="132"/>
  <c r="F18"/>
  <c r="H18"/>
  <c r="J18"/>
  <c r="F61" i="51" s="1"/>
  <c r="L18" i="132"/>
  <c r="N18"/>
  <c r="P18"/>
  <c r="B19"/>
  <c r="F20" i="51" s="1"/>
  <c r="D19" i="132"/>
  <c r="F19"/>
  <c r="H19"/>
  <c r="J19"/>
  <c r="F62" i="51" s="1"/>
  <c r="L19" i="132"/>
  <c r="N19"/>
  <c r="P19"/>
  <c r="B20"/>
  <c r="F21" i="51" s="1"/>
  <c r="D20" i="132"/>
  <c r="F20"/>
  <c r="H20"/>
  <c r="J20"/>
  <c r="F63" i="51" s="1"/>
  <c r="L20" i="132"/>
  <c r="N20"/>
  <c r="P20"/>
  <c r="B25"/>
  <c r="F26" i="51" s="1"/>
  <c r="D25" i="132"/>
  <c r="F25"/>
  <c r="H25"/>
  <c r="J25"/>
  <c r="F68" i="51" s="1"/>
  <c r="L25" i="132"/>
  <c r="N25"/>
  <c r="P25"/>
  <c r="B31"/>
  <c r="F32" i="51" s="1"/>
  <c r="D31" i="132"/>
  <c r="F31"/>
  <c r="H31"/>
  <c r="J31"/>
  <c r="F74" i="51" s="1"/>
  <c r="L31" i="132"/>
  <c r="N31"/>
  <c r="O31" s="1"/>
  <c r="P31"/>
  <c r="B32"/>
  <c r="F33" i="51" s="1"/>
  <c r="D32" i="132"/>
  <c r="F32"/>
  <c r="H32"/>
  <c r="J32"/>
  <c r="L32"/>
  <c r="N32"/>
  <c r="O32" s="1"/>
  <c r="P32"/>
  <c r="B33"/>
  <c r="F34" i="51" s="1"/>
  <c r="D33" i="132"/>
  <c r="F33"/>
  <c r="H33"/>
  <c r="J33"/>
  <c r="L33"/>
  <c r="N33"/>
  <c r="P33"/>
  <c r="B34"/>
  <c r="F35" i="51" s="1"/>
  <c r="D34" i="132"/>
  <c r="F34"/>
  <c r="H34"/>
  <c r="J34"/>
  <c r="F77" i="51" s="1"/>
  <c r="L34" i="132"/>
  <c r="N34"/>
  <c r="P34"/>
  <c r="B39"/>
  <c r="F40" i="51" s="1"/>
  <c r="D39" i="132"/>
  <c r="F39"/>
  <c r="H39"/>
  <c r="J39"/>
  <c r="F82" i="51" s="1"/>
  <c r="L39" i="132"/>
  <c r="N39"/>
  <c r="P39"/>
  <c r="C50"/>
  <c r="R50"/>
  <c r="S50" s="1"/>
  <c r="U50"/>
  <c r="F12" i="133" s="1"/>
  <c r="G12" s="1"/>
  <c r="C51" i="132"/>
  <c r="R51"/>
  <c r="S51" s="1"/>
  <c r="U51"/>
  <c r="F13" i="133" s="1"/>
  <c r="C52" i="132"/>
  <c r="R52"/>
  <c r="S52" s="1"/>
  <c r="U52"/>
  <c r="F14" i="133" s="1"/>
  <c r="G14" s="1"/>
  <c r="B53" i="132"/>
  <c r="D53"/>
  <c r="D55" s="1"/>
  <c r="F53"/>
  <c r="H53"/>
  <c r="J53"/>
  <c r="L53"/>
  <c r="N53"/>
  <c r="P53"/>
  <c r="P55" s="1"/>
  <c r="P22" i="128" s="1"/>
  <c r="T53" i="132"/>
  <c r="T55" s="1"/>
  <c r="T22" i="128" s="1"/>
  <c r="C54" i="132"/>
  <c r="R54"/>
  <c r="B16" i="133" s="1"/>
  <c r="U54" i="132"/>
  <c r="F16" i="133" s="1"/>
  <c r="G16" s="1"/>
  <c r="C58" i="132"/>
  <c r="R58"/>
  <c r="B20" i="133" s="1"/>
  <c r="U58" i="132"/>
  <c r="C59"/>
  <c r="R59"/>
  <c r="B21" i="133" s="1"/>
  <c r="U59" i="132"/>
  <c r="C60"/>
  <c r="R60"/>
  <c r="S60" s="1"/>
  <c r="U60"/>
  <c r="F22" i="133" s="1"/>
  <c r="G22" s="1"/>
  <c r="B61" i="132"/>
  <c r="D61"/>
  <c r="D23" i="128" s="1"/>
  <c r="F61" i="132"/>
  <c r="H61"/>
  <c r="J61"/>
  <c r="L61"/>
  <c r="L23" i="128" s="1"/>
  <c r="N61" i="132"/>
  <c r="P61"/>
  <c r="T61"/>
  <c r="C65"/>
  <c r="R65"/>
  <c r="B27" i="133" s="1"/>
  <c r="U65" i="132"/>
  <c r="F27" i="133" s="1"/>
  <c r="C71" i="132"/>
  <c r="R71"/>
  <c r="B33" i="133" s="1"/>
  <c r="U71" i="132"/>
  <c r="F33" i="133" s="1"/>
  <c r="G33" s="1"/>
  <c r="C72" i="132"/>
  <c r="R72"/>
  <c r="B34" i="133" s="1"/>
  <c r="U72" i="132"/>
  <c r="F34" i="133" s="1"/>
  <c r="G34" s="1"/>
  <c r="C73" i="132"/>
  <c r="R73"/>
  <c r="B35" i="133" s="1"/>
  <c r="C35" s="1"/>
  <c r="U73" i="132"/>
  <c r="F35" i="133" s="1"/>
  <c r="G35" s="1"/>
  <c r="C74" i="132"/>
  <c r="R74"/>
  <c r="B36" i="133" s="1"/>
  <c r="U74" i="132"/>
  <c r="F36" i="133" s="1"/>
  <c r="B75" i="132"/>
  <c r="D75"/>
  <c r="F75"/>
  <c r="H75"/>
  <c r="H25" i="128" s="1"/>
  <c r="J75" i="132"/>
  <c r="L75"/>
  <c r="N75"/>
  <c r="P75"/>
  <c r="T75"/>
  <c r="R79"/>
  <c r="B41" i="133" s="1"/>
  <c r="U79" i="132"/>
  <c r="F41" i="133" s="1"/>
  <c r="G41" s="1"/>
  <c r="D10" i="131"/>
  <c r="E10" s="1"/>
  <c r="J10"/>
  <c r="K10" s="1"/>
  <c r="D11"/>
  <c r="E11" s="1"/>
  <c r="J11"/>
  <c r="K11" s="1"/>
  <c r="D12"/>
  <c r="E12" s="1"/>
  <c r="J12"/>
  <c r="K12" s="1"/>
  <c r="D13"/>
  <c r="E13" s="1"/>
  <c r="J13"/>
  <c r="K13" s="1"/>
  <c r="D14"/>
  <c r="E14" s="1"/>
  <c r="J14"/>
  <c r="K14" s="1"/>
  <c r="B15"/>
  <c r="B23" s="1"/>
  <c r="C15"/>
  <c r="H15"/>
  <c r="I15"/>
  <c r="D17"/>
  <c r="J17"/>
  <c r="D19"/>
  <c r="E19" s="1"/>
  <c r="J19"/>
  <c r="K19" s="1"/>
  <c r="D20"/>
  <c r="E20" s="1"/>
  <c r="J20"/>
  <c r="K20" s="1"/>
  <c r="D21"/>
  <c r="J21"/>
  <c r="D22"/>
  <c r="E22" s="1"/>
  <c r="J22"/>
  <c r="K22" s="1"/>
  <c r="H23"/>
  <c r="J27"/>
  <c r="K27" s="1"/>
  <c r="J28"/>
  <c r="K28" s="1"/>
  <c r="J29"/>
  <c r="K29" s="1"/>
  <c r="H30"/>
  <c r="I30"/>
  <c r="D33"/>
  <c r="J33"/>
  <c r="D34"/>
  <c r="J34"/>
  <c r="D35"/>
  <c r="E35" s="1"/>
  <c r="J35"/>
  <c r="K35" s="1"/>
  <c r="B36"/>
  <c r="C36"/>
  <c r="H36"/>
  <c r="I36"/>
  <c r="D39"/>
  <c r="J39"/>
  <c r="D40"/>
  <c r="E40" s="1"/>
  <c r="J40"/>
  <c r="K40" s="1"/>
  <c r="D41"/>
  <c r="E41" s="1"/>
  <c r="J41"/>
  <c r="K41" s="1"/>
  <c r="B42"/>
  <c r="C42"/>
  <c r="H42"/>
  <c r="I42"/>
  <c r="D44"/>
  <c r="E44" s="1"/>
  <c r="J44"/>
  <c r="K44" s="1"/>
  <c r="D48"/>
  <c r="E48" s="1"/>
  <c r="J48"/>
  <c r="K48" s="1"/>
  <c r="J49"/>
  <c r="D50"/>
  <c r="J50"/>
  <c r="J51"/>
  <c r="B52"/>
  <c r="H52"/>
  <c r="I52"/>
  <c r="H54"/>
  <c r="B10" i="130"/>
  <c r="D10"/>
  <c r="F10"/>
  <c r="H10"/>
  <c r="J10"/>
  <c r="L10"/>
  <c r="N10"/>
  <c r="P10"/>
  <c r="B11"/>
  <c r="D11"/>
  <c r="F11"/>
  <c r="H11"/>
  <c r="J11"/>
  <c r="L11"/>
  <c r="N11"/>
  <c r="P11"/>
  <c r="B12"/>
  <c r="D12"/>
  <c r="F12"/>
  <c r="H12"/>
  <c r="J12"/>
  <c r="L12"/>
  <c r="N12"/>
  <c r="P12"/>
  <c r="B13"/>
  <c r="D13"/>
  <c r="F13"/>
  <c r="H13"/>
  <c r="J13"/>
  <c r="L13"/>
  <c r="N13"/>
  <c r="P13"/>
  <c r="B14"/>
  <c r="D14"/>
  <c r="F14"/>
  <c r="H14"/>
  <c r="J14"/>
  <c r="L14"/>
  <c r="N14"/>
  <c r="P14"/>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B30" s="1"/>
  <c r="D29"/>
  <c r="F29"/>
  <c r="F30" s="1"/>
  <c r="H29"/>
  <c r="J29"/>
  <c r="L29"/>
  <c r="N29"/>
  <c r="P29"/>
  <c r="B33"/>
  <c r="D33"/>
  <c r="F33"/>
  <c r="H33"/>
  <c r="J33"/>
  <c r="L33"/>
  <c r="N33"/>
  <c r="P33"/>
  <c r="B34"/>
  <c r="D34"/>
  <c r="F34"/>
  <c r="H34"/>
  <c r="J34"/>
  <c r="L34"/>
  <c r="N34"/>
  <c r="P34"/>
  <c r="B35"/>
  <c r="D35"/>
  <c r="D36" s="1"/>
  <c r="F35"/>
  <c r="H35"/>
  <c r="H36" s="1"/>
  <c r="J35"/>
  <c r="L35"/>
  <c r="N35"/>
  <c r="P35"/>
  <c r="B39"/>
  <c r="D39"/>
  <c r="F39"/>
  <c r="H39"/>
  <c r="J39"/>
  <c r="L39"/>
  <c r="N39"/>
  <c r="P39"/>
  <c r="B40"/>
  <c r="D40"/>
  <c r="F40"/>
  <c r="H40"/>
  <c r="J40"/>
  <c r="L40"/>
  <c r="N40"/>
  <c r="P40"/>
  <c r="B41"/>
  <c r="B42" s="1"/>
  <c r="D41"/>
  <c r="F41"/>
  <c r="H41"/>
  <c r="J41"/>
  <c r="L41"/>
  <c r="N41"/>
  <c r="P41"/>
  <c r="B44"/>
  <c r="D44"/>
  <c r="F44"/>
  <c r="H44"/>
  <c r="J44"/>
  <c r="L44"/>
  <c r="N44"/>
  <c r="P44"/>
  <c r="B48"/>
  <c r="D48"/>
  <c r="F48"/>
  <c r="H48"/>
  <c r="J48"/>
  <c r="L48"/>
  <c r="N48"/>
  <c r="P48"/>
  <c r="B49"/>
  <c r="D49"/>
  <c r="F49"/>
  <c r="H49"/>
  <c r="J49"/>
  <c r="L49"/>
  <c r="N49"/>
  <c r="B50"/>
  <c r="D50"/>
  <c r="F50"/>
  <c r="H50"/>
  <c r="J50"/>
  <c r="L50"/>
  <c r="L52" s="1"/>
  <c r="L53" s="1"/>
  <c r="N50"/>
  <c r="P50"/>
  <c r="B51"/>
  <c r="D51"/>
  <c r="F51"/>
  <c r="H51"/>
  <c r="J51"/>
  <c r="L51"/>
  <c r="N51"/>
  <c r="P51"/>
  <c r="K10" i="129"/>
  <c r="M10"/>
  <c r="O10"/>
  <c r="K11"/>
  <c r="M11"/>
  <c r="O11"/>
  <c r="K12"/>
  <c r="M12"/>
  <c r="O12"/>
  <c r="K13"/>
  <c r="M13"/>
  <c r="O13"/>
  <c r="K14"/>
  <c r="M14"/>
  <c r="O14"/>
  <c r="B15"/>
  <c r="D77" i="41" s="1"/>
  <c r="D15" i="129"/>
  <c r="F15"/>
  <c r="H15"/>
  <c r="D78" i="432" s="1"/>
  <c r="J15" i="129"/>
  <c r="J23" s="1"/>
  <c r="L15"/>
  <c r="N15"/>
  <c r="N23" s="1"/>
  <c r="P15"/>
  <c r="K17"/>
  <c r="M17"/>
  <c r="O17"/>
  <c r="K19"/>
  <c r="M19"/>
  <c r="O19"/>
  <c r="K20"/>
  <c r="M20"/>
  <c r="O20"/>
  <c r="K21"/>
  <c r="M21"/>
  <c r="O21"/>
  <c r="K22"/>
  <c r="M22"/>
  <c r="O22"/>
  <c r="L23"/>
  <c r="B49" i="182" s="1"/>
  <c r="P23" i="129"/>
  <c r="P11" i="128" s="1"/>
  <c r="K27" i="129"/>
  <c r="M27"/>
  <c r="O27"/>
  <c r="K28"/>
  <c r="M28"/>
  <c r="O28"/>
  <c r="K29"/>
  <c r="M29"/>
  <c r="O29"/>
  <c r="B30"/>
  <c r="D30"/>
  <c r="F30"/>
  <c r="H30"/>
  <c r="J30"/>
  <c r="J31" i="182" s="1"/>
  <c r="L30" i="129"/>
  <c r="N30"/>
  <c r="P30"/>
  <c r="K35"/>
  <c r="M35"/>
  <c r="O35"/>
  <c r="B36"/>
  <c r="D36"/>
  <c r="F36"/>
  <c r="H36"/>
  <c r="J36"/>
  <c r="N36"/>
  <c r="M36" s="1"/>
  <c r="P36"/>
  <c r="K41"/>
  <c r="O41"/>
  <c r="B42"/>
  <c r="D42"/>
  <c r="F42"/>
  <c r="H42"/>
  <c r="J42"/>
  <c r="J53" s="1"/>
  <c r="L42"/>
  <c r="N42"/>
  <c r="P42"/>
  <c r="K44"/>
  <c r="M44"/>
  <c r="O44"/>
  <c r="K48"/>
  <c r="M48"/>
  <c r="O48"/>
  <c r="K49"/>
  <c r="M49"/>
  <c r="P49" i="130"/>
  <c r="K50" i="129"/>
  <c r="M50"/>
  <c r="O50"/>
  <c r="K51"/>
  <c r="M51"/>
  <c r="O51"/>
  <c r="B52"/>
  <c r="D52"/>
  <c r="M76" i="379" s="1"/>
  <c r="F52" i="129"/>
  <c r="H52"/>
  <c r="M77" i="432" s="1"/>
  <c r="J52" i="129"/>
  <c r="E54" i="324" s="1"/>
  <c r="L52" i="129"/>
  <c r="N52"/>
  <c r="P52"/>
  <c r="K61"/>
  <c r="M61"/>
  <c r="O61"/>
  <c r="K62"/>
  <c r="M62"/>
  <c r="O62"/>
  <c r="K63"/>
  <c r="M63"/>
  <c r="O63"/>
  <c r="B12" i="128"/>
  <c r="D12"/>
  <c r="F12"/>
  <c r="H12"/>
  <c r="J12"/>
  <c r="I12" s="1"/>
  <c r="L12"/>
  <c r="N12"/>
  <c r="P12"/>
  <c r="B13"/>
  <c r="D13"/>
  <c r="F13"/>
  <c r="H13"/>
  <c r="J13"/>
  <c r="I13" s="1"/>
  <c r="L13"/>
  <c r="N13"/>
  <c r="P13"/>
  <c r="D14"/>
  <c r="H14"/>
  <c r="J14"/>
  <c r="P14"/>
  <c r="F15"/>
  <c r="H15"/>
  <c r="H23"/>
  <c r="P23"/>
  <c r="T23"/>
  <c r="B24"/>
  <c r="D24"/>
  <c r="F24"/>
  <c r="H24"/>
  <c r="J24"/>
  <c r="L24"/>
  <c r="N24"/>
  <c r="P24"/>
  <c r="R24"/>
  <c r="T24"/>
  <c r="D25"/>
  <c r="P25"/>
  <c r="T25"/>
  <c r="B48"/>
  <c r="N48" s="1"/>
  <c r="B51"/>
  <c r="N51" s="1"/>
  <c r="O58"/>
  <c r="O60"/>
  <c r="O65"/>
  <c r="O67"/>
  <c r="B69"/>
  <c r="O69"/>
  <c r="O75"/>
  <c r="D12" i="115"/>
  <c r="I12"/>
  <c r="K12"/>
  <c r="D13"/>
  <c r="I13"/>
  <c r="K13"/>
  <c r="D14"/>
  <c r="I14"/>
  <c r="K14"/>
  <c r="H15"/>
  <c r="J15"/>
  <c r="J17" s="1"/>
  <c r="L15"/>
  <c r="D16"/>
  <c r="I16"/>
  <c r="K16"/>
  <c r="D20"/>
  <c r="I20"/>
  <c r="K20"/>
  <c r="D21"/>
  <c r="I21"/>
  <c r="K21"/>
  <c r="D22"/>
  <c r="I22"/>
  <c r="K22"/>
  <c r="H23"/>
  <c r="J23"/>
  <c r="L23"/>
  <c r="D27"/>
  <c r="I27"/>
  <c r="K27"/>
  <c r="D33"/>
  <c r="I33"/>
  <c r="K33"/>
  <c r="D34"/>
  <c r="I34"/>
  <c r="K34"/>
  <c r="D35"/>
  <c r="I35"/>
  <c r="K35"/>
  <c r="D36"/>
  <c r="I36"/>
  <c r="K36"/>
  <c r="H37"/>
  <c r="J37"/>
  <c r="L37"/>
  <c r="D41"/>
  <c r="I41"/>
  <c r="K41"/>
  <c r="B10" i="114"/>
  <c r="L11" i="51" s="1"/>
  <c r="D10" i="114"/>
  <c r="F10"/>
  <c r="H10"/>
  <c r="J10"/>
  <c r="L53" i="51" s="1"/>
  <c r="L10" i="114"/>
  <c r="N10"/>
  <c r="P10"/>
  <c r="B11"/>
  <c r="L12" i="51" s="1"/>
  <c r="D11" i="114"/>
  <c r="F11"/>
  <c r="H11"/>
  <c r="J11"/>
  <c r="L54" i="51" s="1"/>
  <c r="L11" i="114"/>
  <c r="N11"/>
  <c r="P11"/>
  <c r="B12"/>
  <c r="L13" i="51" s="1"/>
  <c r="D12" i="114"/>
  <c r="F12"/>
  <c r="F13" s="1"/>
  <c r="H12"/>
  <c r="J12"/>
  <c r="L55" i="51" s="1"/>
  <c r="L12" i="114"/>
  <c r="N12"/>
  <c r="P12"/>
  <c r="B13"/>
  <c r="C107" i="51" s="1"/>
  <c r="B14" i="114"/>
  <c r="L15" i="51" s="1"/>
  <c r="D14" i="114"/>
  <c r="F14"/>
  <c r="H14"/>
  <c r="J14"/>
  <c r="L57" i="51" s="1"/>
  <c r="L14" i="114"/>
  <c r="N14"/>
  <c r="P14"/>
  <c r="B18"/>
  <c r="L19" i="51" s="1"/>
  <c r="D18" i="114"/>
  <c r="F18"/>
  <c r="H18"/>
  <c r="J18"/>
  <c r="L61" i="51" s="1"/>
  <c r="L18" i="114"/>
  <c r="N18"/>
  <c r="P18"/>
  <c r="B19"/>
  <c r="L20" i="51" s="1"/>
  <c r="D19" i="114"/>
  <c r="F19"/>
  <c r="H19"/>
  <c r="J19"/>
  <c r="L62" i="51" s="1"/>
  <c r="L19" i="114"/>
  <c r="N19"/>
  <c r="P19"/>
  <c r="B20"/>
  <c r="L21" i="51" s="1"/>
  <c r="D20" i="114"/>
  <c r="F20"/>
  <c r="H20"/>
  <c r="J20"/>
  <c r="L63" i="51" s="1"/>
  <c r="L20" i="114"/>
  <c r="L21" s="1"/>
  <c r="N20"/>
  <c r="P20"/>
  <c r="B25"/>
  <c r="D25"/>
  <c r="F25"/>
  <c r="J25" i="110" s="1"/>
  <c r="H25" i="114"/>
  <c r="J25"/>
  <c r="L68" i="51" s="1"/>
  <c r="L25" i="114"/>
  <c r="N25"/>
  <c r="P25"/>
  <c r="B31"/>
  <c r="L32" i="51" s="1"/>
  <c r="D31" i="114"/>
  <c r="F31"/>
  <c r="H31"/>
  <c r="J31"/>
  <c r="L74" i="51" s="1"/>
  <c r="L31" i="114"/>
  <c r="N31"/>
  <c r="P31"/>
  <c r="B32"/>
  <c r="L33" i="51" s="1"/>
  <c r="D32" i="114"/>
  <c r="F32"/>
  <c r="H32"/>
  <c r="J32"/>
  <c r="L75" i="51" s="1"/>
  <c r="L32" i="114"/>
  <c r="N32"/>
  <c r="P32"/>
  <c r="B33"/>
  <c r="L34" i="51" s="1"/>
  <c r="D33" i="114"/>
  <c r="F33"/>
  <c r="H33"/>
  <c r="J33"/>
  <c r="L33"/>
  <c r="N33"/>
  <c r="O33" s="1"/>
  <c r="P33"/>
  <c r="B34"/>
  <c r="L35" i="51" s="1"/>
  <c r="D34" i="114"/>
  <c r="F34"/>
  <c r="H34"/>
  <c r="J34"/>
  <c r="L77" i="51" s="1"/>
  <c r="L34" i="114"/>
  <c r="N34"/>
  <c r="P34"/>
  <c r="B39"/>
  <c r="L40" i="51" s="1"/>
  <c r="D39" i="114"/>
  <c r="F39"/>
  <c r="H39"/>
  <c r="J39"/>
  <c r="L82" i="51" s="1"/>
  <c r="L39" i="114"/>
  <c r="N39"/>
  <c r="P39"/>
  <c r="C50"/>
  <c r="R50"/>
  <c r="B12" i="115" s="1"/>
  <c r="C12" s="1"/>
  <c r="U50" i="114"/>
  <c r="F12" i="115" s="1"/>
  <c r="R51" i="114"/>
  <c r="B13" i="115" s="1"/>
  <c r="U51" i="114"/>
  <c r="F13" i="115" s="1"/>
  <c r="G13" s="1"/>
  <c r="C52" i="114"/>
  <c r="R52"/>
  <c r="S52" s="1"/>
  <c r="U52"/>
  <c r="F14" i="115" s="1"/>
  <c r="G14" s="1"/>
  <c r="B53" i="114"/>
  <c r="D53"/>
  <c r="D55" s="1"/>
  <c r="F53"/>
  <c r="H53"/>
  <c r="H55" s="1"/>
  <c r="H23" i="110" s="1"/>
  <c r="J53" i="114"/>
  <c r="L53"/>
  <c r="L55" s="1"/>
  <c r="N53"/>
  <c r="P53"/>
  <c r="P55" s="1"/>
  <c r="P23" i="110" s="1"/>
  <c r="T53" i="114"/>
  <c r="C54"/>
  <c r="R54"/>
  <c r="B16" i="115" s="1"/>
  <c r="U54" i="114"/>
  <c r="F16" i="115" s="1"/>
  <c r="G16" s="1"/>
  <c r="C58" i="114"/>
  <c r="R58"/>
  <c r="B20" i="115" s="1"/>
  <c r="U58" i="114"/>
  <c r="F20" i="115" s="1"/>
  <c r="C59" i="114"/>
  <c r="R59"/>
  <c r="B21" i="115" s="1"/>
  <c r="U59" i="114"/>
  <c r="C60"/>
  <c r="R60"/>
  <c r="B22" i="115" s="1"/>
  <c r="U60" i="114"/>
  <c r="F22" i="115" s="1"/>
  <c r="G22" s="1"/>
  <c r="B61" i="114"/>
  <c r="D61"/>
  <c r="F61"/>
  <c r="H61"/>
  <c r="J61"/>
  <c r="L61"/>
  <c r="N61"/>
  <c r="P61"/>
  <c r="T61"/>
  <c r="C65"/>
  <c r="R65"/>
  <c r="B27" i="115" s="1"/>
  <c r="U65" i="114"/>
  <c r="F27" i="115" s="1"/>
  <c r="G27" s="1"/>
  <c r="C71" i="114"/>
  <c r="R71"/>
  <c r="B33" i="115" s="1"/>
  <c r="U71" i="114"/>
  <c r="F33" i="115" s="1"/>
  <c r="C72" i="114"/>
  <c r="R72"/>
  <c r="B34" i="115" s="1"/>
  <c r="U72" i="114"/>
  <c r="F34" i="115" s="1"/>
  <c r="G34" s="1"/>
  <c r="C73" i="114"/>
  <c r="R73"/>
  <c r="B35" i="115" s="1"/>
  <c r="U73" i="114"/>
  <c r="F35" i="115" s="1"/>
  <c r="G35" s="1"/>
  <c r="C74" i="114"/>
  <c r="R74"/>
  <c r="B36" i="115" s="1"/>
  <c r="C36" s="1"/>
  <c r="U74" i="114"/>
  <c r="F36" i="115" s="1"/>
  <c r="G36" s="1"/>
  <c r="B75" i="114"/>
  <c r="D75"/>
  <c r="F75"/>
  <c r="H75"/>
  <c r="J75"/>
  <c r="L75"/>
  <c r="N75"/>
  <c r="P75"/>
  <c r="T75"/>
  <c r="T26" i="110" s="1"/>
  <c r="C79" i="114"/>
  <c r="R79"/>
  <c r="B41" i="115" s="1"/>
  <c r="U79" i="114"/>
  <c r="F41" i="115" s="1"/>
  <c r="G41" s="1"/>
  <c r="D10" i="113"/>
  <c r="E10" s="1"/>
  <c r="J10"/>
  <c r="K10" s="1"/>
  <c r="D11"/>
  <c r="E11" s="1"/>
  <c r="J11"/>
  <c r="K11" s="1"/>
  <c r="D12"/>
  <c r="E12" s="1"/>
  <c r="J12"/>
  <c r="K12" s="1"/>
  <c r="D13"/>
  <c r="J13"/>
  <c r="D14"/>
  <c r="E14" s="1"/>
  <c r="J14"/>
  <c r="K14" s="1"/>
  <c r="B15"/>
  <c r="C15"/>
  <c r="H15"/>
  <c r="I15"/>
  <c r="D17"/>
  <c r="J17"/>
  <c r="D19"/>
  <c r="J19"/>
  <c r="D20"/>
  <c r="E20" s="1"/>
  <c r="J20"/>
  <c r="K20" s="1"/>
  <c r="D21"/>
  <c r="J21"/>
  <c r="D22"/>
  <c r="E22" s="1"/>
  <c r="J22"/>
  <c r="K22" s="1"/>
  <c r="H23"/>
  <c r="I23"/>
  <c r="D27"/>
  <c r="E27" s="1"/>
  <c r="J27"/>
  <c r="K27" s="1"/>
  <c r="D28"/>
  <c r="E28" s="1"/>
  <c r="J28"/>
  <c r="K28" s="1"/>
  <c r="D29"/>
  <c r="E29" s="1"/>
  <c r="J29"/>
  <c r="K29" s="1"/>
  <c r="B30"/>
  <c r="L69" i="432" s="1"/>
  <c r="C30" i="113"/>
  <c r="H30"/>
  <c r="I30"/>
  <c r="D33"/>
  <c r="J33"/>
  <c r="D34"/>
  <c r="J34"/>
  <c r="D35"/>
  <c r="E35" s="1"/>
  <c r="J35"/>
  <c r="K35" s="1"/>
  <c r="B36"/>
  <c r="C36"/>
  <c r="H36"/>
  <c r="I36"/>
  <c r="D39"/>
  <c r="J39"/>
  <c r="D40"/>
  <c r="J40"/>
  <c r="D41"/>
  <c r="E41" s="1"/>
  <c r="J41"/>
  <c r="K41" s="1"/>
  <c r="B42"/>
  <c r="C42"/>
  <c r="H42"/>
  <c r="I42"/>
  <c r="D44"/>
  <c r="E44" s="1"/>
  <c r="J44"/>
  <c r="K44" s="1"/>
  <c r="D50"/>
  <c r="B52"/>
  <c r="H52"/>
  <c r="B10" i="112"/>
  <c r="D10"/>
  <c r="F10"/>
  <c r="H10"/>
  <c r="J10"/>
  <c r="L10"/>
  <c r="N10"/>
  <c r="P10"/>
  <c r="B11"/>
  <c r="D11"/>
  <c r="F11"/>
  <c r="H11"/>
  <c r="J11"/>
  <c r="L11"/>
  <c r="N11"/>
  <c r="P11"/>
  <c r="B12"/>
  <c r="D12"/>
  <c r="F12"/>
  <c r="H12"/>
  <c r="J12"/>
  <c r="L12"/>
  <c r="N12"/>
  <c r="P12"/>
  <c r="B13"/>
  <c r="D13"/>
  <c r="F13"/>
  <c r="H13"/>
  <c r="J13"/>
  <c r="L13"/>
  <c r="N13"/>
  <c r="P13"/>
  <c r="B14"/>
  <c r="D14"/>
  <c r="F14"/>
  <c r="H14"/>
  <c r="J14"/>
  <c r="L14"/>
  <c r="N14"/>
  <c r="P14"/>
  <c r="N15"/>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B30" s="1"/>
  <c r="D29"/>
  <c r="F29"/>
  <c r="H29"/>
  <c r="J29"/>
  <c r="L29"/>
  <c r="N29"/>
  <c r="P29"/>
  <c r="J30"/>
  <c r="B33"/>
  <c r="D33"/>
  <c r="F33"/>
  <c r="H33"/>
  <c r="J33"/>
  <c r="L33"/>
  <c r="N33"/>
  <c r="P33"/>
  <c r="B34"/>
  <c r="D34"/>
  <c r="F34"/>
  <c r="H34"/>
  <c r="J34"/>
  <c r="L34"/>
  <c r="N34"/>
  <c r="P34"/>
  <c r="B35"/>
  <c r="D35"/>
  <c r="F35"/>
  <c r="H35"/>
  <c r="J35"/>
  <c r="L35"/>
  <c r="N35"/>
  <c r="P35"/>
  <c r="J36"/>
  <c r="B39"/>
  <c r="D39"/>
  <c r="F39"/>
  <c r="H39"/>
  <c r="J39"/>
  <c r="L39"/>
  <c r="N39"/>
  <c r="P39"/>
  <c r="B40"/>
  <c r="D40"/>
  <c r="F40"/>
  <c r="H40"/>
  <c r="J40"/>
  <c r="L40"/>
  <c r="N40"/>
  <c r="P40"/>
  <c r="B41"/>
  <c r="D41"/>
  <c r="F41"/>
  <c r="H41"/>
  <c r="J41"/>
  <c r="L41"/>
  <c r="N41"/>
  <c r="N42" s="1"/>
  <c r="P41"/>
  <c r="J42"/>
  <c r="P42"/>
  <c r="B44"/>
  <c r="D44"/>
  <c r="F44"/>
  <c r="H44"/>
  <c r="J44"/>
  <c r="L44"/>
  <c r="N44"/>
  <c r="P44"/>
  <c r="J45"/>
  <c r="B48"/>
  <c r="D48"/>
  <c r="F48"/>
  <c r="H48"/>
  <c r="J48"/>
  <c r="I48" i="113" s="1"/>
  <c r="L48" i="112"/>
  <c r="N48"/>
  <c r="P48"/>
  <c r="B49"/>
  <c r="D49"/>
  <c r="F49"/>
  <c r="H49"/>
  <c r="J49"/>
  <c r="I49" i="113" s="1"/>
  <c r="J49" s="1"/>
  <c r="N49" i="112"/>
  <c r="P49"/>
  <c r="B50"/>
  <c r="D50"/>
  <c r="F50"/>
  <c r="H50"/>
  <c r="J50"/>
  <c r="I50" i="113" s="1"/>
  <c r="J50" s="1"/>
  <c r="L50" i="112"/>
  <c r="B51"/>
  <c r="D51"/>
  <c r="F51"/>
  <c r="H51"/>
  <c r="J51"/>
  <c r="I51" i="113" s="1"/>
  <c r="J51" s="1"/>
  <c r="K51" s="1"/>
  <c r="L51" i="112"/>
  <c r="N51"/>
  <c r="P51"/>
  <c r="K10" i="111"/>
  <c r="M10"/>
  <c r="O10"/>
  <c r="K11"/>
  <c r="M11"/>
  <c r="O11"/>
  <c r="K12"/>
  <c r="M12"/>
  <c r="O12"/>
  <c r="K14"/>
  <c r="M14"/>
  <c r="O14"/>
  <c r="B15"/>
  <c r="D80" i="41" s="1"/>
  <c r="D15" i="111"/>
  <c r="F15"/>
  <c r="H15"/>
  <c r="D81" i="432" s="1"/>
  <c r="J15" i="111"/>
  <c r="L15"/>
  <c r="N15"/>
  <c r="O15" s="1"/>
  <c r="P15"/>
  <c r="K20"/>
  <c r="M20"/>
  <c r="O20"/>
  <c r="K21"/>
  <c r="M21"/>
  <c r="O21"/>
  <c r="K22"/>
  <c r="M22"/>
  <c r="O22"/>
  <c r="D23"/>
  <c r="J23"/>
  <c r="L23"/>
  <c r="N23"/>
  <c r="P23"/>
  <c r="P11" i="110" s="1"/>
  <c r="K27" i="111"/>
  <c r="M27"/>
  <c r="O27"/>
  <c r="K28"/>
  <c r="M28"/>
  <c r="O28"/>
  <c r="K29"/>
  <c r="M29"/>
  <c r="O29"/>
  <c r="B30"/>
  <c r="D30"/>
  <c r="D14" i="110" s="1"/>
  <c r="F30" i="111"/>
  <c r="H30"/>
  <c r="J30"/>
  <c r="J35" i="182" s="1"/>
  <c r="L30" i="111"/>
  <c r="J52" i="182" s="1"/>
  <c r="N30" i="111"/>
  <c r="N14" i="110" s="1"/>
  <c r="P30" i="111"/>
  <c r="K35"/>
  <c r="M35"/>
  <c r="O35"/>
  <c r="B36"/>
  <c r="D36"/>
  <c r="F36"/>
  <c r="H36"/>
  <c r="J36"/>
  <c r="L36"/>
  <c r="N36"/>
  <c r="P36"/>
  <c r="K41"/>
  <c r="M41"/>
  <c r="O41"/>
  <c r="B42"/>
  <c r="D42"/>
  <c r="F42"/>
  <c r="H42"/>
  <c r="J42"/>
  <c r="L42"/>
  <c r="N42"/>
  <c r="P42"/>
  <c r="K44"/>
  <c r="M44"/>
  <c r="O44"/>
  <c r="K48"/>
  <c r="M48"/>
  <c r="O48"/>
  <c r="K49"/>
  <c r="L49" i="112"/>
  <c r="M49" i="111"/>
  <c r="O49"/>
  <c r="K51"/>
  <c r="M51"/>
  <c r="O51"/>
  <c r="D52"/>
  <c r="F52"/>
  <c r="J52"/>
  <c r="L52"/>
  <c r="L15" i="110" s="1"/>
  <c r="N52" i="111"/>
  <c r="P52"/>
  <c r="P15" i="110" s="1"/>
  <c r="K61" i="111"/>
  <c r="M61"/>
  <c r="O61"/>
  <c r="K62"/>
  <c r="M62"/>
  <c r="O62"/>
  <c r="K63"/>
  <c r="M63"/>
  <c r="O63"/>
  <c r="J11" i="110"/>
  <c r="N11"/>
  <c r="B12"/>
  <c r="D12"/>
  <c r="F12"/>
  <c r="H12"/>
  <c r="J12"/>
  <c r="L12"/>
  <c r="N12"/>
  <c r="P12"/>
  <c r="B13"/>
  <c r="D13"/>
  <c r="F13"/>
  <c r="H13"/>
  <c r="J13"/>
  <c r="I13" s="1"/>
  <c r="L13"/>
  <c r="N13"/>
  <c r="P13"/>
  <c r="L14"/>
  <c r="J15"/>
  <c r="N15"/>
  <c r="D24"/>
  <c r="H24"/>
  <c r="L24"/>
  <c r="P24"/>
  <c r="T24"/>
  <c r="D25"/>
  <c r="F25"/>
  <c r="H25"/>
  <c r="L25"/>
  <c r="N25"/>
  <c r="P25"/>
  <c r="T25"/>
  <c r="D26"/>
  <c r="H26"/>
  <c r="L26"/>
  <c r="P26"/>
  <c r="B48"/>
  <c r="N48" s="1"/>
  <c r="B51"/>
  <c r="N51" s="1"/>
  <c r="O58"/>
  <c r="O60"/>
  <c r="B65"/>
  <c r="O65"/>
  <c r="B67"/>
  <c r="O67"/>
  <c r="O69"/>
  <c r="O75"/>
  <c r="D13" i="103"/>
  <c r="I13"/>
  <c r="K13"/>
  <c r="D14"/>
  <c r="I14"/>
  <c r="K14"/>
  <c r="D15"/>
  <c r="I15"/>
  <c r="K15"/>
  <c r="H16"/>
  <c r="J16"/>
  <c r="L16"/>
  <c r="D17"/>
  <c r="I17"/>
  <c r="K17"/>
  <c r="H18"/>
  <c r="J18"/>
  <c r="L18"/>
  <c r="D21"/>
  <c r="I21"/>
  <c r="K21"/>
  <c r="D22"/>
  <c r="I22"/>
  <c r="K22"/>
  <c r="D23"/>
  <c r="I23"/>
  <c r="K23"/>
  <c r="H24"/>
  <c r="J24"/>
  <c r="L24"/>
  <c r="D28"/>
  <c r="I28"/>
  <c r="K28"/>
  <c r="D34"/>
  <c r="I34"/>
  <c r="K34"/>
  <c r="D35"/>
  <c r="I35"/>
  <c r="K35"/>
  <c r="D36"/>
  <c r="I36"/>
  <c r="K36"/>
  <c r="D37"/>
  <c r="I37"/>
  <c r="K37"/>
  <c r="H38"/>
  <c r="J38"/>
  <c r="L38"/>
  <c r="D42"/>
  <c r="I42"/>
  <c r="K42"/>
  <c r="B10" i="102"/>
  <c r="K11" i="51" s="1"/>
  <c r="D10" i="102"/>
  <c r="F10"/>
  <c r="H10"/>
  <c r="J10"/>
  <c r="K53" i="51" s="1"/>
  <c r="L10" i="102"/>
  <c r="N10"/>
  <c r="P10"/>
  <c r="B11"/>
  <c r="K12" i="51" s="1"/>
  <c r="D11" i="102"/>
  <c r="F11"/>
  <c r="H11"/>
  <c r="J11"/>
  <c r="K54" i="51" s="1"/>
  <c r="L11" i="102"/>
  <c r="N11"/>
  <c r="P11"/>
  <c r="B12"/>
  <c r="K13" i="51" s="1"/>
  <c r="D12" i="102"/>
  <c r="F12"/>
  <c r="H12"/>
  <c r="J12"/>
  <c r="K55" i="51" s="1"/>
  <c r="L12" i="102"/>
  <c r="N12"/>
  <c r="P12"/>
  <c r="B14"/>
  <c r="K15" i="51" s="1"/>
  <c r="D14" i="102"/>
  <c r="F14"/>
  <c r="H14"/>
  <c r="J14"/>
  <c r="K57" i="51" s="1"/>
  <c r="L14" i="102"/>
  <c r="N14"/>
  <c r="P14"/>
  <c r="B18"/>
  <c r="K19" i="51" s="1"/>
  <c r="D18" i="102"/>
  <c r="F18"/>
  <c r="H18"/>
  <c r="J18"/>
  <c r="K61" i="51" s="1"/>
  <c r="L18" i="102"/>
  <c r="N18"/>
  <c r="P18"/>
  <c r="B19"/>
  <c r="K20" i="51" s="1"/>
  <c r="D19" i="102"/>
  <c r="F19"/>
  <c r="H19"/>
  <c r="J19"/>
  <c r="K62" i="51" s="1"/>
  <c r="L19" i="102"/>
  <c r="N19"/>
  <c r="P19"/>
  <c r="B20"/>
  <c r="K21" i="51" s="1"/>
  <c r="D20" i="102"/>
  <c r="F20"/>
  <c r="H20"/>
  <c r="J20"/>
  <c r="K63" i="51" s="1"/>
  <c r="L20" i="102"/>
  <c r="N20"/>
  <c r="N21" s="1"/>
  <c r="P20"/>
  <c r="B21"/>
  <c r="D21"/>
  <c r="F21"/>
  <c r="B25"/>
  <c r="K26" i="51" s="1"/>
  <c r="D25" i="102"/>
  <c r="F25"/>
  <c r="J25" i="98" s="1"/>
  <c r="H25" i="102"/>
  <c r="J25"/>
  <c r="L25"/>
  <c r="N25"/>
  <c r="O25" s="1"/>
  <c r="P25"/>
  <c r="B31"/>
  <c r="K32" i="51" s="1"/>
  <c r="D31" i="102"/>
  <c r="F31"/>
  <c r="H31"/>
  <c r="J31"/>
  <c r="K74" i="51" s="1"/>
  <c r="L31" i="102"/>
  <c r="N31"/>
  <c r="P31"/>
  <c r="B32"/>
  <c r="K33" i="51" s="1"/>
  <c r="D32" i="102"/>
  <c r="F32"/>
  <c r="H32"/>
  <c r="J32"/>
  <c r="K75" i="51" s="1"/>
  <c r="L32" i="102"/>
  <c r="N32"/>
  <c r="P32"/>
  <c r="B33"/>
  <c r="K34" i="51" s="1"/>
  <c r="D33" i="102"/>
  <c r="F33"/>
  <c r="H33"/>
  <c r="J33"/>
  <c r="K76" i="51" s="1"/>
  <c r="L33" i="102"/>
  <c r="N33"/>
  <c r="P33"/>
  <c r="B34"/>
  <c r="K35" i="51" s="1"/>
  <c r="D34" i="102"/>
  <c r="F34"/>
  <c r="H34"/>
  <c r="J34"/>
  <c r="K77" i="51" s="1"/>
  <c r="L34" i="102"/>
  <c r="N34"/>
  <c r="N35" s="1"/>
  <c r="P34"/>
  <c r="F35"/>
  <c r="J26" i="98" s="1"/>
  <c r="B39" i="102"/>
  <c r="K40" i="51" s="1"/>
  <c r="D39" i="102"/>
  <c r="F39"/>
  <c r="H39"/>
  <c r="J39"/>
  <c r="K82" i="51" s="1"/>
  <c r="L39" i="102"/>
  <c r="N39"/>
  <c r="P39"/>
  <c r="C50"/>
  <c r="R50"/>
  <c r="B13" i="103" s="1"/>
  <c r="U50" i="102"/>
  <c r="F13" i="103" s="1"/>
  <c r="C51" i="102"/>
  <c r="R51"/>
  <c r="B14" i="103" s="1"/>
  <c r="U51" i="102"/>
  <c r="F14" i="103" s="1"/>
  <c r="G14" s="1"/>
  <c r="C52" i="102"/>
  <c r="R52"/>
  <c r="B15" i="103" s="1"/>
  <c r="C15" s="1"/>
  <c r="U52" i="102"/>
  <c r="F15" i="103" s="1"/>
  <c r="G15" s="1"/>
  <c r="B53" i="102"/>
  <c r="D53"/>
  <c r="D55" s="1"/>
  <c r="F53"/>
  <c r="H53"/>
  <c r="J53"/>
  <c r="L53"/>
  <c r="N53"/>
  <c r="P53"/>
  <c r="C54"/>
  <c r="R54"/>
  <c r="S54" s="1"/>
  <c r="U54"/>
  <c r="F17" i="103" s="1"/>
  <c r="G17" s="1"/>
  <c r="H55" i="102"/>
  <c r="C58"/>
  <c r="R58"/>
  <c r="B21" i="103" s="1"/>
  <c r="U58" i="102"/>
  <c r="F21" i="103" s="1"/>
  <c r="G21" s="1"/>
  <c r="C59" i="102"/>
  <c r="R59"/>
  <c r="B22" i="103" s="1"/>
  <c r="U59" i="102"/>
  <c r="F22" i="103" s="1"/>
  <c r="C60" i="102"/>
  <c r="R60"/>
  <c r="B23" i="103" s="1"/>
  <c r="U60" i="102"/>
  <c r="F23" i="103" s="1"/>
  <c r="G23" s="1"/>
  <c r="B61" i="102"/>
  <c r="D61"/>
  <c r="F61"/>
  <c r="H61"/>
  <c r="J61"/>
  <c r="L61"/>
  <c r="N61"/>
  <c r="P61"/>
  <c r="T61"/>
  <c r="T24" i="98" s="1"/>
  <c r="R65" i="102"/>
  <c r="S65" s="1"/>
  <c r="U65"/>
  <c r="F28" i="103" s="1"/>
  <c r="G28" s="1"/>
  <c r="C71" i="102"/>
  <c r="R71"/>
  <c r="B34" i="103" s="1"/>
  <c r="U71" i="102"/>
  <c r="F34" i="103" s="1"/>
  <c r="C72" i="102"/>
  <c r="R72"/>
  <c r="B35" i="103" s="1"/>
  <c r="U72" i="102"/>
  <c r="F35" i="103" s="1"/>
  <c r="G35" s="1"/>
  <c r="C73" i="102"/>
  <c r="R73"/>
  <c r="B36" i="103" s="1"/>
  <c r="U73" i="102"/>
  <c r="F36" i="103" s="1"/>
  <c r="G36" s="1"/>
  <c r="C74" i="102"/>
  <c r="R74"/>
  <c r="B37" i="103" s="1"/>
  <c r="U74" i="102"/>
  <c r="F37" i="103" s="1"/>
  <c r="G37" s="1"/>
  <c r="B75" i="102"/>
  <c r="D75"/>
  <c r="F75"/>
  <c r="H75"/>
  <c r="J75"/>
  <c r="L75"/>
  <c r="L26" i="98" s="1"/>
  <c r="N75" i="102"/>
  <c r="P75"/>
  <c r="T75"/>
  <c r="T26" i="98" s="1"/>
  <c r="C79" i="102"/>
  <c r="R79"/>
  <c r="B42" i="103" s="1"/>
  <c r="U79" i="102"/>
  <c r="F42" i="103" s="1"/>
  <c r="G42" s="1"/>
  <c r="D10" i="101"/>
  <c r="E10" s="1"/>
  <c r="J10"/>
  <c r="K10" s="1"/>
  <c r="D11"/>
  <c r="E11" s="1"/>
  <c r="J11"/>
  <c r="K11" s="1"/>
  <c r="D12"/>
  <c r="E12" s="1"/>
  <c r="J12"/>
  <c r="K12" s="1"/>
  <c r="D13"/>
  <c r="J13"/>
  <c r="D14"/>
  <c r="E14" s="1"/>
  <c r="J14"/>
  <c r="K14" s="1"/>
  <c r="B15"/>
  <c r="B23" s="1"/>
  <c r="C15"/>
  <c r="C23" s="1"/>
  <c r="H15"/>
  <c r="H23" s="1"/>
  <c r="I15"/>
  <c r="D17"/>
  <c r="J17"/>
  <c r="D19"/>
  <c r="J19"/>
  <c r="D20"/>
  <c r="E20" s="1"/>
  <c r="J20"/>
  <c r="K20" s="1"/>
  <c r="D21"/>
  <c r="J21"/>
  <c r="D22"/>
  <c r="E22" s="1"/>
  <c r="J22"/>
  <c r="K22" s="1"/>
  <c r="D27"/>
  <c r="E27" s="1"/>
  <c r="J27"/>
  <c r="K27" s="1"/>
  <c r="D28"/>
  <c r="E28" s="1"/>
  <c r="J28"/>
  <c r="K28" s="1"/>
  <c r="D29"/>
  <c r="E29" s="1"/>
  <c r="J29"/>
  <c r="K29" s="1"/>
  <c r="B30"/>
  <c r="K69" i="432" s="1"/>
  <c r="M69" s="1"/>
  <c r="C30" i="101"/>
  <c r="H30"/>
  <c r="I30"/>
  <c r="D33"/>
  <c r="J33"/>
  <c r="D34"/>
  <c r="J34"/>
  <c r="D35"/>
  <c r="E35" s="1"/>
  <c r="J35"/>
  <c r="K35" s="1"/>
  <c r="B36"/>
  <c r="C36"/>
  <c r="H36"/>
  <c r="I36"/>
  <c r="I45" s="1"/>
  <c r="D39"/>
  <c r="J39"/>
  <c r="D40"/>
  <c r="J40"/>
  <c r="D41"/>
  <c r="E41" s="1"/>
  <c r="J41"/>
  <c r="K41" s="1"/>
  <c r="B42"/>
  <c r="C42"/>
  <c r="H42"/>
  <c r="I42"/>
  <c r="D44"/>
  <c r="E44" s="1"/>
  <c r="J44"/>
  <c r="K44" s="1"/>
  <c r="J48"/>
  <c r="K48" s="1"/>
  <c r="D49"/>
  <c r="J49"/>
  <c r="J50"/>
  <c r="D51"/>
  <c r="J51"/>
  <c r="B52"/>
  <c r="H52"/>
  <c r="I52"/>
  <c r="B10" i="100"/>
  <c r="D10"/>
  <c r="H10"/>
  <c r="J10"/>
  <c r="L10"/>
  <c r="N10"/>
  <c r="P10"/>
  <c r="B11"/>
  <c r="D11"/>
  <c r="F11"/>
  <c r="H11"/>
  <c r="J11"/>
  <c r="L11"/>
  <c r="N11"/>
  <c r="P11"/>
  <c r="B12"/>
  <c r="D12"/>
  <c r="F12"/>
  <c r="H12"/>
  <c r="J12"/>
  <c r="L12"/>
  <c r="N12"/>
  <c r="P12"/>
  <c r="B13"/>
  <c r="D13"/>
  <c r="F13"/>
  <c r="H13"/>
  <c r="J13"/>
  <c r="L13"/>
  <c r="N13"/>
  <c r="P13"/>
  <c r="D14"/>
  <c r="F14"/>
  <c r="H14"/>
  <c r="J14"/>
  <c r="L14"/>
  <c r="N14"/>
  <c r="P14"/>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D29"/>
  <c r="F29"/>
  <c r="H29"/>
  <c r="H30" s="1"/>
  <c r="J29"/>
  <c r="L29"/>
  <c r="N29"/>
  <c r="P29"/>
  <c r="B33"/>
  <c r="D33"/>
  <c r="F33"/>
  <c r="H33"/>
  <c r="J33"/>
  <c r="L33"/>
  <c r="N33"/>
  <c r="P33"/>
  <c r="B34"/>
  <c r="D34"/>
  <c r="F34"/>
  <c r="H34"/>
  <c r="J34"/>
  <c r="L34"/>
  <c r="N34"/>
  <c r="P34"/>
  <c r="B35"/>
  <c r="D35"/>
  <c r="F35"/>
  <c r="H35"/>
  <c r="J35"/>
  <c r="L35"/>
  <c r="N35"/>
  <c r="P35"/>
  <c r="B39"/>
  <c r="D39"/>
  <c r="F39"/>
  <c r="H39"/>
  <c r="J39"/>
  <c r="L39"/>
  <c r="N39"/>
  <c r="P39"/>
  <c r="B40"/>
  <c r="D40"/>
  <c r="F40"/>
  <c r="H40"/>
  <c r="J40"/>
  <c r="L40"/>
  <c r="N40"/>
  <c r="P40"/>
  <c r="B41"/>
  <c r="D41"/>
  <c r="F41"/>
  <c r="H41"/>
  <c r="H42" s="1"/>
  <c r="J41"/>
  <c r="L41"/>
  <c r="N41"/>
  <c r="P41"/>
  <c r="B44"/>
  <c r="D44"/>
  <c r="F44"/>
  <c r="H44"/>
  <c r="J44"/>
  <c r="L44"/>
  <c r="N44"/>
  <c r="P44"/>
  <c r="B48"/>
  <c r="D48"/>
  <c r="F48"/>
  <c r="H48"/>
  <c r="J48"/>
  <c r="L48"/>
  <c r="N48"/>
  <c r="P48"/>
  <c r="D49"/>
  <c r="F49"/>
  <c r="H49"/>
  <c r="J49"/>
  <c r="L49"/>
  <c r="N49"/>
  <c r="P49"/>
  <c r="B50"/>
  <c r="D50"/>
  <c r="F50"/>
  <c r="H50"/>
  <c r="J50"/>
  <c r="L50"/>
  <c r="N50"/>
  <c r="B51"/>
  <c r="D51"/>
  <c r="F51"/>
  <c r="H51"/>
  <c r="J51"/>
  <c r="L51"/>
  <c r="N51"/>
  <c r="P51"/>
  <c r="K10" i="99"/>
  <c r="M10"/>
  <c r="O10"/>
  <c r="K11"/>
  <c r="M11"/>
  <c r="O11"/>
  <c r="K12"/>
  <c r="M12"/>
  <c r="O12"/>
  <c r="B14" i="100"/>
  <c r="K14" i="99"/>
  <c r="M14"/>
  <c r="O14"/>
  <c r="B15"/>
  <c r="D15"/>
  <c r="D78" i="379" s="1"/>
  <c r="F15" i="99"/>
  <c r="F23" s="1"/>
  <c r="F11" i="98" s="1"/>
  <c r="H15" i="99"/>
  <c r="J15"/>
  <c r="L15"/>
  <c r="L23" s="1"/>
  <c r="B53" i="182" s="1"/>
  <c r="N15" i="99"/>
  <c r="N23" s="1"/>
  <c r="N11" i="98" s="1"/>
  <c r="P15" i="99"/>
  <c r="P23" s="1"/>
  <c r="P11" i="98" s="1"/>
  <c r="O17" i="99"/>
  <c r="K20"/>
  <c r="M20"/>
  <c r="O20"/>
  <c r="K21"/>
  <c r="M21"/>
  <c r="O21"/>
  <c r="K22"/>
  <c r="M22"/>
  <c r="O22"/>
  <c r="J23"/>
  <c r="K27"/>
  <c r="M27"/>
  <c r="O27"/>
  <c r="K28"/>
  <c r="M28"/>
  <c r="O28"/>
  <c r="K29"/>
  <c r="M29"/>
  <c r="O29"/>
  <c r="B30"/>
  <c r="D30"/>
  <c r="F30"/>
  <c r="H30"/>
  <c r="J30"/>
  <c r="J34" i="182" s="1"/>
  <c r="L30" i="99"/>
  <c r="N30"/>
  <c r="P30"/>
  <c r="P14" i="98" s="1"/>
  <c r="K33" i="99"/>
  <c r="K35"/>
  <c r="M35"/>
  <c r="O35"/>
  <c r="B36"/>
  <c r="D36"/>
  <c r="F36"/>
  <c r="H36"/>
  <c r="J36"/>
  <c r="L36"/>
  <c r="N36"/>
  <c r="P36"/>
  <c r="K41"/>
  <c r="M41"/>
  <c r="O41"/>
  <c r="B42"/>
  <c r="D42"/>
  <c r="F42"/>
  <c r="H42"/>
  <c r="J42"/>
  <c r="L42"/>
  <c r="N42"/>
  <c r="P42"/>
  <c r="K44"/>
  <c r="M44"/>
  <c r="O44"/>
  <c r="K48"/>
  <c r="M48"/>
  <c r="O48"/>
  <c r="B49" i="100"/>
  <c r="K49" i="99"/>
  <c r="M49"/>
  <c r="O49"/>
  <c r="K51"/>
  <c r="M51"/>
  <c r="O51"/>
  <c r="B52"/>
  <c r="D52"/>
  <c r="F52"/>
  <c r="H52"/>
  <c r="M81" i="432" s="1"/>
  <c r="J52" i="99"/>
  <c r="L52"/>
  <c r="N52"/>
  <c r="P52"/>
  <c r="P15" i="98" s="1"/>
  <c r="K61" i="99"/>
  <c r="M61"/>
  <c r="O61"/>
  <c r="K62"/>
  <c r="M62"/>
  <c r="O62"/>
  <c r="J11" i="98"/>
  <c r="B12"/>
  <c r="D12"/>
  <c r="F12"/>
  <c r="H12"/>
  <c r="J12"/>
  <c r="L12"/>
  <c r="N12"/>
  <c r="P12"/>
  <c r="B13"/>
  <c r="D13"/>
  <c r="F13"/>
  <c r="H13"/>
  <c r="J13"/>
  <c r="I13" s="1"/>
  <c r="L13"/>
  <c r="N13"/>
  <c r="P13"/>
  <c r="B14"/>
  <c r="H15"/>
  <c r="J15"/>
  <c r="H23"/>
  <c r="D24"/>
  <c r="H24"/>
  <c r="J24"/>
  <c r="L24"/>
  <c r="P24"/>
  <c r="D25"/>
  <c r="F25"/>
  <c r="H25"/>
  <c r="L25"/>
  <c r="N25"/>
  <c r="P25"/>
  <c r="T25"/>
  <c r="D26"/>
  <c r="H26"/>
  <c r="P26"/>
  <c r="N48"/>
  <c r="O58"/>
  <c r="O60"/>
  <c r="B65"/>
  <c r="O65"/>
  <c r="B67"/>
  <c r="O67"/>
  <c r="O69"/>
  <c r="O75"/>
  <c r="D12" i="97"/>
  <c r="K12"/>
  <c r="D13"/>
  <c r="I13"/>
  <c r="K13"/>
  <c r="D14"/>
  <c r="I14"/>
  <c r="K14"/>
  <c r="H15"/>
  <c r="J15"/>
  <c r="L15"/>
  <c r="L17" s="1"/>
  <c r="D16"/>
  <c r="I16"/>
  <c r="K16"/>
  <c r="H17"/>
  <c r="D20"/>
  <c r="I20"/>
  <c r="K20"/>
  <c r="D21"/>
  <c r="I21"/>
  <c r="K21"/>
  <c r="D22"/>
  <c r="I22"/>
  <c r="K22"/>
  <c r="H23"/>
  <c r="J23"/>
  <c r="L23"/>
  <c r="D27"/>
  <c r="I27"/>
  <c r="K27"/>
  <c r="D33"/>
  <c r="I33"/>
  <c r="K33"/>
  <c r="D34"/>
  <c r="I34"/>
  <c r="K34"/>
  <c r="D35"/>
  <c r="I35"/>
  <c r="K35"/>
  <c r="D36"/>
  <c r="I36"/>
  <c r="K36"/>
  <c r="H37"/>
  <c r="J37"/>
  <c r="L37"/>
  <c r="D41"/>
  <c r="B10" i="96"/>
  <c r="D10"/>
  <c r="F10"/>
  <c r="H10"/>
  <c r="J10"/>
  <c r="E53" i="51" s="1"/>
  <c r="L10" i="96"/>
  <c r="N10"/>
  <c r="P10"/>
  <c r="B11"/>
  <c r="E12" i="51" s="1"/>
  <c r="D11" i="96"/>
  <c r="F11"/>
  <c r="H11"/>
  <c r="J11"/>
  <c r="E54" i="51" s="1"/>
  <c r="L11" i="96"/>
  <c r="N11"/>
  <c r="P11"/>
  <c r="B12"/>
  <c r="E13" i="51" s="1"/>
  <c r="D12" i="96"/>
  <c r="F12"/>
  <c r="H12"/>
  <c r="J12"/>
  <c r="E55" i="51" s="1"/>
  <c r="L12" i="96"/>
  <c r="N12"/>
  <c r="P12"/>
  <c r="J13"/>
  <c r="L13"/>
  <c r="N13"/>
  <c r="P13"/>
  <c r="B14"/>
  <c r="E15" i="51" s="1"/>
  <c r="D14" i="96"/>
  <c r="F14"/>
  <c r="H14"/>
  <c r="J14"/>
  <c r="E57" i="51" s="1"/>
  <c r="L14" i="96"/>
  <c r="N14"/>
  <c r="P14"/>
  <c r="B18"/>
  <c r="E19" i="51" s="1"/>
  <c r="D18" i="96"/>
  <c r="F18"/>
  <c r="H18"/>
  <c r="J18"/>
  <c r="E61" i="51" s="1"/>
  <c r="L18" i="96"/>
  <c r="N18"/>
  <c r="P18"/>
  <c r="B19"/>
  <c r="E20" i="51" s="1"/>
  <c r="D19" i="96"/>
  <c r="F19"/>
  <c r="H19"/>
  <c r="J19"/>
  <c r="E62" i="51" s="1"/>
  <c r="L19" i="96"/>
  <c r="N19"/>
  <c r="P19"/>
  <c r="B20"/>
  <c r="E21" i="51" s="1"/>
  <c r="D20" i="96"/>
  <c r="F20"/>
  <c r="H20"/>
  <c r="J20"/>
  <c r="E63" i="51" s="1"/>
  <c r="L20" i="96"/>
  <c r="N20"/>
  <c r="P20"/>
  <c r="B25"/>
  <c r="E26" i="51" s="1"/>
  <c r="D25" i="96"/>
  <c r="F25" i="92" s="1"/>
  <c r="F25" i="96"/>
  <c r="H25"/>
  <c r="J25"/>
  <c r="E68" i="51" s="1"/>
  <c r="L25" i="96"/>
  <c r="N25"/>
  <c r="P25"/>
  <c r="B31"/>
  <c r="E32" i="51" s="1"/>
  <c r="D31" i="96"/>
  <c r="F31"/>
  <c r="H31"/>
  <c r="J31"/>
  <c r="E74" i="51" s="1"/>
  <c r="L31" i="96"/>
  <c r="N31"/>
  <c r="P31"/>
  <c r="B32"/>
  <c r="E33" i="51" s="1"/>
  <c r="D32" i="96"/>
  <c r="F32"/>
  <c r="H32"/>
  <c r="J32"/>
  <c r="E75" i="51" s="1"/>
  <c r="L32" i="96"/>
  <c r="N32"/>
  <c r="P32"/>
  <c r="B33"/>
  <c r="E34" i="51" s="1"/>
  <c r="D33" i="96"/>
  <c r="F33"/>
  <c r="H33"/>
  <c r="J33"/>
  <c r="E76" i="51" s="1"/>
  <c r="L33" i="96"/>
  <c r="N33"/>
  <c r="P33"/>
  <c r="B34"/>
  <c r="E35" i="51" s="1"/>
  <c r="D34" i="96"/>
  <c r="F34"/>
  <c r="H34"/>
  <c r="J34"/>
  <c r="E77" i="51" s="1"/>
  <c r="L34" i="96"/>
  <c r="N34"/>
  <c r="P34"/>
  <c r="B39"/>
  <c r="E40" i="51" s="1"/>
  <c r="D39" i="96"/>
  <c r="F39"/>
  <c r="H39"/>
  <c r="J39"/>
  <c r="E82" i="51" s="1"/>
  <c r="L39" i="96"/>
  <c r="N39"/>
  <c r="P39"/>
  <c r="C50"/>
  <c r="R50"/>
  <c r="S50" s="1"/>
  <c r="U50"/>
  <c r="F12" i="97" s="1"/>
  <c r="C51" i="96"/>
  <c r="R51"/>
  <c r="B13" i="97" s="1"/>
  <c r="C13" s="1"/>
  <c r="U51" i="96"/>
  <c r="F13" i="97" s="1"/>
  <c r="G13" s="1"/>
  <c r="C52" i="96"/>
  <c r="R52"/>
  <c r="S52" s="1"/>
  <c r="U52"/>
  <c r="F14" i="97" s="1"/>
  <c r="G14" s="1"/>
  <c r="B53" i="96"/>
  <c r="B55" s="1"/>
  <c r="D53"/>
  <c r="F53"/>
  <c r="H53"/>
  <c r="H55" s="1"/>
  <c r="J53"/>
  <c r="L53"/>
  <c r="L55" s="1"/>
  <c r="N53"/>
  <c r="P53"/>
  <c r="T53"/>
  <c r="C54"/>
  <c r="R54"/>
  <c r="B16" i="97" s="1"/>
  <c r="U54" i="96"/>
  <c r="F16" i="97" s="1"/>
  <c r="G16" s="1"/>
  <c r="C58" i="96"/>
  <c r="R58"/>
  <c r="S58" s="1"/>
  <c r="U58"/>
  <c r="F20" i="97" s="1"/>
  <c r="C59" i="96"/>
  <c r="R59"/>
  <c r="B21" i="97" s="1"/>
  <c r="U59" i="96"/>
  <c r="F21" i="97" s="1"/>
  <c r="G21" s="1"/>
  <c r="C60" i="96"/>
  <c r="R60"/>
  <c r="S60" s="1"/>
  <c r="U60"/>
  <c r="F22" i="97" s="1"/>
  <c r="G22" s="1"/>
  <c r="B61" i="96"/>
  <c r="D61"/>
  <c r="F61"/>
  <c r="H61"/>
  <c r="J61"/>
  <c r="L61"/>
  <c r="N61"/>
  <c r="P61"/>
  <c r="T61"/>
  <c r="T24" i="92" s="1"/>
  <c r="C65" i="96"/>
  <c r="R65"/>
  <c r="B27" i="97" s="1"/>
  <c r="U65" i="96"/>
  <c r="F27" i="97" s="1"/>
  <c r="G27" s="1"/>
  <c r="C71" i="96"/>
  <c r="R71"/>
  <c r="B33" i="97" s="1"/>
  <c r="C33" s="1"/>
  <c r="U71" i="96"/>
  <c r="F33" i="97" s="1"/>
  <c r="C72" i="96"/>
  <c r="R72"/>
  <c r="B34" i="97" s="1"/>
  <c r="U72" i="96"/>
  <c r="F34" i="97" s="1"/>
  <c r="G34" s="1"/>
  <c r="C73" i="96"/>
  <c r="R73"/>
  <c r="B35" i="97" s="1"/>
  <c r="C35" s="1"/>
  <c r="U73" i="96"/>
  <c r="F35" i="97" s="1"/>
  <c r="G35" s="1"/>
  <c r="C74" i="96"/>
  <c r="R74"/>
  <c r="B36" i="97" s="1"/>
  <c r="U74" i="96"/>
  <c r="F36" i="97" s="1"/>
  <c r="G36" s="1"/>
  <c r="B75" i="96"/>
  <c r="D75"/>
  <c r="F75"/>
  <c r="H75"/>
  <c r="J75"/>
  <c r="L75"/>
  <c r="N75"/>
  <c r="P75"/>
  <c r="T75"/>
  <c r="C79"/>
  <c r="R79"/>
  <c r="B41" i="97" s="1"/>
  <c r="U79" i="96"/>
  <c r="F41" i="97" s="1"/>
  <c r="G41" s="1"/>
  <c r="D10" i="95"/>
  <c r="E10" s="1"/>
  <c r="J10"/>
  <c r="K10" s="1"/>
  <c r="D11"/>
  <c r="E11" s="1"/>
  <c r="J11"/>
  <c r="K11" s="1"/>
  <c r="D12"/>
  <c r="E12" s="1"/>
  <c r="J12"/>
  <c r="K12" s="1"/>
  <c r="D13"/>
  <c r="E13" s="1"/>
  <c r="J13"/>
  <c r="K13" s="1"/>
  <c r="D14"/>
  <c r="E14" s="1"/>
  <c r="J14"/>
  <c r="K14" s="1"/>
  <c r="B15"/>
  <c r="B23" s="1"/>
  <c r="C15"/>
  <c r="H15"/>
  <c r="I15"/>
  <c r="D17"/>
  <c r="J17"/>
  <c r="D19"/>
  <c r="E19" s="1"/>
  <c r="J19"/>
  <c r="K19" s="1"/>
  <c r="D20"/>
  <c r="E20" s="1"/>
  <c r="J20"/>
  <c r="K20" s="1"/>
  <c r="D21"/>
  <c r="J21"/>
  <c r="D22"/>
  <c r="E22" s="1"/>
  <c r="J22"/>
  <c r="K22" s="1"/>
  <c r="H23"/>
  <c r="D27"/>
  <c r="E27" s="1"/>
  <c r="J27"/>
  <c r="K27" s="1"/>
  <c r="D28"/>
  <c r="E28" s="1"/>
  <c r="J28"/>
  <c r="K28" s="1"/>
  <c r="D29"/>
  <c r="E29" s="1"/>
  <c r="J29"/>
  <c r="K29" s="1"/>
  <c r="B30"/>
  <c r="E69" i="432" s="1"/>
  <c r="C30" i="95"/>
  <c r="H30"/>
  <c r="I30"/>
  <c r="D33"/>
  <c r="J33"/>
  <c r="D34"/>
  <c r="J34"/>
  <c r="D35"/>
  <c r="E35" s="1"/>
  <c r="J35"/>
  <c r="K35" s="1"/>
  <c r="B36"/>
  <c r="C36"/>
  <c r="H36"/>
  <c r="I36"/>
  <c r="J36" s="1"/>
  <c r="K36" s="1"/>
  <c r="D39"/>
  <c r="J39"/>
  <c r="D40"/>
  <c r="J40"/>
  <c r="D41"/>
  <c r="D42" s="1"/>
  <c r="J41"/>
  <c r="K41" s="1"/>
  <c r="B42"/>
  <c r="C42"/>
  <c r="H42"/>
  <c r="I42"/>
  <c r="J42" s="1"/>
  <c r="D44"/>
  <c r="E44" s="1"/>
  <c r="J44"/>
  <c r="K44" s="1"/>
  <c r="D48"/>
  <c r="E48" s="1"/>
  <c r="D50"/>
  <c r="B52"/>
  <c r="H52"/>
  <c r="D10" i="94"/>
  <c r="F10"/>
  <c r="H10"/>
  <c r="J10"/>
  <c r="L10"/>
  <c r="N10"/>
  <c r="P10"/>
  <c r="B11"/>
  <c r="D11"/>
  <c r="F11"/>
  <c r="H11"/>
  <c r="J11"/>
  <c r="L11"/>
  <c r="N11"/>
  <c r="P11"/>
  <c r="B12"/>
  <c r="D12"/>
  <c r="F12"/>
  <c r="H12"/>
  <c r="J12"/>
  <c r="L12"/>
  <c r="N12"/>
  <c r="P12"/>
  <c r="B13"/>
  <c r="D13"/>
  <c r="F13"/>
  <c r="H13"/>
  <c r="J13"/>
  <c r="L13"/>
  <c r="N13"/>
  <c r="P13"/>
  <c r="B14"/>
  <c r="D14"/>
  <c r="F14"/>
  <c r="H14"/>
  <c r="J14"/>
  <c r="L14"/>
  <c r="N14"/>
  <c r="P14"/>
  <c r="B15"/>
  <c r="L15"/>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D29"/>
  <c r="F29"/>
  <c r="H29"/>
  <c r="J29"/>
  <c r="L29"/>
  <c r="N29"/>
  <c r="P29"/>
  <c r="B33"/>
  <c r="D33"/>
  <c r="F33"/>
  <c r="H33"/>
  <c r="J33"/>
  <c r="L33"/>
  <c r="N33"/>
  <c r="P33"/>
  <c r="B34"/>
  <c r="D34"/>
  <c r="F34"/>
  <c r="H34"/>
  <c r="J34"/>
  <c r="L34"/>
  <c r="N34"/>
  <c r="P34"/>
  <c r="B35"/>
  <c r="D35"/>
  <c r="F35"/>
  <c r="H35"/>
  <c r="J35"/>
  <c r="L35"/>
  <c r="N35"/>
  <c r="P35"/>
  <c r="B39"/>
  <c r="D39"/>
  <c r="F39"/>
  <c r="H39"/>
  <c r="J39"/>
  <c r="L39"/>
  <c r="N39"/>
  <c r="P39"/>
  <c r="B40"/>
  <c r="D40"/>
  <c r="F40"/>
  <c r="H40"/>
  <c r="J40"/>
  <c r="L40"/>
  <c r="N40"/>
  <c r="P40"/>
  <c r="B41"/>
  <c r="D41"/>
  <c r="F41"/>
  <c r="H41"/>
  <c r="J41"/>
  <c r="L41"/>
  <c r="N41"/>
  <c r="P41"/>
  <c r="B44"/>
  <c r="D44"/>
  <c r="F44"/>
  <c r="H44"/>
  <c r="J44"/>
  <c r="L44"/>
  <c r="N44"/>
  <c r="P44"/>
  <c r="B48"/>
  <c r="D48"/>
  <c r="F48"/>
  <c r="H48"/>
  <c r="J48"/>
  <c r="L48"/>
  <c r="N48"/>
  <c r="P48"/>
  <c r="B49"/>
  <c r="D49"/>
  <c r="F49"/>
  <c r="H49"/>
  <c r="J49"/>
  <c r="J49" i="95"/>
  <c r="K49" s="1"/>
  <c r="L49" i="94"/>
  <c r="N49"/>
  <c r="P49"/>
  <c r="B50"/>
  <c r="D50"/>
  <c r="F50"/>
  <c r="H50"/>
  <c r="J50"/>
  <c r="L50"/>
  <c r="N50"/>
  <c r="P50"/>
  <c r="B51"/>
  <c r="D51"/>
  <c r="F51"/>
  <c r="H51"/>
  <c r="J51"/>
  <c r="J51" i="95"/>
  <c r="K51" s="1"/>
  <c r="L51" i="94"/>
  <c r="N51"/>
  <c r="P51"/>
  <c r="K10" i="93"/>
  <c r="M10"/>
  <c r="O10"/>
  <c r="K11"/>
  <c r="M11"/>
  <c r="O11"/>
  <c r="K12"/>
  <c r="M12"/>
  <c r="O12"/>
  <c r="K13"/>
  <c r="M13"/>
  <c r="O13"/>
  <c r="K14"/>
  <c r="M14"/>
  <c r="O14"/>
  <c r="B15"/>
  <c r="D79" i="41" s="1"/>
  <c r="D15" i="93"/>
  <c r="F15"/>
  <c r="H15"/>
  <c r="D80" i="432" s="1"/>
  <c r="J15" i="93"/>
  <c r="L15"/>
  <c r="N15"/>
  <c r="P15"/>
  <c r="K19"/>
  <c r="M19"/>
  <c r="O19"/>
  <c r="K20"/>
  <c r="M20"/>
  <c r="O20"/>
  <c r="K21"/>
  <c r="M21"/>
  <c r="O21"/>
  <c r="K22"/>
  <c r="M22"/>
  <c r="O22"/>
  <c r="B23"/>
  <c r="D23"/>
  <c r="J23"/>
  <c r="L23"/>
  <c r="B51" i="182" s="1"/>
  <c r="N23" i="93"/>
  <c r="N11" i="92" s="1"/>
  <c r="P23" i="93"/>
  <c r="K27"/>
  <c r="M27"/>
  <c r="O27"/>
  <c r="K28"/>
  <c r="M28"/>
  <c r="O28"/>
  <c r="K29"/>
  <c r="M29"/>
  <c r="O29"/>
  <c r="B30"/>
  <c r="D30"/>
  <c r="F30"/>
  <c r="H30"/>
  <c r="J30"/>
  <c r="J33" i="182" s="1"/>
  <c r="L30" i="93"/>
  <c r="J51" i="182" s="1"/>
  <c r="N30" i="93"/>
  <c r="P30"/>
  <c r="K35"/>
  <c r="M35"/>
  <c r="O35"/>
  <c r="B36"/>
  <c r="D36"/>
  <c r="F36"/>
  <c r="H36"/>
  <c r="J36"/>
  <c r="L36"/>
  <c r="N36"/>
  <c r="P36"/>
  <c r="K41"/>
  <c r="M41"/>
  <c r="O41"/>
  <c r="B42"/>
  <c r="D42"/>
  <c r="F42"/>
  <c r="H42"/>
  <c r="J42"/>
  <c r="L42"/>
  <c r="N42"/>
  <c r="O42" s="1"/>
  <c r="P42"/>
  <c r="K44"/>
  <c r="M44"/>
  <c r="O44"/>
  <c r="K48"/>
  <c r="M48"/>
  <c r="O48"/>
  <c r="K49"/>
  <c r="M49"/>
  <c r="O49"/>
  <c r="K50"/>
  <c r="M50"/>
  <c r="O50"/>
  <c r="K51"/>
  <c r="M51"/>
  <c r="O51"/>
  <c r="B52"/>
  <c r="M78" i="371" s="1"/>
  <c r="D52" i="93"/>
  <c r="M78" i="379" s="1"/>
  <c r="F52" i="93"/>
  <c r="H52"/>
  <c r="J52"/>
  <c r="L52"/>
  <c r="L15" i="92" s="1"/>
  <c r="N52" i="93"/>
  <c r="N15" i="92" s="1"/>
  <c r="P52" i="93"/>
  <c r="P15" i="92" s="1"/>
  <c r="K61" i="93"/>
  <c r="M61"/>
  <c r="O61"/>
  <c r="K62"/>
  <c r="M62"/>
  <c r="O62"/>
  <c r="K63"/>
  <c r="M63"/>
  <c r="O63"/>
  <c r="L11" i="92"/>
  <c r="P11"/>
  <c r="B12"/>
  <c r="D12"/>
  <c r="F12"/>
  <c r="H12"/>
  <c r="J12"/>
  <c r="I12" s="1"/>
  <c r="L12"/>
  <c r="N12"/>
  <c r="P12"/>
  <c r="B13"/>
  <c r="D13"/>
  <c r="F13"/>
  <c r="H13"/>
  <c r="J13"/>
  <c r="I13" s="1"/>
  <c r="L13"/>
  <c r="N13"/>
  <c r="P13"/>
  <c r="J14"/>
  <c r="J15"/>
  <c r="D24"/>
  <c r="H24"/>
  <c r="L24"/>
  <c r="P24"/>
  <c r="B25"/>
  <c r="D25"/>
  <c r="H25"/>
  <c r="J25"/>
  <c r="L25"/>
  <c r="N25"/>
  <c r="P25"/>
  <c r="R25"/>
  <c r="T25"/>
  <c r="D26"/>
  <c r="H26"/>
  <c r="L26"/>
  <c r="P26"/>
  <c r="T26"/>
  <c r="B48"/>
  <c r="N48" s="1"/>
  <c r="B51"/>
  <c r="N51" s="1"/>
  <c r="O58"/>
  <c r="O60"/>
  <c r="B65"/>
  <c r="O65"/>
  <c r="O67"/>
  <c r="O69"/>
  <c r="O75"/>
  <c r="B10" i="91"/>
  <c r="D10"/>
  <c r="F10"/>
  <c r="D11"/>
  <c r="I11"/>
  <c r="K11"/>
  <c r="D12"/>
  <c r="K12"/>
  <c r="D13"/>
  <c r="I13"/>
  <c r="K13"/>
  <c r="H14"/>
  <c r="J14"/>
  <c r="J16" s="1"/>
  <c r="L14"/>
  <c r="L16" s="1"/>
  <c r="D15"/>
  <c r="I15"/>
  <c r="K15"/>
  <c r="D19"/>
  <c r="I19"/>
  <c r="K19"/>
  <c r="D20"/>
  <c r="I20"/>
  <c r="K20"/>
  <c r="D21"/>
  <c r="I21"/>
  <c r="K21"/>
  <c r="H22"/>
  <c r="J22"/>
  <c r="L22"/>
  <c r="D26"/>
  <c r="I26"/>
  <c r="K26"/>
  <c r="D32"/>
  <c r="I32"/>
  <c r="K32"/>
  <c r="D33"/>
  <c r="I33"/>
  <c r="K33"/>
  <c r="D34"/>
  <c r="I34"/>
  <c r="K34"/>
  <c r="D35"/>
  <c r="I35"/>
  <c r="K35"/>
  <c r="H36"/>
  <c r="J36"/>
  <c r="L36"/>
  <c r="D40"/>
  <c r="B10" i="90"/>
  <c r="D11" i="51" s="1"/>
  <c r="D10" i="90"/>
  <c r="F10"/>
  <c r="H10"/>
  <c r="J10"/>
  <c r="D53" i="51" s="1"/>
  <c r="L10" i="90"/>
  <c r="N10"/>
  <c r="P10"/>
  <c r="B11"/>
  <c r="D12" i="51" s="1"/>
  <c r="D11" i="90"/>
  <c r="F11"/>
  <c r="H11"/>
  <c r="J11"/>
  <c r="L11"/>
  <c r="N11"/>
  <c r="P11"/>
  <c r="B12"/>
  <c r="D13" i="51" s="1"/>
  <c r="D12" i="90"/>
  <c r="F12"/>
  <c r="H12"/>
  <c r="J12"/>
  <c r="D55" i="51" s="1"/>
  <c r="L12" i="90"/>
  <c r="N12"/>
  <c r="P12"/>
  <c r="B13"/>
  <c r="C106" i="51" s="1"/>
  <c r="D13" i="90"/>
  <c r="F13"/>
  <c r="L13"/>
  <c r="B14"/>
  <c r="D15" i="51" s="1"/>
  <c r="D14" i="90"/>
  <c r="F14"/>
  <c r="H14"/>
  <c r="J14"/>
  <c r="D57" i="51" s="1"/>
  <c r="L14" i="90"/>
  <c r="N14"/>
  <c r="P14"/>
  <c r="B18"/>
  <c r="D19" i="51" s="1"/>
  <c r="D18" i="90"/>
  <c r="F18"/>
  <c r="H18"/>
  <c r="J18"/>
  <c r="D61" i="51" s="1"/>
  <c r="L18" i="90"/>
  <c r="N18"/>
  <c r="P18"/>
  <c r="B19"/>
  <c r="D20" i="51" s="1"/>
  <c r="D19" i="90"/>
  <c r="F19"/>
  <c r="H19"/>
  <c r="J19"/>
  <c r="D62" i="51" s="1"/>
  <c r="L19" i="90"/>
  <c r="N19"/>
  <c r="P19"/>
  <c r="B20"/>
  <c r="D21" i="51" s="1"/>
  <c r="D20" i="90"/>
  <c r="F20"/>
  <c r="H20"/>
  <c r="J20"/>
  <c r="D63" i="51" s="1"/>
  <c r="L20" i="90"/>
  <c r="N20"/>
  <c r="P20"/>
  <c r="B21"/>
  <c r="I106" i="51" s="1"/>
  <c r="D21" i="90"/>
  <c r="F21"/>
  <c r="J24" i="86" s="1"/>
  <c r="B25" i="90"/>
  <c r="D26" i="51" s="1"/>
  <c r="D25" i="90"/>
  <c r="F25"/>
  <c r="H25"/>
  <c r="J25"/>
  <c r="D68" i="51" s="1"/>
  <c r="L25" i="90"/>
  <c r="N25"/>
  <c r="P25"/>
  <c r="B31"/>
  <c r="D32" i="51" s="1"/>
  <c r="D31" i="90"/>
  <c r="F31"/>
  <c r="H31"/>
  <c r="J31"/>
  <c r="D74" i="51" s="1"/>
  <c r="L31" i="90"/>
  <c r="N31"/>
  <c r="P31"/>
  <c r="B32"/>
  <c r="D33" i="51" s="1"/>
  <c r="D32" i="90"/>
  <c r="F32"/>
  <c r="H32"/>
  <c r="J32"/>
  <c r="D75" i="51" s="1"/>
  <c r="L32" i="90"/>
  <c r="N32"/>
  <c r="P32"/>
  <c r="B33"/>
  <c r="D34" i="51" s="1"/>
  <c r="D33" i="90"/>
  <c r="F33"/>
  <c r="H33"/>
  <c r="J33"/>
  <c r="D76" i="51" s="1"/>
  <c r="L33" i="90"/>
  <c r="N33"/>
  <c r="P33"/>
  <c r="B34"/>
  <c r="D35" i="51" s="1"/>
  <c r="D34" i="90"/>
  <c r="F34"/>
  <c r="H34"/>
  <c r="J34"/>
  <c r="D77" i="51" s="1"/>
  <c r="L34" i="90"/>
  <c r="N34"/>
  <c r="P34"/>
  <c r="B35"/>
  <c r="Q105" i="51" s="1"/>
  <c r="D35" i="90"/>
  <c r="F35"/>
  <c r="H35"/>
  <c r="B39"/>
  <c r="D40" i="51" s="1"/>
  <c r="D39" i="90"/>
  <c r="F39"/>
  <c r="H39"/>
  <c r="J39"/>
  <c r="D82" i="51" s="1"/>
  <c r="L39" i="90"/>
  <c r="N39"/>
  <c r="P39"/>
  <c r="C50"/>
  <c r="R50"/>
  <c r="B11" i="91" s="1"/>
  <c r="U50" i="90"/>
  <c r="F11" i="91" s="1"/>
  <c r="R51" i="90"/>
  <c r="U51"/>
  <c r="F12" i="91" s="1"/>
  <c r="C52" i="90"/>
  <c r="R52"/>
  <c r="B13" i="91" s="1"/>
  <c r="U52" i="90"/>
  <c r="F13" i="91" s="1"/>
  <c r="G13" s="1"/>
  <c r="B53" i="90"/>
  <c r="D53"/>
  <c r="F53"/>
  <c r="F55" s="1"/>
  <c r="H53"/>
  <c r="J53"/>
  <c r="L53"/>
  <c r="N53"/>
  <c r="P53"/>
  <c r="P55" s="1"/>
  <c r="P23" i="86" s="1"/>
  <c r="T53" i="90"/>
  <c r="C54"/>
  <c r="R54"/>
  <c r="B15" i="91" s="1"/>
  <c r="U54" i="90"/>
  <c r="F15" i="91" s="1"/>
  <c r="G15" s="1"/>
  <c r="H55" i="90"/>
  <c r="C58"/>
  <c r="R58"/>
  <c r="B19" i="91" s="1"/>
  <c r="C19" s="1"/>
  <c r="U58" i="90"/>
  <c r="F19" i="91" s="1"/>
  <c r="C59" i="90"/>
  <c r="R59"/>
  <c r="B20" i="91" s="1"/>
  <c r="U59" i="90"/>
  <c r="F20" i="91" s="1"/>
  <c r="G20" s="1"/>
  <c r="C60" i="90"/>
  <c r="R60"/>
  <c r="B21" i="91" s="1"/>
  <c r="U60" i="90"/>
  <c r="F21" i="91" s="1"/>
  <c r="G21" s="1"/>
  <c r="B61" i="90"/>
  <c r="D61"/>
  <c r="F61"/>
  <c r="H61"/>
  <c r="J61"/>
  <c r="L61"/>
  <c r="N61"/>
  <c r="P61"/>
  <c r="P24" i="86" s="1"/>
  <c r="C65" i="90"/>
  <c r="R65"/>
  <c r="S65" s="1"/>
  <c r="U65"/>
  <c r="F26" i="91" s="1"/>
  <c r="G26" s="1"/>
  <c r="C71" i="90"/>
  <c r="R71"/>
  <c r="S71" s="1"/>
  <c r="U71"/>
  <c r="F32" i="91" s="1"/>
  <c r="C72" i="90"/>
  <c r="R72"/>
  <c r="B33" i="91" s="1"/>
  <c r="U72" i="90"/>
  <c r="F33" i="91" s="1"/>
  <c r="G33" s="1"/>
  <c r="C73" i="90"/>
  <c r="R73"/>
  <c r="S73" s="1"/>
  <c r="U73"/>
  <c r="F34" i="91" s="1"/>
  <c r="G34" s="1"/>
  <c r="C74" i="90"/>
  <c r="R74"/>
  <c r="B35" i="91" s="1"/>
  <c r="U74" i="90"/>
  <c r="F35" i="91" s="1"/>
  <c r="G35" s="1"/>
  <c r="B75" i="90"/>
  <c r="D75"/>
  <c r="F75"/>
  <c r="H75"/>
  <c r="J75"/>
  <c r="L75"/>
  <c r="N75"/>
  <c r="P75"/>
  <c r="T75"/>
  <c r="T26" i="86" s="1"/>
  <c r="R79" i="90"/>
  <c r="B40" i="91" s="1"/>
  <c r="U79" i="90"/>
  <c r="F40" i="91" s="1"/>
  <c r="D10" i="89"/>
  <c r="E10" s="1"/>
  <c r="J10"/>
  <c r="K10" s="1"/>
  <c r="D11"/>
  <c r="E11" s="1"/>
  <c r="J11"/>
  <c r="K11" s="1"/>
  <c r="D12"/>
  <c r="E12" s="1"/>
  <c r="J12"/>
  <c r="K12" s="1"/>
  <c r="D13"/>
  <c r="E13" s="1"/>
  <c r="J13"/>
  <c r="K13" s="1"/>
  <c r="D14"/>
  <c r="E14" s="1"/>
  <c r="J14"/>
  <c r="K14" s="1"/>
  <c r="B15"/>
  <c r="C15"/>
  <c r="H15"/>
  <c r="I15"/>
  <c r="D17"/>
  <c r="J17"/>
  <c r="D19"/>
  <c r="E19" s="1"/>
  <c r="J19"/>
  <c r="K19" s="1"/>
  <c r="D20"/>
  <c r="E20" s="1"/>
  <c r="J20"/>
  <c r="K20" s="1"/>
  <c r="D21"/>
  <c r="E21" s="1"/>
  <c r="J21"/>
  <c r="D22"/>
  <c r="E22" s="1"/>
  <c r="J22"/>
  <c r="K22" s="1"/>
  <c r="H23"/>
  <c r="D27"/>
  <c r="E27" s="1"/>
  <c r="J27"/>
  <c r="K27" s="1"/>
  <c r="D28"/>
  <c r="E28" s="1"/>
  <c r="J28"/>
  <c r="K28" s="1"/>
  <c r="D29"/>
  <c r="E29" s="1"/>
  <c r="J29"/>
  <c r="K29" s="1"/>
  <c r="B30"/>
  <c r="D69" i="432" s="1"/>
  <c r="C30" i="89"/>
  <c r="H30"/>
  <c r="I30"/>
  <c r="D33"/>
  <c r="J33"/>
  <c r="D34"/>
  <c r="J34"/>
  <c r="D35"/>
  <c r="E35" s="1"/>
  <c r="J35"/>
  <c r="K35" s="1"/>
  <c r="B36"/>
  <c r="C36"/>
  <c r="H36"/>
  <c r="I36"/>
  <c r="J36" s="1"/>
  <c r="K36" s="1"/>
  <c r="D39"/>
  <c r="J39"/>
  <c r="D40"/>
  <c r="J40"/>
  <c r="D41"/>
  <c r="E41" s="1"/>
  <c r="J41"/>
  <c r="K41" s="1"/>
  <c r="B42"/>
  <c r="C42"/>
  <c r="H42"/>
  <c r="I42"/>
  <c r="D44"/>
  <c r="E44" s="1"/>
  <c r="J44"/>
  <c r="K44" s="1"/>
  <c r="D50"/>
  <c r="E50" s="1"/>
  <c r="B52"/>
  <c r="H52"/>
  <c r="B9" i="88"/>
  <c r="D9"/>
  <c r="F9"/>
  <c r="H9"/>
  <c r="J9"/>
  <c r="L9"/>
  <c r="L14" s="1"/>
  <c r="L22" s="1"/>
  <c r="N9"/>
  <c r="P9"/>
  <c r="B10"/>
  <c r="D10"/>
  <c r="F10"/>
  <c r="H10"/>
  <c r="J10"/>
  <c r="L10"/>
  <c r="N10"/>
  <c r="P10"/>
  <c r="B11"/>
  <c r="D11"/>
  <c r="F11"/>
  <c r="H11"/>
  <c r="J11"/>
  <c r="L11"/>
  <c r="N11"/>
  <c r="P11"/>
  <c r="B12"/>
  <c r="D12"/>
  <c r="F12"/>
  <c r="H12"/>
  <c r="J12"/>
  <c r="L12"/>
  <c r="N12"/>
  <c r="P12"/>
  <c r="B13"/>
  <c r="D13"/>
  <c r="F13"/>
  <c r="H13"/>
  <c r="J13"/>
  <c r="L13"/>
  <c r="N13"/>
  <c r="P13"/>
  <c r="B16"/>
  <c r="D16"/>
  <c r="F16"/>
  <c r="H16"/>
  <c r="J16"/>
  <c r="L16"/>
  <c r="N16"/>
  <c r="P16"/>
  <c r="B18"/>
  <c r="D18"/>
  <c r="F18"/>
  <c r="H18"/>
  <c r="J18"/>
  <c r="L18"/>
  <c r="N18"/>
  <c r="P18"/>
  <c r="B19"/>
  <c r="D19"/>
  <c r="F19"/>
  <c r="H19"/>
  <c r="J19"/>
  <c r="L19"/>
  <c r="N19"/>
  <c r="P19"/>
  <c r="B20"/>
  <c r="D20"/>
  <c r="F20"/>
  <c r="H20"/>
  <c r="J20"/>
  <c r="L20"/>
  <c r="N20"/>
  <c r="P20"/>
  <c r="B21"/>
  <c r="D21"/>
  <c r="F21"/>
  <c r="H21"/>
  <c r="J21"/>
  <c r="L21"/>
  <c r="N21"/>
  <c r="P21"/>
  <c r="B27"/>
  <c r="D27"/>
  <c r="F27"/>
  <c r="H27"/>
  <c r="J27"/>
  <c r="L27"/>
  <c r="N27"/>
  <c r="P27"/>
  <c r="B28"/>
  <c r="D28"/>
  <c r="F28"/>
  <c r="H28"/>
  <c r="J28"/>
  <c r="L28"/>
  <c r="N28"/>
  <c r="P28"/>
  <c r="B29"/>
  <c r="D29"/>
  <c r="F29"/>
  <c r="H29"/>
  <c r="J29"/>
  <c r="L29"/>
  <c r="N29"/>
  <c r="P29"/>
  <c r="B30"/>
  <c r="D30"/>
  <c r="F30"/>
  <c r="H30"/>
  <c r="J30"/>
  <c r="L30"/>
  <c r="N30"/>
  <c r="P30"/>
  <c r="B33"/>
  <c r="D33"/>
  <c r="F33"/>
  <c r="H33"/>
  <c r="J33"/>
  <c r="L33"/>
  <c r="N33"/>
  <c r="P33"/>
  <c r="B34"/>
  <c r="J34"/>
  <c r="L34"/>
  <c r="N34"/>
  <c r="P34"/>
  <c r="B35"/>
  <c r="D35"/>
  <c r="F35"/>
  <c r="H35"/>
  <c r="J35"/>
  <c r="L35"/>
  <c r="N35"/>
  <c r="P35"/>
  <c r="B39"/>
  <c r="D39"/>
  <c r="F39"/>
  <c r="H39"/>
  <c r="J39"/>
  <c r="L39"/>
  <c r="N39"/>
  <c r="P39"/>
  <c r="B40"/>
  <c r="H40"/>
  <c r="J40"/>
  <c r="L40"/>
  <c r="N40"/>
  <c r="P40"/>
  <c r="B41"/>
  <c r="D41"/>
  <c r="F41"/>
  <c r="H41"/>
  <c r="J41"/>
  <c r="L41"/>
  <c r="N41"/>
  <c r="P41"/>
  <c r="P42" s="1"/>
  <c r="B44"/>
  <c r="D44"/>
  <c r="F44"/>
  <c r="H44"/>
  <c r="J44"/>
  <c r="L44"/>
  <c r="N44"/>
  <c r="P44"/>
  <c r="B48"/>
  <c r="D48"/>
  <c r="F48"/>
  <c r="H48"/>
  <c r="J48"/>
  <c r="L48"/>
  <c r="N48"/>
  <c r="P48"/>
  <c r="B49"/>
  <c r="D49"/>
  <c r="H49"/>
  <c r="J49"/>
  <c r="P49"/>
  <c r="B50"/>
  <c r="D50"/>
  <c r="F50"/>
  <c r="H50"/>
  <c r="J50"/>
  <c r="L50"/>
  <c r="N50"/>
  <c r="P50"/>
  <c r="B51"/>
  <c r="D51"/>
  <c r="F51"/>
  <c r="J51"/>
  <c r="L51"/>
  <c r="N51"/>
  <c r="P51"/>
  <c r="K10" i="87"/>
  <c r="M10"/>
  <c r="O10"/>
  <c r="K11"/>
  <c r="M11"/>
  <c r="O11"/>
  <c r="K12"/>
  <c r="M12"/>
  <c r="O12"/>
  <c r="K13"/>
  <c r="M13"/>
  <c r="O13"/>
  <c r="K14"/>
  <c r="M14"/>
  <c r="O14"/>
  <c r="B15"/>
  <c r="D82" i="41" s="1"/>
  <c r="D15" i="87"/>
  <c r="F15"/>
  <c r="H15"/>
  <c r="D82" i="432" s="1"/>
  <c r="J15" i="87"/>
  <c r="L15"/>
  <c r="N15"/>
  <c r="P15"/>
  <c r="P23" s="1"/>
  <c r="P11" i="86" s="1"/>
  <c r="K19" i="87"/>
  <c r="M19"/>
  <c r="O19"/>
  <c r="K20"/>
  <c r="M20"/>
  <c r="O20"/>
  <c r="K21"/>
  <c r="M21"/>
  <c r="O21"/>
  <c r="K22"/>
  <c r="M22"/>
  <c r="O22"/>
  <c r="B23"/>
  <c r="K27"/>
  <c r="O27"/>
  <c r="K28"/>
  <c r="O28"/>
  <c r="K29"/>
  <c r="O29"/>
  <c r="B30"/>
  <c r="D30"/>
  <c r="D14" i="86" s="1"/>
  <c r="F30" i="87"/>
  <c r="H30"/>
  <c r="H14" i="86" s="1"/>
  <c r="J30" i="87"/>
  <c r="J37" i="182" s="1"/>
  <c r="L30" i="87"/>
  <c r="J54" i="182" s="1"/>
  <c r="N30" i="87"/>
  <c r="P30"/>
  <c r="D34"/>
  <c r="D34" i="88" s="1"/>
  <c r="F34" i="87"/>
  <c r="F36" s="1"/>
  <c r="H34"/>
  <c r="K35"/>
  <c r="M35"/>
  <c r="O35"/>
  <c r="B36"/>
  <c r="I36" s="1"/>
  <c r="H36"/>
  <c r="J36"/>
  <c r="L36"/>
  <c r="N36"/>
  <c r="P36"/>
  <c r="D40"/>
  <c r="D40" i="88" s="1"/>
  <c r="F40" i="87"/>
  <c r="F42" s="1"/>
  <c r="K41"/>
  <c r="M41"/>
  <c r="O41"/>
  <c r="B42"/>
  <c r="I42" s="1"/>
  <c r="D42"/>
  <c r="H42"/>
  <c r="J42"/>
  <c r="L42"/>
  <c r="N42"/>
  <c r="P42"/>
  <c r="K44"/>
  <c r="M44"/>
  <c r="O44"/>
  <c r="K48"/>
  <c r="M48"/>
  <c r="O48"/>
  <c r="L49" i="88"/>
  <c r="N49"/>
  <c r="K50" i="87"/>
  <c r="M50"/>
  <c r="O50"/>
  <c r="K51"/>
  <c r="M51"/>
  <c r="O51"/>
  <c r="B52"/>
  <c r="D52"/>
  <c r="J52"/>
  <c r="L52"/>
  <c r="L15" i="86" s="1"/>
  <c r="N52" i="87"/>
  <c r="N53" s="1"/>
  <c r="P52"/>
  <c r="P15" i="86" s="1"/>
  <c r="K61" i="87"/>
  <c r="M61"/>
  <c r="O61"/>
  <c r="K62"/>
  <c r="M62"/>
  <c r="O62"/>
  <c r="O63"/>
  <c r="B12" i="86"/>
  <c r="D12"/>
  <c r="F12"/>
  <c r="H12"/>
  <c r="J12"/>
  <c r="L12"/>
  <c r="N12"/>
  <c r="P12"/>
  <c r="B13"/>
  <c r="D13"/>
  <c r="F13"/>
  <c r="H13"/>
  <c r="J13"/>
  <c r="I13" s="1"/>
  <c r="L13"/>
  <c r="N13"/>
  <c r="P13"/>
  <c r="F14"/>
  <c r="L14"/>
  <c r="N14"/>
  <c r="P14"/>
  <c r="N15"/>
  <c r="H23"/>
  <c r="B24"/>
  <c r="D24"/>
  <c r="F24"/>
  <c r="H24"/>
  <c r="L24"/>
  <c r="B25"/>
  <c r="D25"/>
  <c r="F25"/>
  <c r="H25"/>
  <c r="J25"/>
  <c r="L25"/>
  <c r="N25"/>
  <c r="P25"/>
  <c r="R25"/>
  <c r="T25"/>
  <c r="D26"/>
  <c r="H26"/>
  <c r="J26"/>
  <c r="L26"/>
  <c r="N26"/>
  <c r="P26"/>
  <c r="B48"/>
  <c r="N48" s="1"/>
  <c r="B51"/>
  <c r="N51" s="1"/>
  <c r="O58"/>
  <c r="O60"/>
  <c r="B65"/>
  <c r="O65"/>
  <c r="B67"/>
  <c r="O67"/>
  <c r="O69"/>
  <c r="O75"/>
  <c r="D12" i="85"/>
  <c r="I12"/>
  <c r="K12"/>
  <c r="D13"/>
  <c r="K13"/>
  <c r="D14"/>
  <c r="I14"/>
  <c r="K14"/>
  <c r="H15"/>
  <c r="J15"/>
  <c r="L15"/>
  <c r="D16"/>
  <c r="I16"/>
  <c r="K16"/>
  <c r="H17"/>
  <c r="J17"/>
  <c r="L17"/>
  <c r="D20"/>
  <c r="I20"/>
  <c r="K20"/>
  <c r="D21"/>
  <c r="I21"/>
  <c r="K21"/>
  <c r="D22"/>
  <c r="I22"/>
  <c r="K22"/>
  <c r="H23"/>
  <c r="J23"/>
  <c r="L23"/>
  <c r="L25" s="1"/>
  <c r="D27"/>
  <c r="I27"/>
  <c r="K27"/>
  <c r="D33"/>
  <c r="I33"/>
  <c r="K33"/>
  <c r="I34"/>
  <c r="K34"/>
  <c r="D35"/>
  <c r="I35"/>
  <c r="K35"/>
  <c r="D36"/>
  <c r="I36"/>
  <c r="K36"/>
  <c r="H37"/>
  <c r="J37"/>
  <c r="L37"/>
  <c r="D41"/>
  <c r="H41"/>
  <c r="J41"/>
  <c r="B10" i="84"/>
  <c r="C11" i="51" s="1"/>
  <c r="D10" i="84"/>
  <c r="F10"/>
  <c r="H10"/>
  <c r="J10"/>
  <c r="C53" i="51" s="1"/>
  <c r="L10" i="84"/>
  <c r="N10"/>
  <c r="P10"/>
  <c r="B11"/>
  <c r="C12" i="51" s="1"/>
  <c r="D11" i="84"/>
  <c r="F11"/>
  <c r="H11"/>
  <c r="J11"/>
  <c r="C54" i="51" s="1"/>
  <c r="L11" i="84"/>
  <c r="N11"/>
  <c r="P11"/>
  <c r="B12"/>
  <c r="C13" i="51" s="1"/>
  <c r="D12" i="84"/>
  <c r="F12"/>
  <c r="H12"/>
  <c r="J12"/>
  <c r="L12"/>
  <c r="M12" s="1"/>
  <c r="N12"/>
  <c r="N13" s="1"/>
  <c r="N15" s="1"/>
  <c r="P12"/>
  <c r="B13"/>
  <c r="C109" i="51" s="1"/>
  <c r="B14" i="84"/>
  <c r="C15" i="51" s="1"/>
  <c r="D14" i="84"/>
  <c r="F14"/>
  <c r="H14"/>
  <c r="J14"/>
  <c r="C57" i="51" s="1"/>
  <c r="L14" i="84"/>
  <c r="N14"/>
  <c r="P14"/>
  <c r="B18"/>
  <c r="C19" i="51" s="1"/>
  <c r="D18" i="84"/>
  <c r="F18"/>
  <c r="H18"/>
  <c r="J18"/>
  <c r="C61" i="51" s="1"/>
  <c r="L18" i="84"/>
  <c r="N18"/>
  <c r="P18"/>
  <c r="B19"/>
  <c r="C20" i="51" s="1"/>
  <c r="D19" i="84"/>
  <c r="F19"/>
  <c r="H19"/>
  <c r="J19"/>
  <c r="C62" i="51" s="1"/>
  <c r="L19" i="84"/>
  <c r="N19"/>
  <c r="P19"/>
  <c r="B20"/>
  <c r="C21" i="51" s="1"/>
  <c r="D20" i="84"/>
  <c r="F20"/>
  <c r="H20"/>
  <c r="J20"/>
  <c r="C63" i="51" s="1"/>
  <c r="L20" i="84"/>
  <c r="N20"/>
  <c r="P20"/>
  <c r="B21"/>
  <c r="I108" i="51" s="1"/>
  <c r="D21" i="84"/>
  <c r="F21"/>
  <c r="B25"/>
  <c r="C26" i="51" s="1"/>
  <c r="D25" i="84"/>
  <c r="F25"/>
  <c r="H25"/>
  <c r="J25"/>
  <c r="C68" i="51" s="1"/>
  <c r="L25" i="84"/>
  <c r="N25"/>
  <c r="P25"/>
  <c r="B31"/>
  <c r="C32" i="51" s="1"/>
  <c r="D31" i="84"/>
  <c r="F31"/>
  <c r="H31"/>
  <c r="J31"/>
  <c r="C74" i="51" s="1"/>
  <c r="L31" i="84"/>
  <c r="N31"/>
  <c r="P31"/>
  <c r="B32"/>
  <c r="C33" i="51" s="1"/>
  <c r="D32" i="84"/>
  <c r="F32"/>
  <c r="H32"/>
  <c r="J32"/>
  <c r="C75" i="51" s="1"/>
  <c r="L32" i="84"/>
  <c r="N32"/>
  <c r="P32"/>
  <c r="B33"/>
  <c r="C34" i="51" s="1"/>
  <c r="D33" i="84"/>
  <c r="F33"/>
  <c r="H33"/>
  <c r="J33"/>
  <c r="C76" i="51" s="1"/>
  <c r="L33" i="84"/>
  <c r="N33"/>
  <c r="P33"/>
  <c r="B34"/>
  <c r="C35" i="51" s="1"/>
  <c r="D34" i="84"/>
  <c r="F34"/>
  <c r="H34"/>
  <c r="J34"/>
  <c r="C77" i="51" s="1"/>
  <c r="L34" i="84"/>
  <c r="N34"/>
  <c r="P34"/>
  <c r="B35"/>
  <c r="N35"/>
  <c r="P35"/>
  <c r="B39"/>
  <c r="C40" i="51" s="1"/>
  <c r="D39" i="84"/>
  <c r="F39"/>
  <c r="H39"/>
  <c r="J39"/>
  <c r="C82" i="51" s="1"/>
  <c r="L39" i="84"/>
  <c r="N39"/>
  <c r="P39"/>
  <c r="C50"/>
  <c r="R50"/>
  <c r="S50" s="1"/>
  <c r="U50"/>
  <c r="F12" i="85" s="1"/>
  <c r="G12" s="1"/>
  <c r="R51" i="84"/>
  <c r="B13" i="85" s="1"/>
  <c r="U51" i="84"/>
  <c r="F13" i="85" s="1"/>
  <c r="C52" i="84"/>
  <c r="R52"/>
  <c r="S52" s="1"/>
  <c r="U52"/>
  <c r="F14" i="85" s="1"/>
  <c r="G14" s="1"/>
  <c r="B53" i="84"/>
  <c r="D53"/>
  <c r="F53"/>
  <c r="H53"/>
  <c r="H55" s="1"/>
  <c r="J53"/>
  <c r="L53"/>
  <c r="N53"/>
  <c r="P53"/>
  <c r="P55" s="1"/>
  <c r="T53"/>
  <c r="T55" s="1"/>
  <c r="T23" i="80" s="1"/>
  <c r="C54" i="84"/>
  <c r="R54"/>
  <c r="B16" i="85" s="1"/>
  <c r="U54" i="84"/>
  <c r="F16" i="85" s="1"/>
  <c r="B55" i="84"/>
  <c r="D55"/>
  <c r="L55"/>
  <c r="C58"/>
  <c r="R58"/>
  <c r="B20" i="85" s="1"/>
  <c r="U58" i="84"/>
  <c r="F20" i="85" s="1"/>
  <c r="G20" s="1"/>
  <c r="C59" i="84"/>
  <c r="R59"/>
  <c r="B21" i="85" s="1"/>
  <c r="U59" i="84"/>
  <c r="F21" i="85" s="1"/>
  <c r="C60" i="84"/>
  <c r="R60"/>
  <c r="B22" i="85" s="1"/>
  <c r="U60" i="84"/>
  <c r="F22" i="85" s="1"/>
  <c r="B61" i="84"/>
  <c r="D61"/>
  <c r="F61"/>
  <c r="H61"/>
  <c r="J61"/>
  <c r="L61"/>
  <c r="N61"/>
  <c r="P61"/>
  <c r="T61"/>
  <c r="T24" i="80" s="1"/>
  <c r="C65" i="84"/>
  <c r="R65"/>
  <c r="B27" i="85" s="1"/>
  <c r="U65" i="84"/>
  <c r="F27" i="85" s="1"/>
  <c r="C71" i="84"/>
  <c r="R71"/>
  <c r="B33" i="85" s="1"/>
  <c r="C33" s="1"/>
  <c r="U71" i="84"/>
  <c r="C72"/>
  <c r="R72"/>
  <c r="B34" i="85" s="1"/>
  <c r="U72" i="84"/>
  <c r="F34" i="85" s="1"/>
  <c r="C73" i="84"/>
  <c r="R73"/>
  <c r="B35" i="85" s="1"/>
  <c r="U73" i="84"/>
  <c r="F35" i="85" s="1"/>
  <c r="C74" i="84"/>
  <c r="R74"/>
  <c r="B36" i="85" s="1"/>
  <c r="U74" i="84"/>
  <c r="F36" i="85" s="1"/>
  <c r="B75" i="84"/>
  <c r="D75"/>
  <c r="F75"/>
  <c r="H75"/>
  <c r="J75"/>
  <c r="L75"/>
  <c r="N75"/>
  <c r="P75"/>
  <c r="R79"/>
  <c r="B41" i="85" s="1"/>
  <c r="U79" i="84"/>
  <c r="F41" i="85" s="1"/>
  <c r="D10" i="83"/>
  <c r="E10" s="1"/>
  <c r="J10"/>
  <c r="K10" s="1"/>
  <c r="D11"/>
  <c r="E11" s="1"/>
  <c r="J11"/>
  <c r="K11" s="1"/>
  <c r="D12"/>
  <c r="E12" s="1"/>
  <c r="J12"/>
  <c r="K12" s="1"/>
  <c r="D13"/>
  <c r="J13"/>
  <c r="D14"/>
  <c r="E14" s="1"/>
  <c r="J14"/>
  <c r="K14" s="1"/>
  <c r="B15"/>
  <c r="C15"/>
  <c r="H15"/>
  <c r="H23" s="1"/>
  <c r="I15"/>
  <c r="D17"/>
  <c r="J17"/>
  <c r="D19"/>
  <c r="E19" s="1"/>
  <c r="J19"/>
  <c r="K19" s="1"/>
  <c r="D20"/>
  <c r="E20" s="1"/>
  <c r="J20"/>
  <c r="K20" s="1"/>
  <c r="D21"/>
  <c r="J21"/>
  <c r="D22"/>
  <c r="E22" s="1"/>
  <c r="J22"/>
  <c r="K22" s="1"/>
  <c r="D27"/>
  <c r="E27" s="1"/>
  <c r="J27"/>
  <c r="K27" s="1"/>
  <c r="D28"/>
  <c r="E28" s="1"/>
  <c r="J28"/>
  <c r="K28" s="1"/>
  <c r="D29"/>
  <c r="E29" s="1"/>
  <c r="J29"/>
  <c r="K29" s="1"/>
  <c r="B30"/>
  <c r="C30"/>
  <c r="H30"/>
  <c r="I30"/>
  <c r="D33"/>
  <c r="J33"/>
  <c r="D34"/>
  <c r="J34"/>
  <c r="D35"/>
  <c r="E35" s="1"/>
  <c r="J35"/>
  <c r="K35" s="1"/>
  <c r="B36"/>
  <c r="C36"/>
  <c r="H36"/>
  <c r="I36"/>
  <c r="D39"/>
  <c r="J39"/>
  <c r="D40"/>
  <c r="J40"/>
  <c r="D41"/>
  <c r="E41" s="1"/>
  <c r="J41"/>
  <c r="K41" s="1"/>
  <c r="B42"/>
  <c r="C42"/>
  <c r="H42"/>
  <c r="I42"/>
  <c r="D44"/>
  <c r="J44"/>
  <c r="J48"/>
  <c r="K48" s="1"/>
  <c r="D49"/>
  <c r="J49"/>
  <c r="J50"/>
  <c r="D51"/>
  <c r="J51"/>
  <c r="B52"/>
  <c r="H52"/>
  <c r="I52"/>
  <c r="B56"/>
  <c r="B56" i="89" s="1"/>
  <c r="B56" i="95" s="1"/>
  <c r="B56" i="101" s="1"/>
  <c r="B56" i="113" s="1"/>
  <c r="B56" i="131" s="1"/>
  <c r="B56" i="137" s="1"/>
  <c r="B56" i="143" s="1"/>
  <c r="H56" i="89"/>
  <c r="H56" i="95" s="1"/>
  <c r="H56" i="101" s="1"/>
  <c r="H56" i="113" s="1"/>
  <c r="H56" i="131" s="1"/>
  <c r="H56" i="137" s="1"/>
  <c r="H56" i="143" s="1"/>
  <c r="B10" i="82"/>
  <c r="D10"/>
  <c r="F10"/>
  <c r="H10"/>
  <c r="J10"/>
  <c r="L10"/>
  <c r="N10"/>
  <c r="P10"/>
  <c r="B11"/>
  <c r="D11"/>
  <c r="F11"/>
  <c r="H11"/>
  <c r="J11"/>
  <c r="L11"/>
  <c r="N11"/>
  <c r="P11"/>
  <c r="B12"/>
  <c r="D12"/>
  <c r="F12"/>
  <c r="H12"/>
  <c r="J12"/>
  <c r="L12"/>
  <c r="N12"/>
  <c r="P12"/>
  <c r="B13"/>
  <c r="D13"/>
  <c r="F13"/>
  <c r="H13"/>
  <c r="J13"/>
  <c r="L13"/>
  <c r="N13"/>
  <c r="P13"/>
  <c r="B14"/>
  <c r="D14"/>
  <c r="F14"/>
  <c r="H14"/>
  <c r="J14"/>
  <c r="L14"/>
  <c r="L15" s="1"/>
  <c r="N14"/>
  <c r="P14"/>
  <c r="F15"/>
  <c r="P15"/>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D29"/>
  <c r="F29"/>
  <c r="H29"/>
  <c r="J29"/>
  <c r="L29"/>
  <c r="N29"/>
  <c r="P29"/>
  <c r="B33"/>
  <c r="D33"/>
  <c r="F33"/>
  <c r="H33"/>
  <c r="J33"/>
  <c r="L33"/>
  <c r="N33"/>
  <c r="P33"/>
  <c r="B34"/>
  <c r="D34"/>
  <c r="F34"/>
  <c r="H34"/>
  <c r="J34"/>
  <c r="L34"/>
  <c r="N34"/>
  <c r="P34"/>
  <c r="B35"/>
  <c r="D35"/>
  <c r="F35"/>
  <c r="H35"/>
  <c r="H36" s="1"/>
  <c r="J35"/>
  <c r="L35"/>
  <c r="N35"/>
  <c r="P35"/>
  <c r="B39"/>
  <c r="D39"/>
  <c r="F39"/>
  <c r="H39"/>
  <c r="J39"/>
  <c r="L39"/>
  <c r="N39"/>
  <c r="P39"/>
  <c r="B40"/>
  <c r="D40"/>
  <c r="F40"/>
  <c r="H40"/>
  <c r="J40"/>
  <c r="L40"/>
  <c r="N40"/>
  <c r="P40"/>
  <c r="B41"/>
  <c r="D41"/>
  <c r="F41"/>
  <c r="H41"/>
  <c r="J41"/>
  <c r="L41"/>
  <c r="N41"/>
  <c r="P41"/>
  <c r="B44"/>
  <c r="D44"/>
  <c r="F44"/>
  <c r="H44"/>
  <c r="J44"/>
  <c r="L44"/>
  <c r="N44"/>
  <c r="P44"/>
  <c r="B48"/>
  <c r="D48"/>
  <c r="F48"/>
  <c r="H48"/>
  <c r="J48"/>
  <c r="L48"/>
  <c r="N48"/>
  <c r="P48"/>
  <c r="B49"/>
  <c r="D49"/>
  <c r="F49"/>
  <c r="H49"/>
  <c r="J49"/>
  <c r="L49"/>
  <c r="N49"/>
  <c r="P49"/>
  <c r="B50"/>
  <c r="D50"/>
  <c r="F50"/>
  <c r="H50"/>
  <c r="J50"/>
  <c r="L50"/>
  <c r="N50"/>
  <c r="P50"/>
  <c r="B51"/>
  <c r="D51"/>
  <c r="F51"/>
  <c r="F52" s="1"/>
  <c r="H51"/>
  <c r="J51"/>
  <c r="L51"/>
  <c r="N51"/>
  <c r="P51"/>
  <c r="B52"/>
  <c r="H52"/>
  <c r="K10" i="81"/>
  <c r="M10"/>
  <c r="O10"/>
  <c r="K11"/>
  <c r="M11"/>
  <c r="O11"/>
  <c r="K12"/>
  <c r="M12"/>
  <c r="O12"/>
  <c r="K14"/>
  <c r="M14"/>
  <c r="O14"/>
  <c r="B15"/>
  <c r="D84" i="41" s="1"/>
  <c r="D15" i="81"/>
  <c r="F15"/>
  <c r="H15"/>
  <c r="D84" i="432" s="1"/>
  <c r="J15" i="81"/>
  <c r="J23" s="1"/>
  <c r="L15"/>
  <c r="L23" s="1"/>
  <c r="N15"/>
  <c r="P15"/>
  <c r="K19"/>
  <c r="M19"/>
  <c r="O19"/>
  <c r="K20"/>
  <c r="M20"/>
  <c r="O20"/>
  <c r="K21"/>
  <c r="M21"/>
  <c r="O21"/>
  <c r="K22"/>
  <c r="M22"/>
  <c r="O22"/>
  <c r="H23"/>
  <c r="N23"/>
  <c r="P23"/>
  <c r="K27"/>
  <c r="M27"/>
  <c r="O27"/>
  <c r="K28"/>
  <c r="M28"/>
  <c r="O28"/>
  <c r="K29"/>
  <c r="M29"/>
  <c r="O29"/>
  <c r="B30"/>
  <c r="D30"/>
  <c r="D14" i="80" s="1"/>
  <c r="F30" i="81"/>
  <c r="H30"/>
  <c r="J30"/>
  <c r="J38" i="182" s="1"/>
  <c r="L30" i="81"/>
  <c r="J56" i="182" s="1"/>
  <c r="N30" i="81"/>
  <c r="N14" i="80" s="1"/>
  <c r="P30" i="81"/>
  <c r="K35"/>
  <c r="M35"/>
  <c r="O35"/>
  <c r="B36"/>
  <c r="D36"/>
  <c r="F36"/>
  <c r="H36"/>
  <c r="J36"/>
  <c r="N36"/>
  <c r="P36"/>
  <c r="K41"/>
  <c r="M41"/>
  <c r="O41"/>
  <c r="B42"/>
  <c r="D42"/>
  <c r="F42"/>
  <c r="H42"/>
  <c r="J42"/>
  <c r="L42"/>
  <c r="N42"/>
  <c r="P42"/>
  <c r="O44"/>
  <c r="K48"/>
  <c r="M48"/>
  <c r="O48"/>
  <c r="K49"/>
  <c r="M49"/>
  <c r="O49"/>
  <c r="K50"/>
  <c r="M50"/>
  <c r="O50"/>
  <c r="K51"/>
  <c r="M51"/>
  <c r="O51"/>
  <c r="B52"/>
  <c r="D52"/>
  <c r="F52"/>
  <c r="H52"/>
  <c r="M84" i="432" s="1"/>
  <c r="J52" i="81"/>
  <c r="L52"/>
  <c r="N52"/>
  <c r="P52"/>
  <c r="P15" i="80" s="1"/>
  <c r="K61" i="81"/>
  <c r="M61"/>
  <c r="O61"/>
  <c r="K62"/>
  <c r="M62"/>
  <c r="O62"/>
  <c r="K63"/>
  <c r="M63"/>
  <c r="O63"/>
  <c r="B12" i="80"/>
  <c r="D12"/>
  <c r="F12"/>
  <c r="H12"/>
  <c r="J12"/>
  <c r="L12"/>
  <c r="N12"/>
  <c r="P12"/>
  <c r="B13"/>
  <c r="D13"/>
  <c r="F13"/>
  <c r="H13"/>
  <c r="J13"/>
  <c r="I13" s="1"/>
  <c r="L13"/>
  <c r="N13"/>
  <c r="P13"/>
  <c r="H14"/>
  <c r="J14"/>
  <c r="L14"/>
  <c r="F15"/>
  <c r="H15"/>
  <c r="J15"/>
  <c r="L23"/>
  <c r="B24"/>
  <c r="D24"/>
  <c r="H24"/>
  <c r="J24"/>
  <c r="L24"/>
  <c r="P24"/>
  <c r="B25"/>
  <c r="D25"/>
  <c r="F25"/>
  <c r="H25"/>
  <c r="J25"/>
  <c r="L25"/>
  <c r="P25"/>
  <c r="T25"/>
  <c r="D26"/>
  <c r="H26"/>
  <c r="L26"/>
  <c r="P26"/>
  <c r="B49"/>
  <c r="N49" s="1"/>
  <c r="B52"/>
  <c r="N52" s="1"/>
  <c r="O59"/>
  <c r="O61"/>
  <c r="B66"/>
  <c r="O66"/>
  <c r="B68"/>
  <c r="O68"/>
  <c r="O70"/>
  <c r="O76"/>
  <c r="B8" i="79"/>
  <c r="B8" i="85" s="1"/>
  <c r="B7" i="91" s="1"/>
  <c r="B8" i="97" s="1"/>
  <c r="B9" i="103" s="1"/>
  <c r="B8" i="115" s="1"/>
  <c r="B8" i="133" s="1"/>
  <c r="B8" i="139" s="1"/>
  <c r="B8" i="145" s="1"/>
  <c r="B11" i="79"/>
  <c r="D11"/>
  <c r="D12"/>
  <c r="I12"/>
  <c r="K12"/>
  <c r="D13"/>
  <c r="I13"/>
  <c r="K13"/>
  <c r="D14"/>
  <c r="I14"/>
  <c r="K14"/>
  <c r="H15"/>
  <c r="H17" s="1"/>
  <c r="J15"/>
  <c r="J17" s="1"/>
  <c r="L15"/>
  <c r="D16"/>
  <c r="I16"/>
  <c r="K16"/>
  <c r="D20"/>
  <c r="I20"/>
  <c r="K20"/>
  <c r="D21"/>
  <c r="I21"/>
  <c r="K21"/>
  <c r="D22"/>
  <c r="I22"/>
  <c r="K22"/>
  <c r="H23"/>
  <c r="D58" i="324" s="1"/>
  <c r="J23" i="79"/>
  <c r="L23"/>
  <c r="D27"/>
  <c r="I27"/>
  <c r="K27"/>
  <c r="D33"/>
  <c r="I33"/>
  <c r="K33"/>
  <c r="D34"/>
  <c r="I34"/>
  <c r="K34"/>
  <c r="D35"/>
  <c r="I35"/>
  <c r="K35"/>
  <c r="D36"/>
  <c r="I36"/>
  <c r="K36"/>
  <c r="H37"/>
  <c r="D60" i="324" s="1"/>
  <c r="J37" i="79"/>
  <c r="L37"/>
  <c r="J41"/>
  <c r="L41"/>
  <c r="L41" i="34" s="1"/>
  <c r="B6" i="78"/>
  <c r="B6" i="84" s="1"/>
  <c r="B6" i="90" s="1"/>
  <c r="B6" i="96" s="1"/>
  <c r="B6" i="102" s="1"/>
  <c r="B6" i="114" s="1"/>
  <c r="B6" i="132" s="1"/>
  <c r="B6" i="138" s="1"/>
  <c r="B6" i="144" s="1"/>
  <c r="J6" i="78"/>
  <c r="J6" i="84" s="1"/>
  <c r="J6" i="90" s="1"/>
  <c r="J6" i="96" s="1"/>
  <c r="J6" i="102" s="1"/>
  <c r="J6" i="114" s="1"/>
  <c r="J6" i="132" s="1"/>
  <c r="J6" i="138" s="1"/>
  <c r="J6" i="144" s="1"/>
  <c r="B10" i="78"/>
  <c r="B11" i="51" s="1"/>
  <c r="D10" i="78"/>
  <c r="F10"/>
  <c r="H10"/>
  <c r="J10"/>
  <c r="B53" i="51" s="1"/>
  <c r="L10" i="78"/>
  <c r="N10"/>
  <c r="P10"/>
  <c r="B11"/>
  <c r="B12" i="51" s="1"/>
  <c r="D11" i="78"/>
  <c r="F11"/>
  <c r="H11"/>
  <c r="J11"/>
  <c r="B54" i="51" s="1"/>
  <c r="L11" i="78"/>
  <c r="M11" s="1"/>
  <c r="N11"/>
  <c r="P11"/>
  <c r="B12"/>
  <c r="B13" i="51" s="1"/>
  <c r="D12" i="78"/>
  <c r="F12"/>
  <c r="H12"/>
  <c r="J12"/>
  <c r="B55" i="51" s="1"/>
  <c r="L12" i="78"/>
  <c r="N12"/>
  <c r="P12"/>
  <c r="B14"/>
  <c r="B15" i="51" s="1"/>
  <c r="D14" i="78"/>
  <c r="F14"/>
  <c r="H14"/>
  <c r="J14"/>
  <c r="B57" i="51" s="1"/>
  <c r="L14" i="78"/>
  <c r="N14"/>
  <c r="P14"/>
  <c r="B18"/>
  <c r="B19" i="51" s="1"/>
  <c r="D18" i="78"/>
  <c r="F18"/>
  <c r="H18"/>
  <c r="J18"/>
  <c r="B61" i="51" s="1"/>
  <c r="L18" i="78"/>
  <c r="N18"/>
  <c r="P18"/>
  <c r="B19"/>
  <c r="B20" i="51" s="1"/>
  <c r="D19" i="78"/>
  <c r="F19"/>
  <c r="H19"/>
  <c r="J19"/>
  <c r="B62" i="51" s="1"/>
  <c r="L19" i="78"/>
  <c r="N19"/>
  <c r="P19"/>
  <c r="B20"/>
  <c r="B21" i="51" s="1"/>
  <c r="D20" i="78"/>
  <c r="F20"/>
  <c r="H20"/>
  <c r="J20"/>
  <c r="B63" i="51" s="1"/>
  <c r="L20" i="78"/>
  <c r="N20"/>
  <c r="P20"/>
  <c r="B25"/>
  <c r="B26" i="51" s="1"/>
  <c r="D25" i="78"/>
  <c r="F25"/>
  <c r="H25"/>
  <c r="J25"/>
  <c r="L25"/>
  <c r="N25"/>
  <c r="P25"/>
  <c r="B31"/>
  <c r="B32" i="51" s="1"/>
  <c r="D31" i="78"/>
  <c r="F31"/>
  <c r="H31"/>
  <c r="J31"/>
  <c r="B74" i="51" s="1"/>
  <c r="L31" i="78"/>
  <c r="N31"/>
  <c r="P31"/>
  <c r="B32"/>
  <c r="B33" i="51" s="1"/>
  <c r="D32" i="78"/>
  <c r="F32"/>
  <c r="H32"/>
  <c r="J32"/>
  <c r="B75" i="51" s="1"/>
  <c r="L32" i="78"/>
  <c r="N32"/>
  <c r="P32"/>
  <c r="B33"/>
  <c r="B34" i="51" s="1"/>
  <c r="D33" i="78"/>
  <c r="F33"/>
  <c r="H33"/>
  <c r="J33"/>
  <c r="B76" i="51" s="1"/>
  <c r="L33" i="78"/>
  <c r="N33"/>
  <c r="P33"/>
  <c r="B34"/>
  <c r="B35" i="51" s="1"/>
  <c r="D34" i="78"/>
  <c r="F34"/>
  <c r="H34"/>
  <c r="J34"/>
  <c r="B77" i="51" s="1"/>
  <c r="L34" i="78"/>
  <c r="N34"/>
  <c r="P34"/>
  <c r="D39"/>
  <c r="F39"/>
  <c r="H39"/>
  <c r="L39"/>
  <c r="N39"/>
  <c r="P39"/>
  <c r="B46"/>
  <c r="B46" i="84" s="1"/>
  <c r="B46" i="90" s="1"/>
  <c r="B46" i="96" s="1"/>
  <c r="B46" i="102" s="1"/>
  <c r="B46" i="114" s="1"/>
  <c r="B46" i="132" s="1"/>
  <c r="B46" i="138" s="1"/>
  <c r="B46" i="144" s="1"/>
  <c r="D46" i="78"/>
  <c r="D46" i="84" s="1"/>
  <c r="D46" i="90" s="1"/>
  <c r="D46" i="96" s="1"/>
  <c r="D46" i="102" s="1"/>
  <c r="D46" i="114" s="1"/>
  <c r="D46" i="132" s="1"/>
  <c r="D46" i="138" s="1"/>
  <c r="D46" i="144" s="1"/>
  <c r="F46" i="78"/>
  <c r="F46" i="84" s="1"/>
  <c r="F46" i="90" s="1"/>
  <c r="F46" i="96" s="1"/>
  <c r="F46" i="102" s="1"/>
  <c r="F46" i="114" s="1"/>
  <c r="F46" i="132" s="1"/>
  <c r="F46" i="138" s="1"/>
  <c r="F46" i="144" s="1"/>
  <c r="H46" i="78"/>
  <c r="H46" i="84" s="1"/>
  <c r="H46" i="90" s="1"/>
  <c r="H46" i="96" s="1"/>
  <c r="H46" i="102" s="1"/>
  <c r="H46" i="114" s="1"/>
  <c r="H46" i="132" s="1"/>
  <c r="H46" i="138" s="1"/>
  <c r="H46" i="144" s="1"/>
  <c r="J46" i="78"/>
  <c r="J46" i="84" s="1"/>
  <c r="J46" i="90" s="1"/>
  <c r="J46" i="96" s="1"/>
  <c r="J46" i="102" s="1"/>
  <c r="J46" i="114" s="1"/>
  <c r="J46" i="132" s="1"/>
  <c r="J46" i="138" s="1"/>
  <c r="J46" i="144" s="1"/>
  <c r="L46" i="78"/>
  <c r="L46" i="84" s="1"/>
  <c r="L46" i="90" s="1"/>
  <c r="L46" i="96" s="1"/>
  <c r="L46" i="102" s="1"/>
  <c r="L46" i="114" s="1"/>
  <c r="L46" i="132" s="1"/>
  <c r="L46" i="138" s="1"/>
  <c r="L46" i="144" s="1"/>
  <c r="N46" i="78"/>
  <c r="N46" i="84" s="1"/>
  <c r="N46" i="90" s="1"/>
  <c r="N46" i="96" s="1"/>
  <c r="N46" i="102" s="1"/>
  <c r="N46" i="114" s="1"/>
  <c r="N46" i="132" s="1"/>
  <c r="N46" i="138" s="1"/>
  <c r="N46" i="144" s="1"/>
  <c r="P46" i="78"/>
  <c r="P46" i="84" s="1"/>
  <c r="P46" i="90" s="1"/>
  <c r="P46" i="96" s="1"/>
  <c r="P46" i="102" s="1"/>
  <c r="P46" i="114" s="1"/>
  <c r="P46" i="132" s="1"/>
  <c r="P46" i="138" s="1"/>
  <c r="P46" i="144" s="1"/>
  <c r="R46" i="78"/>
  <c r="R46" i="84" s="1"/>
  <c r="R46" i="90" s="1"/>
  <c r="R46" i="96" s="1"/>
  <c r="R46" i="102" s="1"/>
  <c r="R46" i="114" s="1"/>
  <c r="R46" i="132" s="1"/>
  <c r="R46" i="138" s="1"/>
  <c r="R46" i="144" s="1"/>
  <c r="T46" i="78"/>
  <c r="T46" i="84" s="1"/>
  <c r="T46" i="90" s="1"/>
  <c r="T46" i="96" s="1"/>
  <c r="T46" i="102" s="1"/>
  <c r="T46" i="114" s="1"/>
  <c r="T46" i="132" s="1"/>
  <c r="T46" i="138" s="1"/>
  <c r="T46" i="144" s="1"/>
  <c r="U46" i="78"/>
  <c r="U46" i="84" s="1"/>
  <c r="U46" i="90" s="1"/>
  <c r="U46" i="96" s="1"/>
  <c r="U46" i="102" s="1"/>
  <c r="U46" i="114" s="1"/>
  <c r="U46" i="132" s="1"/>
  <c r="U46" i="138" s="1"/>
  <c r="U46" i="144" s="1"/>
  <c r="C50" i="78"/>
  <c r="R50"/>
  <c r="B12" i="79" s="1"/>
  <c r="C12" s="1"/>
  <c r="U50" i="78"/>
  <c r="F12" i="79" s="1"/>
  <c r="G12" s="1"/>
  <c r="C51" i="78"/>
  <c r="R51"/>
  <c r="B13" i="79" s="1"/>
  <c r="U51" i="78"/>
  <c r="F13" i="79" s="1"/>
  <c r="G13" s="1"/>
  <c r="C52" i="78"/>
  <c r="R52"/>
  <c r="B14" i="79" s="1"/>
  <c r="C14" s="1"/>
  <c r="U52" i="78"/>
  <c r="F14" i="79" s="1"/>
  <c r="G14" s="1"/>
  <c r="B53" i="78"/>
  <c r="D53"/>
  <c r="F53"/>
  <c r="H53"/>
  <c r="J53"/>
  <c r="L53"/>
  <c r="N53"/>
  <c r="P53"/>
  <c r="T53"/>
  <c r="C54"/>
  <c r="R54"/>
  <c r="B16" i="79" s="1"/>
  <c r="U54" i="78"/>
  <c r="F16" i="79" s="1"/>
  <c r="G16" s="1"/>
  <c r="D55" i="78"/>
  <c r="L55"/>
  <c r="C58"/>
  <c r="R58"/>
  <c r="B20" i="79" s="1"/>
  <c r="U58" i="78"/>
  <c r="F20" i="79" s="1"/>
  <c r="C59" i="78"/>
  <c r="R59"/>
  <c r="B21" i="79" s="1"/>
  <c r="U59" i="78"/>
  <c r="F21" i="79" s="1"/>
  <c r="G21" s="1"/>
  <c r="C60" i="78"/>
  <c r="R60"/>
  <c r="B22" i="79" s="1"/>
  <c r="U60" i="78"/>
  <c r="F22" i="79" s="1"/>
  <c r="G22" s="1"/>
  <c r="B61" i="78"/>
  <c r="D61"/>
  <c r="F61"/>
  <c r="H61"/>
  <c r="J61"/>
  <c r="L61"/>
  <c r="N61"/>
  <c r="P61"/>
  <c r="T61"/>
  <c r="R65"/>
  <c r="U65"/>
  <c r="F27" i="79" s="1"/>
  <c r="C71" i="78"/>
  <c r="R71"/>
  <c r="B33" i="79" s="1"/>
  <c r="C33" s="1"/>
  <c r="U71" i="78"/>
  <c r="F33" i="79" s="1"/>
  <c r="G33" s="1"/>
  <c r="C72" i="78"/>
  <c r="R72"/>
  <c r="B34" i="79" s="1"/>
  <c r="U72" i="78"/>
  <c r="F34" i="79" s="1"/>
  <c r="G34" s="1"/>
  <c r="C73" i="78"/>
  <c r="R73"/>
  <c r="B35" i="79" s="1"/>
  <c r="C35" s="1"/>
  <c r="U73" i="78"/>
  <c r="F35" i="79" s="1"/>
  <c r="G35" s="1"/>
  <c r="C74" i="78"/>
  <c r="R74"/>
  <c r="B36" i="79" s="1"/>
  <c r="U74" i="78"/>
  <c r="F36" i="79" s="1"/>
  <c r="G36" s="1"/>
  <c r="B75" i="78"/>
  <c r="D75"/>
  <c r="F75"/>
  <c r="H75"/>
  <c r="J75"/>
  <c r="L75"/>
  <c r="N75"/>
  <c r="P75"/>
  <c r="T75"/>
  <c r="B79"/>
  <c r="B39" s="1"/>
  <c r="B40" i="51" s="1"/>
  <c r="D79" i="78"/>
  <c r="R79"/>
  <c r="B41" i="79" s="1"/>
  <c r="B7" i="77"/>
  <c r="B7" i="83" s="1"/>
  <c r="B7" i="89" s="1"/>
  <c r="B7" i="95" s="1"/>
  <c r="B7" i="101" s="1"/>
  <c r="B7" i="113" s="1"/>
  <c r="B7" i="131" s="1"/>
  <c r="B7" i="137" s="1"/>
  <c r="B7" i="143" s="1"/>
  <c r="H7" i="77"/>
  <c r="H7" i="83" s="1"/>
  <c r="H7" i="89" s="1"/>
  <c r="H7" i="95" s="1"/>
  <c r="H7" i="101" s="1"/>
  <c r="H7" i="113" s="1"/>
  <c r="H7" i="131" s="1"/>
  <c r="H7" i="137" s="1"/>
  <c r="H7" i="143" s="1"/>
  <c r="D10" i="77"/>
  <c r="E10" s="1"/>
  <c r="J10"/>
  <c r="K10" s="1"/>
  <c r="D11"/>
  <c r="E11" s="1"/>
  <c r="J11"/>
  <c r="K11" s="1"/>
  <c r="D12"/>
  <c r="E12" s="1"/>
  <c r="J12"/>
  <c r="K12" s="1"/>
  <c r="D13"/>
  <c r="J13"/>
  <c r="D14"/>
  <c r="E14" s="1"/>
  <c r="J14"/>
  <c r="K14" s="1"/>
  <c r="B15"/>
  <c r="B23" s="1"/>
  <c r="C15"/>
  <c r="H15"/>
  <c r="H23" s="1"/>
  <c r="I15"/>
  <c r="D17"/>
  <c r="J17"/>
  <c r="D19"/>
  <c r="E19" s="1"/>
  <c r="J19"/>
  <c r="K19" s="1"/>
  <c r="D20"/>
  <c r="E20" s="1"/>
  <c r="J20"/>
  <c r="K20" s="1"/>
  <c r="D21"/>
  <c r="J21"/>
  <c r="D22"/>
  <c r="E22" s="1"/>
  <c r="J22"/>
  <c r="K22" s="1"/>
  <c r="I23"/>
  <c r="D27"/>
  <c r="E27" s="1"/>
  <c r="J27"/>
  <c r="K27" s="1"/>
  <c r="D28"/>
  <c r="E28" s="1"/>
  <c r="J28"/>
  <c r="K28" s="1"/>
  <c r="D29"/>
  <c r="E29" s="1"/>
  <c r="J29"/>
  <c r="K29" s="1"/>
  <c r="B30"/>
  <c r="B69" i="432" s="1"/>
  <c r="C30" i="77"/>
  <c r="H30"/>
  <c r="I30"/>
  <c r="D33"/>
  <c r="J33"/>
  <c r="D34"/>
  <c r="J34"/>
  <c r="D35"/>
  <c r="E35" s="1"/>
  <c r="J35"/>
  <c r="K35" s="1"/>
  <c r="B36"/>
  <c r="C36"/>
  <c r="H36"/>
  <c r="I36"/>
  <c r="D39"/>
  <c r="J39"/>
  <c r="D40"/>
  <c r="J40"/>
  <c r="D41"/>
  <c r="E41" s="1"/>
  <c r="J41"/>
  <c r="K41" s="1"/>
  <c r="B42"/>
  <c r="C42"/>
  <c r="H42"/>
  <c r="I42"/>
  <c r="D44"/>
  <c r="J44"/>
  <c r="K44" s="1"/>
  <c r="D48"/>
  <c r="E48" s="1"/>
  <c r="J48"/>
  <c r="K48" s="1"/>
  <c r="J49"/>
  <c r="D50"/>
  <c r="J50"/>
  <c r="J51"/>
  <c r="B52"/>
  <c r="I52"/>
  <c r="J52" s="1"/>
  <c r="B10" i="76"/>
  <c r="D10"/>
  <c r="F10"/>
  <c r="H10"/>
  <c r="J10"/>
  <c r="L10"/>
  <c r="N10"/>
  <c r="P10"/>
  <c r="B11"/>
  <c r="D11"/>
  <c r="F11"/>
  <c r="H11"/>
  <c r="J11"/>
  <c r="L11"/>
  <c r="N11"/>
  <c r="P11"/>
  <c r="B12"/>
  <c r="D12"/>
  <c r="F12"/>
  <c r="H12"/>
  <c r="J12"/>
  <c r="L12"/>
  <c r="N12"/>
  <c r="P12"/>
  <c r="B13"/>
  <c r="D13"/>
  <c r="F13"/>
  <c r="H13"/>
  <c r="J13"/>
  <c r="L13"/>
  <c r="N13"/>
  <c r="P13"/>
  <c r="B14"/>
  <c r="D14"/>
  <c r="F14"/>
  <c r="H14"/>
  <c r="J14"/>
  <c r="L14"/>
  <c r="N14"/>
  <c r="P14"/>
  <c r="B15"/>
  <c r="D15"/>
  <c r="F15"/>
  <c r="H15"/>
  <c r="B17"/>
  <c r="D17"/>
  <c r="F17"/>
  <c r="H17"/>
  <c r="J17"/>
  <c r="L17"/>
  <c r="N17"/>
  <c r="P17"/>
  <c r="B19"/>
  <c r="D19"/>
  <c r="F19"/>
  <c r="H19"/>
  <c r="J19"/>
  <c r="L19"/>
  <c r="N19"/>
  <c r="P19"/>
  <c r="B20"/>
  <c r="D20"/>
  <c r="F20"/>
  <c r="H20"/>
  <c r="J20"/>
  <c r="L20"/>
  <c r="N20"/>
  <c r="P20"/>
  <c r="B21"/>
  <c r="D21"/>
  <c r="F21"/>
  <c r="H21"/>
  <c r="J21"/>
  <c r="L21"/>
  <c r="N21"/>
  <c r="P21"/>
  <c r="B22"/>
  <c r="D22"/>
  <c r="F22"/>
  <c r="H22"/>
  <c r="J22"/>
  <c r="L22"/>
  <c r="N22"/>
  <c r="P22"/>
  <c r="B27"/>
  <c r="D27"/>
  <c r="F27"/>
  <c r="H27"/>
  <c r="J27"/>
  <c r="L27"/>
  <c r="N27"/>
  <c r="P27"/>
  <c r="B28"/>
  <c r="D28"/>
  <c r="F28"/>
  <c r="H28"/>
  <c r="J28"/>
  <c r="L28"/>
  <c r="N28"/>
  <c r="P28"/>
  <c r="B29"/>
  <c r="D29"/>
  <c r="F29"/>
  <c r="H29"/>
  <c r="H30" s="1"/>
  <c r="J29"/>
  <c r="L29"/>
  <c r="N29"/>
  <c r="P29"/>
  <c r="J30"/>
  <c r="L30"/>
  <c r="N30"/>
  <c r="P30"/>
  <c r="B33"/>
  <c r="D33"/>
  <c r="F33"/>
  <c r="H33"/>
  <c r="J33"/>
  <c r="L33"/>
  <c r="N33"/>
  <c r="P33"/>
  <c r="B34"/>
  <c r="D34"/>
  <c r="F34"/>
  <c r="H34"/>
  <c r="J34"/>
  <c r="L34"/>
  <c r="N34"/>
  <c r="P34"/>
  <c r="B35"/>
  <c r="D35"/>
  <c r="D36" s="1"/>
  <c r="F35"/>
  <c r="H35"/>
  <c r="H36" s="1"/>
  <c r="J35"/>
  <c r="L35"/>
  <c r="L36" s="1"/>
  <c r="N35"/>
  <c r="P35"/>
  <c r="P36" s="1"/>
  <c r="N36"/>
  <c r="B39"/>
  <c r="D39"/>
  <c r="F39"/>
  <c r="H39"/>
  <c r="J39"/>
  <c r="L39"/>
  <c r="N39"/>
  <c r="P39"/>
  <c r="B40"/>
  <c r="D40"/>
  <c r="F40"/>
  <c r="H40"/>
  <c r="J40"/>
  <c r="L40"/>
  <c r="N40"/>
  <c r="P40"/>
  <c r="B41"/>
  <c r="D41"/>
  <c r="F41"/>
  <c r="H41"/>
  <c r="J41"/>
  <c r="L41"/>
  <c r="N41"/>
  <c r="P41"/>
  <c r="B44"/>
  <c r="D44"/>
  <c r="F44"/>
  <c r="H44"/>
  <c r="J44"/>
  <c r="L44"/>
  <c r="N44"/>
  <c r="P44"/>
  <c r="B48"/>
  <c r="D48"/>
  <c r="F48"/>
  <c r="H48"/>
  <c r="J48"/>
  <c r="L48"/>
  <c r="N48"/>
  <c r="P48"/>
  <c r="B49"/>
  <c r="D49"/>
  <c r="H49"/>
  <c r="J49"/>
  <c r="B50"/>
  <c r="D50"/>
  <c r="F50"/>
  <c r="H50"/>
  <c r="J50"/>
  <c r="L50"/>
  <c r="N50"/>
  <c r="P50"/>
  <c r="B51"/>
  <c r="D51"/>
  <c r="F51"/>
  <c r="H51"/>
  <c r="J51"/>
  <c r="L51"/>
  <c r="N51"/>
  <c r="P51"/>
  <c r="K10" i="75"/>
  <c r="M10"/>
  <c r="O10"/>
  <c r="K11"/>
  <c r="M11"/>
  <c r="O11"/>
  <c r="K12"/>
  <c r="M12"/>
  <c r="O12"/>
  <c r="K14"/>
  <c r="M14"/>
  <c r="O14"/>
  <c r="B15"/>
  <c r="D78" i="41" s="1"/>
  <c r="D15" i="75"/>
  <c r="F15"/>
  <c r="H15"/>
  <c r="D77" i="432" s="1"/>
  <c r="J15" i="75"/>
  <c r="L15"/>
  <c r="N15"/>
  <c r="P15"/>
  <c r="K17"/>
  <c r="M17"/>
  <c r="O17"/>
  <c r="K19"/>
  <c r="M19"/>
  <c r="O19"/>
  <c r="K20"/>
  <c r="M20"/>
  <c r="O20"/>
  <c r="K21"/>
  <c r="M21"/>
  <c r="O21"/>
  <c r="K22"/>
  <c r="M22"/>
  <c r="O22"/>
  <c r="H23"/>
  <c r="J23"/>
  <c r="L23"/>
  <c r="B50" i="182" s="1"/>
  <c r="N23" i="75"/>
  <c r="P23"/>
  <c r="K27"/>
  <c r="M27"/>
  <c r="O27"/>
  <c r="K28"/>
  <c r="M28"/>
  <c r="O28"/>
  <c r="K29"/>
  <c r="M29"/>
  <c r="O29"/>
  <c r="B30"/>
  <c r="D30"/>
  <c r="F30"/>
  <c r="H30"/>
  <c r="J30"/>
  <c r="J32" i="182" s="1"/>
  <c r="L30" i="75"/>
  <c r="J50" i="182" s="1"/>
  <c r="N30" i="75"/>
  <c r="P30"/>
  <c r="K35"/>
  <c r="O35"/>
  <c r="B36"/>
  <c r="D36"/>
  <c r="F36"/>
  <c r="H36"/>
  <c r="J36"/>
  <c r="L36"/>
  <c r="N36"/>
  <c r="P36"/>
  <c r="K39"/>
  <c r="M39"/>
  <c r="O39"/>
  <c r="K41"/>
  <c r="M41"/>
  <c r="O41"/>
  <c r="B42"/>
  <c r="D42"/>
  <c r="F42"/>
  <c r="H42"/>
  <c r="J42"/>
  <c r="L42"/>
  <c r="N42"/>
  <c r="P42"/>
  <c r="K44"/>
  <c r="M44"/>
  <c r="O44"/>
  <c r="K48"/>
  <c r="M48"/>
  <c r="O48"/>
  <c r="K49"/>
  <c r="O49"/>
  <c r="P49" i="76"/>
  <c r="K51" i="75"/>
  <c r="M51"/>
  <c r="O51"/>
  <c r="B52"/>
  <c r="D52"/>
  <c r="H52"/>
  <c r="J52"/>
  <c r="G54" i="324" s="1"/>
  <c r="L52" i="75"/>
  <c r="D54" i="324" s="1"/>
  <c r="N52" i="75"/>
  <c r="P52"/>
  <c r="K61"/>
  <c r="M61"/>
  <c r="O61"/>
  <c r="K62"/>
  <c r="M62"/>
  <c r="O62"/>
  <c r="K63"/>
  <c r="M63"/>
  <c r="O63"/>
  <c r="I4" i="74"/>
  <c r="I4" i="80" s="1"/>
  <c r="I4" i="86" s="1"/>
  <c r="I4" i="92" s="1"/>
  <c r="I4" i="98" s="1"/>
  <c r="I4" i="110" s="1"/>
  <c r="I4" i="128" s="1"/>
  <c r="I4" i="134" s="1"/>
  <c r="I4" i="140" s="1"/>
  <c r="B5" i="74"/>
  <c r="B5" i="80" s="1"/>
  <c r="B5" i="86" s="1"/>
  <c r="B5" i="92" s="1"/>
  <c r="B5" i="98" s="1"/>
  <c r="B5" i="110" s="1"/>
  <c r="B5" i="128" s="1"/>
  <c r="B5" i="134" s="1"/>
  <c r="B5" i="140" s="1"/>
  <c r="D5" i="74"/>
  <c r="D5" i="80" s="1"/>
  <c r="D5" i="86" s="1"/>
  <c r="D5" i="92" s="1"/>
  <c r="D5" i="98" s="1"/>
  <c r="D5" i="110" s="1"/>
  <c r="D5" i="128" s="1"/>
  <c r="D5" i="134" s="1"/>
  <c r="D5" i="140" s="1"/>
  <c r="F5" i="74"/>
  <c r="F5" i="80" s="1"/>
  <c r="F5" i="86" s="1"/>
  <c r="F5" i="92" s="1"/>
  <c r="F5" i="98" s="1"/>
  <c r="F5" i="110" s="1"/>
  <c r="F5" i="128" s="1"/>
  <c r="F5" i="134" s="1"/>
  <c r="F5" i="140" s="1"/>
  <c r="H5" i="74"/>
  <c r="H5" i="80" s="1"/>
  <c r="H5" i="86" s="1"/>
  <c r="H5" i="92" s="1"/>
  <c r="H5" i="98" s="1"/>
  <c r="H5" i="110" s="1"/>
  <c r="H5" i="128" s="1"/>
  <c r="H5" i="134" s="1"/>
  <c r="H5" i="140" s="1"/>
  <c r="I5" i="74"/>
  <c r="I5" i="80" s="1"/>
  <c r="I5" i="86" s="1"/>
  <c r="I5" i="92" s="1"/>
  <c r="I5" i="98" s="1"/>
  <c r="I5" i="110" s="1"/>
  <c r="I5" i="128" s="1"/>
  <c r="I5" i="134" s="1"/>
  <c r="I5" i="140" s="1"/>
  <c r="J5" i="74"/>
  <c r="J5" i="80" s="1"/>
  <c r="J5" i="86" s="1"/>
  <c r="J5" i="92" s="1"/>
  <c r="J5" i="98" s="1"/>
  <c r="L5" i="74"/>
  <c r="L5" i="80" s="1"/>
  <c r="L5" i="86" s="1"/>
  <c r="L5" i="92" s="1"/>
  <c r="L5" i="98" s="1"/>
  <c r="N5" i="74"/>
  <c r="N5" i="80" s="1"/>
  <c r="N5" i="86" s="1"/>
  <c r="N5" i="92" s="1"/>
  <c r="N5" i="98" s="1"/>
  <c r="P5" i="74"/>
  <c r="P5" i="80" s="1"/>
  <c r="P5" i="86" s="1"/>
  <c r="P5" i="92" s="1"/>
  <c r="P5" i="98" s="1"/>
  <c r="H11" i="74"/>
  <c r="B12"/>
  <c r="D12"/>
  <c r="F12"/>
  <c r="H12"/>
  <c r="J12"/>
  <c r="I12" s="1"/>
  <c r="L12"/>
  <c r="N12"/>
  <c r="P12"/>
  <c r="B13"/>
  <c r="D13"/>
  <c r="F13"/>
  <c r="H13"/>
  <c r="J13"/>
  <c r="I13" s="1"/>
  <c r="L13"/>
  <c r="N13"/>
  <c r="P13"/>
  <c r="H15"/>
  <c r="J15"/>
  <c r="B19"/>
  <c r="B19" i="80" s="1"/>
  <c r="B19" i="86" s="1"/>
  <c r="B19" i="92" s="1"/>
  <c r="B19" i="98" s="1"/>
  <c r="B19" i="110" s="1"/>
  <c r="B18" i="128" s="1"/>
  <c r="B19" i="134" s="1"/>
  <c r="B19" i="140" s="1"/>
  <c r="D19" i="74"/>
  <c r="D19" i="80" s="1"/>
  <c r="D19" i="86" s="1"/>
  <c r="D19" i="92" s="1"/>
  <c r="D19" i="98" s="1"/>
  <c r="D19" i="110" s="1"/>
  <c r="D18" i="128" s="1"/>
  <c r="D19" i="134" s="1"/>
  <c r="D19" i="140" s="1"/>
  <c r="F19" i="74"/>
  <c r="F19" i="80" s="1"/>
  <c r="F19" i="86" s="1"/>
  <c r="F19" i="92" s="1"/>
  <c r="F19" i="98" s="1"/>
  <c r="F19" i="110" s="1"/>
  <c r="F18" i="128" s="1"/>
  <c r="F19" i="134" s="1"/>
  <c r="F19" i="140" s="1"/>
  <c r="H19" i="74"/>
  <c r="H19" i="80" s="1"/>
  <c r="H19" i="86" s="1"/>
  <c r="H19" i="92" s="1"/>
  <c r="H19" i="98" s="1"/>
  <c r="H19" i="110" s="1"/>
  <c r="H18" i="128" s="1"/>
  <c r="H19" i="134" s="1"/>
  <c r="H19" i="140" s="1"/>
  <c r="J19" i="74"/>
  <c r="J19" i="80" s="1"/>
  <c r="J19" i="86" s="1"/>
  <c r="J19" i="92" s="1"/>
  <c r="J19" i="98" s="1"/>
  <c r="J19" i="110" s="1"/>
  <c r="J18" i="128" s="1"/>
  <c r="J19" i="134" s="1"/>
  <c r="J19" i="140" s="1"/>
  <c r="L19" i="74"/>
  <c r="L19" i="80" s="1"/>
  <c r="L19" i="86" s="1"/>
  <c r="L19" i="92" s="1"/>
  <c r="L19" i="98" s="1"/>
  <c r="L19" i="110" s="1"/>
  <c r="L18" i="128" s="1"/>
  <c r="L19" i="134" s="1"/>
  <c r="L19" i="140" s="1"/>
  <c r="N19" i="74"/>
  <c r="N19" i="80" s="1"/>
  <c r="N19" i="86" s="1"/>
  <c r="N19" i="92" s="1"/>
  <c r="N19" i="98" s="1"/>
  <c r="N19" i="110" s="1"/>
  <c r="N18" i="128" s="1"/>
  <c r="N19" i="134" s="1"/>
  <c r="N19" i="140" s="1"/>
  <c r="R19" s="1"/>
  <c r="P19" i="74"/>
  <c r="P19" i="80" s="1"/>
  <c r="P19" i="86" s="1"/>
  <c r="P19" i="92" s="1"/>
  <c r="P19" i="98" s="1"/>
  <c r="P19" i="110" s="1"/>
  <c r="P18" i="128" s="1"/>
  <c r="P19" i="134" s="1"/>
  <c r="P19" i="140" s="1"/>
  <c r="T19" s="1"/>
  <c r="R19" i="74"/>
  <c r="R19" i="80" s="1"/>
  <c r="R19" i="86" s="1"/>
  <c r="R19" i="92" s="1"/>
  <c r="R19" i="98" s="1"/>
  <c r="R19" i="110" s="1"/>
  <c r="R18" i="128" s="1"/>
  <c r="R19" i="134" s="1"/>
  <c r="T19" i="74"/>
  <c r="T19" i="80" s="1"/>
  <c r="T19" i="86" s="1"/>
  <c r="T19" i="92" s="1"/>
  <c r="T19" i="98" s="1"/>
  <c r="T19" i="110" s="1"/>
  <c r="T18" i="128" s="1"/>
  <c r="T19" i="134" s="1"/>
  <c r="B21" i="74"/>
  <c r="B21" i="80" s="1"/>
  <c r="B21" i="86" s="1"/>
  <c r="B21" i="92" s="1"/>
  <c r="B21" i="98" s="1"/>
  <c r="B21" i="110" s="1"/>
  <c r="B20" i="128" s="1"/>
  <c r="B21" i="134" s="1"/>
  <c r="B21" i="140" s="1"/>
  <c r="D21" i="74"/>
  <c r="D21" i="80" s="1"/>
  <c r="D21" i="86" s="1"/>
  <c r="D21" i="92" s="1"/>
  <c r="D21" i="98" s="1"/>
  <c r="D21" i="110" s="1"/>
  <c r="D20" i="128" s="1"/>
  <c r="D21" i="134" s="1"/>
  <c r="D21" i="140" s="1"/>
  <c r="F21" i="74"/>
  <c r="F21" i="80" s="1"/>
  <c r="F21" i="86" s="1"/>
  <c r="F21" i="92" s="1"/>
  <c r="F21" i="98" s="1"/>
  <c r="F21" i="110" s="1"/>
  <c r="F20" i="128" s="1"/>
  <c r="F21" i="134" s="1"/>
  <c r="F21" i="140" s="1"/>
  <c r="H21" i="74"/>
  <c r="H21" i="80" s="1"/>
  <c r="H21" i="86" s="1"/>
  <c r="H21" i="92" s="1"/>
  <c r="H21" i="98" s="1"/>
  <c r="H21" i="110" s="1"/>
  <c r="H20" i="128" s="1"/>
  <c r="H21" i="134" s="1"/>
  <c r="H21" i="140" s="1"/>
  <c r="J21" i="74"/>
  <c r="J21" i="80" s="1"/>
  <c r="J21" i="86" s="1"/>
  <c r="J21" i="92" s="1"/>
  <c r="J21" i="98" s="1"/>
  <c r="J21" i="110" s="1"/>
  <c r="J20" i="128" s="1"/>
  <c r="J21" i="134" s="1"/>
  <c r="J21" i="140" s="1"/>
  <c r="L21" i="74"/>
  <c r="L21" i="80" s="1"/>
  <c r="L21" i="86" s="1"/>
  <c r="L21" i="92" s="1"/>
  <c r="L21" i="98" s="1"/>
  <c r="L21" i="110" s="1"/>
  <c r="L20" i="128" s="1"/>
  <c r="L21" i="134" s="1"/>
  <c r="L21" i="140" s="1"/>
  <c r="N21" i="74"/>
  <c r="N21" i="80" s="1"/>
  <c r="N21" i="86" s="1"/>
  <c r="N21" i="92" s="1"/>
  <c r="N21" i="98" s="1"/>
  <c r="N21" i="110" s="1"/>
  <c r="N20" i="128" s="1"/>
  <c r="N21" i="134" s="1"/>
  <c r="N21" i="140" s="1"/>
  <c r="P21" i="74"/>
  <c r="P21" i="80" s="1"/>
  <c r="P21" i="86" s="1"/>
  <c r="P21" i="92" s="1"/>
  <c r="P21" i="98" s="1"/>
  <c r="P21" i="110" s="1"/>
  <c r="P20" i="128" s="1"/>
  <c r="P21" i="134" s="1"/>
  <c r="P21" i="140" s="1"/>
  <c r="R21" i="74"/>
  <c r="R21" i="80" s="1"/>
  <c r="R21" i="86" s="1"/>
  <c r="R21" i="92" s="1"/>
  <c r="R21" i="98" s="1"/>
  <c r="R21" i="110" s="1"/>
  <c r="R20" i="128" s="1"/>
  <c r="R21" i="134" s="1"/>
  <c r="R21" i="140" s="1"/>
  <c r="T21" i="74"/>
  <c r="T21" i="80" s="1"/>
  <c r="T21" i="86" s="1"/>
  <c r="T21" i="92" s="1"/>
  <c r="T21" i="98" s="1"/>
  <c r="T21" i="110" s="1"/>
  <c r="T20" i="128" s="1"/>
  <c r="T21" i="134" s="1"/>
  <c r="T21" i="140" s="1"/>
  <c r="D23" i="74"/>
  <c r="L23"/>
  <c r="D24"/>
  <c r="H24"/>
  <c r="L24"/>
  <c r="P24"/>
  <c r="B25"/>
  <c r="D25"/>
  <c r="F25"/>
  <c r="H25"/>
  <c r="L25"/>
  <c r="P25"/>
  <c r="R25"/>
  <c r="T25"/>
  <c r="D26"/>
  <c r="H26"/>
  <c r="L26"/>
  <c r="P26"/>
  <c r="T26"/>
  <c r="B32"/>
  <c r="B31" i="80" s="1"/>
  <c r="B31" i="86" s="1"/>
  <c r="B32" i="92" s="1"/>
  <c r="B32" i="98" s="1"/>
  <c r="B32" i="110" s="1"/>
  <c r="B31" i="128" s="1"/>
  <c r="B32" i="134" s="1"/>
  <c r="B31" i="140" s="1"/>
  <c r="C32" i="74"/>
  <c r="C31" i="80" s="1"/>
  <c r="C31" i="86" s="1"/>
  <c r="C32" i="92" s="1"/>
  <c r="C32" i="98" s="1"/>
  <c r="C32" i="110" s="1"/>
  <c r="C31" i="128" s="1"/>
  <c r="C32" i="134" s="1"/>
  <c r="C31" i="140" s="1"/>
  <c r="E32" i="74"/>
  <c r="E31" i="80" s="1"/>
  <c r="E31" i="86" s="1"/>
  <c r="E32" i="92" s="1"/>
  <c r="E32" i="98" s="1"/>
  <c r="E32" i="110" s="1"/>
  <c r="E31" i="128" s="1"/>
  <c r="E32" i="134" s="1"/>
  <c r="E31" i="140" s="1"/>
  <c r="F32" i="74"/>
  <c r="F31" i="80" s="1"/>
  <c r="F31" i="86" s="1"/>
  <c r="F32" i="92" s="1"/>
  <c r="F32" i="98" s="1"/>
  <c r="F32" i="110" s="1"/>
  <c r="F31" i="128" s="1"/>
  <c r="F32" i="134" s="1"/>
  <c r="F31" i="140" s="1"/>
  <c r="H32" i="74"/>
  <c r="H31" i="80" s="1"/>
  <c r="H31" i="86" s="1"/>
  <c r="H32" i="92" s="1"/>
  <c r="H32" i="98" s="1"/>
  <c r="H32" i="110" s="1"/>
  <c r="H31" i="128" s="1"/>
  <c r="H32" i="134" s="1"/>
  <c r="H31" i="140" s="1"/>
  <c r="I32" i="74"/>
  <c r="I31" i="80" s="1"/>
  <c r="I31" i="86" s="1"/>
  <c r="I32" i="92" s="1"/>
  <c r="I32" i="98" s="1"/>
  <c r="I32" i="110" s="1"/>
  <c r="I31" i="128" s="1"/>
  <c r="I32" i="134" s="1"/>
  <c r="I31" i="140" s="1"/>
  <c r="K32" i="74"/>
  <c r="K31" i="80" s="1"/>
  <c r="K31" i="86" s="1"/>
  <c r="K32" i="92" s="1"/>
  <c r="K32" i="98" s="1"/>
  <c r="K32" i="110" s="1"/>
  <c r="K31" i="128" s="1"/>
  <c r="K32" i="134" s="1"/>
  <c r="K31" i="140" s="1"/>
  <c r="L32" i="74"/>
  <c r="L31" i="80" s="1"/>
  <c r="L31" i="86" s="1"/>
  <c r="L32" i="92" s="1"/>
  <c r="L32" i="98" s="1"/>
  <c r="L32" i="110" s="1"/>
  <c r="L31" i="128" s="1"/>
  <c r="L32" i="134" s="1"/>
  <c r="L31" i="140" s="1"/>
  <c r="N32" i="74"/>
  <c r="N31" i="80" s="1"/>
  <c r="N31" i="86" s="1"/>
  <c r="N32" i="92" s="1"/>
  <c r="N32" i="98" s="1"/>
  <c r="N32" i="110" s="1"/>
  <c r="N31" i="128" s="1"/>
  <c r="N32" i="134" s="1"/>
  <c r="N31" i="140" s="1"/>
  <c r="O32" i="74"/>
  <c r="O31" i="80" s="1"/>
  <c r="O31" i="86" s="1"/>
  <c r="O32" i="92" s="1"/>
  <c r="O32" i="98" s="1"/>
  <c r="O32" i="110" s="1"/>
  <c r="O31" i="128" s="1"/>
  <c r="O32" i="134" s="1"/>
  <c r="O31" i="140" s="1"/>
  <c r="B34" i="74"/>
  <c r="B33" i="80" s="1"/>
  <c r="B33" i="86" s="1"/>
  <c r="B34" i="92" s="1"/>
  <c r="B34" i="98" s="1"/>
  <c r="B34" i="110" s="1"/>
  <c r="B33" i="128" s="1"/>
  <c r="B34" i="134" s="1"/>
  <c r="B33" i="140" s="1"/>
  <c r="C34" i="74"/>
  <c r="C33" i="80" s="1"/>
  <c r="C33" i="86" s="1"/>
  <c r="C34" i="92" s="1"/>
  <c r="C34" i="98" s="1"/>
  <c r="C34" i="110" s="1"/>
  <c r="C33" i="128" s="1"/>
  <c r="C34" i="134" s="1"/>
  <c r="C33" i="140" s="1"/>
  <c r="E34" i="74"/>
  <c r="E33" i="80" s="1"/>
  <c r="E33" i="86" s="1"/>
  <c r="E34" i="92" s="1"/>
  <c r="E34" i="98" s="1"/>
  <c r="E34" i="110" s="1"/>
  <c r="E33" i="128" s="1"/>
  <c r="E34" i="134" s="1"/>
  <c r="E33" i="140" s="1"/>
  <c r="F34" i="74"/>
  <c r="F33" i="80" s="1"/>
  <c r="F33" i="86" s="1"/>
  <c r="F34" i="92" s="1"/>
  <c r="F34" i="98" s="1"/>
  <c r="F34" i="110" s="1"/>
  <c r="F33" i="128" s="1"/>
  <c r="F34" i="134" s="1"/>
  <c r="F33" i="140" s="1"/>
  <c r="H34" i="74"/>
  <c r="H33" i="80" s="1"/>
  <c r="H33" i="86" s="1"/>
  <c r="H34" i="92" s="1"/>
  <c r="H34" i="98" s="1"/>
  <c r="H34" i="110" s="1"/>
  <c r="H33" i="128" s="1"/>
  <c r="H34" i="134" s="1"/>
  <c r="H33" i="140" s="1"/>
  <c r="I34" i="74"/>
  <c r="I33" i="80" s="1"/>
  <c r="I33" i="86" s="1"/>
  <c r="I34" i="92" s="1"/>
  <c r="I34" i="98" s="1"/>
  <c r="I34" i="110" s="1"/>
  <c r="I33" i="128" s="1"/>
  <c r="I34" i="134" s="1"/>
  <c r="I33" i="140" s="1"/>
  <c r="K34" i="74"/>
  <c r="K33" i="80" s="1"/>
  <c r="K33" i="86" s="1"/>
  <c r="K34" i="92" s="1"/>
  <c r="K34" i="98" s="1"/>
  <c r="K34" i="110" s="1"/>
  <c r="K33" i="128" s="1"/>
  <c r="K34" i="134" s="1"/>
  <c r="K33" i="140" s="1"/>
  <c r="L34" i="74"/>
  <c r="L33" i="80" s="1"/>
  <c r="L33" i="86" s="1"/>
  <c r="L34" i="92" s="1"/>
  <c r="L34" i="98" s="1"/>
  <c r="L34" i="110" s="1"/>
  <c r="L33" i="128" s="1"/>
  <c r="L34" i="134" s="1"/>
  <c r="L33" i="140" s="1"/>
  <c r="N34" i="74"/>
  <c r="N33" i="80" s="1"/>
  <c r="N33" i="86" s="1"/>
  <c r="N34" i="92" s="1"/>
  <c r="N34" i="98" s="1"/>
  <c r="N34" i="110" s="1"/>
  <c r="N33" i="128" s="1"/>
  <c r="N34" i="134" s="1"/>
  <c r="N33" i="140" s="1"/>
  <c r="O34" i="74"/>
  <c r="O33" i="80" s="1"/>
  <c r="O33" i="86" s="1"/>
  <c r="O34" i="92" s="1"/>
  <c r="O34" i="98" s="1"/>
  <c r="O34" i="110" s="1"/>
  <c r="O33" i="128" s="1"/>
  <c r="O34" i="134" s="1"/>
  <c r="O33" i="140" s="1"/>
  <c r="Q34" i="74"/>
  <c r="Q33" i="80" s="1"/>
  <c r="Q33" i="86" s="1"/>
  <c r="Q34" i="92" s="1"/>
  <c r="Q34" i="98" s="1"/>
  <c r="Q34" i="110" s="1"/>
  <c r="Q33" i="128" s="1"/>
  <c r="Q34" i="134" s="1"/>
  <c r="Q33" i="140" s="1"/>
  <c r="R34" i="74"/>
  <c r="R33" i="80" s="1"/>
  <c r="R33" i="86" s="1"/>
  <c r="R34" i="92" s="1"/>
  <c r="R34" i="98" s="1"/>
  <c r="R34" i="110" s="1"/>
  <c r="R33" i="128" s="1"/>
  <c r="R34" i="134" s="1"/>
  <c r="R33" i="140" s="1"/>
  <c r="S34" i="74"/>
  <c r="S33" i="80" s="1"/>
  <c r="S33" i="86" s="1"/>
  <c r="S34" i="92" s="1"/>
  <c r="S34" i="98" s="1"/>
  <c r="S34" i="110" s="1"/>
  <c r="S33" i="128" s="1"/>
  <c r="S34" i="134" s="1"/>
  <c r="S33" i="140" s="1"/>
  <c r="T34" i="74"/>
  <c r="T33" i="80" s="1"/>
  <c r="T33" i="86" s="1"/>
  <c r="T34" i="92" s="1"/>
  <c r="T34" i="98" s="1"/>
  <c r="T34" i="110" s="1"/>
  <c r="T33" i="128" s="1"/>
  <c r="T34" i="134" s="1"/>
  <c r="T33" i="140" s="1"/>
  <c r="B49" i="74"/>
  <c r="N49" s="1"/>
  <c r="B52"/>
  <c r="N52" s="1"/>
  <c r="B55"/>
  <c r="N55" s="1"/>
  <c r="O59"/>
  <c r="O61"/>
  <c r="B66"/>
  <c r="O66"/>
  <c r="B68"/>
  <c r="O68"/>
  <c r="O70"/>
  <c r="O76"/>
  <c r="A7" i="52"/>
  <c r="B11"/>
  <c r="C11"/>
  <c r="E11"/>
  <c r="E62" i="40" s="1"/>
  <c r="F11" i="52"/>
  <c r="F62" i="40" s="1"/>
  <c r="K11" i="52"/>
  <c r="K62" i="40" s="1"/>
  <c r="L11" i="52"/>
  <c r="L62" i="40" s="1"/>
  <c r="C12" i="52"/>
  <c r="D12"/>
  <c r="E12"/>
  <c r="F12"/>
  <c r="G12"/>
  <c r="K12"/>
  <c r="L12"/>
  <c r="B13"/>
  <c r="C13"/>
  <c r="D13"/>
  <c r="E13"/>
  <c r="G13"/>
  <c r="I13"/>
  <c r="J13" s="1"/>
  <c r="K13"/>
  <c r="E15"/>
  <c r="G15"/>
  <c r="I15"/>
  <c r="L15"/>
  <c r="B19"/>
  <c r="D19"/>
  <c r="I19"/>
  <c r="J19" s="1"/>
  <c r="K19"/>
  <c r="L19"/>
  <c r="C20"/>
  <c r="E20"/>
  <c r="I20"/>
  <c r="J20" s="1"/>
  <c r="K20"/>
  <c r="D21"/>
  <c r="E21"/>
  <c r="G21"/>
  <c r="I21"/>
  <c r="J21" s="1"/>
  <c r="L21"/>
  <c r="D26"/>
  <c r="D56" i="36" s="1"/>
  <c r="E26" i="52"/>
  <c r="E56" i="36" s="1"/>
  <c r="F26" i="52"/>
  <c r="F56" i="36" s="1"/>
  <c r="I26" i="52"/>
  <c r="K26"/>
  <c r="L26"/>
  <c r="B32"/>
  <c r="C32"/>
  <c r="E32"/>
  <c r="F32"/>
  <c r="I32"/>
  <c r="J32" s="1"/>
  <c r="E33"/>
  <c r="F33"/>
  <c r="G33"/>
  <c r="I33"/>
  <c r="J33" s="1"/>
  <c r="K33"/>
  <c r="L33"/>
  <c r="D34"/>
  <c r="E34"/>
  <c r="F34"/>
  <c r="I34"/>
  <c r="J34" s="1"/>
  <c r="C35"/>
  <c r="E35"/>
  <c r="F35"/>
  <c r="G35"/>
  <c r="I35"/>
  <c r="J35" s="1"/>
  <c r="K35"/>
  <c r="L35"/>
  <c r="B40"/>
  <c r="C40"/>
  <c r="D40"/>
  <c r="E40"/>
  <c r="I40"/>
  <c r="J40" s="1"/>
  <c r="K40"/>
  <c r="L40"/>
  <c r="A48"/>
  <c r="B52"/>
  <c r="C52"/>
  <c r="D52"/>
  <c r="E52"/>
  <c r="F52"/>
  <c r="G52"/>
  <c r="I52"/>
  <c r="J52" s="1"/>
  <c r="K52"/>
  <c r="L52"/>
  <c r="B53"/>
  <c r="C53"/>
  <c r="D53"/>
  <c r="E53"/>
  <c r="F53"/>
  <c r="I53"/>
  <c r="J53" s="1"/>
  <c r="K53"/>
  <c r="L53"/>
  <c r="B54"/>
  <c r="C54"/>
  <c r="D54"/>
  <c r="E54"/>
  <c r="F54"/>
  <c r="G54"/>
  <c r="I54"/>
  <c r="J54" s="1"/>
  <c r="K54"/>
  <c r="L54"/>
  <c r="B56"/>
  <c r="C56"/>
  <c r="D56"/>
  <c r="E56"/>
  <c r="F56"/>
  <c r="G56"/>
  <c r="I56"/>
  <c r="J56" s="1"/>
  <c r="K56"/>
  <c r="L56"/>
  <c r="B60"/>
  <c r="C60"/>
  <c r="D60"/>
  <c r="E60"/>
  <c r="F60"/>
  <c r="G60"/>
  <c r="I60"/>
  <c r="J60" s="1"/>
  <c r="K60"/>
  <c r="L60"/>
  <c r="B61"/>
  <c r="C61"/>
  <c r="E61"/>
  <c r="F61"/>
  <c r="G61"/>
  <c r="K61"/>
  <c r="L61"/>
  <c r="B62"/>
  <c r="C62"/>
  <c r="D62"/>
  <c r="E62"/>
  <c r="F62"/>
  <c r="F63" s="1"/>
  <c r="F62" i="36" s="1"/>
  <c r="G62" i="52"/>
  <c r="I62"/>
  <c r="J62" s="1"/>
  <c r="K62"/>
  <c r="L62"/>
  <c r="B67"/>
  <c r="B63" i="36" s="1"/>
  <c r="D67" i="52"/>
  <c r="D63" i="36" s="1"/>
  <c r="E67" i="52"/>
  <c r="E63" i="36" s="1"/>
  <c r="F67" i="52"/>
  <c r="G67"/>
  <c r="G63" i="36" s="1"/>
  <c r="I67" i="52"/>
  <c r="J67" s="1"/>
  <c r="K67"/>
  <c r="K63" i="36" s="1"/>
  <c r="L67" i="52"/>
  <c r="B73"/>
  <c r="C73"/>
  <c r="D73"/>
  <c r="E73"/>
  <c r="F73"/>
  <c r="G73"/>
  <c r="I73"/>
  <c r="J73" s="1"/>
  <c r="K73"/>
  <c r="L73"/>
  <c r="B74"/>
  <c r="C74"/>
  <c r="D74"/>
  <c r="E74"/>
  <c r="F74"/>
  <c r="G74"/>
  <c r="I74"/>
  <c r="J74" s="1"/>
  <c r="K74"/>
  <c r="L74"/>
  <c r="B75"/>
  <c r="C75"/>
  <c r="D75"/>
  <c r="E75"/>
  <c r="F75"/>
  <c r="G75"/>
  <c r="I75"/>
  <c r="J75" s="1"/>
  <c r="K75"/>
  <c r="L75"/>
  <c r="B76"/>
  <c r="C76"/>
  <c r="C77" s="1"/>
  <c r="C64" i="36" s="1"/>
  <c r="D76" i="52"/>
  <c r="E76"/>
  <c r="F76"/>
  <c r="G76"/>
  <c r="K76"/>
  <c r="L76"/>
  <c r="C81"/>
  <c r="D81"/>
  <c r="E81"/>
  <c r="F81"/>
  <c r="G81"/>
  <c r="I81"/>
  <c r="J81" s="1"/>
  <c r="K81"/>
  <c r="L81"/>
  <c r="M81" s="1"/>
  <c r="A7" i="51"/>
  <c r="N41"/>
  <c r="A49"/>
  <c r="B10" i="231"/>
  <c r="C10"/>
  <c r="D10"/>
  <c r="E10"/>
  <c r="F10"/>
  <c r="G10"/>
  <c r="I10"/>
  <c r="J10" s="1"/>
  <c r="K10"/>
  <c r="L10"/>
  <c r="B11"/>
  <c r="C11"/>
  <c r="D11"/>
  <c r="E11"/>
  <c r="F11"/>
  <c r="G11"/>
  <c r="I11"/>
  <c r="J11" s="1"/>
  <c r="K11"/>
  <c r="L11"/>
  <c r="B12"/>
  <c r="C12"/>
  <c r="D12"/>
  <c r="E12"/>
  <c r="F12"/>
  <c r="G12"/>
  <c r="I12"/>
  <c r="J12" s="1"/>
  <c r="K12"/>
  <c r="L12"/>
  <c r="B13"/>
  <c r="C13"/>
  <c r="D13"/>
  <c r="E13"/>
  <c r="F13"/>
  <c r="G13"/>
  <c r="I13"/>
  <c r="J13" s="1"/>
  <c r="K13"/>
  <c r="L13"/>
  <c r="B14"/>
  <c r="C14"/>
  <c r="D14"/>
  <c r="E14"/>
  <c r="F14"/>
  <c r="G14"/>
  <c r="I14"/>
  <c r="J14" s="1"/>
  <c r="K14"/>
  <c r="L14"/>
  <c r="B17"/>
  <c r="C17"/>
  <c r="D17"/>
  <c r="E17"/>
  <c r="F17"/>
  <c r="G17"/>
  <c r="I17"/>
  <c r="J17" s="1"/>
  <c r="K17"/>
  <c r="L17"/>
  <c r="B18"/>
  <c r="C18"/>
  <c r="D18"/>
  <c r="E18"/>
  <c r="F18"/>
  <c r="G18"/>
  <c r="I18"/>
  <c r="J18" s="1"/>
  <c r="K18"/>
  <c r="L18"/>
  <c r="B19"/>
  <c r="C19"/>
  <c r="D19"/>
  <c r="E19"/>
  <c r="F19"/>
  <c r="G19"/>
  <c r="I19"/>
  <c r="J19" s="1"/>
  <c r="K19"/>
  <c r="L19"/>
  <c r="B20"/>
  <c r="C20"/>
  <c r="D20"/>
  <c r="E20"/>
  <c r="F20"/>
  <c r="G20"/>
  <c r="I20"/>
  <c r="J20" s="1"/>
  <c r="K20"/>
  <c r="L20"/>
  <c r="B21"/>
  <c r="C21"/>
  <c r="D21"/>
  <c r="E21"/>
  <c r="F21"/>
  <c r="G21"/>
  <c r="I21"/>
  <c r="J21" s="1"/>
  <c r="K21"/>
  <c r="L21"/>
  <c r="B26"/>
  <c r="C26"/>
  <c r="D26"/>
  <c r="E26"/>
  <c r="F26"/>
  <c r="G26"/>
  <c r="I26"/>
  <c r="K26"/>
  <c r="L26"/>
  <c r="B27"/>
  <c r="C27"/>
  <c r="D27"/>
  <c r="E27"/>
  <c r="F27"/>
  <c r="G27"/>
  <c r="I27"/>
  <c r="J27" s="1"/>
  <c r="K27"/>
  <c r="L27"/>
  <c r="B28"/>
  <c r="C28"/>
  <c r="D28"/>
  <c r="E28"/>
  <c r="F28"/>
  <c r="G28"/>
  <c r="I28"/>
  <c r="J28" s="1"/>
  <c r="K28"/>
  <c r="L28"/>
  <c r="B32"/>
  <c r="C32"/>
  <c r="D32"/>
  <c r="E32"/>
  <c r="F32"/>
  <c r="G32"/>
  <c r="I32"/>
  <c r="J32" s="1"/>
  <c r="K32"/>
  <c r="L32"/>
  <c r="B33"/>
  <c r="C33"/>
  <c r="D33"/>
  <c r="E33"/>
  <c r="F33"/>
  <c r="G33"/>
  <c r="I33"/>
  <c r="J33" s="1"/>
  <c r="K33"/>
  <c r="L33"/>
  <c r="B34"/>
  <c r="C34"/>
  <c r="C35" s="1"/>
  <c r="D34"/>
  <c r="E34"/>
  <c r="F34"/>
  <c r="G34"/>
  <c r="I34"/>
  <c r="J34" s="1"/>
  <c r="K34"/>
  <c r="L34"/>
  <c r="G35"/>
  <c r="B38"/>
  <c r="C38"/>
  <c r="D38"/>
  <c r="E38"/>
  <c r="F38"/>
  <c r="G38"/>
  <c r="I38"/>
  <c r="K38"/>
  <c r="L38"/>
  <c r="B39"/>
  <c r="C39"/>
  <c r="D39"/>
  <c r="E39"/>
  <c r="F39"/>
  <c r="G39"/>
  <c r="I39"/>
  <c r="J39" s="1"/>
  <c r="K39"/>
  <c r="L39"/>
  <c r="B40"/>
  <c r="C40"/>
  <c r="D40"/>
  <c r="E40"/>
  <c r="F40"/>
  <c r="G40"/>
  <c r="I40"/>
  <c r="J40" s="1"/>
  <c r="K40"/>
  <c r="L40"/>
  <c r="F41"/>
  <c r="B43"/>
  <c r="C43"/>
  <c r="D43"/>
  <c r="E43"/>
  <c r="F43"/>
  <c r="G43"/>
  <c r="I43"/>
  <c r="J43" s="1"/>
  <c r="K43"/>
  <c r="L43"/>
  <c r="B47"/>
  <c r="C47"/>
  <c r="D47"/>
  <c r="E47"/>
  <c r="F47"/>
  <c r="G47"/>
  <c r="I47"/>
  <c r="J47" s="1"/>
  <c r="K47"/>
  <c r="L47"/>
  <c r="B48"/>
  <c r="C48"/>
  <c r="D48"/>
  <c r="E48"/>
  <c r="F48"/>
  <c r="G48"/>
  <c r="I48"/>
  <c r="J48" s="1"/>
  <c r="K48"/>
  <c r="L48"/>
  <c r="B49"/>
  <c r="C49"/>
  <c r="D49"/>
  <c r="E49"/>
  <c r="F49"/>
  <c r="G49"/>
  <c r="I49"/>
  <c r="J49" s="1"/>
  <c r="K49"/>
  <c r="L49"/>
  <c r="B50"/>
  <c r="C50"/>
  <c r="D50"/>
  <c r="E50"/>
  <c r="F50"/>
  <c r="G50"/>
  <c r="I50"/>
  <c r="J50" s="1"/>
  <c r="K50"/>
  <c r="L50"/>
  <c r="B56"/>
  <c r="C56"/>
  <c r="D56"/>
  <c r="E56"/>
  <c r="F56"/>
  <c r="G56"/>
  <c r="I56"/>
  <c r="J56" s="1"/>
  <c r="K56"/>
  <c r="L56"/>
  <c r="M56" s="1"/>
  <c r="B57"/>
  <c r="C57"/>
  <c r="D57"/>
  <c r="E57"/>
  <c r="F57"/>
  <c r="G57"/>
  <c r="I57"/>
  <c r="J57" s="1"/>
  <c r="K57"/>
  <c r="L57"/>
  <c r="B58"/>
  <c r="C58"/>
  <c r="D58"/>
  <c r="E58"/>
  <c r="F58"/>
  <c r="G58"/>
  <c r="I58"/>
  <c r="J58" s="1"/>
  <c r="K58"/>
  <c r="L58"/>
  <c r="B60"/>
  <c r="C60"/>
  <c r="D60"/>
  <c r="E60"/>
  <c r="F60"/>
  <c r="G60"/>
  <c r="I60"/>
  <c r="J60" s="1"/>
  <c r="K60"/>
  <c r="L60"/>
  <c r="B61"/>
  <c r="C61"/>
  <c r="D61"/>
  <c r="E61"/>
  <c r="F61"/>
  <c r="G61"/>
  <c r="I61"/>
  <c r="J61" s="1"/>
  <c r="K61"/>
  <c r="L61"/>
  <c r="B62"/>
  <c r="C62"/>
  <c r="D62"/>
  <c r="E62"/>
  <c r="F62"/>
  <c r="G62"/>
  <c r="I62"/>
  <c r="J62" s="1"/>
  <c r="K62"/>
  <c r="L62"/>
  <c r="H68"/>
  <c r="J68"/>
  <c r="M68"/>
  <c r="B10" i="252"/>
  <c r="C10"/>
  <c r="D10"/>
  <c r="E10"/>
  <c r="F10"/>
  <c r="G10"/>
  <c r="I10"/>
  <c r="J10" s="1"/>
  <c r="K10"/>
  <c r="L10"/>
  <c r="B11"/>
  <c r="C11"/>
  <c r="D11"/>
  <c r="E11"/>
  <c r="F11"/>
  <c r="G11"/>
  <c r="I11"/>
  <c r="J11" s="1"/>
  <c r="K11"/>
  <c r="L11"/>
  <c r="B12"/>
  <c r="C12"/>
  <c r="D12"/>
  <c r="E12"/>
  <c r="F12"/>
  <c r="G12"/>
  <c r="I12"/>
  <c r="J12" s="1"/>
  <c r="K12"/>
  <c r="L12"/>
  <c r="B13"/>
  <c r="C13"/>
  <c r="D13"/>
  <c r="E13"/>
  <c r="F13"/>
  <c r="G13"/>
  <c r="I13"/>
  <c r="J13" s="1"/>
  <c r="K13"/>
  <c r="L13"/>
  <c r="B14"/>
  <c r="C14"/>
  <c r="D14"/>
  <c r="E14"/>
  <c r="F14"/>
  <c r="G14"/>
  <c r="I14"/>
  <c r="J14" s="1"/>
  <c r="K14"/>
  <c r="L14"/>
  <c r="B17"/>
  <c r="C17"/>
  <c r="D17"/>
  <c r="E17"/>
  <c r="F17"/>
  <c r="G17"/>
  <c r="I17"/>
  <c r="J17" s="1"/>
  <c r="K17"/>
  <c r="L17"/>
  <c r="B18"/>
  <c r="C18"/>
  <c r="D18"/>
  <c r="E18"/>
  <c r="F18"/>
  <c r="G18"/>
  <c r="I18"/>
  <c r="J18" s="1"/>
  <c r="K18"/>
  <c r="L18"/>
  <c r="B19"/>
  <c r="C19"/>
  <c r="D19"/>
  <c r="E19"/>
  <c r="F19"/>
  <c r="G19"/>
  <c r="I19"/>
  <c r="J19" s="1"/>
  <c r="K19"/>
  <c r="L19"/>
  <c r="B20"/>
  <c r="C20"/>
  <c r="D20"/>
  <c r="E20"/>
  <c r="F20"/>
  <c r="G20"/>
  <c r="I20"/>
  <c r="J20" s="1"/>
  <c r="K20"/>
  <c r="L20"/>
  <c r="B21"/>
  <c r="C21"/>
  <c r="D21"/>
  <c r="E21"/>
  <c r="F21"/>
  <c r="G21"/>
  <c r="I21"/>
  <c r="J21" s="1"/>
  <c r="K21"/>
  <c r="L21"/>
  <c r="B26"/>
  <c r="C26"/>
  <c r="D26"/>
  <c r="E26"/>
  <c r="F26"/>
  <c r="G26"/>
  <c r="I26"/>
  <c r="J26" s="1"/>
  <c r="K26"/>
  <c r="L26"/>
  <c r="B27"/>
  <c r="C27"/>
  <c r="D27"/>
  <c r="E27"/>
  <c r="F27"/>
  <c r="G27"/>
  <c r="I27"/>
  <c r="J27" s="1"/>
  <c r="K27"/>
  <c r="L27"/>
  <c r="B28"/>
  <c r="C28"/>
  <c r="D28"/>
  <c r="E28"/>
  <c r="F28"/>
  <c r="G28"/>
  <c r="I28"/>
  <c r="J28" s="1"/>
  <c r="K28"/>
  <c r="L28"/>
  <c r="B32"/>
  <c r="C32"/>
  <c r="D32"/>
  <c r="E32"/>
  <c r="F32"/>
  <c r="G32"/>
  <c r="I32"/>
  <c r="K32"/>
  <c r="L32"/>
  <c r="B33"/>
  <c r="C33"/>
  <c r="D33"/>
  <c r="E33"/>
  <c r="F33"/>
  <c r="G33"/>
  <c r="I33"/>
  <c r="J33" s="1"/>
  <c r="K33"/>
  <c r="L33"/>
  <c r="B34"/>
  <c r="C34"/>
  <c r="D34"/>
  <c r="E34"/>
  <c r="F34"/>
  <c r="G34"/>
  <c r="I34"/>
  <c r="J34" s="1"/>
  <c r="K34"/>
  <c r="L34"/>
  <c r="B38"/>
  <c r="C38"/>
  <c r="D38"/>
  <c r="E38"/>
  <c r="F38"/>
  <c r="G38"/>
  <c r="I38"/>
  <c r="J38" s="1"/>
  <c r="K38"/>
  <c r="L38"/>
  <c r="B39"/>
  <c r="C39"/>
  <c r="D39"/>
  <c r="E39"/>
  <c r="F39"/>
  <c r="G39"/>
  <c r="I39"/>
  <c r="J39" s="1"/>
  <c r="K39"/>
  <c r="L39"/>
  <c r="B40"/>
  <c r="C40"/>
  <c r="D40"/>
  <c r="E40"/>
  <c r="F40"/>
  <c r="G40"/>
  <c r="I40"/>
  <c r="J40" s="1"/>
  <c r="K40"/>
  <c r="L40"/>
  <c r="B43"/>
  <c r="C43"/>
  <c r="D43"/>
  <c r="E43"/>
  <c r="F43"/>
  <c r="G43"/>
  <c r="I43"/>
  <c r="J43" s="1"/>
  <c r="K43"/>
  <c r="L43"/>
  <c r="B47"/>
  <c r="C47"/>
  <c r="D47"/>
  <c r="E47"/>
  <c r="F47"/>
  <c r="G47"/>
  <c r="I47"/>
  <c r="J47" s="1"/>
  <c r="K47"/>
  <c r="L47"/>
  <c r="B48"/>
  <c r="C48"/>
  <c r="D48"/>
  <c r="E48"/>
  <c r="F48"/>
  <c r="G48"/>
  <c r="I48"/>
  <c r="J48" s="1"/>
  <c r="K48"/>
  <c r="L48"/>
  <c r="B49"/>
  <c r="C49"/>
  <c r="D49"/>
  <c r="E49"/>
  <c r="F49"/>
  <c r="G49"/>
  <c r="I49"/>
  <c r="J49" s="1"/>
  <c r="K49"/>
  <c r="L49"/>
  <c r="B50"/>
  <c r="C50"/>
  <c r="D50"/>
  <c r="E50"/>
  <c r="F50"/>
  <c r="G50"/>
  <c r="I50"/>
  <c r="J50" s="1"/>
  <c r="K50"/>
  <c r="L50"/>
  <c r="B56"/>
  <c r="C56"/>
  <c r="D56"/>
  <c r="E56"/>
  <c r="F56"/>
  <c r="G56"/>
  <c r="I56"/>
  <c r="J56" s="1"/>
  <c r="K56"/>
  <c r="L56"/>
  <c r="B57"/>
  <c r="C57"/>
  <c r="D57"/>
  <c r="E57"/>
  <c r="F57"/>
  <c r="G57"/>
  <c r="I57"/>
  <c r="J57" s="1"/>
  <c r="K57"/>
  <c r="L57"/>
  <c r="B58"/>
  <c r="C58"/>
  <c r="D58"/>
  <c r="E58"/>
  <c r="F58"/>
  <c r="G58"/>
  <c r="I58"/>
  <c r="J58" s="1"/>
  <c r="K58"/>
  <c r="L58"/>
  <c r="K59"/>
  <c r="B60"/>
  <c r="C60"/>
  <c r="D60"/>
  <c r="E60"/>
  <c r="F60"/>
  <c r="G60"/>
  <c r="I60"/>
  <c r="J60" s="1"/>
  <c r="K60"/>
  <c r="L60"/>
  <c r="B61"/>
  <c r="C61"/>
  <c r="D61"/>
  <c r="E61"/>
  <c r="F61"/>
  <c r="G61"/>
  <c r="I61"/>
  <c r="J61" s="1"/>
  <c r="K61"/>
  <c r="L61"/>
  <c r="B62"/>
  <c r="C62"/>
  <c r="D62"/>
  <c r="E62"/>
  <c r="F62"/>
  <c r="G62"/>
  <c r="I62"/>
  <c r="J62" s="1"/>
  <c r="K62"/>
  <c r="L62"/>
  <c r="H68"/>
  <c r="J68"/>
  <c r="M68"/>
  <c r="I10" i="299"/>
  <c r="J10" s="1"/>
  <c r="K10"/>
  <c r="L10"/>
  <c r="I11"/>
  <c r="J11" s="1"/>
  <c r="K11"/>
  <c r="L11"/>
  <c r="I12"/>
  <c r="J12" s="1"/>
  <c r="K12"/>
  <c r="L12"/>
  <c r="I13"/>
  <c r="J13" s="1"/>
  <c r="K13"/>
  <c r="L13"/>
  <c r="I14"/>
  <c r="J14" s="1"/>
  <c r="K14"/>
  <c r="L14"/>
  <c r="E15"/>
  <c r="G15"/>
  <c r="H17"/>
  <c r="I17"/>
  <c r="J17" s="1"/>
  <c r="K17"/>
  <c r="L17"/>
  <c r="I18"/>
  <c r="J18" s="1"/>
  <c r="K18"/>
  <c r="L18"/>
  <c r="I19"/>
  <c r="J19" s="1"/>
  <c r="K19"/>
  <c r="L19"/>
  <c r="I20"/>
  <c r="J20" s="1"/>
  <c r="K20"/>
  <c r="L20"/>
  <c r="I21"/>
  <c r="J21" s="1"/>
  <c r="K21"/>
  <c r="L21"/>
  <c r="I26"/>
  <c r="K26"/>
  <c r="L26"/>
  <c r="I27"/>
  <c r="J27" s="1"/>
  <c r="K27"/>
  <c r="L27"/>
  <c r="E29"/>
  <c r="I28"/>
  <c r="J28" s="1"/>
  <c r="K28"/>
  <c r="L28"/>
  <c r="G29"/>
  <c r="G35"/>
  <c r="I32"/>
  <c r="J32" s="1"/>
  <c r="K32"/>
  <c r="L32"/>
  <c r="I33"/>
  <c r="J33" s="1"/>
  <c r="K33"/>
  <c r="L33"/>
  <c r="H34"/>
  <c r="I34"/>
  <c r="J34" s="1"/>
  <c r="K34"/>
  <c r="L34"/>
  <c r="B35"/>
  <c r="B38"/>
  <c r="C38"/>
  <c r="D38"/>
  <c r="E38"/>
  <c r="F38"/>
  <c r="G38"/>
  <c r="I38"/>
  <c r="J38" s="1"/>
  <c r="K38"/>
  <c r="L38"/>
  <c r="B39"/>
  <c r="C39"/>
  <c r="D39"/>
  <c r="E39"/>
  <c r="F39"/>
  <c r="G39"/>
  <c r="I39"/>
  <c r="J39" s="1"/>
  <c r="K39"/>
  <c r="L39"/>
  <c r="B40"/>
  <c r="C40"/>
  <c r="D40"/>
  <c r="E40"/>
  <c r="F40"/>
  <c r="G40"/>
  <c r="I40"/>
  <c r="J40" s="1"/>
  <c r="K40"/>
  <c r="L40"/>
  <c r="B43"/>
  <c r="C43"/>
  <c r="D43"/>
  <c r="E43"/>
  <c r="F43"/>
  <c r="G43"/>
  <c r="I43"/>
  <c r="J43" s="1"/>
  <c r="K43"/>
  <c r="L43"/>
  <c r="B47"/>
  <c r="C47"/>
  <c r="D47"/>
  <c r="E47"/>
  <c r="F47"/>
  <c r="G47"/>
  <c r="I47"/>
  <c r="K47"/>
  <c r="L47"/>
  <c r="B48"/>
  <c r="C48"/>
  <c r="D48"/>
  <c r="E48"/>
  <c r="F48"/>
  <c r="G48"/>
  <c r="I48"/>
  <c r="J48" s="1"/>
  <c r="K48"/>
  <c r="L48"/>
  <c r="B49"/>
  <c r="C49"/>
  <c r="D49"/>
  <c r="E49"/>
  <c r="F49"/>
  <c r="G49"/>
  <c r="I49"/>
  <c r="J49" s="1"/>
  <c r="K49"/>
  <c r="L49"/>
  <c r="B50"/>
  <c r="C50"/>
  <c r="D50"/>
  <c r="D51" s="1"/>
  <c r="E50"/>
  <c r="F50"/>
  <c r="G50"/>
  <c r="I50"/>
  <c r="J50" s="1"/>
  <c r="K50"/>
  <c r="L50"/>
  <c r="B56"/>
  <c r="C56"/>
  <c r="D56"/>
  <c r="E56"/>
  <c r="F56"/>
  <c r="G56"/>
  <c r="I56"/>
  <c r="J56" s="1"/>
  <c r="K56"/>
  <c r="L56"/>
  <c r="B57"/>
  <c r="C57"/>
  <c r="D57"/>
  <c r="E57"/>
  <c r="F57"/>
  <c r="G57"/>
  <c r="I57"/>
  <c r="J57" s="1"/>
  <c r="K57"/>
  <c r="L57"/>
  <c r="B58"/>
  <c r="C58"/>
  <c r="D58"/>
  <c r="E58"/>
  <c r="F58"/>
  <c r="G58"/>
  <c r="I58"/>
  <c r="J58" s="1"/>
  <c r="K58"/>
  <c r="L58"/>
  <c r="K59"/>
  <c r="B60"/>
  <c r="C60"/>
  <c r="D60"/>
  <c r="E60"/>
  <c r="F60"/>
  <c r="G60"/>
  <c r="I60"/>
  <c r="J60" s="1"/>
  <c r="K60"/>
  <c r="L60"/>
  <c r="B61"/>
  <c r="C61"/>
  <c r="D61"/>
  <c r="E61"/>
  <c r="F61"/>
  <c r="G61"/>
  <c r="I61"/>
  <c r="J61" s="1"/>
  <c r="K61"/>
  <c r="L61"/>
  <c r="B62"/>
  <c r="C62"/>
  <c r="E62"/>
  <c r="F62"/>
  <c r="G62"/>
  <c r="I62"/>
  <c r="J62" s="1"/>
  <c r="K62"/>
  <c r="L62"/>
  <c r="H68"/>
  <c r="J68"/>
  <c r="M68"/>
  <c r="H10" i="371"/>
  <c r="J10"/>
  <c r="M10"/>
  <c r="H11"/>
  <c r="J11"/>
  <c r="M11"/>
  <c r="H12"/>
  <c r="J12"/>
  <c r="M12"/>
  <c r="M13"/>
  <c r="E15"/>
  <c r="G15"/>
  <c r="J14"/>
  <c r="M14"/>
  <c r="K15"/>
  <c r="J17"/>
  <c r="M17"/>
  <c r="J18"/>
  <c r="M18"/>
  <c r="J19"/>
  <c r="M19"/>
  <c r="J20"/>
  <c r="M20"/>
  <c r="J21"/>
  <c r="M21"/>
  <c r="J26"/>
  <c r="M26"/>
  <c r="J27"/>
  <c r="M27"/>
  <c r="J28"/>
  <c r="M28"/>
  <c r="B29"/>
  <c r="D29"/>
  <c r="F29"/>
  <c r="I29"/>
  <c r="L29"/>
  <c r="F35"/>
  <c r="J32"/>
  <c r="M32"/>
  <c r="G35"/>
  <c r="J33"/>
  <c r="M33"/>
  <c r="H34"/>
  <c r="J34"/>
  <c r="J35"/>
  <c r="B35"/>
  <c r="D35"/>
  <c r="E41"/>
  <c r="G41"/>
  <c r="M38"/>
  <c r="F41"/>
  <c r="F44" s="1"/>
  <c r="J39"/>
  <c r="M39"/>
  <c r="J40"/>
  <c r="M40"/>
  <c r="B41"/>
  <c r="B44" s="1"/>
  <c r="L41"/>
  <c r="H43"/>
  <c r="J43"/>
  <c r="M43"/>
  <c r="J47"/>
  <c r="M47"/>
  <c r="F51"/>
  <c r="M48"/>
  <c r="E51"/>
  <c r="J49"/>
  <c r="M49"/>
  <c r="H50"/>
  <c r="J50"/>
  <c r="M50"/>
  <c r="C51"/>
  <c r="H56"/>
  <c r="J56"/>
  <c r="M56"/>
  <c r="H57"/>
  <c r="J57"/>
  <c r="M57"/>
  <c r="J58"/>
  <c r="M58"/>
  <c r="H60"/>
  <c r="J60"/>
  <c r="M60"/>
  <c r="J61"/>
  <c r="M61"/>
  <c r="J62"/>
  <c r="M62"/>
  <c r="B68"/>
  <c r="D68"/>
  <c r="E68"/>
  <c r="G68"/>
  <c r="I68"/>
  <c r="J68" s="1"/>
  <c r="K68"/>
  <c r="L68"/>
  <c r="D75"/>
  <c r="G75"/>
  <c r="J75"/>
  <c r="M75"/>
  <c r="D76"/>
  <c r="G76"/>
  <c r="J76"/>
  <c r="M76"/>
  <c r="D77"/>
  <c r="G77"/>
  <c r="J77"/>
  <c r="D78"/>
  <c r="G78"/>
  <c r="J78"/>
  <c r="D79"/>
  <c r="G79"/>
  <c r="J79"/>
  <c r="M79"/>
  <c r="D80"/>
  <c r="G80"/>
  <c r="J80"/>
  <c r="D81"/>
  <c r="G81"/>
  <c r="J81"/>
  <c r="M81"/>
  <c r="D82"/>
  <c r="G82"/>
  <c r="J82"/>
  <c r="M82"/>
  <c r="D83"/>
  <c r="G83"/>
  <c r="J83"/>
  <c r="H10" i="379"/>
  <c r="J10"/>
  <c r="M10"/>
  <c r="B15"/>
  <c r="J11"/>
  <c r="H12"/>
  <c r="J12"/>
  <c r="M12"/>
  <c r="J13"/>
  <c r="M13"/>
  <c r="E15"/>
  <c r="J14"/>
  <c r="M14"/>
  <c r="D15"/>
  <c r="F15"/>
  <c r="F22" s="1"/>
  <c r="I15"/>
  <c r="J17"/>
  <c r="M17"/>
  <c r="H18"/>
  <c r="J18"/>
  <c r="M18"/>
  <c r="J19"/>
  <c r="M19"/>
  <c r="J20"/>
  <c r="M20"/>
  <c r="J21"/>
  <c r="M21"/>
  <c r="B22"/>
  <c r="M26"/>
  <c r="J27"/>
  <c r="M27"/>
  <c r="B29"/>
  <c r="H28"/>
  <c r="J28"/>
  <c r="M28"/>
  <c r="D29"/>
  <c r="F29"/>
  <c r="K29"/>
  <c r="L29"/>
  <c r="B35"/>
  <c r="D35"/>
  <c r="F35"/>
  <c r="H32"/>
  <c r="J32"/>
  <c r="H33"/>
  <c r="J33"/>
  <c r="M33"/>
  <c r="E35"/>
  <c r="G35"/>
  <c r="M34"/>
  <c r="K35"/>
  <c r="H38"/>
  <c r="J38"/>
  <c r="D41"/>
  <c r="F41"/>
  <c r="H39"/>
  <c r="J39"/>
  <c r="M39"/>
  <c r="H40"/>
  <c r="M40"/>
  <c r="C41"/>
  <c r="E41"/>
  <c r="G41"/>
  <c r="K41"/>
  <c r="H43"/>
  <c r="J43"/>
  <c r="M43"/>
  <c r="K44"/>
  <c r="M47"/>
  <c r="B51"/>
  <c r="H48"/>
  <c r="J48"/>
  <c r="M48"/>
  <c r="H49"/>
  <c r="J49"/>
  <c r="M49"/>
  <c r="E51"/>
  <c r="J50"/>
  <c r="M50"/>
  <c r="G51"/>
  <c r="L51"/>
  <c r="H56"/>
  <c r="J56"/>
  <c r="M56"/>
  <c r="J57"/>
  <c r="M57"/>
  <c r="H58"/>
  <c r="J58"/>
  <c r="M58"/>
  <c r="H60"/>
  <c r="J60"/>
  <c r="M60"/>
  <c r="N60" s="1"/>
  <c r="H61"/>
  <c r="J61"/>
  <c r="M61"/>
  <c r="J62"/>
  <c r="M62"/>
  <c r="B68"/>
  <c r="C68"/>
  <c r="E68"/>
  <c r="I68"/>
  <c r="J68" s="1"/>
  <c r="K68"/>
  <c r="L68"/>
  <c r="D75"/>
  <c r="G75"/>
  <c r="J75"/>
  <c r="D76"/>
  <c r="G76"/>
  <c r="J76"/>
  <c r="D77"/>
  <c r="G77"/>
  <c r="J77"/>
  <c r="G78"/>
  <c r="J78"/>
  <c r="D79"/>
  <c r="G79"/>
  <c r="J79"/>
  <c r="M79"/>
  <c r="D80"/>
  <c r="G80"/>
  <c r="J80"/>
  <c r="M80"/>
  <c r="D81"/>
  <c r="G81"/>
  <c r="J81"/>
  <c r="D82"/>
  <c r="G82"/>
  <c r="J82"/>
  <c r="M82"/>
  <c r="D83"/>
  <c r="G83"/>
  <c r="J83"/>
  <c r="F155"/>
  <c r="B10" i="44"/>
  <c r="C10"/>
  <c r="D10"/>
  <c r="E10"/>
  <c r="F10"/>
  <c r="G10"/>
  <c r="I10"/>
  <c r="K10"/>
  <c r="L10"/>
  <c r="B11"/>
  <c r="C11"/>
  <c r="D11"/>
  <c r="E11"/>
  <c r="F11"/>
  <c r="G11"/>
  <c r="I11"/>
  <c r="J11" s="1"/>
  <c r="K11"/>
  <c r="L11"/>
  <c r="B12"/>
  <c r="C12"/>
  <c r="D12"/>
  <c r="E12"/>
  <c r="F12"/>
  <c r="G12"/>
  <c r="I12"/>
  <c r="J12" s="1"/>
  <c r="K12"/>
  <c r="L12"/>
  <c r="B13"/>
  <c r="C13"/>
  <c r="D13"/>
  <c r="E13"/>
  <c r="F13"/>
  <c r="G13"/>
  <c r="I13"/>
  <c r="J13" s="1"/>
  <c r="K13"/>
  <c r="L13"/>
  <c r="B14"/>
  <c r="C14"/>
  <c r="D14"/>
  <c r="E14"/>
  <c r="F14"/>
  <c r="G14"/>
  <c r="I14"/>
  <c r="J14" s="1"/>
  <c r="K14"/>
  <c r="L14"/>
  <c r="B17"/>
  <c r="C17"/>
  <c r="D17"/>
  <c r="E17"/>
  <c r="F17"/>
  <c r="G17"/>
  <c r="I17"/>
  <c r="J17" s="1"/>
  <c r="K17"/>
  <c r="L17"/>
  <c r="B19"/>
  <c r="C19"/>
  <c r="D19"/>
  <c r="E19"/>
  <c r="F19"/>
  <c r="G19"/>
  <c r="I19"/>
  <c r="J19" s="1"/>
  <c r="K19"/>
  <c r="L19"/>
  <c r="B20"/>
  <c r="C20"/>
  <c r="D20"/>
  <c r="E20"/>
  <c r="F20"/>
  <c r="G20"/>
  <c r="I20"/>
  <c r="J20" s="1"/>
  <c r="K20"/>
  <c r="L20"/>
  <c r="B21"/>
  <c r="C21"/>
  <c r="D21"/>
  <c r="E21"/>
  <c r="F21"/>
  <c r="G21"/>
  <c r="I21"/>
  <c r="J21" s="1"/>
  <c r="K21"/>
  <c r="L21"/>
  <c r="B22"/>
  <c r="C22"/>
  <c r="D22"/>
  <c r="E22"/>
  <c r="F22"/>
  <c r="G22"/>
  <c r="I22"/>
  <c r="J22" s="1"/>
  <c r="K22"/>
  <c r="L22"/>
  <c r="B27"/>
  <c r="C27"/>
  <c r="D27"/>
  <c r="E27"/>
  <c r="F27"/>
  <c r="G27"/>
  <c r="I27"/>
  <c r="K27"/>
  <c r="L27"/>
  <c r="B28"/>
  <c r="C28"/>
  <c r="D28"/>
  <c r="E28"/>
  <c r="G28"/>
  <c r="I28"/>
  <c r="J28" s="1"/>
  <c r="K28"/>
  <c r="L28"/>
  <c r="B29"/>
  <c r="C29"/>
  <c r="D29"/>
  <c r="E29"/>
  <c r="F29"/>
  <c r="G29"/>
  <c r="I29"/>
  <c r="J29" s="1"/>
  <c r="K29"/>
  <c r="L29"/>
  <c r="B33"/>
  <c r="C33"/>
  <c r="D33"/>
  <c r="E33"/>
  <c r="F33"/>
  <c r="G33"/>
  <c r="I33"/>
  <c r="J33" s="1"/>
  <c r="K33"/>
  <c r="L33"/>
  <c r="B34"/>
  <c r="C34"/>
  <c r="D34"/>
  <c r="E34"/>
  <c r="F34"/>
  <c r="G34"/>
  <c r="I34"/>
  <c r="J34" s="1"/>
  <c r="K34"/>
  <c r="L34"/>
  <c r="B35"/>
  <c r="C35"/>
  <c r="D35"/>
  <c r="E35"/>
  <c r="F35"/>
  <c r="G35"/>
  <c r="I35"/>
  <c r="J35" s="1"/>
  <c r="K35"/>
  <c r="L35"/>
  <c r="B39"/>
  <c r="C39"/>
  <c r="D39"/>
  <c r="E39"/>
  <c r="F39"/>
  <c r="G39"/>
  <c r="I39"/>
  <c r="J39" s="1"/>
  <c r="K39"/>
  <c r="L39"/>
  <c r="B40"/>
  <c r="C40"/>
  <c r="D40"/>
  <c r="E40"/>
  <c r="F40"/>
  <c r="G40"/>
  <c r="I40"/>
  <c r="J40" s="1"/>
  <c r="K40"/>
  <c r="L40"/>
  <c r="B41"/>
  <c r="C41"/>
  <c r="D41"/>
  <c r="E41"/>
  <c r="F41"/>
  <c r="G41"/>
  <c r="I41"/>
  <c r="J41" s="1"/>
  <c r="K41"/>
  <c r="L41"/>
  <c r="B44"/>
  <c r="C44"/>
  <c r="D44"/>
  <c r="E44"/>
  <c r="F44"/>
  <c r="G44"/>
  <c r="I44"/>
  <c r="J44" s="1"/>
  <c r="K44"/>
  <c r="L44"/>
  <c r="B48"/>
  <c r="C48"/>
  <c r="D48"/>
  <c r="E48"/>
  <c r="F48"/>
  <c r="G48"/>
  <c r="I48"/>
  <c r="J48" s="1"/>
  <c r="K48"/>
  <c r="L48"/>
  <c r="B49"/>
  <c r="C49"/>
  <c r="D49"/>
  <c r="E49"/>
  <c r="F49"/>
  <c r="G49"/>
  <c r="I49"/>
  <c r="J49" s="1"/>
  <c r="K49"/>
  <c r="L49"/>
  <c r="B50"/>
  <c r="C50"/>
  <c r="D50"/>
  <c r="E50"/>
  <c r="F50"/>
  <c r="G50"/>
  <c r="I50"/>
  <c r="J50" s="1"/>
  <c r="K50"/>
  <c r="L50"/>
  <c r="B51"/>
  <c r="C51"/>
  <c r="D51"/>
  <c r="E51"/>
  <c r="F51"/>
  <c r="G51"/>
  <c r="I51"/>
  <c r="J51" s="1"/>
  <c r="K51"/>
  <c r="L51"/>
  <c r="B10" i="43"/>
  <c r="C10"/>
  <c r="D10"/>
  <c r="E10"/>
  <c r="F10"/>
  <c r="G10"/>
  <c r="I10"/>
  <c r="J10" s="1"/>
  <c r="K10"/>
  <c r="L10"/>
  <c r="B11"/>
  <c r="C11"/>
  <c r="D11"/>
  <c r="E11"/>
  <c r="F11"/>
  <c r="G11"/>
  <c r="I11"/>
  <c r="J11" s="1"/>
  <c r="K11"/>
  <c r="L11"/>
  <c r="B12"/>
  <c r="C12"/>
  <c r="D12"/>
  <c r="E12"/>
  <c r="F12"/>
  <c r="G12"/>
  <c r="I12"/>
  <c r="J12" s="1"/>
  <c r="K12"/>
  <c r="L12"/>
  <c r="B13"/>
  <c r="C13"/>
  <c r="D13"/>
  <c r="E13"/>
  <c r="F13"/>
  <c r="G13"/>
  <c r="I13"/>
  <c r="J13" s="1"/>
  <c r="K13"/>
  <c r="L13"/>
  <c r="B14"/>
  <c r="C14"/>
  <c r="D14"/>
  <c r="E14"/>
  <c r="F14"/>
  <c r="G14"/>
  <c r="I14"/>
  <c r="J14" s="1"/>
  <c r="K14"/>
  <c r="L14"/>
  <c r="B17"/>
  <c r="C17"/>
  <c r="D17"/>
  <c r="E17"/>
  <c r="F17"/>
  <c r="G17"/>
  <c r="I17"/>
  <c r="J17" s="1"/>
  <c r="K17"/>
  <c r="L17"/>
  <c r="B19"/>
  <c r="C19"/>
  <c r="D19"/>
  <c r="E19"/>
  <c r="F19"/>
  <c r="G19"/>
  <c r="I19"/>
  <c r="J19" s="1"/>
  <c r="K19"/>
  <c r="L19"/>
  <c r="B20"/>
  <c r="C20"/>
  <c r="D20"/>
  <c r="E20"/>
  <c r="F20"/>
  <c r="G20"/>
  <c r="I20"/>
  <c r="J20" s="1"/>
  <c r="K20"/>
  <c r="L20"/>
  <c r="B21"/>
  <c r="C21"/>
  <c r="D21"/>
  <c r="E21"/>
  <c r="F21"/>
  <c r="G21"/>
  <c r="I21"/>
  <c r="J21" s="1"/>
  <c r="K21"/>
  <c r="L21"/>
  <c r="B22"/>
  <c r="C22"/>
  <c r="D22"/>
  <c r="E22"/>
  <c r="F22"/>
  <c r="G22"/>
  <c r="I22"/>
  <c r="J22" s="1"/>
  <c r="K22"/>
  <c r="L22"/>
  <c r="B27"/>
  <c r="C27"/>
  <c r="D27"/>
  <c r="E27"/>
  <c r="G27"/>
  <c r="I27"/>
  <c r="K27"/>
  <c r="L27"/>
  <c r="B28"/>
  <c r="C28"/>
  <c r="D28"/>
  <c r="E28"/>
  <c r="F28"/>
  <c r="G28"/>
  <c r="I28"/>
  <c r="J28" s="1"/>
  <c r="K28"/>
  <c r="L28"/>
  <c r="B29"/>
  <c r="C29"/>
  <c r="D29"/>
  <c r="E29"/>
  <c r="G29"/>
  <c r="I29"/>
  <c r="J29" s="1"/>
  <c r="K29"/>
  <c r="L29"/>
  <c r="B33"/>
  <c r="C33"/>
  <c r="D33"/>
  <c r="E33"/>
  <c r="F33"/>
  <c r="G33"/>
  <c r="I33"/>
  <c r="J33" s="1"/>
  <c r="K33"/>
  <c r="L33"/>
  <c r="B34"/>
  <c r="C34"/>
  <c r="D34"/>
  <c r="E34"/>
  <c r="F34"/>
  <c r="G34"/>
  <c r="I34"/>
  <c r="J34" s="1"/>
  <c r="K34"/>
  <c r="L34"/>
  <c r="B35"/>
  <c r="C35"/>
  <c r="D35"/>
  <c r="E35"/>
  <c r="F35"/>
  <c r="G35"/>
  <c r="I35"/>
  <c r="J35" s="1"/>
  <c r="K35"/>
  <c r="L35"/>
  <c r="B39"/>
  <c r="C39"/>
  <c r="D39"/>
  <c r="E39"/>
  <c r="F39"/>
  <c r="G39"/>
  <c r="I39"/>
  <c r="J39" s="1"/>
  <c r="K39"/>
  <c r="L39"/>
  <c r="B40"/>
  <c r="C40"/>
  <c r="D40"/>
  <c r="E40"/>
  <c r="F40"/>
  <c r="G40"/>
  <c r="I40"/>
  <c r="J40" s="1"/>
  <c r="K40"/>
  <c r="L40"/>
  <c r="B41"/>
  <c r="C41"/>
  <c r="D41"/>
  <c r="E41"/>
  <c r="F41"/>
  <c r="G41"/>
  <c r="I41"/>
  <c r="J41" s="1"/>
  <c r="K41"/>
  <c r="L41"/>
  <c r="D43"/>
  <c r="L43"/>
  <c r="B44"/>
  <c r="C44"/>
  <c r="D44"/>
  <c r="E44"/>
  <c r="F44"/>
  <c r="G44"/>
  <c r="I44"/>
  <c r="J44" s="1"/>
  <c r="K44"/>
  <c r="L44"/>
  <c r="B48"/>
  <c r="C48"/>
  <c r="E48"/>
  <c r="F48"/>
  <c r="G48"/>
  <c r="K48"/>
  <c r="M48" s="1"/>
  <c r="C49"/>
  <c r="E49"/>
  <c r="G49"/>
  <c r="I49"/>
  <c r="J49" s="1"/>
  <c r="K49"/>
  <c r="B50"/>
  <c r="C50"/>
  <c r="E50"/>
  <c r="F50"/>
  <c r="G50"/>
  <c r="K50"/>
  <c r="L50"/>
  <c r="B51"/>
  <c r="C51"/>
  <c r="F51"/>
  <c r="I51"/>
  <c r="J51" s="1"/>
  <c r="K51"/>
  <c r="L51"/>
  <c r="H10" i="41"/>
  <c r="J10"/>
  <c r="M10"/>
  <c r="H11"/>
  <c r="J11"/>
  <c r="M11"/>
  <c r="H12"/>
  <c r="J12"/>
  <c r="M12"/>
  <c r="H13"/>
  <c r="J13"/>
  <c r="M13"/>
  <c r="H14"/>
  <c r="J14"/>
  <c r="M14"/>
  <c r="B15"/>
  <c r="B23" s="1"/>
  <c r="C15"/>
  <c r="C23" s="1"/>
  <c r="D15"/>
  <c r="D23" s="1"/>
  <c r="N18" i="29" s="1"/>
  <c r="E15" i="41"/>
  <c r="E23" s="1"/>
  <c r="N19" i="29" s="1"/>
  <c r="F15" i="41"/>
  <c r="F23" s="1"/>
  <c r="N17" i="29" s="1"/>
  <c r="G15" i="41"/>
  <c r="G23" s="1"/>
  <c r="N16" i="29" s="1"/>
  <c r="I15" i="41"/>
  <c r="K15"/>
  <c r="K23" s="1"/>
  <c r="N12" i="29" s="1"/>
  <c r="L15" i="41"/>
  <c r="L23" s="1"/>
  <c r="N14" i="29" s="1"/>
  <c r="H17" i="41"/>
  <c r="J17"/>
  <c r="M17"/>
  <c r="H19"/>
  <c r="J19"/>
  <c r="M19"/>
  <c r="J20"/>
  <c r="M20"/>
  <c r="H21"/>
  <c r="J21"/>
  <c r="M21"/>
  <c r="H22"/>
  <c r="J22"/>
  <c r="M22"/>
  <c r="H27"/>
  <c r="J27"/>
  <c r="M27"/>
  <c r="H28"/>
  <c r="J28"/>
  <c r="M28"/>
  <c r="H29"/>
  <c r="J29"/>
  <c r="M29"/>
  <c r="B30"/>
  <c r="C30"/>
  <c r="D30"/>
  <c r="E30"/>
  <c r="E68" i="40" s="1"/>
  <c r="F30" i="41"/>
  <c r="G30"/>
  <c r="G68" i="40" s="1"/>
  <c r="I30" i="41"/>
  <c r="I68" i="40" s="1"/>
  <c r="K30" i="41"/>
  <c r="L30"/>
  <c r="L68" i="40" s="1"/>
  <c r="H33" i="41"/>
  <c r="J33"/>
  <c r="H34"/>
  <c r="J34"/>
  <c r="M34"/>
  <c r="H35"/>
  <c r="J35"/>
  <c r="M35"/>
  <c r="B36"/>
  <c r="C36"/>
  <c r="E36"/>
  <c r="F36"/>
  <c r="G36"/>
  <c r="I36"/>
  <c r="K36"/>
  <c r="L36"/>
  <c r="H39"/>
  <c r="J39"/>
  <c r="M39"/>
  <c r="H40"/>
  <c r="J40"/>
  <c r="M40"/>
  <c r="H41"/>
  <c r="J41"/>
  <c r="B42"/>
  <c r="C42"/>
  <c r="C45" s="1"/>
  <c r="D42"/>
  <c r="E42"/>
  <c r="F42"/>
  <c r="G42"/>
  <c r="I42"/>
  <c r="K42"/>
  <c r="L42"/>
  <c r="H44"/>
  <c r="J44"/>
  <c r="M44"/>
  <c r="H48"/>
  <c r="J48"/>
  <c r="M48"/>
  <c r="J49"/>
  <c r="H50"/>
  <c r="J50"/>
  <c r="M50"/>
  <c r="J51"/>
  <c r="M51"/>
  <c r="C52"/>
  <c r="E52"/>
  <c r="F52"/>
  <c r="I52"/>
  <c r="K52"/>
  <c r="H57"/>
  <c r="J57"/>
  <c r="M57"/>
  <c r="H58"/>
  <c r="J58"/>
  <c r="M58"/>
  <c r="H59"/>
  <c r="J59"/>
  <c r="M59"/>
  <c r="H61"/>
  <c r="J61"/>
  <c r="M61"/>
  <c r="J62"/>
  <c r="H63"/>
  <c r="J63"/>
  <c r="M63"/>
  <c r="B69"/>
  <c r="D69"/>
  <c r="E69"/>
  <c r="I69"/>
  <c r="J69" s="1"/>
  <c r="K69"/>
  <c r="L69"/>
  <c r="F156"/>
  <c r="B166" i="370"/>
  <c r="C166"/>
  <c r="D166"/>
  <c r="J166"/>
  <c r="K166"/>
  <c r="M166"/>
  <c r="B166" i="378"/>
  <c r="C166"/>
  <c r="D166"/>
  <c r="J166"/>
  <c r="K166"/>
  <c r="M166"/>
  <c r="B11" i="40"/>
  <c r="E11"/>
  <c r="K11"/>
  <c r="L11"/>
  <c r="B15"/>
  <c r="E15"/>
  <c r="G15"/>
  <c r="K15"/>
  <c r="L15"/>
  <c r="B20"/>
  <c r="C20"/>
  <c r="D20"/>
  <c r="E20"/>
  <c r="F20"/>
  <c r="G20"/>
  <c r="I20"/>
  <c r="L20"/>
  <c r="B21"/>
  <c r="C21"/>
  <c r="D21"/>
  <c r="E21"/>
  <c r="F21"/>
  <c r="G21"/>
  <c r="I21"/>
  <c r="L21"/>
  <c r="B25"/>
  <c r="C25"/>
  <c r="D25"/>
  <c r="E25"/>
  <c r="F25"/>
  <c r="G25"/>
  <c r="I25"/>
  <c r="B26"/>
  <c r="C26"/>
  <c r="D26"/>
  <c r="E26"/>
  <c r="F26"/>
  <c r="G26"/>
  <c r="I26"/>
  <c r="L26"/>
  <c r="B166"/>
  <c r="C166"/>
  <c r="D166"/>
  <c r="J166"/>
  <c r="K166"/>
  <c r="M166"/>
  <c r="B11" i="36"/>
  <c r="C11"/>
  <c r="C25" s="1"/>
  <c r="D11"/>
  <c r="E11"/>
  <c r="F11"/>
  <c r="F25" s="1"/>
  <c r="G11"/>
  <c r="I11"/>
  <c r="J11" s="1"/>
  <c r="K11"/>
  <c r="K25" s="1"/>
  <c r="L11"/>
  <c r="B12"/>
  <c r="C12"/>
  <c r="D12"/>
  <c r="E12"/>
  <c r="F12"/>
  <c r="G12"/>
  <c r="I12"/>
  <c r="K12"/>
  <c r="L12"/>
  <c r="C41"/>
  <c r="D41"/>
  <c r="F41"/>
  <c r="G41"/>
  <c r="I41"/>
  <c r="J41" s="1"/>
  <c r="L41"/>
  <c r="F63"/>
  <c r="I63"/>
  <c r="J63" s="1"/>
  <c r="L63"/>
  <c r="J157"/>
  <c r="M157"/>
  <c r="B9" i="34"/>
  <c r="B9" i="79" s="1"/>
  <c r="B9" i="85" s="1"/>
  <c r="B8" i="91" s="1"/>
  <c r="B9" i="97" s="1"/>
  <c r="B10" i="103" s="1"/>
  <c r="B9" i="115" s="1"/>
  <c r="B9" i="133" s="1"/>
  <c r="B9" i="139" s="1"/>
  <c r="B9" i="145" s="1"/>
  <c r="D9" i="34"/>
  <c r="D9" i="79" s="1"/>
  <c r="D9" i="85" s="1"/>
  <c r="D8" i="91" s="1"/>
  <c r="D9" i="97" s="1"/>
  <c r="D10" i="103" s="1"/>
  <c r="D9" i="115" s="1"/>
  <c r="D9" i="133" s="1"/>
  <c r="D9" i="139" s="1"/>
  <c r="D9" i="145" s="1"/>
  <c r="H12" i="34"/>
  <c r="J12"/>
  <c r="L12"/>
  <c r="H13"/>
  <c r="J13"/>
  <c r="L13"/>
  <c r="H14"/>
  <c r="J14"/>
  <c r="L14"/>
  <c r="H16"/>
  <c r="J16"/>
  <c r="L16"/>
  <c r="H20"/>
  <c r="J20"/>
  <c r="L20"/>
  <c r="H21"/>
  <c r="J21"/>
  <c r="L21"/>
  <c r="H22"/>
  <c r="J22"/>
  <c r="L22"/>
  <c r="H27"/>
  <c r="B16" i="324" s="1"/>
  <c r="J27" i="34"/>
  <c r="L27"/>
  <c r="H33"/>
  <c r="J33"/>
  <c r="L33"/>
  <c r="H34"/>
  <c r="J34"/>
  <c r="L34"/>
  <c r="H35"/>
  <c r="J35"/>
  <c r="L35"/>
  <c r="H36"/>
  <c r="J36"/>
  <c r="L36"/>
  <c r="H41"/>
  <c r="J41"/>
  <c r="D40" i="33"/>
  <c r="B50"/>
  <c r="D50"/>
  <c r="T50" s="1"/>
  <c r="F50"/>
  <c r="H50"/>
  <c r="J50"/>
  <c r="L50"/>
  <c r="N10" s="1"/>
  <c r="N50"/>
  <c r="P50"/>
  <c r="B51"/>
  <c r="D51"/>
  <c r="T51" s="1"/>
  <c r="F51"/>
  <c r="H51"/>
  <c r="L11" s="1"/>
  <c r="J51"/>
  <c r="L51"/>
  <c r="N51"/>
  <c r="P51"/>
  <c r="B52"/>
  <c r="B12" s="1"/>
  <c r="D52"/>
  <c r="T52" s="1"/>
  <c r="F52"/>
  <c r="H52"/>
  <c r="J52"/>
  <c r="L52"/>
  <c r="N52"/>
  <c r="P52"/>
  <c r="B54"/>
  <c r="B14" s="1"/>
  <c r="D54"/>
  <c r="T54" s="1"/>
  <c r="F54"/>
  <c r="H54"/>
  <c r="L14" s="1"/>
  <c r="J54"/>
  <c r="L54"/>
  <c r="N54"/>
  <c r="P54"/>
  <c r="P14" s="1"/>
  <c r="B58"/>
  <c r="B18" s="1"/>
  <c r="D58"/>
  <c r="T58" s="1"/>
  <c r="F58"/>
  <c r="H58"/>
  <c r="J58"/>
  <c r="L58"/>
  <c r="N18" s="1"/>
  <c r="N58"/>
  <c r="P58"/>
  <c r="B59"/>
  <c r="B19" s="1"/>
  <c r="D59"/>
  <c r="T59" s="1"/>
  <c r="F59"/>
  <c r="H59"/>
  <c r="J59"/>
  <c r="L59"/>
  <c r="N59"/>
  <c r="P59"/>
  <c r="P19" s="1"/>
  <c r="B60"/>
  <c r="D60"/>
  <c r="T60" s="1"/>
  <c r="F60"/>
  <c r="H60"/>
  <c r="L20" s="1"/>
  <c r="J60"/>
  <c r="L60"/>
  <c r="N20" s="1"/>
  <c r="N60"/>
  <c r="P60"/>
  <c r="P20" s="1"/>
  <c r="O20" s="1"/>
  <c r="B65"/>
  <c r="B25" s="1"/>
  <c r="D65"/>
  <c r="T65" s="1"/>
  <c r="F65"/>
  <c r="D25" s="1"/>
  <c r="H65"/>
  <c r="L25" s="1"/>
  <c r="J65"/>
  <c r="L65"/>
  <c r="N65"/>
  <c r="P65"/>
  <c r="B71"/>
  <c r="B31" s="1"/>
  <c r="D71"/>
  <c r="T71" s="1"/>
  <c r="F71"/>
  <c r="H71"/>
  <c r="J71"/>
  <c r="L71"/>
  <c r="N31" s="1"/>
  <c r="N71"/>
  <c r="P71"/>
  <c r="B72"/>
  <c r="B32" s="1"/>
  <c r="D72"/>
  <c r="T72" s="1"/>
  <c r="F72"/>
  <c r="H72"/>
  <c r="L32" s="1"/>
  <c r="J72"/>
  <c r="L72"/>
  <c r="N72"/>
  <c r="P72"/>
  <c r="P32" s="1"/>
  <c r="B73"/>
  <c r="D73"/>
  <c r="T73" s="1"/>
  <c r="F73"/>
  <c r="H73"/>
  <c r="L33" s="1"/>
  <c r="J73"/>
  <c r="L73"/>
  <c r="N73"/>
  <c r="P73"/>
  <c r="B74"/>
  <c r="B34" s="1"/>
  <c r="D74"/>
  <c r="T74" s="1"/>
  <c r="F74"/>
  <c r="H74"/>
  <c r="L34" s="1"/>
  <c r="J74"/>
  <c r="L74"/>
  <c r="N34" s="1"/>
  <c r="N74"/>
  <c r="P74"/>
  <c r="P34" s="1"/>
  <c r="B79"/>
  <c r="B39" s="1"/>
  <c r="D79"/>
  <c r="T79" s="1"/>
  <c r="F79"/>
  <c r="H79"/>
  <c r="J79"/>
  <c r="L79"/>
  <c r="N39" s="1"/>
  <c r="N79"/>
  <c r="P79"/>
  <c r="H10" i="32"/>
  <c r="I10"/>
  <c r="H11"/>
  <c r="I11"/>
  <c r="H12"/>
  <c r="I12"/>
  <c r="H13"/>
  <c r="I13"/>
  <c r="H14"/>
  <c r="I14"/>
  <c r="J14" s="1"/>
  <c r="H17"/>
  <c r="I17"/>
  <c r="J17" s="1"/>
  <c r="H19"/>
  <c r="I19"/>
  <c r="H20"/>
  <c r="I20"/>
  <c r="J20" s="1"/>
  <c r="H21"/>
  <c r="I21"/>
  <c r="H22"/>
  <c r="I22"/>
  <c r="H27"/>
  <c r="I27"/>
  <c r="H28"/>
  <c r="I28"/>
  <c r="H29"/>
  <c r="I29"/>
  <c r="H30"/>
  <c r="I30"/>
  <c r="H33"/>
  <c r="I33"/>
  <c r="H34"/>
  <c r="I34"/>
  <c r="H35"/>
  <c r="I35"/>
  <c r="H39"/>
  <c r="I39"/>
  <c r="H40"/>
  <c r="I40"/>
  <c r="H41"/>
  <c r="I41"/>
  <c r="H42"/>
  <c r="H44"/>
  <c r="I44"/>
  <c r="H48"/>
  <c r="H49"/>
  <c r="H50"/>
  <c r="H51"/>
  <c r="B56"/>
  <c r="H56"/>
  <c r="I6" i="30"/>
  <c r="I6" i="75" s="1"/>
  <c r="I6" i="81" s="1"/>
  <c r="I6" i="87" s="1"/>
  <c r="I6" i="93" s="1"/>
  <c r="I6" i="99" s="1"/>
  <c r="B7" i="30"/>
  <c r="B7" i="75" s="1"/>
  <c r="B7" i="81" s="1"/>
  <c r="B7" i="87" s="1"/>
  <c r="B7" i="93" s="1"/>
  <c r="B7" i="99" s="1"/>
  <c r="B7" i="111" s="1"/>
  <c r="B7" i="129" s="1"/>
  <c r="B7" i="135" s="1"/>
  <c r="B7" i="141" s="1"/>
  <c r="D7" i="30"/>
  <c r="D7" i="75" s="1"/>
  <c r="D7" i="81" s="1"/>
  <c r="D7" i="87" s="1"/>
  <c r="D7" i="93" s="1"/>
  <c r="D7" i="99" s="1"/>
  <c r="D7" i="111" s="1"/>
  <c r="D7" i="129" s="1"/>
  <c r="D7" i="135" s="1"/>
  <c r="D7" i="141" s="1"/>
  <c r="E7" i="30"/>
  <c r="F7"/>
  <c r="G7"/>
  <c r="H7"/>
  <c r="H7" i="75" s="1"/>
  <c r="H7" i="81" s="1"/>
  <c r="H7" i="87" s="1"/>
  <c r="H7" i="93" s="1"/>
  <c r="H7" i="99" s="1"/>
  <c r="H7" i="111" s="1"/>
  <c r="H7" i="129" s="1"/>
  <c r="H7" i="135" s="1"/>
  <c r="H7" i="141" s="1"/>
  <c r="I7" i="30"/>
  <c r="I7" i="75" s="1"/>
  <c r="I7" i="81" s="1"/>
  <c r="I7" i="87" s="1"/>
  <c r="I7" i="93" s="1"/>
  <c r="I7" i="99" s="1"/>
  <c r="I7" i="111" s="1"/>
  <c r="I7" i="129" s="1"/>
  <c r="I7" i="135" s="1"/>
  <c r="I7" i="141" s="1"/>
  <c r="J7" i="30"/>
  <c r="K7"/>
  <c r="G9" i="34" s="1"/>
  <c r="L7" i="30"/>
  <c r="M7"/>
  <c r="I9" i="34" s="1"/>
  <c r="N7" i="30"/>
  <c r="J9" i="34" s="1"/>
  <c r="J9" i="79" s="1"/>
  <c r="J9" i="85" s="1"/>
  <c r="J8" i="91" s="1"/>
  <c r="J9" i="97" s="1"/>
  <c r="J10" i="103" s="1"/>
  <c r="J9" i="115" s="1"/>
  <c r="J9" i="133" s="1"/>
  <c r="J9" i="139" s="1"/>
  <c r="J9" i="145" s="1"/>
  <c r="O7" i="30"/>
  <c r="K9" i="34" s="1"/>
  <c r="P7" i="30"/>
  <c r="P7" i="75" s="1"/>
  <c r="P7" i="81" s="1"/>
  <c r="P7" i="87" s="1"/>
  <c r="P7" i="93" s="1"/>
  <c r="P7" i="99" s="1"/>
  <c r="B10" i="30"/>
  <c r="B9" i="31" s="1"/>
  <c r="D10" i="30"/>
  <c r="F10"/>
  <c r="H10"/>
  <c r="J10"/>
  <c r="I10" s="1"/>
  <c r="L10"/>
  <c r="N10"/>
  <c r="N9" i="31" s="1"/>
  <c r="P10" i="30"/>
  <c r="P9" i="31" s="1"/>
  <c r="B11" i="30"/>
  <c r="B10" i="31" s="1"/>
  <c r="D11" i="30"/>
  <c r="F11"/>
  <c r="H11"/>
  <c r="J11"/>
  <c r="I11" s="1"/>
  <c r="L11"/>
  <c r="L10" i="31" s="1"/>
  <c r="N11" i="30"/>
  <c r="P11"/>
  <c r="P10" i="31" s="1"/>
  <c r="B12" i="30"/>
  <c r="B11" i="31" s="1"/>
  <c r="D12" i="30"/>
  <c r="F12"/>
  <c r="H12"/>
  <c r="J12"/>
  <c r="I12" s="1"/>
  <c r="L12"/>
  <c r="L11" i="31" s="1"/>
  <c r="N12" i="30"/>
  <c r="N11" i="31" s="1"/>
  <c r="P12" i="30"/>
  <c r="P11" i="31" s="1"/>
  <c r="B13" i="30"/>
  <c r="B12" i="31" s="1"/>
  <c r="D13" i="30"/>
  <c r="F13"/>
  <c r="H13"/>
  <c r="J13"/>
  <c r="L13"/>
  <c r="L12" i="31" s="1"/>
  <c r="N13" i="30"/>
  <c r="N12" i="31" s="1"/>
  <c r="P13" i="30"/>
  <c r="P12" i="31" s="1"/>
  <c r="B14" i="30"/>
  <c r="B13" i="31" s="1"/>
  <c r="D14" i="30"/>
  <c r="F14"/>
  <c r="H14"/>
  <c r="J14"/>
  <c r="L14"/>
  <c r="N14"/>
  <c r="N13" i="31" s="1"/>
  <c r="P14" i="30"/>
  <c r="B17"/>
  <c r="D17"/>
  <c r="F17"/>
  <c r="H17"/>
  <c r="J17"/>
  <c r="I73" s="1"/>
  <c r="L17"/>
  <c r="N17"/>
  <c r="P17"/>
  <c r="B19"/>
  <c r="B18" i="31" s="1"/>
  <c r="D19" i="30"/>
  <c r="D18" i="31" s="1"/>
  <c r="F19" i="30"/>
  <c r="H19"/>
  <c r="J19"/>
  <c r="I19" s="1"/>
  <c r="L19"/>
  <c r="N19"/>
  <c r="N18" i="31" s="1"/>
  <c r="P19" i="30"/>
  <c r="P18" i="31" s="1"/>
  <c r="B20" i="30"/>
  <c r="D20"/>
  <c r="F20"/>
  <c r="H20"/>
  <c r="J20"/>
  <c r="I20" s="1"/>
  <c r="L20"/>
  <c r="L19" i="31" s="1"/>
  <c r="N20" i="30"/>
  <c r="P20"/>
  <c r="P19" i="31" s="1"/>
  <c r="B21" i="30"/>
  <c r="B20" i="31" s="1"/>
  <c r="D21" i="30"/>
  <c r="F21"/>
  <c r="H21"/>
  <c r="J21"/>
  <c r="L21"/>
  <c r="N21"/>
  <c r="P21"/>
  <c r="P20" i="31" s="1"/>
  <c r="B22" i="30"/>
  <c r="B21" i="31" s="1"/>
  <c r="D22" i="30"/>
  <c r="F22"/>
  <c r="H22"/>
  <c r="J22"/>
  <c r="I22" s="1"/>
  <c r="L22"/>
  <c r="L21" i="31" s="1"/>
  <c r="N22" i="30"/>
  <c r="P22"/>
  <c r="P21" i="31" s="1"/>
  <c r="B27" i="30"/>
  <c r="D27"/>
  <c r="D26" i="31" s="1"/>
  <c r="F27" i="30"/>
  <c r="H27"/>
  <c r="J27"/>
  <c r="I27" s="1"/>
  <c r="L27"/>
  <c r="L26" i="31" s="1"/>
  <c r="N27" i="30"/>
  <c r="N26" i="31" s="1"/>
  <c r="P27" i="30"/>
  <c r="P26" i="31" s="1"/>
  <c r="B28" i="30"/>
  <c r="B27" i="31" s="1"/>
  <c r="D28" i="30"/>
  <c r="F28"/>
  <c r="H28"/>
  <c r="J28"/>
  <c r="I28" s="1"/>
  <c r="L28"/>
  <c r="N28"/>
  <c r="P28"/>
  <c r="B29"/>
  <c r="B28" i="31" s="1"/>
  <c r="D29" i="30"/>
  <c r="F29"/>
  <c r="H29"/>
  <c r="J29"/>
  <c r="I29" s="1"/>
  <c r="L29"/>
  <c r="L28" i="31" s="1"/>
  <c r="N29" i="30"/>
  <c r="N28" i="31" s="1"/>
  <c r="P29" i="30"/>
  <c r="P28" i="31" s="1"/>
  <c r="B33" i="30"/>
  <c r="D33"/>
  <c r="D32" i="31" s="1"/>
  <c r="F33" i="30"/>
  <c r="H33"/>
  <c r="J33"/>
  <c r="J32" i="31" s="1"/>
  <c r="L33" i="30"/>
  <c r="N33"/>
  <c r="P33"/>
  <c r="P32" i="31" s="1"/>
  <c r="B34" i="30"/>
  <c r="B33" i="31" s="1"/>
  <c r="D34" i="30"/>
  <c r="D33" i="31" s="1"/>
  <c r="F34" i="30"/>
  <c r="F33" i="31" s="1"/>
  <c r="H34" i="30"/>
  <c r="H33" i="31" s="1"/>
  <c r="J34" i="30"/>
  <c r="J33" i="31" s="1"/>
  <c r="L34" i="30"/>
  <c r="L33" i="31" s="1"/>
  <c r="N34" i="30"/>
  <c r="N33" i="31" s="1"/>
  <c r="P34" i="30"/>
  <c r="P33" i="31" s="1"/>
  <c r="B35" i="30"/>
  <c r="B34" i="31" s="1"/>
  <c r="D35" i="30"/>
  <c r="F35"/>
  <c r="H35"/>
  <c r="J35"/>
  <c r="I35" s="1"/>
  <c r="L35"/>
  <c r="L34" i="31" s="1"/>
  <c r="N35" i="30"/>
  <c r="N34" i="31" s="1"/>
  <c r="P35" i="30"/>
  <c r="P34" i="31" s="1"/>
  <c r="P35" s="1"/>
  <c r="B39" i="30"/>
  <c r="B38" i="31" s="1"/>
  <c r="D39" i="30"/>
  <c r="F39"/>
  <c r="H39"/>
  <c r="J39"/>
  <c r="I39" s="1"/>
  <c r="L39"/>
  <c r="N39"/>
  <c r="P39"/>
  <c r="P38" i="31" s="1"/>
  <c r="B40" i="30"/>
  <c r="B39" i="31" s="1"/>
  <c r="D40" i="30"/>
  <c r="F40"/>
  <c r="H40"/>
  <c r="J40"/>
  <c r="I40" s="1"/>
  <c r="L40"/>
  <c r="L39" i="31" s="1"/>
  <c r="N40" i="30"/>
  <c r="N39" i="31" s="1"/>
  <c r="P40" i="30"/>
  <c r="P39" i="31" s="1"/>
  <c r="B41" i="30"/>
  <c r="B40" i="31" s="1"/>
  <c r="D41" i="30"/>
  <c r="F41"/>
  <c r="H41"/>
  <c r="J41"/>
  <c r="L41"/>
  <c r="L40" i="31" s="1"/>
  <c r="N41" i="30"/>
  <c r="N40" i="31" s="1"/>
  <c r="P41" i="30"/>
  <c r="P40" i="31" s="1"/>
  <c r="P41" s="1"/>
  <c r="B44" i="30"/>
  <c r="B43" i="31" s="1"/>
  <c r="D44" i="30"/>
  <c r="F44"/>
  <c r="H44"/>
  <c r="J44"/>
  <c r="I44" s="1"/>
  <c r="L44"/>
  <c r="N44"/>
  <c r="P44"/>
  <c r="P43" i="31" s="1"/>
  <c r="B48" i="30"/>
  <c r="B47" i="31" s="1"/>
  <c r="D48" i="30"/>
  <c r="F48"/>
  <c r="H48"/>
  <c r="J48"/>
  <c r="L48"/>
  <c r="N48"/>
  <c r="N47" i="31" s="1"/>
  <c r="P48" i="30"/>
  <c r="D49"/>
  <c r="J49"/>
  <c r="L49"/>
  <c r="L48" i="31" s="1"/>
  <c r="N49" i="30"/>
  <c r="P49"/>
  <c r="B50"/>
  <c r="B49" i="31" s="1"/>
  <c r="D50" i="30"/>
  <c r="F50"/>
  <c r="H50"/>
  <c r="J50"/>
  <c r="I50" s="1"/>
  <c r="L50"/>
  <c r="L49" i="31" s="1"/>
  <c r="N50" i="30"/>
  <c r="N49" i="31" s="1"/>
  <c r="P50" i="30"/>
  <c r="B51"/>
  <c r="B50" i="31" s="1"/>
  <c r="D51" i="30"/>
  <c r="F51"/>
  <c r="J51"/>
  <c r="L51"/>
  <c r="L50" i="31" s="1"/>
  <c r="N51" i="30"/>
  <c r="N50" i="31" s="1"/>
  <c r="P51" i="30"/>
  <c r="B57"/>
  <c r="D57"/>
  <c r="F57"/>
  <c r="H57"/>
  <c r="J57"/>
  <c r="L57"/>
  <c r="N57"/>
  <c r="P57"/>
  <c r="B58"/>
  <c r="D58"/>
  <c r="F58"/>
  <c r="H58"/>
  <c r="J58"/>
  <c r="L58"/>
  <c r="N58"/>
  <c r="P58"/>
  <c r="B59"/>
  <c r="D59"/>
  <c r="F59"/>
  <c r="H59"/>
  <c r="J59"/>
  <c r="L59"/>
  <c r="N59"/>
  <c r="P59"/>
  <c r="B61"/>
  <c r="D61"/>
  <c r="F61"/>
  <c r="H61"/>
  <c r="J61"/>
  <c r="I61" s="1"/>
  <c r="L61"/>
  <c r="N61"/>
  <c r="P61"/>
  <c r="B62"/>
  <c r="D62"/>
  <c r="F62"/>
  <c r="J62"/>
  <c r="L62"/>
  <c r="N62"/>
  <c r="P62"/>
  <c r="B63"/>
  <c r="D63"/>
  <c r="F63"/>
  <c r="H63"/>
  <c r="J63"/>
  <c r="I63" s="1"/>
  <c r="N63"/>
  <c r="P63"/>
  <c r="K68"/>
  <c r="M68"/>
  <c r="O68"/>
  <c r="E15" i="29"/>
  <c r="B16"/>
  <c r="B19"/>
  <c r="E20"/>
  <c r="B22"/>
  <c r="E22"/>
  <c r="B39"/>
  <c r="E39"/>
  <c r="B40"/>
  <c r="E40"/>
  <c r="E44"/>
  <c r="B45"/>
  <c r="B46"/>
  <c r="E46"/>
  <c r="B55"/>
  <c r="E55"/>
  <c r="B56"/>
  <c r="E56"/>
  <c r="B57"/>
  <c r="E57"/>
  <c r="B58"/>
  <c r="E58"/>
  <c r="B59"/>
  <c r="E59"/>
  <c r="B60"/>
  <c r="E60"/>
  <c r="B61"/>
  <c r="E61"/>
  <c r="B62"/>
  <c r="E62"/>
  <c r="B63"/>
  <c r="E63"/>
  <c r="B64"/>
  <c r="E64"/>
  <c r="B65"/>
  <c r="E65"/>
  <c r="B66"/>
  <c r="E66"/>
  <c r="B67"/>
  <c r="E67"/>
  <c r="A25" i="343"/>
  <c r="A7" i="234"/>
  <c r="A7" i="183" s="1"/>
  <c r="N7" i="29" s="1"/>
  <c r="A26" i="183"/>
  <c r="N27" i="29" s="1"/>
  <c r="G40" i="234"/>
  <c r="K40"/>
  <c r="A43"/>
  <c r="A45" i="183" s="1"/>
  <c r="N49" i="29" s="1"/>
  <c r="G58" i="234"/>
  <c r="K58"/>
  <c r="N11" i="182"/>
  <c r="N13"/>
  <c r="N14"/>
  <c r="N18"/>
  <c r="N16"/>
  <c r="N15"/>
  <c r="N41"/>
  <c r="O30" s="1"/>
  <c r="F59"/>
  <c r="G53" s="1"/>
  <c r="N59"/>
  <c r="P26" i="28"/>
  <c r="O60"/>
  <c r="O62"/>
  <c r="O67"/>
  <c r="O69"/>
  <c r="O71"/>
  <c r="O77"/>
  <c r="O78"/>
  <c r="N80"/>
  <c r="K10" i="316"/>
  <c r="K11"/>
  <c r="K12"/>
  <c r="B13"/>
  <c r="K13" s="1"/>
  <c r="K14"/>
  <c r="K15"/>
  <c r="B16"/>
  <c r="E16"/>
  <c r="F16"/>
  <c r="G16"/>
  <c r="H16"/>
  <c r="K17"/>
  <c r="K18"/>
  <c r="K19"/>
  <c r="K20"/>
  <c r="K21"/>
  <c r="K22"/>
  <c r="K23"/>
  <c r="K24"/>
  <c r="K25"/>
  <c r="K26"/>
  <c r="K27"/>
  <c r="B28"/>
  <c r="E28"/>
  <c r="F28"/>
  <c r="F73" s="1"/>
  <c r="G28"/>
  <c r="K29"/>
  <c r="K30"/>
  <c r="K31"/>
  <c r="K32"/>
  <c r="K33"/>
  <c r="K34"/>
  <c r="K35"/>
  <c r="K36"/>
  <c r="K37"/>
  <c r="K38"/>
  <c r="K39"/>
  <c r="B40"/>
  <c r="E40"/>
  <c r="K41"/>
  <c r="K42"/>
  <c r="K43"/>
  <c r="K44"/>
  <c r="K45"/>
  <c r="K46"/>
  <c r="K47"/>
  <c r="K48"/>
  <c r="K49"/>
  <c r="K50"/>
  <c r="K51"/>
  <c r="K52"/>
  <c r="K53"/>
  <c r="K54"/>
  <c r="K55"/>
  <c r="K56"/>
  <c r="K57"/>
  <c r="K58"/>
  <c r="K59"/>
  <c r="K60"/>
  <c r="K61"/>
  <c r="K62"/>
  <c r="K63"/>
  <c r="K64"/>
  <c r="K65"/>
  <c r="K66"/>
  <c r="K67"/>
  <c r="K68"/>
  <c r="K69"/>
  <c r="K70"/>
  <c r="K71"/>
  <c r="K72"/>
  <c r="C73"/>
  <c r="D73"/>
  <c r="I73"/>
  <c r="J73"/>
  <c r="K77"/>
  <c r="K78"/>
  <c r="K79"/>
  <c r="B80"/>
  <c r="E80"/>
  <c r="E103" s="1"/>
  <c r="F80"/>
  <c r="F103" s="1"/>
  <c r="K81"/>
  <c r="K82"/>
  <c r="B83"/>
  <c r="K83" s="1"/>
  <c r="K84"/>
  <c r="K85"/>
  <c r="K86"/>
  <c r="K87"/>
  <c r="K88"/>
  <c r="K89"/>
  <c r="K90"/>
  <c r="K91"/>
  <c r="K92"/>
  <c r="K93"/>
  <c r="K94"/>
  <c r="K95"/>
  <c r="K96"/>
  <c r="K97"/>
  <c r="K98"/>
  <c r="K99"/>
  <c r="K100"/>
  <c r="K101"/>
  <c r="K102"/>
  <c r="C103"/>
  <c r="D103"/>
  <c r="G103"/>
  <c r="H103"/>
  <c r="I103"/>
  <c r="J103"/>
  <c r="K10" i="315"/>
  <c r="K11"/>
  <c r="K12"/>
  <c r="B13"/>
  <c r="K13" s="1"/>
  <c r="K14"/>
  <c r="K15"/>
  <c r="B16"/>
  <c r="E16"/>
  <c r="F16"/>
  <c r="G16"/>
  <c r="H16"/>
  <c r="K17"/>
  <c r="K18"/>
  <c r="K19"/>
  <c r="K20"/>
  <c r="K21"/>
  <c r="K22"/>
  <c r="K23"/>
  <c r="K24"/>
  <c r="K25"/>
  <c r="K26"/>
  <c r="K27"/>
  <c r="B28"/>
  <c r="E28"/>
  <c r="F28"/>
  <c r="G28"/>
  <c r="K29"/>
  <c r="K30"/>
  <c r="K31"/>
  <c r="K32"/>
  <c r="K33"/>
  <c r="K34"/>
  <c r="K35"/>
  <c r="K36"/>
  <c r="K37"/>
  <c r="K38"/>
  <c r="K39"/>
  <c r="B40"/>
  <c r="E40"/>
  <c r="K41"/>
  <c r="K42"/>
  <c r="K43"/>
  <c r="K44"/>
  <c r="K45"/>
  <c r="K46"/>
  <c r="K47"/>
  <c r="K48"/>
  <c r="K49"/>
  <c r="K50"/>
  <c r="K51"/>
  <c r="K52"/>
  <c r="K53"/>
  <c r="K54"/>
  <c r="K55"/>
  <c r="K56"/>
  <c r="K57"/>
  <c r="K58"/>
  <c r="K59"/>
  <c r="K60"/>
  <c r="K61"/>
  <c r="K62"/>
  <c r="K63"/>
  <c r="K64"/>
  <c r="K65"/>
  <c r="K66"/>
  <c r="K67"/>
  <c r="K68"/>
  <c r="K69"/>
  <c r="K70"/>
  <c r="K71"/>
  <c r="K72"/>
  <c r="K73"/>
  <c r="C74"/>
  <c r="D74"/>
  <c r="I74"/>
  <c r="J74"/>
  <c r="K78"/>
  <c r="K79"/>
  <c r="K80"/>
  <c r="B81"/>
  <c r="E81"/>
  <c r="F81"/>
  <c r="F104" s="1"/>
  <c r="K82"/>
  <c r="K83"/>
  <c r="B84"/>
  <c r="K84" s="1"/>
  <c r="K85"/>
  <c r="K86"/>
  <c r="K87"/>
  <c r="K88"/>
  <c r="K89"/>
  <c r="K90"/>
  <c r="K91"/>
  <c r="K92"/>
  <c r="K93"/>
  <c r="K94"/>
  <c r="K95"/>
  <c r="K96"/>
  <c r="K97"/>
  <c r="K98"/>
  <c r="K99"/>
  <c r="K100"/>
  <c r="K101"/>
  <c r="K102"/>
  <c r="K103"/>
  <c r="C104"/>
  <c r="D104"/>
  <c r="D155" s="1"/>
  <c r="E104"/>
  <c r="G104"/>
  <c r="H104"/>
  <c r="I104"/>
  <c r="J104"/>
  <c r="K10" i="314"/>
  <c r="K11"/>
  <c r="K12"/>
  <c r="B13"/>
  <c r="K13" s="1"/>
  <c r="K14"/>
  <c r="K15"/>
  <c r="B16"/>
  <c r="E16"/>
  <c r="F74"/>
  <c r="G16"/>
  <c r="H16"/>
  <c r="K17"/>
  <c r="K18"/>
  <c r="K19"/>
  <c r="K20"/>
  <c r="K21"/>
  <c r="K22"/>
  <c r="K23"/>
  <c r="K24"/>
  <c r="K25"/>
  <c r="K26"/>
  <c r="K27"/>
  <c r="B28"/>
  <c r="E28"/>
  <c r="G28"/>
  <c r="K29"/>
  <c r="K30"/>
  <c r="K31"/>
  <c r="K32"/>
  <c r="K33"/>
  <c r="K34"/>
  <c r="K35"/>
  <c r="K36"/>
  <c r="K37"/>
  <c r="K38"/>
  <c r="K39"/>
  <c r="B40"/>
  <c r="E40"/>
  <c r="K41"/>
  <c r="K42"/>
  <c r="K43"/>
  <c r="K44"/>
  <c r="K45"/>
  <c r="K46"/>
  <c r="K47"/>
  <c r="K48"/>
  <c r="K49"/>
  <c r="K50"/>
  <c r="K51"/>
  <c r="K52"/>
  <c r="K53"/>
  <c r="K54"/>
  <c r="K55"/>
  <c r="K56"/>
  <c r="K57"/>
  <c r="K58"/>
  <c r="K59"/>
  <c r="K60"/>
  <c r="K61"/>
  <c r="K62"/>
  <c r="K63"/>
  <c r="K64"/>
  <c r="K65"/>
  <c r="K66"/>
  <c r="K67"/>
  <c r="K68"/>
  <c r="K69"/>
  <c r="K70"/>
  <c r="K71"/>
  <c r="K72"/>
  <c r="K73"/>
  <c r="C74"/>
  <c r="D74"/>
  <c r="I74"/>
  <c r="J74"/>
  <c r="K78"/>
  <c r="K79"/>
  <c r="K80"/>
  <c r="B81"/>
  <c r="E81"/>
  <c r="E104" s="1"/>
  <c r="F81"/>
  <c r="F104" s="1"/>
  <c r="K82"/>
  <c r="K83"/>
  <c r="B84"/>
  <c r="K84" s="1"/>
  <c r="K85"/>
  <c r="K86"/>
  <c r="K87"/>
  <c r="K88"/>
  <c r="K89"/>
  <c r="K90"/>
  <c r="K91"/>
  <c r="K92"/>
  <c r="K93"/>
  <c r="K94"/>
  <c r="K95"/>
  <c r="K96"/>
  <c r="K97"/>
  <c r="K98"/>
  <c r="K99"/>
  <c r="K100"/>
  <c r="K101"/>
  <c r="K102"/>
  <c r="K103"/>
  <c r="C104"/>
  <c r="D104"/>
  <c r="D155" s="1"/>
  <c r="G104"/>
  <c r="H104"/>
  <c r="I104"/>
  <c r="J104"/>
  <c r="K7" i="23"/>
  <c r="K8"/>
  <c r="K9"/>
  <c r="B10"/>
  <c r="C10"/>
  <c r="D10"/>
  <c r="E10"/>
  <c r="F10"/>
  <c r="G10"/>
  <c r="H10"/>
  <c r="I10"/>
  <c r="J10"/>
  <c r="K20"/>
  <c r="K21"/>
  <c r="K22"/>
  <c r="B23"/>
  <c r="D23"/>
  <c r="E23"/>
  <c r="F23"/>
  <c r="G23"/>
  <c r="B81"/>
  <c r="C81"/>
  <c r="D81"/>
  <c r="E81"/>
  <c r="F81"/>
  <c r="G81"/>
  <c r="H81"/>
  <c r="I81"/>
  <c r="J81"/>
  <c r="B82"/>
  <c r="C82"/>
  <c r="D82"/>
  <c r="E82"/>
  <c r="F82"/>
  <c r="G82"/>
  <c r="H82"/>
  <c r="I82"/>
  <c r="J82"/>
  <c r="B83"/>
  <c r="C83"/>
  <c r="D83"/>
  <c r="E83"/>
  <c r="F83"/>
  <c r="G83"/>
  <c r="H83"/>
  <c r="I83"/>
  <c r="J83"/>
  <c r="K7" i="22"/>
  <c r="K8"/>
  <c r="K9"/>
  <c r="B10"/>
  <c r="C10"/>
  <c r="D10"/>
  <c r="E10"/>
  <c r="F10"/>
  <c r="G10"/>
  <c r="H10"/>
  <c r="I10"/>
  <c r="J10"/>
  <c r="D9" i="21"/>
  <c r="F9"/>
  <c r="J9"/>
  <c r="L9"/>
  <c r="P9"/>
  <c r="R9"/>
  <c r="T9"/>
  <c r="V9"/>
  <c r="Y9"/>
  <c r="AA9"/>
  <c r="AB9"/>
  <c r="D11"/>
  <c r="F11"/>
  <c r="H11"/>
  <c r="J11"/>
  <c r="L11"/>
  <c r="P11"/>
  <c r="R11"/>
  <c r="T11"/>
  <c r="V11"/>
  <c r="Y11"/>
  <c r="AA11"/>
  <c r="AB11"/>
  <c r="D13"/>
  <c r="F13"/>
  <c r="H13"/>
  <c r="J13"/>
  <c r="L13"/>
  <c r="P13"/>
  <c r="R13"/>
  <c r="T13"/>
  <c r="V13"/>
  <c r="Y13"/>
  <c r="AA13"/>
  <c r="AB13"/>
  <c r="D15"/>
  <c r="F15"/>
  <c r="H15"/>
  <c r="J15"/>
  <c r="L15"/>
  <c r="P15"/>
  <c r="R15"/>
  <c r="T15"/>
  <c r="V15"/>
  <c r="Y15"/>
  <c r="AA15"/>
  <c r="AB15"/>
  <c r="B17"/>
  <c r="D17"/>
  <c r="F17"/>
  <c r="H17"/>
  <c r="L17"/>
  <c r="P17"/>
  <c r="R17"/>
  <c r="T17"/>
  <c r="V17"/>
  <c r="Y17"/>
  <c r="AA17"/>
  <c r="AB17"/>
  <c r="AB19"/>
  <c r="AB21"/>
  <c r="AB23"/>
  <c r="H25"/>
  <c r="L25"/>
  <c r="P25"/>
  <c r="R25"/>
  <c r="AA25"/>
  <c r="B27"/>
  <c r="D27"/>
  <c r="F27"/>
  <c r="H27"/>
  <c r="J27"/>
  <c r="L27"/>
  <c r="P27"/>
  <c r="R27"/>
  <c r="T27"/>
  <c r="V27"/>
  <c r="Y27"/>
  <c r="AA27"/>
  <c r="B29"/>
  <c r="D29"/>
  <c r="F29"/>
  <c r="H29"/>
  <c r="L29"/>
  <c r="P29"/>
  <c r="R29"/>
  <c r="T29"/>
  <c r="V29"/>
  <c r="W29"/>
  <c r="Y29"/>
  <c r="B31"/>
  <c r="D31"/>
  <c r="F31"/>
  <c r="H31"/>
  <c r="J31"/>
  <c r="L31"/>
  <c r="P31"/>
  <c r="R31"/>
  <c r="T31"/>
  <c r="V31"/>
  <c r="Y31"/>
  <c r="AA31"/>
  <c r="B33"/>
  <c r="D33"/>
  <c r="F33"/>
  <c r="H33"/>
  <c r="J33"/>
  <c r="L33"/>
  <c r="P33"/>
  <c r="R33"/>
  <c r="T33"/>
  <c r="V33"/>
  <c r="Y33"/>
  <c r="F35"/>
  <c r="H35"/>
  <c r="J35"/>
  <c r="L35"/>
  <c r="P35"/>
  <c r="R35"/>
  <c r="T35"/>
  <c r="V35"/>
  <c r="Y35"/>
  <c r="AA35"/>
  <c r="B37"/>
  <c r="F37"/>
  <c r="H37"/>
  <c r="J37"/>
  <c r="L37"/>
  <c r="N37"/>
  <c r="P37"/>
  <c r="R37"/>
  <c r="T37"/>
  <c r="V37"/>
  <c r="Y37"/>
  <c r="AA37"/>
  <c r="B39"/>
  <c r="F39"/>
  <c r="H39"/>
  <c r="J39"/>
  <c r="L39"/>
  <c r="P39"/>
  <c r="R39"/>
  <c r="T39"/>
  <c r="V39"/>
  <c r="Y39"/>
  <c r="AA39"/>
  <c r="B41"/>
  <c r="F41"/>
  <c r="H41"/>
  <c r="J41"/>
  <c r="L41"/>
  <c r="N41"/>
  <c r="P41"/>
  <c r="R41"/>
  <c r="T41"/>
  <c r="V41"/>
  <c r="Y41"/>
  <c r="AA41"/>
  <c r="B43"/>
  <c r="F43"/>
  <c r="H43"/>
  <c r="J43"/>
  <c r="L43"/>
  <c r="N43"/>
  <c r="P43"/>
  <c r="R43"/>
  <c r="T43"/>
  <c r="V43"/>
  <c r="Y43"/>
  <c r="AA43"/>
  <c r="B45"/>
  <c r="F45"/>
  <c r="H45"/>
  <c r="J45"/>
  <c r="L45"/>
  <c r="N45"/>
  <c r="P45"/>
  <c r="R45"/>
  <c r="T45"/>
  <c r="V45"/>
  <c r="Y45"/>
  <c r="AA45"/>
  <c r="AB45"/>
  <c r="B47"/>
  <c r="F47"/>
  <c r="H47"/>
  <c r="J47"/>
  <c r="L47"/>
  <c r="N47"/>
  <c r="P47"/>
  <c r="R47"/>
  <c r="T47"/>
  <c r="V47"/>
  <c r="Y47"/>
  <c r="AB47"/>
  <c r="B49"/>
  <c r="F49"/>
  <c r="H49"/>
  <c r="J49"/>
  <c r="L49"/>
  <c r="N49"/>
  <c r="P49"/>
  <c r="R49"/>
  <c r="T49"/>
  <c r="V49"/>
  <c r="AA49"/>
  <c r="AB49"/>
  <c r="B51"/>
  <c r="F51"/>
  <c r="H51"/>
  <c r="J51"/>
  <c r="L51"/>
  <c r="N51"/>
  <c r="P51"/>
  <c r="R51"/>
  <c r="T51"/>
  <c r="V51"/>
  <c r="Y51"/>
  <c r="AA51"/>
  <c r="B53"/>
  <c r="F53"/>
  <c r="H53"/>
  <c r="J53"/>
  <c r="L53"/>
  <c r="N53"/>
  <c r="P53"/>
  <c r="R53"/>
  <c r="T53"/>
  <c r="V53"/>
  <c r="Y53"/>
  <c r="AA53"/>
  <c r="B55"/>
  <c r="F55"/>
  <c r="H55"/>
  <c r="J55"/>
  <c r="L55"/>
  <c r="N55"/>
  <c r="P55"/>
  <c r="R55"/>
  <c r="T55"/>
  <c r="V55"/>
  <c r="Y55"/>
  <c r="AA55"/>
  <c r="B57"/>
  <c r="F57"/>
  <c r="H57"/>
  <c r="J57"/>
  <c r="L57"/>
  <c r="N57"/>
  <c r="P57"/>
  <c r="R57"/>
  <c r="T57"/>
  <c r="V57"/>
  <c r="Y57"/>
  <c r="AA57"/>
  <c r="B59"/>
  <c r="F59"/>
  <c r="H59"/>
  <c r="J59"/>
  <c r="L59"/>
  <c r="N59"/>
  <c r="P59"/>
  <c r="R59"/>
  <c r="T59"/>
  <c r="V59"/>
  <c r="Y59"/>
  <c r="AA59"/>
  <c r="B61"/>
  <c r="F61"/>
  <c r="H61"/>
  <c r="J61"/>
  <c r="L61"/>
  <c r="N61"/>
  <c r="P61"/>
  <c r="R61"/>
  <c r="T61"/>
  <c r="V61"/>
  <c r="Y61"/>
  <c r="AA61"/>
  <c r="B63"/>
  <c r="F63"/>
  <c r="H63"/>
  <c r="J63"/>
  <c r="L63"/>
  <c r="P63"/>
  <c r="R63"/>
  <c r="T63"/>
  <c r="V63"/>
  <c r="Y63"/>
  <c r="AA63"/>
  <c r="B65"/>
  <c r="D65"/>
  <c r="F65"/>
  <c r="H65"/>
  <c r="J65"/>
  <c r="L65"/>
  <c r="N65"/>
  <c r="P65"/>
  <c r="R65"/>
  <c r="T65"/>
  <c r="V65"/>
  <c r="Y65"/>
  <c r="AA65"/>
  <c r="B67"/>
  <c r="D67"/>
  <c r="F67"/>
  <c r="H67"/>
  <c r="J67"/>
  <c r="L67"/>
  <c r="N67"/>
  <c r="P67"/>
  <c r="R67"/>
  <c r="T67"/>
  <c r="V67"/>
  <c r="Y67"/>
  <c r="AA67"/>
  <c r="D69"/>
  <c r="F69"/>
  <c r="H69"/>
  <c r="J69"/>
  <c r="L69"/>
  <c r="P69"/>
  <c r="R69"/>
  <c r="T69"/>
  <c r="V69"/>
  <c r="Y69"/>
  <c r="AA69"/>
  <c r="D71"/>
  <c r="F71"/>
  <c r="H71"/>
  <c r="L71"/>
  <c r="P71"/>
  <c r="R71"/>
  <c r="T71"/>
  <c r="V71"/>
  <c r="Y71"/>
  <c r="AA71"/>
  <c r="D73"/>
  <c r="F73"/>
  <c r="H73"/>
  <c r="L73"/>
  <c r="P73"/>
  <c r="R73"/>
  <c r="T73"/>
  <c r="V73"/>
  <c r="Y73"/>
  <c r="AA73"/>
  <c r="D75"/>
  <c r="F75"/>
  <c r="H75"/>
  <c r="P75"/>
  <c r="R75"/>
  <c r="T75"/>
  <c r="V75"/>
  <c r="Y75"/>
  <c r="AA75"/>
  <c r="D77"/>
  <c r="F77"/>
  <c r="H77"/>
  <c r="P77"/>
  <c r="R77"/>
  <c r="T77"/>
  <c r="V77"/>
  <c r="Y77"/>
  <c r="AA77"/>
  <c r="D79"/>
  <c r="F79"/>
  <c r="H79"/>
  <c r="P79"/>
  <c r="R79"/>
  <c r="T79"/>
  <c r="V79"/>
  <c r="Y79"/>
  <c r="AA79"/>
  <c r="D81"/>
  <c r="F81"/>
  <c r="H81"/>
  <c r="P81"/>
  <c r="R81"/>
  <c r="T81"/>
  <c r="V81"/>
  <c r="Y81"/>
  <c r="AA81"/>
  <c r="D83"/>
  <c r="F83"/>
  <c r="H83"/>
  <c r="P83"/>
  <c r="R83"/>
  <c r="T83"/>
  <c r="V83"/>
  <c r="Y83"/>
  <c r="AA83"/>
  <c r="D85"/>
  <c r="F85"/>
  <c r="H85"/>
  <c r="P85"/>
  <c r="R85"/>
  <c r="T85"/>
  <c r="V85"/>
  <c r="Y85"/>
  <c r="AA85"/>
  <c r="D87"/>
  <c r="F87"/>
  <c r="H87"/>
  <c r="P87"/>
  <c r="R87"/>
  <c r="T87"/>
  <c r="V87"/>
  <c r="Y87"/>
  <c r="AA87"/>
  <c r="D89"/>
  <c r="F89"/>
  <c r="H89"/>
  <c r="P89"/>
  <c r="R89"/>
  <c r="T89"/>
  <c r="V89"/>
  <c r="Y89"/>
  <c r="AA89"/>
  <c r="D91"/>
  <c r="F91"/>
  <c r="H91"/>
  <c r="P91"/>
  <c r="R91"/>
  <c r="T91"/>
  <c r="V91"/>
  <c r="Y91"/>
  <c r="AA91"/>
  <c r="D93"/>
  <c r="F93"/>
  <c r="H93"/>
  <c r="P93"/>
  <c r="R93"/>
  <c r="T93"/>
  <c r="V93"/>
  <c r="Y93"/>
  <c r="AA93"/>
  <c r="D95"/>
  <c r="F95"/>
  <c r="H95"/>
  <c r="P95"/>
  <c r="R95"/>
  <c r="T95"/>
  <c r="V95"/>
  <c r="Y95"/>
  <c r="AA95"/>
  <c r="D97"/>
  <c r="P97"/>
  <c r="R97"/>
  <c r="T97"/>
  <c r="V97"/>
  <c r="Y97"/>
  <c r="AA97"/>
  <c r="D99"/>
  <c r="F99"/>
  <c r="H99"/>
  <c r="P99"/>
  <c r="R99"/>
  <c r="T99"/>
  <c r="V99"/>
  <c r="Y99"/>
  <c r="AA99"/>
  <c r="D100"/>
  <c r="F100"/>
  <c r="H100"/>
  <c r="P100"/>
  <c r="R100"/>
  <c r="T100"/>
  <c r="V100"/>
  <c r="Y100"/>
  <c r="AA100"/>
  <c r="D102"/>
  <c r="F102"/>
  <c r="H102"/>
  <c r="P102"/>
  <c r="R102"/>
  <c r="T102"/>
  <c r="V102"/>
  <c r="Y102"/>
  <c r="AA102"/>
  <c r="D104"/>
  <c r="F104"/>
  <c r="H104"/>
  <c r="P104"/>
  <c r="R104"/>
  <c r="T104"/>
  <c r="V104"/>
  <c r="Y104"/>
  <c r="AA104"/>
  <c r="D106"/>
  <c r="F106"/>
  <c r="H106"/>
  <c r="P106"/>
  <c r="R106"/>
  <c r="T106"/>
  <c r="V106"/>
  <c r="Y106"/>
  <c r="AA106"/>
  <c r="D108"/>
  <c r="F108"/>
  <c r="H108"/>
  <c r="P108"/>
  <c r="R108"/>
  <c r="T108"/>
  <c r="V108"/>
  <c r="Y108"/>
  <c r="AA108"/>
  <c r="D110"/>
  <c r="F110"/>
  <c r="H110"/>
  <c r="P110"/>
  <c r="R110"/>
  <c r="T110"/>
  <c r="V110"/>
  <c r="Y110"/>
  <c r="AA110"/>
  <c r="AB112"/>
  <c r="AB114"/>
  <c r="AB116"/>
  <c r="AB118"/>
  <c r="Y120"/>
  <c r="AB120" s="1"/>
  <c r="D122"/>
  <c r="F122"/>
  <c r="H122"/>
  <c r="P122"/>
  <c r="R122"/>
  <c r="T122"/>
  <c r="V122"/>
  <c r="Y122"/>
  <c r="AA122"/>
  <c r="D124"/>
  <c r="F124"/>
  <c r="H124"/>
  <c r="P124"/>
  <c r="R124"/>
  <c r="T124"/>
  <c r="V124"/>
  <c r="Y124"/>
  <c r="AA124"/>
  <c r="AC8" i="20"/>
  <c r="AC24"/>
  <c r="AC26"/>
  <c r="AC28"/>
  <c r="AC30"/>
  <c r="AC32"/>
  <c r="AC34"/>
  <c r="AC36"/>
  <c r="AC38"/>
  <c r="AC40"/>
  <c r="AC42"/>
  <c r="AC44"/>
  <c r="AC46"/>
  <c r="AC48"/>
  <c r="AC50"/>
  <c r="AC52"/>
  <c r="AC54"/>
  <c r="AC56"/>
  <c r="AC58"/>
  <c r="AC60"/>
  <c r="AC62"/>
  <c r="AC64"/>
  <c r="AC66"/>
  <c r="AC68"/>
  <c r="AC70"/>
  <c r="AC72"/>
  <c r="AC74"/>
  <c r="AC76"/>
  <c r="AC78"/>
  <c r="AC80"/>
  <c r="AC82"/>
  <c r="AC84"/>
  <c r="AC86"/>
  <c r="AC88"/>
  <c r="B41" i="324" s="1"/>
  <c r="AC90" i="20"/>
  <c r="AC92"/>
  <c r="AC94"/>
  <c r="AC96"/>
  <c r="C41" i="324" s="1"/>
  <c r="AC98" i="20"/>
  <c r="AC100"/>
  <c r="AC102"/>
  <c r="AC104"/>
  <c r="AC106"/>
  <c r="D41" i="324" s="1"/>
  <c r="AC108" i="20"/>
  <c r="AC110"/>
  <c r="AC112"/>
  <c r="AC114"/>
  <c r="AC116"/>
  <c r="AC118"/>
  <c r="AC120"/>
  <c r="AC122"/>
  <c r="AC124"/>
  <c r="AC126"/>
  <c r="F40" i="31"/>
  <c r="D28" i="131"/>
  <c r="E28" s="1"/>
  <c r="F28" i="44"/>
  <c r="F30" s="1"/>
  <c r="B30" i="131"/>
  <c r="F69" i="432" s="1"/>
  <c r="C30" i="131"/>
  <c r="D27"/>
  <c r="E27" s="1"/>
  <c r="F27" i="43"/>
  <c r="F68" i="379"/>
  <c r="D29" i="131"/>
  <c r="E29" s="1"/>
  <c r="F29" i="43"/>
  <c r="C45" i="131"/>
  <c r="K63" i="377"/>
  <c r="J52"/>
  <c r="M76" i="366"/>
  <c r="M63"/>
  <c r="L33" i="365"/>
  <c r="M33"/>
  <c r="L32"/>
  <c r="M32"/>
  <c r="L31"/>
  <c r="M31"/>
  <c r="L30"/>
  <c r="M30"/>
  <c r="L29"/>
  <c r="M29"/>
  <c r="L28"/>
  <c r="M28"/>
  <c r="L26"/>
  <c r="M26"/>
  <c r="L25"/>
  <c r="M25"/>
  <c r="M39" i="364"/>
  <c r="L38"/>
  <c r="L37"/>
  <c r="L36"/>
  <c r="M36"/>
  <c r="M32"/>
  <c r="D15" i="86"/>
  <c r="L52" i="377"/>
  <c r="L63"/>
  <c r="L76"/>
  <c r="K52"/>
  <c r="K76"/>
  <c r="I52"/>
  <c r="I63"/>
  <c r="I76"/>
  <c r="H63"/>
  <c r="H52"/>
  <c r="H76"/>
  <c r="G52"/>
  <c r="G76"/>
  <c r="G63"/>
  <c r="F63"/>
  <c r="F52"/>
  <c r="F76"/>
  <c r="E63"/>
  <c r="E52"/>
  <c r="E76"/>
  <c r="D76"/>
  <c r="D52"/>
  <c r="D63"/>
  <c r="M63"/>
  <c r="M52"/>
  <c r="M76"/>
  <c r="N5" i="110"/>
  <c r="N5" i="128" s="1"/>
  <c r="N5" i="134" s="1"/>
  <c r="N5" i="140" s="1"/>
  <c r="N7" i="111"/>
  <c r="N7" i="129" s="1"/>
  <c r="N7" i="135" s="1"/>
  <c r="N7" i="141" s="1"/>
  <c r="F41" i="182"/>
  <c r="G38" s="1"/>
  <c r="D36" i="30"/>
  <c r="K33"/>
  <c r="K13"/>
  <c r="H6" i="31"/>
  <c r="H7" i="76" s="1"/>
  <c r="H7" i="82" s="1"/>
  <c r="H6" i="88" s="1"/>
  <c r="H7" i="94" s="1"/>
  <c r="H7" i="100" s="1"/>
  <c r="H7" i="112" s="1"/>
  <c r="H7" i="130" s="1"/>
  <c r="H7" i="136" s="1"/>
  <c r="H7" i="142" s="1"/>
  <c r="C71" i="33"/>
  <c r="N7" i="75"/>
  <c r="N7" i="81" s="1"/>
  <c r="N7" i="87" s="1"/>
  <c r="N7" i="93" s="1"/>
  <c r="N7" i="99" s="1"/>
  <c r="L7" i="75"/>
  <c r="L7" i="81" s="1"/>
  <c r="L7" i="87" s="1"/>
  <c r="L7" i="93" s="1"/>
  <c r="L7" i="99" s="1"/>
  <c r="J7" i="75"/>
  <c r="J7" i="81" s="1"/>
  <c r="J7" i="87" s="1"/>
  <c r="J7" i="93" s="1"/>
  <c r="J7" i="99" s="1"/>
  <c r="F9" i="34"/>
  <c r="F9" i="79" s="1"/>
  <c r="F9" i="85" s="1"/>
  <c r="F8" i="91" s="1"/>
  <c r="F9" i="97" s="1"/>
  <c r="F10" i="103" s="1"/>
  <c r="F9" i="115" s="1"/>
  <c r="F9" i="133" s="1"/>
  <c r="F9" i="139" s="1"/>
  <c r="F9" i="145" s="1"/>
  <c r="N61" i="41"/>
  <c r="N6" i="31"/>
  <c r="N7" i="76" s="1"/>
  <c r="N7" i="82" s="1"/>
  <c r="N6" i="88" s="1"/>
  <c r="N7" i="94" s="1"/>
  <c r="N7" i="100" s="1"/>
  <c r="N7" i="112" s="1"/>
  <c r="N7" i="130" s="1"/>
  <c r="N7" i="136" s="1"/>
  <c r="N7" i="142" s="1"/>
  <c r="J6" i="31"/>
  <c r="J7" i="76" s="1"/>
  <c r="J7" i="82" s="1"/>
  <c r="J6" i="88" s="1"/>
  <c r="J7" i="94" s="1"/>
  <c r="J7" i="100" s="1"/>
  <c r="J7" i="112" s="1"/>
  <c r="J7" i="130" s="1"/>
  <c r="J7" i="136" s="1"/>
  <c r="J7" i="142" s="1"/>
  <c r="B6" i="31"/>
  <c r="B7" i="76" s="1"/>
  <c r="B7" i="82" s="1"/>
  <c r="B6" i="88" s="1"/>
  <c r="B7" i="94" s="1"/>
  <c r="B7" i="100" s="1"/>
  <c r="B7" i="112" s="1"/>
  <c r="B7" i="130" s="1"/>
  <c r="B7" i="136" s="1"/>
  <c r="B7" i="142" s="1"/>
  <c r="J15" i="299"/>
  <c r="J15" i="231"/>
  <c r="J48" i="95"/>
  <c r="K48" s="1"/>
  <c r="B52" i="76"/>
  <c r="P42"/>
  <c r="N42"/>
  <c r="N45" s="1"/>
  <c r="L42"/>
  <c r="J42"/>
  <c r="J36"/>
  <c r="H41" i="44"/>
  <c r="C29" i="231"/>
  <c r="I15"/>
  <c r="I22" s="1"/>
  <c r="C15"/>
  <c r="C22" s="1"/>
  <c r="P52" i="82"/>
  <c r="N52"/>
  <c r="L52"/>
  <c r="J52"/>
  <c r="F42"/>
  <c r="D42"/>
  <c r="B42"/>
  <c r="F36"/>
  <c r="D36"/>
  <c r="B36"/>
  <c r="F30"/>
  <c r="D30"/>
  <c r="B30"/>
  <c r="D15"/>
  <c r="B15"/>
  <c r="B23" s="1"/>
  <c r="P52" i="100"/>
  <c r="L52"/>
  <c r="N42"/>
  <c r="J42"/>
  <c r="N36"/>
  <c r="J36"/>
  <c r="N30"/>
  <c r="J30"/>
  <c r="J45" s="1"/>
  <c r="N15"/>
  <c r="N23" s="1"/>
  <c r="J15"/>
  <c r="P52" i="112"/>
  <c r="L52"/>
  <c r="F42"/>
  <c r="B42"/>
  <c r="P36"/>
  <c r="L36"/>
  <c r="F30"/>
  <c r="B42" i="88"/>
  <c r="B14"/>
  <c r="I52" i="95"/>
  <c r="D38" i="103"/>
  <c r="N52" i="100"/>
  <c r="J52"/>
  <c r="P42"/>
  <c r="L42"/>
  <c r="P36"/>
  <c r="L36"/>
  <c r="P30"/>
  <c r="L30"/>
  <c r="L45" s="1"/>
  <c r="P15"/>
  <c r="L15"/>
  <c r="N52" i="112"/>
  <c r="J52"/>
  <c r="F36"/>
  <c r="B36"/>
  <c r="P30"/>
  <c r="L30"/>
  <c r="F52" i="94"/>
  <c r="D52"/>
  <c r="P42"/>
  <c r="N42"/>
  <c r="L42"/>
  <c r="J42"/>
  <c r="P36"/>
  <c r="N36"/>
  <c r="L36"/>
  <c r="J36"/>
  <c r="P30"/>
  <c r="N30"/>
  <c r="L30"/>
  <c r="J30"/>
  <c r="L23"/>
  <c r="M44" s="1"/>
  <c r="M13" i="98"/>
  <c r="O12" i="110"/>
  <c r="D42" i="112"/>
  <c r="D36"/>
  <c r="D30"/>
  <c r="F15"/>
  <c r="B15"/>
  <c r="D48" i="113"/>
  <c r="E48" s="1"/>
  <c r="F52" i="130"/>
  <c r="B52"/>
  <c r="P42"/>
  <c r="L42"/>
  <c r="P36"/>
  <c r="L36"/>
  <c r="P30"/>
  <c r="P45" s="1"/>
  <c r="L30"/>
  <c r="L45" s="1"/>
  <c r="P15"/>
  <c r="H42" i="112"/>
  <c r="H36"/>
  <c r="H30"/>
  <c r="D23" i="115"/>
  <c r="C24" i="128"/>
  <c r="D15" i="112"/>
  <c r="N42" i="130"/>
  <c r="J42"/>
  <c r="N36"/>
  <c r="J36"/>
  <c r="J30"/>
  <c r="N15"/>
  <c r="J15"/>
  <c r="J23" s="1"/>
  <c r="H15" i="112"/>
  <c r="D15" i="115"/>
  <c r="D37" i="133"/>
  <c r="F52" i="136"/>
  <c r="B52"/>
  <c r="P42"/>
  <c r="L42"/>
  <c r="L36"/>
  <c r="P30"/>
  <c r="L30"/>
  <c r="P15"/>
  <c r="L15"/>
  <c r="L23" s="1"/>
  <c r="N36" i="142"/>
  <c r="J36"/>
  <c r="D36"/>
  <c r="N23"/>
  <c r="O21" s="1"/>
  <c r="D15"/>
  <c r="O52" i="324"/>
  <c r="L52"/>
  <c r="D52" i="136"/>
  <c r="N42"/>
  <c r="J42"/>
  <c r="N36"/>
  <c r="J36"/>
  <c r="N30"/>
  <c r="J30"/>
  <c r="J53" s="1"/>
  <c r="N15"/>
  <c r="J15"/>
  <c r="J23" s="1"/>
  <c r="K11" s="1"/>
  <c r="N52" i="142"/>
  <c r="D52"/>
  <c r="P52"/>
  <c r="L52"/>
  <c r="N42"/>
  <c r="J42"/>
  <c r="D42"/>
  <c r="N30"/>
  <c r="O30" s="1"/>
  <c r="J30"/>
  <c r="D30"/>
  <c r="P15"/>
  <c r="L15"/>
  <c r="L23" s="1"/>
  <c r="M15" s="1"/>
  <c r="O13" i="134"/>
  <c r="K13"/>
  <c r="P52" i="136"/>
  <c r="L52"/>
  <c r="H52"/>
  <c r="D42"/>
  <c r="D30"/>
  <c r="F15"/>
  <c r="B15"/>
  <c r="B23" s="1"/>
  <c r="C18" s="1"/>
  <c r="K14" i="140"/>
  <c r="O13"/>
  <c r="K13"/>
  <c r="O12"/>
  <c r="B52" i="142"/>
  <c r="J15"/>
  <c r="J23" s="1"/>
  <c r="J52"/>
  <c r="F42"/>
  <c r="B42"/>
  <c r="F36"/>
  <c r="B36"/>
  <c r="F30"/>
  <c r="B30"/>
  <c r="B53" s="1"/>
  <c r="F15"/>
  <c r="F23" s="1"/>
  <c r="B15"/>
  <c r="D48" i="143"/>
  <c r="E48" s="1"/>
  <c r="C52"/>
  <c r="N23" i="130"/>
  <c r="O29" s="1"/>
  <c r="B23" i="112"/>
  <c r="C20" s="1"/>
  <c r="F23"/>
  <c r="J45" i="94"/>
  <c r="N45"/>
  <c r="B22" i="88"/>
  <c r="C22" s="1"/>
  <c r="J23" i="100"/>
  <c r="K28" s="1"/>
  <c r="G30" i="182"/>
  <c r="N45" i="136"/>
  <c r="O17" i="142"/>
  <c r="O41"/>
  <c r="O39"/>
  <c r="O33"/>
  <c r="P23" i="136"/>
  <c r="Q42" s="1"/>
  <c r="P23" i="100"/>
  <c r="Q15" s="1"/>
  <c r="J50" i="95"/>
  <c r="F53" i="82"/>
  <c r="Q48" i="100"/>
  <c r="Q35"/>
  <c r="K10" i="136"/>
  <c r="O23" i="130"/>
  <c r="C41" i="82"/>
  <c r="Q50" i="136"/>
  <c r="K51" i="100"/>
  <c r="T55" i="114"/>
  <c r="T63" s="1"/>
  <c r="B54" i="113"/>
  <c r="B45"/>
  <c r="B23"/>
  <c r="T55" i="102"/>
  <c r="T63" s="1"/>
  <c r="B54" i="101"/>
  <c r="B45"/>
  <c r="K15" i="44"/>
  <c r="E77" i="52"/>
  <c r="E64" i="36" s="1"/>
  <c r="T55" i="96"/>
  <c r="T63" s="1"/>
  <c r="C23" i="95"/>
  <c r="H13" i="43"/>
  <c r="B45" i="95"/>
  <c r="E15" i="44"/>
  <c r="E23" s="1"/>
  <c r="T55" i="90"/>
  <c r="T23" i="86" s="1"/>
  <c r="D14" i="91"/>
  <c r="C45" i="89"/>
  <c r="H10" i="43"/>
  <c r="H35" i="44"/>
  <c r="D68" i="385"/>
  <c r="H11" i="44"/>
  <c r="B23" i="89"/>
  <c r="D51" i="385"/>
  <c r="D23" i="85"/>
  <c r="C45" i="83"/>
  <c r="C23"/>
  <c r="B45"/>
  <c r="B23"/>
  <c r="C15" i="44"/>
  <c r="C23" s="1"/>
  <c r="T55" i="78"/>
  <c r="C23" i="77"/>
  <c r="B36" i="44"/>
  <c r="B15"/>
  <c r="J36" i="41"/>
  <c r="B13" i="36"/>
  <c r="C52" i="385"/>
  <c r="C44"/>
  <c r="E52"/>
  <c r="E44"/>
  <c r="G52"/>
  <c r="G44"/>
  <c r="F52"/>
  <c r="F44"/>
  <c r="L52"/>
  <c r="M10"/>
  <c r="M15" s="1"/>
  <c r="M22" s="1"/>
  <c r="B15"/>
  <c r="B22" s="1"/>
  <c r="M26"/>
  <c r="M29" s="1"/>
  <c r="B29"/>
  <c r="M32"/>
  <c r="B35"/>
  <c r="M38"/>
  <c r="M41" s="1"/>
  <c r="B41"/>
  <c r="M47"/>
  <c r="J10"/>
  <c r="J15" s="1"/>
  <c r="J22" s="1"/>
  <c r="J26"/>
  <c r="J29" s="1"/>
  <c r="J32"/>
  <c r="J35" s="1"/>
  <c r="J38"/>
  <c r="J41" s="1"/>
  <c r="H47"/>
  <c r="D21" i="31"/>
  <c r="F13"/>
  <c r="O37" i="182"/>
  <c r="O33"/>
  <c r="O38"/>
  <c r="O34"/>
  <c r="C84" i="23"/>
  <c r="AB63" i="21"/>
  <c r="AB35"/>
  <c r="AB69"/>
  <c r="AB61"/>
  <c r="AB29"/>
  <c r="AB51"/>
  <c r="AB33"/>
  <c r="AB71"/>
  <c r="AB43"/>
  <c r="AB31"/>
  <c r="T23" i="110"/>
  <c r="T23" i="74"/>
  <c r="N30" i="195"/>
  <c r="H36"/>
  <c r="L23" i="391"/>
  <c r="L27"/>
  <c r="L30"/>
  <c r="L32"/>
  <c r="L37"/>
  <c r="L39"/>
  <c r="L43"/>
  <c r="L45"/>
  <c r="L47"/>
  <c r="L49"/>
  <c r="L51"/>
  <c r="L59"/>
  <c r="L69"/>
  <c r="L71"/>
  <c r="L75"/>
  <c r="L24"/>
  <c r="L29"/>
  <c r="L31"/>
  <c r="L36"/>
  <c r="L38"/>
  <c r="L42"/>
  <c r="L44"/>
  <c r="L46"/>
  <c r="L48"/>
  <c r="L50"/>
  <c r="L56"/>
  <c r="L62"/>
  <c r="L70"/>
  <c r="K23"/>
  <c r="K24"/>
  <c r="K30"/>
  <c r="K33"/>
  <c r="K41"/>
  <c r="K50"/>
  <c r="K51"/>
  <c r="K70"/>
  <c r="K71"/>
  <c r="K73"/>
  <c r="K34"/>
  <c r="K37"/>
  <c r="K38"/>
  <c r="K42"/>
  <c r="K43"/>
  <c r="K44"/>
  <c r="K45"/>
  <c r="K59"/>
  <c r="K62"/>
  <c r="K74"/>
  <c r="J42"/>
  <c r="J43"/>
  <c r="I24"/>
  <c r="I28"/>
  <c r="I32"/>
  <c r="I34"/>
  <c r="I37"/>
  <c r="I40"/>
  <c r="I51"/>
  <c r="I57"/>
  <c r="I62"/>
  <c r="I70"/>
  <c r="I75"/>
  <c r="I26"/>
  <c r="I30"/>
  <c r="I41"/>
  <c r="I43"/>
  <c r="I46"/>
  <c r="I49"/>
  <c r="I58"/>
  <c r="I68"/>
  <c r="I73"/>
  <c r="H23"/>
  <c r="H24"/>
  <c r="H26"/>
  <c r="H27"/>
  <c r="H30"/>
  <c r="H31"/>
  <c r="H33"/>
  <c r="H35"/>
  <c r="H37"/>
  <c r="H38"/>
  <c r="H39"/>
  <c r="H42"/>
  <c r="H44"/>
  <c r="H45"/>
  <c r="H46"/>
  <c r="H49"/>
  <c r="H56"/>
  <c r="H70"/>
  <c r="H71"/>
  <c r="H72"/>
  <c r="H73"/>
  <c r="H22"/>
  <c r="H28"/>
  <c r="H29"/>
  <c r="H32"/>
  <c r="H34"/>
  <c r="H36"/>
  <c r="H40"/>
  <c r="H41"/>
  <c r="H43"/>
  <c r="H48"/>
  <c r="H50"/>
  <c r="H51"/>
  <c r="H57"/>
  <c r="H58"/>
  <c r="H59"/>
  <c r="H60"/>
  <c r="H62"/>
  <c r="H68"/>
  <c r="H69"/>
  <c r="H74"/>
  <c r="G22"/>
  <c r="G23"/>
  <c r="G25"/>
  <c r="G27"/>
  <c r="G29"/>
  <c r="G30"/>
  <c r="G38"/>
  <c r="G41"/>
  <c r="G42"/>
  <c r="G43"/>
  <c r="G44"/>
  <c r="G46"/>
  <c r="G47"/>
  <c r="G51"/>
  <c r="G56"/>
  <c r="G57"/>
  <c r="G59"/>
  <c r="G68"/>
  <c r="G71"/>
  <c r="G73"/>
  <c r="G75"/>
  <c r="G24"/>
  <c r="G26"/>
  <c r="G31"/>
  <c r="G32"/>
  <c r="G33"/>
  <c r="G34"/>
  <c r="G35"/>
  <c r="G36"/>
  <c r="G37"/>
  <c r="G39"/>
  <c r="G40"/>
  <c r="G45"/>
  <c r="G48"/>
  <c r="G49"/>
  <c r="G50"/>
  <c r="G58"/>
  <c r="G62"/>
  <c r="G69"/>
  <c r="G70"/>
  <c r="F24"/>
  <c r="F25"/>
  <c r="F30"/>
  <c r="F33"/>
  <c r="F36"/>
  <c r="F43"/>
  <c r="F49"/>
  <c r="F56"/>
  <c r="F71"/>
  <c r="F28"/>
  <c r="F34"/>
  <c r="F37"/>
  <c r="F38"/>
  <c r="F39"/>
  <c r="F42"/>
  <c r="F44"/>
  <c r="F45"/>
  <c r="F46"/>
  <c r="F48"/>
  <c r="F50"/>
  <c r="F51"/>
  <c r="F59"/>
  <c r="F62"/>
  <c r="F68"/>
  <c r="E31"/>
  <c r="E34"/>
  <c r="E35"/>
  <c r="E38"/>
  <c r="E41"/>
  <c r="E45"/>
  <c r="E51"/>
  <c r="E56"/>
  <c r="E59"/>
  <c r="E68"/>
  <c r="E72"/>
  <c r="E75"/>
  <c r="E23"/>
  <c r="E27"/>
  <c r="E29"/>
  <c r="E36"/>
  <c r="E37"/>
  <c r="E39"/>
  <c r="E42"/>
  <c r="E43"/>
  <c r="E44"/>
  <c r="E46"/>
  <c r="E47"/>
  <c r="E50"/>
  <c r="E60"/>
  <c r="E70"/>
  <c r="D23"/>
  <c r="D29"/>
  <c r="D38"/>
  <c r="D41"/>
  <c r="D45"/>
  <c r="D49"/>
  <c r="D51"/>
  <c r="D56"/>
  <c r="D57"/>
  <c r="D62"/>
  <c r="D68"/>
  <c r="D70"/>
  <c r="D71"/>
  <c r="D75"/>
  <c r="D24"/>
  <c r="D25"/>
  <c r="D27"/>
  <c r="D30"/>
  <c r="D31"/>
  <c r="D33"/>
  <c r="D36"/>
  <c r="D37"/>
  <c r="D39"/>
  <c r="D40"/>
  <c r="D42"/>
  <c r="D43"/>
  <c r="D44"/>
  <c r="D46"/>
  <c r="D47"/>
  <c r="D48"/>
  <c r="D50"/>
  <c r="D59"/>
  <c r="D72"/>
  <c r="K26" i="389"/>
  <c r="M26"/>
  <c r="L28"/>
  <c r="K32" i="388"/>
  <c r="M32"/>
  <c r="L36"/>
  <c r="L37"/>
  <c r="L39"/>
  <c r="K36"/>
  <c r="K39"/>
  <c r="N39" s="1"/>
  <c r="H74" i="52"/>
  <c r="G30" i="43"/>
  <c r="B45" i="143"/>
  <c r="H13" i="44"/>
  <c r="C45" i="137"/>
  <c r="C23"/>
  <c r="I68" i="385"/>
  <c r="J68" s="1"/>
  <c r="B45" i="137"/>
  <c r="B23"/>
  <c r="C23" i="131"/>
  <c r="F68" i="385"/>
  <c r="F15" i="44"/>
  <c r="M52" i="396"/>
  <c r="M76"/>
  <c r="M63"/>
  <c r="H39" i="33"/>
  <c r="S79" i="114"/>
  <c r="S74"/>
  <c r="S72"/>
  <c r="N26" i="28"/>
  <c r="L56" i="36"/>
  <c r="L70" s="1"/>
  <c r="S60" i="114"/>
  <c r="S59"/>
  <c r="S58"/>
  <c r="S54"/>
  <c r="L13" i="52"/>
  <c r="M13" s="1"/>
  <c r="N55" i="114"/>
  <c r="L42" i="43"/>
  <c r="B34" i="91"/>
  <c r="B32"/>
  <c r="S74" i="90"/>
  <c r="B26" i="91"/>
  <c r="H21" i="90"/>
  <c r="S54"/>
  <c r="H10" i="33"/>
  <c r="D11" i="52"/>
  <c r="D62" i="40" s="1"/>
  <c r="N55" i="90"/>
  <c r="S52"/>
  <c r="H13"/>
  <c r="H12" i="31"/>
  <c r="H10"/>
  <c r="D10"/>
  <c r="S74" i="84"/>
  <c r="S73"/>
  <c r="S72"/>
  <c r="S71"/>
  <c r="S54"/>
  <c r="H11" i="33"/>
  <c r="B14" i="85"/>
  <c r="C14" s="1"/>
  <c r="B12"/>
  <c r="C12" s="1"/>
  <c r="N55" i="84"/>
  <c r="N63" s="1"/>
  <c r="H13"/>
  <c r="H39" i="31"/>
  <c r="H28"/>
  <c r="H20"/>
  <c r="H18"/>
  <c r="H15" i="30"/>
  <c r="H13" i="31"/>
  <c r="D13"/>
  <c r="H11"/>
  <c r="H9"/>
  <c r="L14" i="52"/>
  <c r="L16" s="1"/>
  <c r="L54" i="36" s="1"/>
  <c r="N63" i="114"/>
  <c r="N68" s="1"/>
  <c r="S54" i="144"/>
  <c r="H15"/>
  <c r="N23" i="140" s="1"/>
  <c r="D15" i="143"/>
  <c r="E15" s="1"/>
  <c r="H53" i="141"/>
  <c r="I54" i="324"/>
  <c r="H45" i="141"/>
  <c r="I53" i="324"/>
  <c r="H15" i="142"/>
  <c r="H23" s="1"/>
  <c r="B41" i="139"/>
  <c r="C41" s="1"/>
  <c r="S74" i="138"/>
  <c r="S73"/>
  <c r="S72"/>
  <c r="S71"/>
  <c r="R25" i="134"/>
  <c r="S25" s="1"/>
  <c r="S65" i="138"/>
  <c r="S60"/>
  <c r="S58"/>
  <c r="N55"/>
  <c r="N63" s="1"/>
  <c r="I42" i="43"/>
  <c r="H45" i="135"/>
  <c r="H84" i="23"/>
  <c r="G10" i="36"/>
  <c r="E10"/>
  <c r="J36" i="44"/>
  <c r="N10" i="379"/>
  <c r="N10" i="371"/>
  <c r="M15"/>
  <c r="O34" i="33"/>
  <c r="J29" i="371"/>
  <c r="N56" i="379"/>
  <c r="N43"/>
  <c r="H61" i="51"/>
  <c r="B64"/>
  <c r="B40" i="36" s="1"/>
  <c r="N52" i="88"/>
  <c r="M74" i="51"/>
  <c r="J74"/>
  <c r="L36" i="43"/>
  <c r="I15"/>
  <c r="J15" s="1"/>
  <c r="C52" i="44"/>
  <c r="L15" i="371"/>
  <c r="L22" s="1"/>
  <c r="J51" i="231"/>
  <c r="J36" i="52"/>
  <c r="I35" i="385"/>
  <c r="P52" i="76"/>
  <c r="L52" i="88"/>
  <c r="J61" i="51"/>
  <c r="N38" i="385"/>
  <c r="C28" i="88"/>
  <c r="Q22" i="136"/>
  <c r="Q10"/>
  <c r="Q17"/>
  <c r="Q44"/>
  <c r="Q34"/>
  <c r="Q49"/>
  <c r="O41" i="130"/>
  <c r="M41" i="142"/>
  <c r="M13" i="94"/>
  <c r="M39"/>
  <c r="J53" i="100"/>
  <c r="K53" s="1"/>
  <c r="L13" i="28"/>
  <c r="B8" i="324" s="1"/>
  <c r="H13" i="28"/>
  <c r="D13"/>
  <c r="P49" i="31"/>
  <c r="B42" i="30"/>
  <c r="N36"/>
  <c r="F34" i="31"/>
  <c r="H32"/>
  <c r="F32"/>
  <c r="H16"/>
  <c r="J21" i="32"/>
  <c r="J19"/>
  <c r="J39" i="33"/>
  <c r="H75"/>
  <c r="H27" i="28" s="1"/>
  <c r="D75" i="33"/>
  <c r="D27" i="28" s="1"/>
  <c r="U74" i="33"/>
  <c r="J33"/>
  <c r="L31"/>
  <c r="U65"/>
  <c r="J25"/>
  <c r="K25" s="1"/>
  <c r="D53"/>
  <c r="N12"/>
  <c r="J10"/>
  <c r="I52" i="43"/>
  <c r="P52" i="130"/>
  <c r="H32" i="252"/>
  <c r="H26" i="231"/>
  <c r="H10"/>
  <c r="N49" i="76"/>
  <c r="N52" s="1"/>
  <c r="N53" s="1"/>
  <c r="L49"/>
  <c r="F33" i="85"/>
  <c r="G33" s="1"/>
  <c r="F40" i="88"/>
  <c r="F34"/>
  <c r="F36" s="1"/>
  <c r="B22" i="97"/>
  <c r="C22" s="1"/>
  <c r="B14"/>
  <c r="B12"/>
  <c r="F21" i="115"/>
  <c r="G21" s="1"/>
  <c r="B22" i="133"/>
  <c r="C22" s="1"/>
  <c r="F20"/>
  <c r="B14"/>
  <c r="C14" s="1"/>
  <c r="B12"/>
  <c r="H34" i="136"/>
  <c r="H33"/>
  <c r="D33"/>
  <c r="F21" i="139"/>
  <c r="G21" s="1"/>
  <c r="F33" i="145"/>
  <c r="M39" i="372"/>
  <c r="M36"/>
  <c r="M33" i="382"/>
  <c r="M32"/>
  <c r="M31"/>
  <c r="M30"/>
  <c r="M29"/>
  <c r="L74" i="391"/>
  <c r="K75"/>
  <c r="H75"/>
  <c r="G72"/>
  <c r="F75"/>
  <c r="E71"/>
  <c r="E76" s="1"/>
  <c r="B57" i="324"/>
  <c r="H54"/>
  <c r="F54"/>
  <c r="C54"/>
  <c r="B54"/>
  <c r="H53"/>
  <c r="G53"/>
  <c r="G50"/>
  <c r="D50"/>
  <c r="D35" i="385"/>
  <c r="D41"/>
  <c r="J47"/>
  <c r="J51" s="1"/>
  <c r="L34" i="388"/>
  <c r="K38"/>
  <c r="M28" i="389"/>
  <c r="L29"/>
  <c r="K29"/>
  <c r="M30"/>
  <c r="L31"/>
  <c r="K31"/>
  <c r="M32"/>
  <c r="L33"/>
  <c r="K33"/>
  <c r="D26" i="391"/>
  <c r="D32"/>
  <c r="D35"/>
  <c r="E24"/>
  <c r="E26"/>
  <c r="E30"/>
  <c r="E32"/>
  <c r="E48"/>
  <c r="F22"/>
  <c r="F27"/>
  <c r="F31"/>
  <c r="F35"/>
  <c r="F41"/>
  <c r="H47"/>
  <c r="I48"/>
  <c r="K25"/>
  <c r="K27"/>
  <c r="K29"/>
  <c r="K32"/>
  <c r="K36"/>
  <c r="K40"/>
  <c r="K47"/>
  <c r="L22"/>
  <c r="L26"/>
  <c r="L33"/>
  <c r="L35"/>
  <c r="L41"/>
  <c r="L51" i="299"/>
  <c r="C51"/>
  <c r="L41"/>
  <c r="I41"/>
  <c r="L15"/>
  <c r="L22" s="1"/>
  <c r="I15"/>
  <c r="L51" i="252"/>
  <c r="I51"/>
  <c r="C51"/>
  <c r="L41"/>
  <c r="I41"/>
  <c r="C35"/>
  <c r="L29"/>
  <c r="I29"/>
  <c r="L15"/>
  <c r="L22" s="1"/>
  <c r="I15"/>
  <c r="I22" s="1"/>
  <c r="L51" i="231"/>
  <c r="I51"/>
  <c r="C51"/>
  <c r="C41"/>
  <c r="L35"/>
  <c r="I35"/>
  <c r="L15"/>
  <c r="L22" s="1"/>
  <c r="L77" i="52"/>
  <c r="L64" i="36" s="1"/>
  <c r="I55" i="52"/>
  <c r="N15" i="74"/>
  <c r="L15"/>
  <c r="K15" s="1"/>
  <c r="D15"/>
  <c r="P14"/>
  <c r="N14"/>
  <c r="J14"/>
  <c r="N11"/>
  <c r="L11"/>
  <c r="P53" i="75"/>
  <c r="N53"/>
  <c r="J53"/>
  <c r="M52"/>
  <c r="K52"/>
  <c r="M49"/>
  <c r="N45"/>
  <c r="L45"/>
  <c r="B49" i="234" s="1"/>
  <c r="J45" i="75"/>
  <c r="B31" i="234" s="1"/>
  <c r="D45" i="75"/>
  <c r="F23"/>
  <c r="F11" i="74" s="1"/>
  <c r="D23" i="75"/>
  <c r="F42" i="76"/>
  <c r="D42"/>
  <c r="B42"/>
  <c r="F36"/>
  <c r="B36"/>
  <c r="F30"/>
  <c r="D30"/>
  <c r="H23"/>
  <c r="D23"/>
  <c r="B23"/>
  <c r="C18" s="1"/>
  <c r="N15"/>
  <c r="J15"/>
  <c r="H54" i="77"/>
  <c r="H45"/>
  <c r="D30"/>
  <c r="E30" s="1"/>
  <c r="D15"/>
  <c r="E15" s="1"/>
  <c r="S74" i="78"/>
  <c r="S73"/>
  <c r="S72"/>
  <c r="S71"/>
  <c r="S60"/>
  <c r="N55"/>
  <c r="F55"/>
  <c r="S52"/>
  <c r="S51"/>
  <c r="S50"/>
  <c r="N35"/>
  <c r="L35"/>
  <c r="J35"/>
  <c r="F35"/>
  <c r="D35"/>
  <c r="P13"/>
  <c r="P15" s="1"/>
  <c r="N13"/>
  <c r="L13"/>
  <c r="J13"/>
  <c r="I23" i="79"/>
  <c r="B55" i="80"/>
  <c r="N55" s="1"/>
  <c r="N15"/>
  <c r="L15"/>
  <c r="K15" s="1"/>
  <c r="F14"/>
  <c r="B14"/>
  <c r="P53" i="81"/>
  <c r="N53"/>
  <c r="L53"/>
  <c r="J53"/>
  <c r="H53"/>
  <c r="N45"/>
  <c r="L45"/>
  <c r="J45"/>
  <c r="B37" i="234" s="1"/>
  <c r="H45" i="81"/>
  <c r="P42" i="82"/>
  <c r="N42"/>
  <c r="L42"/>
  <c r="J42"/>
  <c r="P36"/>
  <c r="N36"/>
  <c r="L36"/>
  <c r="J36"/>
  <c r="P30"/>
  <c r="N30"/>
  <c r="N53" s="1"/>
  <c r="L30"/>
  <c r="J30"/>
  <c r="P23"/>
  <c r="Q51" s="1"/>
  <c r="H54" i="83"/>
  <c r="I45"/>
  <c r="B63" i="84"/>
  <c r="B68" s="1"/>
  <c r="B77" s="1"/>
  <c r="B81" s="1"/>
  <c r="R61"/>
  <c r="S61" s="1"/>
  <c r="S59"/>
  <c r="F55"/>
  <c r="R53"/>
  <c r="B41" i="86"/>
  <c r="N41" s="1"/>
  <c r="J15"/>
  <c r="O49" i="87"/>
  <c r="M49"/>
  <c r="K49"/>
  <c r="N45"/>
  <c r="L45"/>
  <c r="B53" i="234" s="1"/>
  <c r="J45" i="87"/>
  <c r="B36" i="234" s="1"/>
  <c r="H45" i="87"/>
  <c r="N23"/>
  <c r="L23"/>
  <c r="B55" i="182" s="1"/>
  <c r="J23" i="87"/>
  <c r="K23" s="1"/>
  <c r="H23"/>
  <c r="F23"/>
  <c r="D23"/>
  <c r="D14" i="88"/>
  <c r="H54" i="89"/>
  <c r="H45"/>
  <c r="I23"/>
  <c r="J23" s="1"/>
  <c r="K23" s="1"/>
  <c r="U75" i="90"/>
  <c r="J55"/>
  <c r="B55"/>
  <c r="B63" s="1"/>
  <c r="B68" s="1"/>
  <c r="B77" s="1"/>
  <c r="B81" s="1"/>
  <c r="U53"/>
  <c r="U55" s="1"/>
  <c r="B69" i="92"/>
  <c r="B54"/>
  <c r="N54" s="1"/>
  <c r="H15"/>
  <c r="F15"/>
  <c r="D15"/>
  <c r="P14"/>
  <c r="N14"/>
  <c r="L14"/>
  <c r="K14" s="1"/>
  <c r="F14"/>
  <c r="D14"/>
  <c r="J11"/>
  <c r="P53" i="93"/>
  <c r="N53"/>
  <c r="L53"/>
  <c r="J53"/>
  <c r="N45"/>
  <c r="L45"/>
  <c r="B50" i="234" s="1"/>
  <c r="J45" i="93"/>
  <c r="B32" i="234" s="1"/>
  <c r="F45" i="93"/>
  <c r="P52" i="94"/>
  <c r="N52"/>
  <c r="J52"/>
  <c r="H42"/>
  <c r="F42"/>
  <c r="D42"/>
  <c r="B42"/>
  <c r="H36"/>
  <c r="F36"/>
  <c r="D36"/>
  <c r="B36"/>
  <c r="H30"/>
  <c r="F30"/>
  <c r="D30"/>
  <c r="D45" s="1"/>
  <c r="B30"/>
  <c r="B45" s="1"/>
  <c r="N15"/>
  <c r="N23" s="1"/>
  <c r="H54" i="95"/>
  <c r="H45"/>
  <c r="S65" i="96"/>
  <c r="U61"/>
  <c r="S59"/>
  <c r="N55"/>
  <c r="F55"/>
  <c r="U53"/>
  <c r="U55" s="1"/>
  <c r="U63" s="1"/>
  <c r="U68" s="1"/>
  <c r="S51"/>
  <c r="N35"/>
  <c r="L35"/>
  <c r="J35"/>
  <c r="F35"/>
  <c r="D35"/>
  <c r="P21"/>
  <c r="N21"/>
  <c r="L21"/>
  <c r="J21"/>
  <c r="F21"/>
  <c r="N15"/>
  <c r="L15"/>
  <c r="J15"/>
  <c r="H13"/>
  <c r="F13"/>
  <c r="D13"/>
  <c r="B54" i="98"/>
  <c r="N54" s="1"/>
  <c r="N15"/>
  <c r="L15"/>
  <c r="K15" s="1"/>
  <c r="H14"/>
  <c r="N53" i="99"/>
  <c r="J53"/>
  <c r="F53"/>
  <c r="F52" i="100"/>
  <c r="D52"/>
  <c r="B52"/>
  <c r="F42"/>
  <c r="B42"/>
  <c r="H36"/>
  <c r="F36"/>
  <c r="D36"/>
  <c r="B36"/>
  <c r="D30"/>
  <c r="H54" i="101"/>
  <c r="H45"/>
  <c r="J55" i="102"/>
  <c r="H35"/>
  <c r="N13"/>
  <c r="L13"/>
  <c r="L15" s="1"/>
  <c r="J13"/>
  <c r="J26" i="103"/>
  <c r="H26"/>
  <c r="D15" i="110"/>
  <c r="P14"/>
  <c r="J14"/>
  <c r="H14"/>
  <c r="P53" i="111"/>
  <c r="N53"/>
  <c r="J53"/>
  <c r="N45"/>
  <c r="J45"/>
  <c r="B34" i="234" s="1"/>
  <c r="H45" i="111"/>
  <c r="H52" i="112"/>
  <c r="H54" i="113"/>
  <c r="H45"/>
  <c r="R75" i="114"/>
  <c r="R26" i="110" s="1"/>
  <c r="S65" i="114"/>
  <c r="J55"/>
  <c r="B55"/>
  <c r="B63" s="1"/>
  <c r="B68" s="1"/>
  <c r="B77" s="1"/>
  <c r="B81" s="1"/>
  <c r="P35"/>
  <c r="N35"/>
  <c r="L35"/>
  <c r="J35"/>
  <c r="H35"/>
  <c r="D21"/>
  <c r="N15" i="128"/>
  <c r="L15"/>
  <c r="K15" s="1"/>
  <c r="J15"/>
  <c r="F14"/>
  <c r="B14"/>
  <c r="H53" i="129"/>
  <c r="F53"/>
  <c r="B53"/>
  <c r="K52"/>
  <c r="O49"/>
  <c r="L45"/>
  <c r="B48" i="234" s="1"/>
  <c r="J45" i="129"/>
  <c r="B30" i="234" s="1"/>
  <c r="D45" i="129"/>
  <c r="M30"/>
  <c r="K30"/>
  <c r="H23"/>
  <c r="D23"/>
  <c r="D11" i="128" s="1"/>
  <c r="H15" i="130"/>
  <c r="H23" s="1"/>
  <c r="I54" i="131"/>
  <c r="J54" s="1"/>
  <c r="K54" s="1"/>
  <c r="I45"/>
  <c r="S65" i="132"/>
  <c r="S59"/>
  <c r="S58"/>
  <c r="F55"/>
  <c r="U53"/>
  <c r="U55" s="1"/>
  <c r="N35"/>
  <c r="L35"/>
  <c r="J35"/>
  <c r="F35"/>
  <c r="D35"/>
  <c r="P21"/>
  <c r="N21"/>
  <c r="L21"/>
  <c r="J21"/>
  <c r="P13"/>
  <c r="P15" s="1"/>
  <c r="N13"/>
  <c r="N15" s="1"/>
  <c r="N23" s="1"/>
  <c r="N28" s="1"/>
  <c r="N37" s="1"/>
  <c r="N41" s="1"/>
  <c r="L13"/>
  <c r="L15" s="1"/>
  <c r="J13"/>
  <c r="I37" i="133"/>
  <c r="J30"/>
  <c r="L15" i="134"/>
  <c r="K15" s="1"/>
  <c r="N45" i="135"/>
  <c r="L45"/>
  <c r="B54" i="234" s="1"/>
  <c r="J45" i="135"/>
  <c r="B35" i="234" s="1"/>
  <c r="F36" i="135"/>
  <c r="F34" i="136"/>
  <c r="F33"/>
  <c r="I45" i="137"/>
  <c r="J55" i="138"/>
  <c r="F35"/>
  <c r="D35"/>
  <c r="N21"/>
  <c r="L21"/>
  <c r="J21"/>
  <c r="H21"/>
  <c r="N13"/>
  <c r="L13"/>
  <c r="J13"/>
  <c r="H13"/>
  <c r="N45" i="141"/>
  <c r="L45"/>
  <c r="B47" i="234" s="1"/>
  <c r="J45" i="141"/>
  <c r="B29" i="234" s="1"/>
  <c r="H23" i="141"/>
  <c r="F23"/>
  <c r="D23"/>
  <c r="I54" i="143"/>
  <c r="I45"/>
  <c r="J45" s="1"/>
  <c r="K45" s="1"/>
  <c r="S74" i="144"/>
  <c r="S72"/>
  <c r="B55"/>
  <c r="H35"/>
  <c r="F21"/>
  <c r="D21"/>
  <c r="F24" i="140" s="1"/>
  <c r="M39" i="383"/>
  <c r="M36"/>
  <c r="M33" i="373"/>
  <c r="M32"/>
  <c r="J53" i="324"/>
  <c r="P53" s="1"/>
  <c r="L32" i="389"/>
  <c r="D22" i="391"/>
  <c r="D52" s="1"/>
  <c r="D28"/>
  <c r="E22"/>
  <c r="E25"/>
  <c r="E28"/>
  <c r="E33"/>
  <c r="E40"/>
  <c r="F26"/>
  <c r="F29"/>
  <c r="F32"/>
  <c r="F40"/>
  <c r="K22"/>
  <c r="K26"/>
  <c r="K28"/>
  <c r="K31"/>
  <c r="K35"/>
  <c r="K39"/>
  <c r="K46"/>
  <c r="L25"/>
  <c r="L28"/>
  <c r="L34"/>
  <c r="M83" i="379"/>
  <c r="F49" i="88"/>
  <c r="F52" s="1"/>
  <c r="F52" i="87"/>
  <c r="H49" i="30"/>
  <c r="H48" i="31" s="1"/>
  <c r="H52" i="111"/>
  <c r="M83" i="432" s="1"/>
  <c r="J24" i="140"/>
  <c r="B63" i="144"/>
  <c r="H15" i="138"/>
  <c r="L15"/>
  <c r="M13"/>
  <c r="F45" i="135"/>
  <c r="J39" i="133"/>
  <c r="M13" i="132"/>
  <c r="J25" i="128"/>
  <c r="H50" i="324"/>
  <c r="H11" i="128"/>
  <c r="K45" i="129"/>
  <c r="N26" i="110"/>
  <c r="J31" i="103"/>
  <c r="M13" i="102"/>
  <c r="H15" i="96"/>
  <c r="M15"/>
  <c r="L23"/>
  <c r="F26" i="92"/>
  <c r="D11" i="86"/>
  <c r="H11"/>
  <c r="M23" i="87"/>
  <c r="L11" i="86"/>
  <c r="F63" i="84"/>
  <c r="N45" i="82"/>
  <c r="K45" i="81"/>
  <c r="K13" i="78"/>
  <c r="J15"/>
  <c r="N15"/>
  <c r="K45" i="75"/>
  <c r="C12" i="133"/>
  <c r="F42" i="88"/>
  <c r="L52" i="76"/>
  <c r="O53" i="75"/>
  <c r="O14" i="74"/>
  <c r="H39" i="385"/>
  <c r="N39" s="1"/>
  <c r="M15" i="134"/>
  <c r="Q33" i="82"/>
  <c r="Q49"/>
  <c r="P53" i="130"/>
  <c r="C41" i="76"/>
  <c r="N47" i="385"/>
  <c r="D11" i="140"/>
  <c r="H11"/>
  <c r="I50" i="324"/>
  <c r="J15" i="138"/>
  <c r="K13"/>
  <c r="N15"/>
  <c r="N24" i="134"/>
  <c r="J15" i="132"/>
  <c r="K13"/>
  <c r="O13"/>
  <c r="F25" i="128"/>
  <c r="J63" i="114"/>
  <c r="S75"/>
  <c r="J15" i="102"/>
  <c r="N15"/>
  <c r="N26" i="98"/>
  <c r="J63" i="102"/>
  <c r="F15" i="96"/>
  <c r="K15"/>
  <c r="J23"/>
  <c r="N23"/>
  <c r="N28" s="1"/>
  <c r="J24" i="92"/>
  <c r="J26"/>
  <c r="N53" i="94"/>
  <c r="K45" i="93"/>
  <c r="J63" i="90"/>
  <c r="J68" s="1"/>
  <c r="J77" s="1"/>
  <c r="N11" i="86"/>
  <c r="R55" i="84"/>
  <c r="R24" i="80"/>
  <c r="Q13" i="82"/>
  <c r="Q23"/>
  <c r="Q29"/>
  <c r="Q35"/>
  <c r="Q41"/>
  <c r="Q50"/>
  <c r="Q14"/>
  <c r="Q17"/>
  <c r="Q10"/>
  <c r="P45"/>
  <c r="Q45" s="1"/>
  <c r="M13" i="78"/>
  <c r="L15"/>
  <c r="F26" i="74"/>
  <c r="F63" i="78"/>
  <c r="F68" s="1"/>
  <c r="F77" s="1"/>
  <c r="F81" s="1"/>
  <c r="J23" i="76"/>
  <c r="K15" s="1"/>
  <c r="C10"/>
  <c r="C19"/>
  <c r="C28"/>
  <c r="C40"/>
  <c r="C51"/>
  <c r="C17"/>
  <c r="C23"/>
  <c r="C14"/>
  <c r="D11" i="74"/>
  <c r="M53" i="51"/>
  <c r="G20" i="133"/>
  <c r="C12" i="97"/>
  <c r="F53" i="135"/>
  <c r="O21" i="132"/>
  <c r="K35"/>
  <c r="M21" i="96"/>
  <c r="M35"/>
  <c r="Q36" i="82"/>
  <c r="C42" i="76"/>
  <c r="C11"/>
  <c r="C21"/>
  <c r="C29"/>
  <c r="C35"/>
  <c r="H33" i="385"/>
  <c r="H35" s="1"/>
  <c r="Q21" i="82"/>
  <c r="Q39"/>
  <c r="H53" i="111"/>
  <c r="N33" i="385"/>
  <c r="K34" i="76"/>
  <c r="J68" i="114"/>
  <c r="N23" i="138"/>
  <c r="K15"/>
  <c r="K15" i="78"/>
  <c r="F68" i="84"/>
  <c r="J40" i="103"/>
  <c r="J43" i="133"/>
  <c r="N23" i="134"/>
  <c r="B68" i="144"/>
  <c r="B77" s="1"/>
  <c r="B81" s="1"/>
  <c r="M15" i="78"/>
  <c r="M11" i="86"/>
  <c r="K23" i="96"/>
  <c r="J28"/>
  <c r="J37" s="1"/>
  <c r="J41" s="1"/>
  <c r="F23"/>
  <c r="J23" i="92"/>
  <c r="J68" i="102"/>
  <c r="J23" i="132"/>
  <c r="M23" i="96"/>
  <c r="L28"/>
  <c r="K28" s="1"/>
  <c r="N23" i="92"/>
  <c r="L23" i="138"/>
  <c r="M23" s="1"/>
  <c r="M15"/>
  <c r="L37" i="96"/>
  <c r="L41" s="1"/>
  <c r="L28" i="138"/>
  <c r="J28" i="132"/>
  <c r="J77" i="102"/>
  <c r="J44" i="103"/>
  <c r="N28" i="138"/>
  <c r="N37" s="1"/>
  <c r="N41" s="1"/>
  <c r="J37" i="132"/>
  <c r="J41" s="1"/>
  <c r="M28" i="138"/>
  <c r="F40" i="52"/>
  <c r="S79" i="132"/>
  <c r="S71"/>
  <c r="H13"/>
  <c r="F13"/>
  <c r="F15" s="1"/>
  <c r="D13"/>
  <c r="D15" s="1"/>
  <c r="H40" i="43"/>
  <c r="D15" i="131"/>
  <c r="E15" s="1"/>
  <c r="H52" i="130"/>
  <c r="D30" i="95"/>
  <c r="D15"/>
  <c r="E15" s="1"/>
  <c r="H52" i="94"/>
  <c r="F53" i="93"/>
  <c r="E74" i="315"/>
  <c r="K16" i="316"/>
  <c r="E30" i="95"/>
  <c r="H35" i="78"/>
  <c r="N25" i="74"/>
  <c r="H21" i="78"/>
  <c r="N24" i="74" s="1"/>
  <c r="S54" i="78"/>
  <c r="R53"/>
  <c r="S53" s="1"/>
  <c r="B42" i="44"/>
  <c r="G74" i="315"/>
  <c r="N26" i="74"/>
  <c r="H21" i="102"/>
  <c r="S52"/>
  <c r="S51"/>
  <c r="C45" i="77"/>
  <c r="J38" i="195"/>
  <c r="M38"/>
  <c r="N34"/>
  <c r="N32"/>
  <c r="H38"/>
  <c r="N37" i="388"/>
  <c r="L63" i="391"/>
  <c r="M52" i="366"/>
  <c r="M74" i="391" s="1"/>
  <c r="I22"/>
  <c r="I25"/>
  <c r="I74"/>
  <c r="I71"/>
  <c r="I60"/>
  <c r="I50"/>
  <c r="I47"/>
  <c r="I44"/>
  <c r="I42"/>
  <c r="I38"/>
  <c r="I29"/>
  <c r="I23"/>
  <c r="I72"/>
  <c r="I69"/>
  <c r="I59"/>
  <c r="I56"/>
  <c r="I45"/>
  <c r="I39"/>
  <c r="I36"/>
  <c r="I33"/>
  <c r="I31"/>
  <c r="I27"/>
  <c r="H52"/>
  <c r="F63"/>
  <c r="D63"/>
  <c r="D73"/>
  <c r="D76" s="1"/>
  <c r="M49"/>
  <c r="M51"/>
  <c r="M27"/>
  <c r="M58"/>
  <c r="M69"/>
  <c r="M41"/>
  <c r="M44"/>
  <c r="M34"/>
  <c r="M46"/>
  <c r="M75"/>
  <c r="M60"/>
  <c r="M39"/>
  <c r="M57"/>
  <c r="M40"/>
  <c r="M62"/>
  <c r="M56"/>
  <c r="M59"/>
  <c r="M70"/>
  <c r="M31"/>
  <c r="M68"/>
  <c r="N33" i="389"/>
  <c r="N31"/>
  <c r="L30"/>
  <c r="N28"/>
  <c r="M41" i="43"/>
  <c r="B51" i="385"/>
  <c r="H51" s="1"/>
  <c r="H48"/>
  <c r="N48" s="1"/>
  <c r="B52"/>
  <c r="M41" i="88" l="1"/>
  <c r="M29"/>
  <c r="M44"/>
  <c r="M13"/>
  <c r="M12"/>
  <c r="M35"/>
  <c r="M22"/>
  <c r="M52"/>
  <c r="M18"/>
  <c r="M63" i="391"/>
  <c r="C20" i="85"/>
  <c r="C34" i="97"/>
  <c r="C27"/>
  <c r="C23" i="103"/>
  <c r="D52" i="112"/>
  <c r="N52" i="130"/>
  <c r="K20" i="142"/>
  <c r="K11"/>
  <c r="M45" i="81"/>
  <c r="B55" i="234"/>
  <c r="B66" i="40"/>
  <c r="H17" i="183"/>
  <c r="K15"/>
  <c r="C66" i="40"/>
  <c r="H19" i="183"/>
  <c r="K20"/>
  <c r="D66" i="40"/>
  <c r="K18" i="183"/>
  <c r="H20"/>
  <c r="D54" i="51"/>
  <c r="K11" i="90"/>
  <c r="K66" i="40"/>
  <c r="K12" i="183"/>
  <c r="H12"/>
  <c r="K68" i="51"/>
  <c r="K41" i="36" s="1"/>
  <c r="K25" i="102"/>
  <c r="L66" i="40"/>
  <c r="K14" i="183"/>
  <c r="H14"/>
  <c r="D36" i="136"/>
  <c r="C11" i="88"/>
  <c r="Q10" i="100"/>
  <c r="Q12"/>
  <c r="Q13"/>
  <c r="I42" i="75"/>
  <c r="I36"/>
  <c r="J15" i="83"/>
  <c r="J35" i="84"/>
  <c r="O11"/>
  <c r="K42" i="93"/>
  <c r="I36"/>
  <c r="L52" i="94"/>
  <c r="B52"/>
  <c r="J15" i="95"/>
  <c r="I36" i="99"/>
  <c r="I42" i="111"/>
  <c r="M42" i="129"/>
  <c r="I36"/>
  <c r="I36" i="135"/>
  <c r="J76" i="51"/>
  <c r="J68"/>
  <c r="I36" i="141"/>
  <c r="J52" i="143"/>
  <c r="M34" i="144"/>
  <c r="M20"/>
  <c r="L32" i="364"/>
  <c r="M32" i="372"/>
  <c r="N32" s="1"/>
  <c r="L32" i="382"/>
  <c r="M31" i="373"/>
  <c r="M29"/>
  <c r="D41" i="79"/>
  <c r="T79" i="78"/>
  <c r="B81" i="52" s="1"/>
  <c r="B68" i="51"/>
  <c r="B41" i="36" s="1"/>
  <c r="K25" i="78"/>
  <c r="B12" i="91"/>
  <c r="C12" s="1"/>
  <c r="S51" i="90"/>
  <c r="E66" i="40"/>
  <c r="K19" i="183"/>
  <c r="H18"/>
  <c r="E11" i="51"/>
  <c r="E60" i="40" s="1"/>
  <c r="B67" i="92"/>
  <c r="F66" i="40"/>
  <c r="K17" i="183"/>
  <c r="H15"/>
  <c r="G66" i="40"/>
  <c r="K16" i="183"/>
  <c r="H16"/>
  <c r="I53" i="129"/>
  <c r="Q30" i="82"/>
  <c r="Q42"/>
  <c r="I42" i="81"/>
  <c r="I36"/>
  <c r="O12" i="84"/>
  <c r="M11"/>
  <c r="K10"/>
  <c r="D36" i="87"/>
  <c r="J21" i="90"/>
  <c r="M11"/>
  <c r="I42" i="93"/>
  <c r="M12" i="98"/>
  <c r="J45" i="99"/>
  <c r="B33" i="234" s="1"/>
  <c r="I42" i="99"/>
  <c r="J15" i="101"/>
  <c r="M25" i="102"/>
  <c r="J21"/>
  <c r="J23" s="1"/>
  <c r="J28" s="1"/>
  <c r="I36" i="111"/>
  <c r="I52" i="113"/>
  <c r="I54" s="1"/>
  <c r="I42" i="129"/>
  <c r="O12" i="132"/>
  <c r="D36" i="135"/>
  <c r="I42" i="141"/>
  <c r="L32" i="383"/>
  <c r="N58" i="385"/>
  <c r="H26" i="397"/>
  <c r="M18" i="43"/>
  <c r="P16" i="31"/>
  <c r="F73" i="30"/>
  <c r="L16" i="31"/>
  <c r="H73" i="30"/>
  <c r="N20" i="29"/>
  <c r="C56" i="40"/>
  <c r="C62"/>
  <c r="N68" i="80" s="1"/>
  <c r="K27" i="76"/>
  <c r="Q27" i="82"/>
  <c r="Q15"/>
  <c r="P53"/>
  <c r="Q53" s="1"/>
  <c r="Q12"/>
  <c r="Q22"/>
  <c r="Q20"/>
  <c r="Q48"/>
  <c r="Q40"/>
  <c r="Q34"/>
  <c r="Q28"/>
  <c r="Q19"/>
  <c r="Q44"/>
  <c r="Q11"/>
  <c r="Q27" i="136"/>
  <c r="Q23"/>
  <c r="K30" i="100"/>
  <c r="G36" i="43"/>
  <c r="D42" i="44"/>
  <c r="I12" i="80"/>
  <c r="L36" i="88"/>
  <c r="M57" i="51"/>
  <c r="J48" i="113"/>
  <c r="K48" s="1"/>
  <c r="G13" i="182"/>
  <c r="G17"/>
  <c r="G12"/>
  <c r="G16"/>
  <c r="G11"/>
  <c r="G15"/>
  <c r="G19"/>
  <c r="G14"/>
  <c r="G18"/>
  <c r="N32" i="31"/>
  <c r="O33" i="30"/>
  <c r="N13" i="28"/>
  <c r="G73" i="30"/>
  <c r="I17"/>
  <c r="J73"/>
  <c r="N15" i="29"/>
  <c r="B62" i="40"/>
  <c r="B56"/>
  <c r="F59" i="324"/>
  <c r="L59" s="1"/>
  <c r="G27" i="145"/>
  <c r="L45" i="82"/>
  <c r="N35" i="31"/>
  <c r="I33" i="30"/>
  <c r="B30" i="76"/>
  <c r="C30" s="1"/>
  <c r="J63" i="51"/>
  <c r="P52" i="324"/>
  <c r="B104" i="314"/>
  <c r="I66" i="40"/>
  <c r="H13" i="183"/>
  <c r="K13"/>
  <c r="O32" i="182"/>
  <c r="O36"/>
  <c r="O31"/>
  <c r="O35"/>
  <c r="O41" s="1"/>
  <c r="H25" i="40"/>
  <c r="C79" i="33"/>
  <c r="M76" i="41"/>
  <c r="I15" i="141"/>
  <c r="D76" i="41"/>
  <c r="I60" i="40"/>
  <c r="I54"/>
  <c r="B54" i="134"/>
  <c r="N54" s="1"/>
  <c r="M80" i="41"/>
  <c r="F15" i="52"/>
  <c r="F68" i="40" s="1"/>
  <c r="F56"/>
  <c r="F60"/>
  <c r="F54"/>
  <c r="B13" i="133"/>
  <c r="C13" s="1"/>
  <c r="B67" i="128"/>
  <c r="B65"/>
  <c r="B13" i="132"/>
  <c r="C102" i="51" s="1"/>
  <c r="M77" i="41"/>
  <c r="L56" i="40"/>
  <c r="L60"/>
  <c r="L54"/>
  <c r="C40" i="112"/>
  <c r="C19"/>
  <c r="B28" i="103"/>
  <c r="C28" s="1"/>
  <c r="B24" i="98"/>
  <c r="C24" s="1"/>
  <c r="I105" i="51"/>
  <c r="K54" i="40"/>
  <c r="K60"/>
  <c r="K56"/>
  <c r="N65" i="98" s="1"/>
  <c r="M81" i="41"/>
  <c r="I15" i="99"/>
  <c r="D81" i="41"/>
  <c r="E56" i="40"/>
  <c r="E54"/>
  <c r="B41" i="92"/>
  <c r="N41" s="1"/>
  <c r="M79" i="41"/>
  <c r="B23" i="94"/>
  <c r="C49" s="1"/>
  <c r="C30"/>
  <c r="C27"/>
  <c r="D56" i="40"/>
  <c r="D54"/>
  <c r="D60"/>
  <c r="M82" i="41"/>
  <c r="B26" i="80"/>
  <c r="Q109" i="51"/>
  <c r="C15" i="52"/>
  <c r="C68" i="40" s="1"/>
  <c r="C60"/>
  <c r="C54"/>
  <c r="M84" i="41"/>
  <c r="C21" i="82"/>
  <c r="C18"/>
  <c r="B34" i="52"/>
  <c r="S58" i="78"/>
  <c r="B21" i="52"/>
  <c r="B54" i="40"/>
  <c r="B60"/>
  <c r="I52" i="75"/>
  <c r="M78" i="41"/>
  <c r="K15" i="79"/>
  <c r="I14" i="91"/>
  <c r="B68" i="140"/>
  <c r="G11" i="51"/>
  <c r="C59" i="33"/>
  <c r="G20" i="52"/>
  <c r="B21" i="144"/>
  <c r="G21" i="51"/>
  <c r="P15" i="144"/>
  <c r="M33"/>
  <c r="M19"/>
  <c r="M12"/>
  <c r="C61"/>
  <c r="K20"/>
  <c r="K12"/>
  <c r="G55" i="51"/>
  <c r="G54"/>
  <c r="G56" s="1"/>
  <c r="I30" i="141"/>
  <c r="J11" i="182"/>
  <c r="M76" i="405"/>
  <c r="I52" i="141"/>
  <c r="I62" i="30"/>
  <c r="J50" i="31"/>
  <c r="I51" i="30"/>
  <c r="J47" i="31"/>
  <c r="I48" i="30"/>
  <c r="J48" i="31"/>
  <c r="J40"/>
  <c r="I41" i="30"/>
  <c r="J20" i="31"/>
  <c r="I21" i="30"/>
  <c r="J13" i="31"/>
  <c r="I14" i="30"/>
  <c r="J12" i="31"/>
  <c r="I13" i="30"/>
  <c r="B30" i="182"/>
  <c r="C53" i="324"/>
  <c r="J48" i="182"/>
  <c r="M30" i="141"/>
  <c r="M21" i="138"/>
  <c r="M14"/>
  <c r="K21"/>
  <c r="J82" i="51"/>
  <c r="K10" i="138"/>
  <c r="I53" i="51"/>
  <c r="C49" i="113"/>
  <c r="I49" i="111"/>
  <c r="D84" i="405"/>
  <c r="I15" i="135"/>
  <c r="B11" i="134"/>
  <c r="I23" i="135"/>
  <c r="B17" i="182"/>
  <c r="I30" i="135"/>
  <c r="J18" i="182"/>
  <c r="B45" i="135"/>
  <c r="I42"/>
  <c r="M80" i="405"/>
  <c r="I52" i="135"/>
  <c r="B15" i="134"/>
  <c r="I15" s="1"/>
  <c r="H15"/>
  <c r="M80" i="432"/>
  <c r="K36" i="135"/>
  <c r="B36" i="182"/>
  <c r="K34" i="136"/>
  <c r="J26" i="40"/>
  <c r="L11" i="134"/>
  <c r="M15" i="135"/>
  <c r="O15" i="134"/>
  <c r="M35" i="132"/>
  <c r="M21"/>
  <c r="M12"/>
  <c r="M39"/>
  <c r="K21"/>
  <c r="M15"/>
  <c r="L23"/>
  <c r="K15"/>
  <c r="M11"/>
  <c r="C41" i="133"/>
  <c r="K33" i="132"/>
  <c r="F76" i="51"/>
  <c r="K32" i="132"/>
  <c r="F75" i="51"/>
  <c r="K19" i="132"/>
  <c r="K14"/>
  <c r="K12"/>
  <c r="F55" i="51"/>
  <c r="K11" i="132"/>
  <c r="F54" i="51"/>
  <c r="F42" i="44"/>
  <c r="D77" i="405"/>
  <c r="I15" i="129"/>
  <c r="I14" i="128"/>
  <c r="I30" i="129"/>
  <c r="J12" i="182"/>
  <c r="M77" i="405"/>
  <c r="I52" i="129"/>
  <c r="F21" i="36"/>
  <c r="K11" i="130"/>
  <c r="K27"/>
  <c r="K20"/>
  <c r="K28"/>
  <c r="K34"/>
  <c r="K17"/>
  <c r="K29"/>
  <c r="K33"/>
  <c r="K49"/>
  <c r="B31" i="182"/>
  <c r="B53" i="324"/>
  <c r="J49" i="182"/>
  <c r="M22" i="30"/>
  <c r="O42" i="129"/>
  <c r="B25" i="110"/>
  <c r="L26" i="51"/>
  <c r="M26" s="1"/>
  <c r="O35" i="114"/>
  <c r="K35"/>
  <c r="M10"/>
  <c r="K33"/>
  <c r="L76" i="51"/>
  <c r="J54" i="113"/>
  <c r="K54" s="1"/>
  <c r="D80" i="405"/>
  <c r="I15" i="111"/>
  <c r="I30"/>
  <c r="J15" i="182"/>
  <c r="L31" i="40"/>
  <c r="K14" i="110"/>
  <c r="B35" i="182"/>
  <c r="K42" i="111"/>
  <c r="L11" i="110"/>
  <c r="B52" i="182"/>
  <c r="O53" i="111"/>
  <c r="K15" i="115"/>
  <c r="I15"/>
  <c r="L17"/>
  <c r="H13" i="102"/>
  <c r="M12"/>
  <c r="M82" i="51"/>
  <c r="I30" i="99"/>
  <c r="J17" i="182"/>
  <c r="M81" i="405"/>
  <c r="I52" i="99"/>
  <c r="H23"/>
  <c r="D79" i="432"/>
  <c r="B34" i="182"/>
  <c r="L14" i="98"/>
  <c r="J53" i="182"/>
  <c r="O15" i="98"/>
  <c r="Q52" i="100"/>
  <c r="Q14"/>
  <c r="Q33"/>
  <c r="Q51"/>
  <c r="Q22"/>
  <c r="Q23"/>
  <c r="Q40"/>
  <c r="Q11"/>
  <c r="O21" i="96"/>
  <c r="H63"/>
  <c r="H68" s="1"/>
  <c r="H77" s="1"/>
  <c r="H23" i="92"/>
  <c r="K39" i="96"/>
  <c r="K25"/>
  <c r="K20"/>
  <c r="K19"/>
  <c r="M34"/>
  <c r="K18"/>
  <c r="D79" i="405"/>
  <c r="I15" i="93"/>
  <c r="I23"/>
  <c r="B14" i="182"/>
  <c r="I30" i="93"/>
  <c r="J14" i="182"/>
  <c r="M79" i="405"/>
  <c r="I52" i="93"/>
  <c r="D45"/>
  <c r="H53"/>
  <c r="M79" i="432"/>
  <c r="E31" i="40"/>
  <c r="B33" i="182"/>
  <c r="K11" i="92"/>
  <c r="M15" i="93"/>
  <c r="F63" i="90"/>
  <c r="F68" s="1"/>
  <c r="D15"/>
  <c r="M19"/>
  <c r="L15"/>
  <c r="K20"/>
  <c r="M84" i="405"/>
  <c r="I52" i="87"/>
  <c r="I30"/>
  <c r="J16" i="182"/>
  <c r="I23" i="87"/>
  <c r="B18" i="182"/>
  <c r="D82" i="405"/>
  <c r="I15" i="87"/>
  <c r="F14" i="88"/>
  <c r="D21" i="36"/>
  <c r="B37" i="182"/>
  <c r="O15" i="87"/>
  <c r="S24" i="80"/>
  <c r="M34" i="84"/>
  <c r="J13"/>
  <c r="C55" i="51"/>
  <c r="C69" i="423"/>
  <c r="C69" i="432"/>
  <c r="H69" s="1"/>
  <c r="N69" s="1"/>
  <c r="D42" i="83"/>
  <c r="E42" s="1"/>
  <c r="I23"/>
  <c r="D83" i="405"/>
  <c r="I15" i="81"/>
  <c r="I30"/>
  <c r="J19" i="182"/>
  <c r="I14" i="80"/>
  <c r="M83" i="405"/>
  <c r="I52" i="81"/>
  <c r="C31" i="40"/>
  <c r="B38" i="182"/>
  <c r="C15" i="40"/>
  <c r="C11"/>
  <c r="M52" i="81"/>
  <c r="K53"/>
  <c r="B56" i="182"/>
  <c r="L11" i="80"/>
  <c r="O15"/>
  <c r="O42" i="81"/>
  <c r="O53"/>
  <c r="M35" i="78"/>
  <c r="K35"/>
  <c r="L21"/>
  <c r="L23"/>
  <c r="L28" s="1"/>
  <c r="L37" s="1"/>
  <c r="K50" i="76"/>
  <c r="I30" i="75"/>
  <c r="J13" i="182"/>
  <c r="D78" i="405"/>
  <c r="I15" i="75"/>
  <c r="J54" i="324"/>
  <c r="M78" i="432"/>
  <c r="H61" i="397"/>
  <c r="H40"/>
  <c r="K14" i="30"/>
  <c r="B32" i="182"/>
  <c r="P15" i="76"/>
  <c r="N52" i="324"/>
  <c r="C30" i="44"/>
  <c r="F23" i="76"/>
  <c r="N68" i="252"/>
  <c r="D13" i="78"/>
  <c r="J52" i="83"/>
  <c r="J30"/>
  <c r="K30" s="1"/>
  <c r="J21" i="84"/>
  <c r="D13"/>
  <c r="F53" i="87"/>
  <c r="L53"/>
  <c r="I45" i="89"/>
  <c r="P35" i="90"/>
  <c r="P21" i="102"/>
  <c r="M15" i="110"/>
  <c r="B35" i="114"/>
  <c r="D42" i="131"/>
  <c r="E42" s="1"/>
  <c r="D36"/>
  <c r="E36" s="1"/>
  <c r="J30"/>
  <c r="K30" s="1"/>
  <c r="J15"/>
  <c r="L38" i="383"/>
  <c r="L38" i="372"/>
  <c r="L30" i="382"/>
  <c r="J36" i="77"/>
  <c r="K36" s="1"/>
  <c r="O19" i="78"/>
  <c r="O18"/>
  <c r="O11"/>
  <c r="O10"/>
  <c r="I37" i="79"/>
  <c r="H45" i="83"/>
  <c r="K34" i="84"/>
  <c r="K31"/>
  <c r="F35"/>
  <c r="J26" i="80" s="1"/>
  <c r="F13" i="84"/>
  <c r="O36" i="87"/>
  <c r="P14" i="88"/>
  <c r="L35" i="90"/>
  <c r="K18"/>
  <c r="P13"/>
  <c r="F15"/>
  <c r="J23" i="86" s="1"/>
  <c r="B15" i="90"/>
  <c r="M10"/>
  <c r="H16" i="91"/>
  <c r="K14"/>
  <c r="H63" i="102"/>
  <c r="H68" s="1"/>
  <c r="H77" s="1"/>
  <c r="D13"/>
  <c r="M33" i="114"/>
  <c r="O19"/>
  <c r="M14"/>
  <c r="J36" i="143"/>
  <c r="K36" s="1"/>
  <c r="P35" i="144"/>
  <c r="O34"/>
  <c r="O33"/>
  <c r="N38" i="383"/>
  <c r="N38" i="372"/>
  <c r="L29" i="373"/>
  <c r="D23" i="140"/>
  <c r="C55" i="144"/>
  <c r="D63"/>
  <c r="D68" s="1"/>
  <c r="K15" i="86"/>
  <c r="K52" i="100"/>
  <c r="N68" i="231"/>
  <c r="O33" i="78"/>
  <c r="O31"/>
  <c r="M19"/>
  <c r="D21"/>
  <c r="F24" i="74" s="1"/>
  <c r="O12" i="78"/>
  <c r="F13"/>
  <c r="K11"/>
  <c r="K10"/>
  <c r="H13"/>
  <c r="K37" i="79"/>
  <c r="I54" i="83"/>
  <c r="J54" s="1"/>
  <c r="K54" s="1"/>
  <c r="J36"/>
  <c r="K36" s="1"/>
  <c r="U61" i="84"/>
  <c r="C21" i="85"/>
  <c r="P63" i="84"/>
  <c r="P68" s="1"/>
  <c r="L35"/>
  <c r="K33"/>
  <c r="L13"/>
  <c r="M13" s="1"/>
  <c r="M42" i="87"/>
  <c r="D42" i="88"/>
  <c r="M36" i="87"/>
  <c r="M30"/>
  <c r="J15" i="89"/>
  <c r="K15" s="1"/>
  <c r="C61" i="90"/>
  <c r="C13" i="91"/>
  <c r="M14" i="90"/>
  <c r="I23" i="95"/>
  <c r="M10" i="96"/>
  <c r="K10"/>
  <c r="K37" i="97"/>
  <c r="R25" i="98"/>
  <c r="P53" i="99"/>
  <c r="J42" i="101"/>
  <c r="K42" s="1"/>
  <c r="J30"/>
  <c r="K30" s="1"/>
  <c r="I23"/>
  <c r="C42" i="103"/>
  <c r="U75" i="102"/>
  <c r="O39"/>
  <c r="K39"/>
  <c r="M34"/>
  <c r="K32"/>
  <c r="O10"/>
  <c r="R25" i="110"/>
  <c r="J52" i="113"/>
  <c r="K52" s="1"/>
  <c r="P21" i="114"/>
  <c r="H21"/>
  <c r="M20"/>
  <c r="K20"/>
  <c r="B21"/>
  <c r="I107" i="51" s="1"/>
  <c r="N13" i="114"/>
  <c r="J52" i="131"/>
  <c r="I23"/>
  <c r="C36" i="133"/>
  <c r="M33" i="132"/>
  <c r="O30" i="135"/>
  <c r="O13" i="144"/>
  <c r="M11"/>
  <c r="N36" i="364"/>
  <c r="L34" i="372"/>
  <c r="L33" i="382"/>
  <c r="L31"/>
  <c r="L29"/>
  <c r="L26"/>
  <c r="N29" i="373"/>
  <c r="M28"/>
  <c r="N28" s="1"/>
  <c r="M26"/>
  <c r="N32" i="389"/>
  <c r="M63" i="390"/>
  <c r="N33" i="373"/>
  <c r="J45" i="83"/>
  <c r="K45" s="1"/>
  <c r="N38" i="364"/>
  <c r="K42" i="43"/>
  <c r="G42" i="44"/>
  <c r="M50" i="299"/>
  <c r="M48"/>
  <c r="M26" i="252"/>
  <c r="M67" i="52"/>
  <c r="M56"/>
  <c r="O15" i="92"/>
  <c r="D15" i="102"/>
  <c r="F15" i="114"/>
  <c r="L25" i="115"/>
  <c r="L30" s="1"/>
  <c r="O39" i="138"/>
  <c r="K25"/>
  <c r="O20"/>
  <c r="M18"/>
  <c r="K42" i="141"/>
  <c r="K30"/>
  <c r="O15"/>
  <c r="M39" i="144"/>
  <c r="N35"/>
  <c r="K34"/>
  <c r="K33"/>
  <c r="M32"/>
  <c r="M25"/>
  <c r="L34" i="383"/>
  <c r="N34" s="1"/>
  <c r="N34" i="372"/>
  <c r="N32" i="365"/>
  <c r="M30" i="373"/>
  <c r="N30" s="1"/>
  <c r="K34" i="388"/>
  <c r="N34" s="1"/>
  <c r="D63" i="114"/>
  <c r="C55"/>
  <c r="D23" i="110"/>
  <c r="M42" i="136"/>
  <c r="M34"/>
  <c r="M29"/>
  <c r="M41"/>
  <c r="M12"/>
  <c r="M28"/>
  <c r="M39"/>
  <c r="M10"/>
  <c r="M14"/>
  <c r="M23"/>
  <c r="D45" i="135"/>
  <c r="D53"/>
  <c r="M15" i="128"/>
  <c r="K35" i="96"/>
  <c r="M45" i="75"/>
  <c r="N29" i="389"/>
  <c r="M50" i="324"/>
  <c r="H15" i="90"/>
  <c r="J52" i="391"/>
  <c r="K63"/>
  <c r="K29" i="100"/>
  <c r="K19"/>
  <c r="Q35" i="136"/>
  <c r="Q29"/>
  <c r="Q28"/>
  <c r="C20" i="82"/>
  <c r="C40"/>
  <c r="M15" i="136"/>
  <c r="K48" i="130"/>
  <c r="K35"/>
  <c r="K35" i="142"/>
  <c r="K20" i="136"/>
  <c r="O36" i="142"/>
  <c r="C15" i="82"/>
  <c r="O10" i="142"/>
  <c r="O14"/>
  <c r="O29"/>
  <c r="O23"/>
  <c r="O15"/>
  <c r="J53"/>
  <c r="O42"/>
  <c r="N28" i="365"/>
  <c r="N30"/>
  <c r="N68" i="299"/>
  <c r="K33" i="78"/>
  <c r="M25"/>
  <c r="P21"/>
  <c r="O20"/>
  <c r="J21"/>
  <c r="J23" s="1"/>
  <c r="B21"/>
  <c r="I104" i="51" s="1"/>
  <c r="B56"/>
  <c r="C75" i="84"/>
  <c r="J15"/>
  <c r="M34" i="90"/>
  <c r="K34"/>
  <c r="M32"/>
  <c r="O19"/>
  <c r="O18"/>
  <c r="K15" i="92"/>
  <c r="I45" i="95"/>
  <c r="O34" i="96"/>
  <c r="O14"/>
  <c r="L25" i="97"/>
  <c r="J52" i="101"/>
  <c r="M14" i="110"/>
  <c r="J13" i="114"/>
  <c r="J15" s="1"/>
  <c r="K17" i="115"/>
  <c r="P63" i="132"/>
  <c r="P68" s="1"/>
  <c r="L25" i="133"/>
  <c r="M30" i="135"/>
  <c r="L25" i="139"/>
  <c r="L53" i="141"/>
  <c r="J30" i="143"/>
  <c r="J15"/>
  <c r="K15" s="1"/>
  <c r="P21" i="144"/>
  <c r="J13"/>
  <c r="J15" s="1"/>
  <c r="L39" i="364"/>
  <c r="N37"/>
  <c r="L34"/>
  <c r="N32"/>
  <c r="L39" i="383"/>
  <c r="L36"/>
  <c r="N31" i="365"/>
  <c r="N25"/>
  <c r="N32" i="382"/>
  <c r="N30"/>
  <c r="L26" i="373"/>
  <c r="N32" i="388"/>
  <c r="N26" i="389"/>
  <c r="N30"/>
  <c r="N38" i="388"/>
  <c r="N26" i="365"/>
  <c r="M40" i="43"/>
  <c r="I36"/>
  <c r="I52" i="44"/>
  <c r="K52"/>
  <c r="I42"/>
  <c r="K42"/>
  <c r="D36"/>
  <c r="N12" i="379"/>
  <c r="B51" i="299"/>
  <c r="K36" i="75"/>
  <c r="K20" i="84"/>
  <c r="K14"/>
  <c r="J30" i="89"/>
  <c r="J13" i="90"/>
  <c r="J15" s="1"/>
  <c r="L24" i="91"/>
  <c r="N45" i="99"/>
  <c r="O11" i="98"/>
  <c r="N55" i="102"/>
  <c r="L35"/>
  <c r="D35"/>
  <c r="K19"/>
  <c r="K18"/>
  <c r="H15"/>
  <c r="O12"/>
  <c r="F13"/>
  <c r="B13"/>
  <c r="C108" i="51" s="1"/>
  <c r="P45" i="111"/>
  <c r="J36" i="113"/>
  <c r="K36" s="1"/>
  <c r="J30"/>
  <c r="K30" s="1"/>
  <c r="J15"/>
  <c r="K15" s="1"/>
  <c r="M39" i="114"/>
  <c r="O31"/>
  <c r="F35"/>
  <c r="J26" i="110" s="1"/>
  <c r="K25" i="114"/>
  <c r="H45" i="131"/>
  <c r="J45" s="1"/>
  <c r="K45" s="1"/>
  <c r="M32" i="132"/>
  <c r="O25"/>
  <c r="O14"/>
  <c r="I23" i="133"/>
  <c r="O36" i="135"/>
  <c r="H54" i="137"/>
  <c r="C75" i="138"/>
  <c r="M39"/>
  <c r="O33"/>
  <c r="J25" i="139"/>
  <c r="O15" i="140"/>
  <c r="J53" i="141"/>
  <c r="H54" i="143"/>
  <c r="L21" i="144"/>
  <c r="P23"/>
  <c r="B15"/>
  <c r="F104" i="51" s="1"/>
  <c r="D13" i="144"/>
  <c r="N39" i="364"/>
  <c r="N34"/>
  <c r="N39" i="383"/>
  <c r="N36"/>
  <c r="N32"/>
  <c r="L39" i="372"/>
  <c r="N39" s="1"/>
  <c r="L36"/>
  <c r="N36" s="1"/>
  <c r="N33" i="365"/>
  <c r="N29"/>
  <c r="N33" i="382"/>
  <c r="N31"/>
  <c r="N29"/>
  <c r="M28"/>
  <c r="M26"/>
  <c r="N26" s="1"/>
  <c r="L32" i="373"/>
  <c r="N32" s="1"/>
  <c r="L31"/>
  <c r="N31" s="1"/>
  <c r="N26"/>
  <c r="N36" i="388"/>
  <c r="L41" i="78"/>
  <c r="M28" i="96"/>
  <c r="N37"/>
  <c r="N41" s="1"/>
  <c r="M41" s="1"/>
  <c r="G59" i="324"/>
  <c r="M59" s="1"/>
  <c r="G27" i="79"/>
  <c r="G20" i="145"/>
  <c r="F23"/>
  <c r="G23" s="1"/>
  <c r="G20" i="79"/>
  <c r="F23"/>
  <c r="H25"/>
  <c r="H30" s="1"/>
  <c r="H39" s="1"/>
  <c r="H43" s="1"/>
  <c r="D61" i="324" s="1"/>
  <c r="D57"/>
  <c r="H63" i="84"/>
  <c r="H68" s="1"/>
  <c r="H23" i="80"/>
  <c r="L63" i="96"/>
  <c r="L23" i="92"/>
  <c r="D63" i="102"/>
  <c r="D68" s="1"/>
  <c r="D77" s="1"/>
  <c r="D23" i="98"/>
  <c r="L23" i="110"/>
  <c r="L63" i="114"/>
  <c r="L68" s="1"/>
  <c r="N11" i="128"/>
  <c r="O11" s="1"/>
  <c r="M23" i="129"/>
  <c r="F11" i="40"/>
  <c r="F15"/>
  <c r="E50" i="324"/>
  <c r="D22" i="128"/>
  <c r="D63" i="132"/>
  <c r="D68" s="1"/>
  <c r="J11" i="134"/>
  <c r="I11" i="40"/>
  <c r="I15"/>
  <c r="M23" i="141"/>
  <c r="K23"/>
  <c r="L63" i="144"/>
  <c r="L68" s="1"/>
  <c r="L23" i="140"/>
  <c r="B23"/>
  <c r="B23" i="144"/>
  <c r="B76" i="140" s="1"/>
  <c r="B64"/>
  <c r="R55" i="78"/>
  <c r="R23" i="74" s="1"/>
  <c r="S23" s="1"/>
  <c r="K41" i="96"/>
  <c r="K14" i="76"/>
  <c r="K19"/>
  <c r="K39"/>
  <c r="K12"/>
  <c r="O54" i="182"/>
  <c r="O50"/>
  <c r="O55"/>
  <c r="O53"/>
  <c r="O51"/>
  <c r="O49"/>
  <c r="O56"/>
  <c r="O52"/>
  <c r="O48"/>
  <c r="L55" i="234"/>
  <c r="L53"/>
  <c r="L51"/>
  <c r="L49"/>
  <c r="L47"/>
  <c r="L54"/>
  <c r="L52"/>
  <c r="L50"/>
  <c r="L48"/>
  <c r="H36"/>
  <c r="H34"/>
  <c r="H32"/>
  <c r="H30"/>
  <c r="H37"/>
  <c r="H35"/>
  <c r="H33"/>
  <c r="H31"/>
  <c r="H29"/>
  <c r="B15" i="74"/>
  <c r="M78" i="405"/>
  <c r="O34" i="78"/>
  <c r="O14"/>
  <c r="O34" i="84"/>
  <c r="O32"/>
  <c r="O19"/>
  <c r="O10"/>
  <c r="O33" i="90"/>
  <c r="O32"/>
  <c r="O11" i="96"/>
  <c r="B23" i="99"/>
  <c r="D81" i="405"/>
  <c r="O34" i="102"/>
  <c r="O34" i="138"/>
  <c r="O32"/>
  <c r="O19"/>
  <c r="B23" i="141"/>
  <c r="D76" i="405"/>
  <c r="O19" i="144"/>
  <c r="N50" i="324"/>
  <c r="J54" i="143"/>
  <c r="K54" s="1"/>
  <c r="O14" i="110"/>
  <c r="K21" i="96"/>
  <c r="C23" i="140"/>
  <c r="AB122" i="21"/>
  <c r="AB110"/>
  <c r="AB106"/>
  <c r="AB102"/>
  <c r="AB99"/>
  <c r="AB95"/>
  <c r="AB91"/>
  <c r="AB87"/>
  <c r="AB83"/>
  <c r="AB79"/>
  <c r="AB75"/>
  <c r="I155" i="314"/>
  <c r="C155"/>
  <c r="I155" i="315"/>
  <c r="C155"/>
  <c r="I154" i="316"/>
  <c r="C154"/>
  <c r="M19" i="44"/>
  <c r="E51" i="299"/>
  <c r="M49"/>
  <c r="M47"/>
  <c r="M27"/>
  <c r="M19"/>
  <c r="M12"/>
  <c r="M10"/>
  <c r="H49" i="252"/>
  <c r="H43"/>
  <c r="M40"/>
  <c r="B41"/>
  <c r="G41"/>
  <c r="C41"/>
  <c r="M38"/>
  <c r="M28"/>
  <c r="F29"/>
  <c r="H27"/>
  <c r="M19"/>
  <c r="J15"/>
  <c r="B15"/>
  <c r="M12"/>
  <c r="M10"/>
  <c r="B63" i="52"/>
  <c r="B62" i="36" s="1"/>
  <c r="P54" i="324"/>
  <c r="M36" i="75"/>
  <c r="J15" i="77"/>
  <c r="K15" s="1"/>
  <c r="U79" i="78"/>
  <c r="F41" i="79" s="1"/>
  <c r="J39" i="78"/>
  <c r="B82" i="51" s="1"/>
  <c r="H82" s="1"/>
  <c r="N82" s="1"/>
  <c r="C53" i="78"/>
  <c r="K34"/>
  <c r="M32"/>
  <c r="K32"/>
  <c r="N21"/>
  <c r="M20"/>
  <c r="K12"/>
  <c r="M10"/>
  <c r="D36" i="88"/>
  <c r="H34"/>
  <c r="H36" s="1"/>
  <c r="J42" i="89"/>
  <c r="K42" s="1"/>
  <c r="K33" i="90"/>
  <c r="K32"/>
  <c r="K25"/>
  <c r="L21"/>
  <c r="K19"/>
  <c r="M18"/>
  <c r="M13" i="92"/>
  <c r="M52" i="93"/>
  <c r="K36"/>
  <c r="K42" i="95"/>
  <c r="E42"/>
  <c r="J30"/>
  <c r="U75" i="96"/>
  <c r="M39"/>
  <c r="K34"/>
  <c r="M33"/>
  <c r="K33"/>
  <c r="M32"/>
  <c r="K32"/>
  <c r="M31"/>
  <c r="M25"/>
  <c r="M19"/>
  <c r="H25" i="97"/>
  <c r="B69" i="98"/>
  <c r="N14"/>
  <c r="O14" s="1"/>
  <c r="J14"/>
  <c r="I14" s="1"/>
  <c r="O12"/>
  <c r="O52" i="99"/>
  <c r="H53"/>
  <c r="K36"/>
  <c r="H52" i="100"/>
  <c r="U53" i="102"/>
  <c r="C53"/>
  <c r="M39"/>
  <c r="K34"/>
  <c r="J35"/>
  <c r="J37" s="1"/>
  <c r="B35"/>
  <c r="Q106" i="51" s="1"/>
  <c r="M31" i="102"/>
  <c r="L21"/>
  <c r="M18"/>
  <c r="M14"/>
  <c r="K14"/>
  <c r="K12"/>
  <c r="M11"/>
  <c r="K11"/>
  <c r="K10"/>
  <c r="I16" i="103"/>
  <c r="K15" i="110"/>
  <c r="M13"/>
  <c r="M42" i="111"/>
  <c r="J42" i="113"/>
  <c r="K42" s="1"/>
  <c r="D42"/>
  <c r="U75" i="114"/>
  <c r="H63"/>
  <c r="C16" i="115"/>
  <c r="U53" i="114"/>
  <c r="U55" s="1"/>
  <c r="M32"/>
  <c r="M25"/>
  <c r="N21"/>
  <c r="J21"/>
  <c r="J23" s="1"/>
  <c r="J28" s="1"/>
  <c r="J37" s="1"/>
  <c r="J41" s="1"/>
  <c r="M19"/>
  <c r="K19"/>
  <c r="O14"/>
  <c r="K14"/>
  <c r="P13"/>
  <c r="P15" s="1"/>
  <c r="K12"/>
  <c r="K11"/>
  <c r="O10"/>
  <c r="K10"/>
  <c r="J25" i="115"/>
  <c r="J30" s="1"/>
  <c r="J39" s="1"/>
  <c r="J43" s="1"/>
  <c r="H17"/>
  <c r="B54" i="128"/>
  <c r="N54" s="1"/>
  <c r="B15"/>
  <c r="I15" s="1"/>
  <c r="L14"/>
  <c r="K14" s="1"/>
  <c r="K12"/>
  <c r="L53" i="129"/>
  <c r="E53" i="324"/>
  <c r="N53" s="1"/>
  <c r="U75" i="132"/>
  <c r="C53"/>
  <c r="O39"/>
  <c r="H35"/>
  <c r="H21"/>
  <c r="M18"/>
  <c r="F21"/>
  <c r="J23" i="128" s="1"/>
  <c r="M14" i="132"/>
  <c r="M10"/>
  <c r="I15" i="133"/>
  <c r="B41" i="134"/>
  <c r="N41" s="1"/>
  <c r="P14"/>
  <c r="O14" s="1"/>
  <c r="L14"/>
  <c r="K14" s="1"/>
  <c r="N53" i="135"/>
  <c r="M36"/>
  <c r="K15"/>
  <c r="J42" i="137"/>
  <c r="K42" s="1"/>
  <c r="D42"/>
  <c r="J36"/>
  <c r="D36"/>
  <c r="E36" s="1"/>
  <c r="J15"/>
  <c r="K15" s="1"/>
  <c r="C22" i="139"/>
  <c r="K31" i="138"/>
  <c r="I37" i="139"/>
  <c r="M12" i="140"/>
  <c r="M52" i="141"/>
  <c r="K36"/>
  <c r="P23"/>
  <c r="P11" i="140" s="1"/>
  <c r="O11" s="1"/>
  <c r="D42" i="143"/>
  <c r="E42" s="1"/>
  <c r="K30"/>
  <c r="C75" i="144"/>
  <c r="U61"/>
  <c r="K39"/>
  <c r="K32"/>
  <c r="J21"/>
  <c r="K21" s="1"/>
  <c r="N15"/>
  <c r="I23" i="145"/>
  <c r="L37" i="383"/>
  <c r="N37" s="1"/>
  <c r="L44" i="385"/>
  <c r="N60"/>
  <c r="L27" i="389"/>
  <c r="K25"/>
  <c r="M25"/>
  <c r="D52" i="95"/>
  <c r="E52" s="1"/>
  <c r="O20" i="102"/>
  <c r="H54" i="234"/>
  <c r="H52"/>
  <c r="H50"/>
  <c r="H48"/>
  <c r="H55"/>
  <c r="H53"/>
  <c r="H51"/>
  <c r="H49"/>
  <c r="H47"/>
  <c r="L35"/>
  <c r="L36"/>
  <c r="L33"/>
  <c r="L31"/>
  <c r="L29"/>
  <c r="L37"/>
  <c r="L34"/>
  <c r="L32"/>
  <c r="L30"/>
  <c r="P35" i="78"/>
  <c r="B78" i="51"/>
  <c r="B42" i="36" s="1"/>
  <c r="P35" i="96"/>
  <c r="O31"/>
  <c r="H74" i="51"/>
  <c r="N74" s="1"/>
  <c r="O25" i="96"/>
  <c r="E41" i="36"/>
  <c r="H41" s="1"/>
  <c r="O20" i="96"/>
  <c r="O19"/>
  <c r="P15"/>
  <c r="O32" i="102"/>
  <c r="O19"/>
  <c r="O18"/>
  <c r="P35" i="132"/>
  <c r="O19"/>
  <c r="O14" i="138"/>
  <c r="J57" i="51"/>
  <c r="J54"/>
  <c r="O10" i="138"/>
  <c r="H15" i="140"/>
  <c r="O20" i="144"/>
  <c r="O14"/>
  <c r="G58" i="51"/>
  <c r="L33" i="403"/>
  <c r="K33"/>
  <c r="L34"/>
  <c r="M34"/>
  <c r="U77" i="96"/>
  <c r="U81" s="1"/>
  <c r="O53" i="93"/>
  <c r="B44" i="385"/>
  <c r="AB124" i="21"/>
  <c r="AB108"/>
  <c r="AB104"/>
  <c r="AB100"/>
  <c r="AB97"/>
  <c r="AB93"/>
  <c r="AB89"/>
  <c r="AB85"/>
  <c r="AB81"/>
  <c r="AB77"/>
  <c r="AB73"/>
  <c r="AB67"/>
  <c r="AB65"/>
  <c r="AB59"/>
  <c r="AB55"/>
  <c r="AB53"/>
  <c r="AB41"/>
  <c r="AB39"/>
  <c r="AB37"/>
  <c r="AB27"/>
  <c r="AB25"/>
  <c r="J155" i="314"/>
  <c r="J155" i="315"/>
  <c r="J154" i="316"/>
  <c r="D36" i="34"/>
  <c r="T26" i="28"/>
  <c r="D22" i="34"/>
  <c r="D12"/>
  <c r="B70" i="74"/>
  <c r="O15" i="75"/>
  <c r="H52" i="76"/>
  <c r="K23" i="79"/>
  <c r="O15" i="81"/>
  <c r="C61" i="84"/>
  <c r="C53"/>
  <c r="M31"/>
  <c r="K25"/>
  <c r="P21"/>
  <c r="M18"/>
  <c r="O15" i="86"/>
  <c r="K36" i="87"/>
  <c r="K15" i="95"/>
  <c r="K15" i="101"/>
  <c r="K25" i="115"/>
  <c r="H25"/>
  <c r="H30" s="1"/>
  <c r="K15" i="131"/>
  <c r="M14" i="134"/>
  <c r="J35" i="138"/>
  <c r="O15" i="144"/>
  <c r="L37" i="372"/>
  <c r="N37" s="1"/>
  <c r="L28" i="382"/>
  <c r="N28" s="1"/>
  <c r="K27" i="389"/>
  <c r="N27" s="1"/>
  <c r="F20" i="52"/>
  <c r="N55" i="132"/>
  <c r="N65" i="128"/>
  <c r="H15" i="132"/>
  <c r="H12" i="33"/>
  <c r="H13" s="1"/>
  <c r="F13" i="52"/>
  <c r="R75" i="96"/>
  <c r="R26" i="92" s="1"/>
  <c r="S26" s="1"/>
  <c r="S74" i="96"/>
  <c r="H25" i="33"/>
  <c r="H21" i="96"/>
  <c r="N63"/>
  <c r="N68" s="1"/>
  <c r="H14" i="92"/>
  <c r="E13" i="36"/>
  <c r="H35" i="138"/>
  <c r="I34" i="36"/>
  <c r="H23" i="138"/>
  <c r="H28" s="1"/>
  <c r="H37" s="1"/>
  <c r="H41" s="1"/>
  <c r="N68"/>
  <c r="J12" i="51"/>
  <c r="H23" i="135"/>
  <c r="H15" i="136"/>
  <c r="B104" i="315"/>
  <c r="I84" i="23"/>
  <c r="N24" i="98"/>
  <c r="S60" i="102"/>
  <c r="K21" i="52"/>
  <c r="M19"/>
  <c r="F24" i="98"/>
  <c r="N63" i="102"/>
  <c r="N68" s="1"/>
  <c r="D42" i="101"/>
  <c r="E42" s="1"/>
  <c r="K14" i="36"/>
  <c r="K13"/>
  <c r="H11" i="98"/>
  <c r="H33" i="33"/>
  <c r="C34" i="52"/>
  <c r="H35" i="84"/>
  <c r="N68"/>
  <c r="N77" s="1"/>
  <c r="C14" i="51"/>
  <c r="C16" s="1"/>
  <c r="H15" i="84"/>
  <c r="H11" i="80"/>
  <c r="N26" i="140"/>
  <c r="S71" i="144"/>
  <c r="S73"/>
  <c r="G34" i="52"/>
  <c r="G34" i="36"/>
  <c r="G48" s="1"/>
  <c r="S59" i="144"/>
  <c r="H21"/>
  <c r="N55"/>
  <c r="H13" i="114"/>
  <c r="N67" i="110"/>
  <c r="N65"/>
  <c r="N77" i="114"/>
  <c r="L13" i="36"/>
  <c r="H23" i="112"/>
  <c r="N24" i="86"/>
  <c r="H18" i="33"/>
  <c r="D20" i="52"/>
  <c r="D22" s="1"/>
  <c r="D55" i="36" s="1"/>
  <c r="N63" i="90"/>
  <c r="H35" i="51"/>
  <c r="H19" i="33"/>
  <c r="D15" i="78"/>
  <c r="H15"/>
  <c r="N63"/>
  <c r="H49" i="31"/>
  <c r="H42" i="30"/>
  <c r="H53" i="75"/>
  <c r="H34" i="31"/>
  <c r="H26"/>
  <c r="D8" i="324"/>
  <c r="H21" i="31"/>
  <c r="M73" i="30"/>
  <c r="J50" i="324"/>
  <c r="G63" i="52"/>
  <c r="G62" i="36" s="1"/>
  <c r="D23" i="145"/>
  <c r="C21"/>
  <c r="C45" i="143"/>
  <c r="D45" s="1"/>
  <c r="E45" s="1"/>
  <c r="G69" i="414"/>
  <c r="G69" i="423"/>
  <c r="M76"/>
  <c r="D76"/>
  <c r="J26" i="134"/>
  <c r="J34" i="51"/>
  <c r="J32"/>
  <c r="J19"/>
  <c r="I69" i="414"/>
  <c r="J69" s="1"/>
  <c r="I69" i="423"/>
  <c r="J69" s="1"/>
  <c r="M80"/>
  <c r="D84"/>
  <c r="F69" i="414"/>
  <c r="F69" i="423"/>
  <c r="M77"/>
  <c r="D77"/>
  <c r="F45" i="129"/>
  <c r="D37" i="115"/>
  <c r="J23" i="110"/>
  <c r="L69" i="414"/>
  <c r="L69" i="423"/>
  <c r="F53" i="111"/>
  <c r="M83" i="423"/>
  <c r="D81"/>
  <c r="K69" i="414"/>
  <c r="M69" s="1"/>
  <c r="K69" i="423"/>
  <c r="M81"/>
  <c r="D80"/>
  <c r="F28" i="96"/>
  <c r="E69" i="414"/>
  <c r="E69" i="423"/>
  <c r="M79"/>
  <c r="D79"/>
  <c r="D69" i="414"/>
  <c r="D69" i="423"/>
  <c r="D82"/>
  <c r="M82"/>
  <c r="S55" i="84"/>
  <c r="M84" i="423"/>
  <c r="D83"/>
  <c r="F15" i="78"/>
  <c r="B69" i="414"/>
  <c r="B69" i="423"/>
  <c r="H12" i="44"/>
  <c r="D78" i="423"/>
  <c r="K30" i="40"/>
  <c r="K53" i="41"/>
  <c r="K14" i="40"/>
  <c r="G13" i="36"/>
  <c r="G14" i="40"/>
  <c r="E14"/>
  <c r="E56" i="44"/>
  <c r="C53" i="41"/>
  <c r="C13" i="36"/>
  <c r="F17" i="31"/>
  <c r="N67" i="98"/>
  <c r="I63" i="391"/>
  <c r="I15" i="32"/>
  <c r="M69" i="41"/>
  <c r="M62" i="299"/>
  <c r="M61"/>
  <c r="H58"/>
  <c r="M57"/>
  <c r="M43"/>
  <c r="I35"/>
  <c r="M34"/>
  <c r="M33"/>
  <c r="M26"/>
  <c r="M18"/>
  <c r="M11"/>
  <c r="M62" i="252"/>
  <c r="M58"/>
  <c r="M56"/>
  <c r="M35" i="52"/>
  <c r="O52" i="130"/>
  <c r="J15" i="52"/>
  <c r="F51" i="252"/>
  <c r="M61" i="231"/>
  <c r="M58"/>
  <c r="H56"/>
  <c r="N56" s="1"/>
  <c r="M49"/>
  <c r="M47"/>
  <c r="M20"/>
  <c r="M18"/>
  <c r="M12"/>
  <c r="M10"/>
  <c r="N10" s="1"/>
  <c r="L42" i="88"/>
  <c r="L45" s="1"/>
  <c r="M45" s="1"/>
  <c r="K13" i="98"/>
  <c r="M18" i="44"/>
  <c r="N36" i="195"/>
  <c r="M77" i="379"/>
  <c r="N67" i="128"/>
  <c r="J55" i="132"/>
  <c r="D53" i="129"/>
  <c r="F23"/>
  <c r="G155" i="315"/>
  <c r="B103" i="316"/>
  <c r="B13" i="145"/>
  <c r="G14" i="51"/>
  <c r="J55" i="144"/>
  <c r="F13"/>
  <c r="F11" i="140"/>
  <c r="F53" i="41"/>
  <c r="F57" i="44"/>
  <c r="F26" i="134"/>
  <c r="J26" i="28"/>
  <c r="S59" i="138"/>
  <c r="R61"/>
  <c r="R24" i="134" s="1"/>
  <c r="J63" i="138"/>
  <c r="F21" i="114"/>
  <c r="L20" i="52"/>
  <c r="J77" i="114"/>
  <c r="B17" i="103"/>
  <c r="C17" s="1"/>
  <c r="F15" i="102"/>
  <c r="K15" i="52"/>
  <c r="K68" i="40" s="1"/>
  <c r="J81" i="102"/>
  <c r="J55" i="96"/>
  <c r="S25" i="86"/>
  <c r="J81" i="90"/>
  <c r="C34" i="36"/>
  <c r="C48" s="1"/>
  <c r="S58" i="84"/>
  <c r="C22" i="51"/>
  <c r="J55" i="84"/>
  <c r="J26" i="74"/>
  <c r="F33" i="33"/>
  <c r="F31"/>
  <c r="H26" i="51"/>
  <c r="J25" i="74"/>
  <c r="F19" i="33"/>
  <c r="F18"/>
  <c r="F14"/>
  <c r="F12"/>
  <c r="F11"/>
  <c r="F10"/>
  <c r="J55" i="78"/>
  <c r="I23" i="43"/>
  <c r="F23" i="136"/>
  <c r="F15" i="110"/>
  <c r="F45" i="94"/>
  <c r="F23" i="93"/>
  <c r="F11" i="92" s="1"/>
  <c r="F45" i="87"/>
  <c r="F11" i="86"/>
  <c r="F45" i="82"/>
  <c r="F53" i="81"/>
  <c r="F23"/>
  <c r="D42" i="77"/>
  <c r="F49" i="31"/>
  <c r="D53" i="75"/>
  <c r="F50" i="31"/>
  <c r="F47"/>
  <c r="F28"/>
  <c r="F14" i="74"/>
  <c r="F21" i="31"/>
  <c r="F12"/>
  <c r="F11"/>
  <c r="M76" i="414"/>
  <c r="D76"/>
  <c r="M80"/>
  <c r="D84"/>
  <c r="T63" i="132"/>
  <c r="T68" s="1"/>
  <c r="T77" s="1"/>
  <c r="N12" i="182"/>
  <c r="D15" i="128"/>
  <c r="M77" i="414"/>
  <c r="D78"/>
  <c r="M82"/>
  <c r="D80"/>
  <c r="T23" i="98"/>
  <c r="D15" i="101"/>
  <c r="E15" s="1"/>
  <c r="D53" i="99"/>
  <c r="M81" i="414"/>
  <c r="D81"/>
  <c r="D15" i="97"/>
  <c r="D17" s="1"/>
  <c r="H27" i="44"/>
  <c r="D79" i="414"/>
  <c r="M79"/>
  <c r="C34" i="91"/>
  <c r="B54" i="89"/>
  <c r="B45"/>
  <c r="N17" i="182"/>
  <c r="D68" i="379"/>
  <c r="D53" i="87"/>
  <c r="M83" i="414"/>
  <c r="D82"/>
  <c r="C36" i="85"/>
  <c r="C68" i="371"/>
  <c r="C69" i="414"/>
  <c r="D83"/>
  <c r="M84"/>
  <c r="C16" i="79"/>
  <c r="B55" i="52"/>
  <c r="B57" s="1"/>
  <c r="M78" i="414"/>
  <c r="D77"/>
  <c r="G31" i="182"/>
  <c r="G33"/>
  <c r="AB57" i="21"/>
  <c r="D35" i="34"/>
  <c r="J18" i="33"/>
  <c r="O54" i="324"/>
  <c r="K42" i="142"/>
  <c r="M52"/>
  <c r="K36" i="130"/>
  <c r="L53" i="82"/>
  <c r="Q52"/>
  <c r="C29" i="252"/>
  <c r="C44" s="1"/>
  <c r="E51" i="231"/>
  <c r="P52" i="88"/>
  <c r="N42"/>
  <c r="J42"/>
  <c r="J36"/>
  <c r="O13" i="98"/>
  <c r="D52" i="130"/>
  <c r="D15" i="397"/>
  <c r="D22" s="1"/>
  <c r="D17" i="36" s="1"/>
  <c r="F15" i="397"/>
  <c r="F22" s="1"/>
  <c r="F17" i="36" s="1"/>
  <c r="I15" i="397"/>
  <c r="I22" s="1"/>
  <c r="K29"/>
  <c r="K20" i="36" s="1"/>
  <c r="M12" i="397"/>
  <c r="M18"/>
  <c r="L35"/>
  <c r="L41"/>
  <c r="M58"/>
  <c r="M61"/>
  <c r="O14" i="92"/>
  <c r="E63" i="391"/>
  <c r="F76"/>
  <c r="G76"/>
  <c r="H76"/>
  <c r="H63"/>
  <c r="L76"/>
  <c r="K36" i="76"/>
  <c r="L52" i="30"/>
  <c r="L16" i="28" s="1"/>
  <c r="B11" i="324" s="1"/>
  <c r="J33" i="32"/>
  <c r="R59" i="33"/>
  <c r="B21" i="34" s="1"/>
  <c r="J42" i="41"/>
  <c r="M19" i="43"/>
  <c r="M27" i="44"/>
  <c r="M21"/>
  <c r="M40" i="299"/>
  <c r="D41"/>
  <c r="G41"/>
  <c r="G44" s="1"/>
  <c r="C41"/>
  <c r="M38"/>
  <c r="M21"/>
  <c r="M17"/>
  <c r="M13"/>
  <c r="M57" i="252"/>
  <c r="B35"/>
  <c r="F35"/>
  <c r="M13"/>
  <c r="M11"/>
  <c r="M60" i="231"/>
  <c r="M57"/>
  <c r="M50"/>
  <c r="B51"/>
  <c r="M32"/>
  <c r="M19"/>
  <c r="M17"/>
  <c r="M13"/>
  <c r="M11"/>
  <c r="M40" i="52"/>
  <c r="C25" i="86"/>
  <c r="O14"/>
  <c r="P51" i="324"/>
  <c r="N51"/>
  <c r="L51"/>
  <c r="K51"/>
  <c r="J21" i="40"/>
  <c r="N38" i="195"/>
  <c r="B49" i="30"/>
  <c r="B48" i="31" s="1"/>
  <c r="B51" s="1"/>
  <c r="B26" i="52"/>
  <c r="B56" i="36" s="1"/>
  <c r="B27" i="79"/>
  <c r="D52" i="76"/>
  <c r="E73" i="316"/>
  <c r="E154" s="1"/>
  <c r="E155" i="315"/>
  <c r="F84" i="23"/>
  <c r="S74" i="132"/>
  <c r="F34" i="36"/>
  <c r="F48" s="1"/>
  <c r="F63" i="132"/>
  <c r="D21"/>
  <c r="F21" i="52"/>
  <c r="F19"/>
  <c r="F22" i="128"/>
  <c r="F10" i="40"/>
  <c r="D15" i="130"/>
  <c r="D23" s="1"/>
  <c r="S79" i="102"/>
  <c r="F26" i="98"/>
  <c r="K34" i="52"/>
  <c r="M33"/>
  <c r="K32"/>
  <c r="R75" i="102"/>
  <c r="R26" i="98" s="1"/>
  <c r="S26" s="1"/>
  <c r="D23" i="102"/>
  <c r="F55"/>
  <c r="D30" i="101"/>
  <c r="E30" s="1"/>
  <c r="N12" i="41"/>
  <c r="F77" i="84"/>
  <c r="C33" i="52"/>
  <c r="R63" i="84"/>
  <c r="R68" s="1"/>
  <c r="S60"/>
  <c r="C19" i="52"/>
  <c r="F24" i="80"/>
  <c r="S53" i="84"/>
  <c r="B27" i="145"/>
  <c r="C27" s="1"/>
  <c r="S65" i="144"/>
  <c r="G19" i="52"/>
  <c r="G22" s="1"/>
  <c r="G55" i="36" s="1"/>
  <c r="S58" i="144"/>
  <c r="D15"/>
  <c r="G11" i="52"/>
  <c r="G62" i="40" s="1"/>
  <c r="F55" i="144"/>
  <c r="D45" i="141"/>
  <c r="D17" i="31"/>
  <c r="D23" i="142"/>
  <c r="K28" i="316"/>
  <c r="G74" i="314"/>
  <c r="B74" i="315"/>
  <c r="B155" s="1"/>
  <c r="B73" i="316"/>
  <c r="K40"/>
  <c r="K40" i="315"/>
  <c r="K28"/>
  <c r="K40" i="314"/>
  <c r="K10" i="23"/>
  <c r="K10" i="22"/>
  <c r="J20" i="51"/>
  <c r="F63" i="138"/>
  <c r="S50"/>
  <c r="B14" i="139"/>
  <c r="C14" s="1"/>
  <c r="I12" i="52"/>
  <c r="J12" s="1"/>
  <c r="I11"/>
  <c r="I62" i="40" s="1"/>
  <c r="S71" i="114"/>
  <c r="S73"/>
  <c r="L34" i="52"/>
  <c r="L32"/>
  <c r="D35" i="114"/>
  <c r="F24" i="110"/>
  <c r="M15" i="51"/>
  <c r="M11" i="52"/>
  <c r="M62" i="40" s="1"/>
  <c r="D13" i="114"/>
  <c r="R52" i="33"/>
  <c r="B14" i="34" s="1"/>
  <c r="B14" i="115"/>
  <c r="C14" s="1"/>
  <c r="D10" i="33"/>
  <c r="D12"/>
  <c r="D39"/>
  <c r="D21" i="96"/>
  <c r="B20" i="97"/>
  <c r="C20" s="1"/>
  <c r="E19" i="52"/>
  <c r="S54" i="96"/>
  <c r="D14" i="33"/>
  <c r="D15" i="96"/>
  <c r="D53" i="94"/>
  <c r="F26" i="86"/>
  <c r="F77" i="90"/>
  <c r="F81" s="1"/>
  <c r="S72"/>
  <c r="D34" i="36"/>
  <c r="D48" s="1"/>
  <c r="D23" i="90"/>
  <c r="D42" i="89"/>
  <c r="D22" i="88"/>
  <c r="D32" i="33"/>
  <c r="D33"/>
  <c r="D31"/>
  <c r="R74"/>
  <c r="B36" i="34" s="1"/>
  <c r="R75" i="78"/>
  <c r="R26" i="74" s="1"/>
  <c r="D20" i="33"/>
  <c r="D19"/>
  <c r="D18"/>
  <c r="D11"/>
  <c r="B23" i="44"/>
  <c r="B56" s="1"/>
  <c r="D50" i="31"/>
  <c r="D47"/>
  <c r="D43"/>
  <c r="D27"/>
  <c r="D20"/>
  <c r="D19"/>
  <c r="D16"/>
  <c r="N21" i="41"/>
  <c r="D12" i="31"/>
  <c r="D11"/>
  <c r="D9"/>
  <c r="G68" i="397"/>
  <c r="G69" i="405"/>
  <c r="D30" i="143"/>
  <c r="E30" s="1"/>
  <c r="B54"/>
  <c r="G69" i="41"/>
  <c r="G68" i="379"/>
  <c r="I68" i="397"/>
  <c r="J68" s="1"/>
  <c r="I69" i="405"/>
  <c r="J69" s="1"/>
  <c r="F68" i="397"/>
  <c r="F69" i="405"/>
  <c r="L68" i="397"/>
  <c r="L69" i="405"/>
  <c r="M74" i="52"/>
  <c r="M73"/>
  <c r="C37" i="103"/>
  <c r="C35"/>
  <c r="N74" i="52"/>
  <c r="C13" i="103"/>
  <c r="K36" i="43"/>
  <c r="K68" i="397"/>
  <c r="K69" i="405"/>
  <c r="M68" i="371"/>
  <c r="M14" i="44"/>
  <c r="M12"/>
  <c r="C14" i="97"/>
  <c r="E68" i="397"/>
  <c r="E69" i="405"/>
  <c r="D55" i="52"/>
  <c r="D57" s="1"/>
  <c r="D68" i="397"/>
  <c r="D69" i="405"/>
  <c r="C55" i="52"/>
  <c r="C57" s="1"/>
  <c r="C51" i="384" s="1"/>
  <c r="D30" i="83"/>
  <c r="E30" s="1"/>
  <c r="B54"/>
  <c r="N19" i="182"/>
  <c r="C69" i="41"/>
  <c r="C68" i="397"/>
  <c r="C69" i="405"/>
  <c r="D37" i="79"/>
  <c r="C22"/>
  <c r="D23"/>
  <c r="D15"/>
  <c r="D17" s="1"/>
  <c r="B68" i="385"/>
  <c r="B69" i="405"/>
  <c r="B30" i="43"/>
  <c r="I13" i="36"/>
  <c r="J13" s="1"/>
  <c r="N69" i="134"/>
  <c r="F30" i="40"/>
  <c r="G10"/>
  <c r="N34" i="41"/>
  <c r="N39"/>
  <c r="B14" i="40"/>
  <c r="N10" i="41"/>
  <c r="L52"/>
  <c r="L53" s="1"/>
  <c r="E84" i="23"/>
  <c r="O15" i="94"/>
  <c r="O30"/>
  <c r="O39"/>
  <c r="O42"/>
  <c r="O12"/>
  <c r="N25" i="33"/>
  <c r="M25" s="1"/>
  <c r="L26" i="28"/>
  <c r="M32" i="299"/>
  <c r="L35"/>
  <c r="B18" i="36"/>
  <c r="B25" s="1"/>
  <c r="H17" i="397"/>
  <c r="B51"/>
  <c r="H48"/>
  <c r="J33"/>
  <c r="I35"/>
  <c r="F52" i="391"/>
  <c r="G63"/>
  <c r="K28" i="76"/>
  <c r="K51"/>
  <c r="K44"/>
  <c r="K33"/>
  <c r="K22"/>
  <c r="M15" i="98"/>
  <c r="M19" i="88"/>
  <c r="M50"/>
  <c r="M39"/>
  <c r="M33"/>
  <c r="M27"/>
  <c r="F36" i="136"/>
  <c r="B45" i="76"/>
  <c r="C45" s="1"/>
  <c r="M15" i="74"/>
  <c r="L54" i="324"/>
  <c r="D53" i="136"/>
  <c r="P36" i="30"/>
  <c r="M33" i="142"/>
  <c r="K14"/>
  <c r="K13"/>
  <c r="O21" i="130"/>
  <c r="O14"/>
  <c r="Q19" i="136"/>
  <c r="Q21"/>
  <c r="Q51"/>
  <c r="Q41"/>
  <c r="Q33"/>
  <c r="Q48"/>
  <c r="H40" i="31"/>
  <c r="K14" i="100"/>
  <c r="K27"/>
  <c r="Q12" i="136"/>
  <c r="Q14"/>
  <c r="Q39"/>
  <c r="Q20"/>
  <c r="Q40"/>
  <c r="Q11"/>
  <c r="Q13"/>
  <c r="C12" i="82"/>
  <c r="C39"/>
  <c r="K28" i="142"/>
  <c r="M44"/>
  <c r="K17" i="136"/>
  <c r="K35"/>
  <c r="Q20" i="100"/>
  <c r="Q27"/>
  <c r="Q39"/>
  <c r="Q41"/>
  <c r="Q44"/>
  <c r="Q17"/>
  <c r="Q29"/>
  <c r="Q49"/>
  <c r="Q19"/>
  <c r="Q50"/>
  <c r="Q28"/>
  <c r="M12" i="94"/>
  <c r="M15"/>
  <c r="M52" i="136"/>
  <c r="C36" i="112"/>
  <c r="J45" i="142"/>
  <c r="D45" i="88"/>
  <c r="I27" i="34"/>
  <c r="G51" i="182"/>
  <c r="D6" i="31"/>
  <c r="D7" i="76" s="1"/>
  <c r="D7" i="82" s="1"/>
  <c r="D6" i="88" s="1"/>
  <c r="D7" i="94" s="1"/>
  <c r="D7" i="100" s="1"/>
  <c r="D7" i="112" s="1"/>
  <c r="D7" i="130" s="1"/>
  <c r="D7" i="136" s="1"/>
  <c r="D7" i="142" s="1"/>
  <c r="K12" i="30"/>
  <c r="K29"/>
  <c r="O35"/>
  <c r="L14" i="28"/>
  <c r="K21" i="40"/>
  <c r="K51" i="252"/>
  <c r="C44" i="231"/>
  <c r="F35"/>
  <c r="F15"/>
  <c r="F22" s="1"/>
  <c r="K77" i="52"/>
  <c r="K64" i="36" s="1"/>
  <c r="M64" s="1"/>
  <c r="F55" i="52"/>
  <c r="F57" s="1"/>
  <c r="K55"/>
  <c r="K57" s="1"/>
  <c r="L15" i="76"/>
  <c r="L23" s="1"/>
  <c r="J14" i="88"/>
  <c r="J22" s="1"/>
  <c r="F35" i="299"/>
  <c r="D35"/>
  <c r="F29"/>
  <c r="B29"/>
  <c r="H20"/>
  <c r="H12"/>
  <c r="B15"/>
  <c r="B22" s="1"/>
  <c r="J51" i="397"/>
  <c r="M21" i="40"/>
  <c r="L32" i="31"/>
  <c r="M33" i="30"/>
  <c r="H19" i="31"/>
  <c r="H14" i="28"/>
  <c r="I14" i="36"/>
  <c r="J14" s="1"/>
  <c r="I30" i="40"/>
  <c r="C14" i="36"/>
  <c r="C30" i="40"/>
  <c r="J32" i="252"/>
  <c r="J35" s="1"/>
  <c r="I35"/>
  <c r="D52" i="131"/>
  <c r="C54"/>
  <c r="E52" i="391"/>
  <c r="G52"/>
  <c r="K76"/>
  <c r="K52"/>
  <c r="L52"/>
  <c r="H49" i="44"/>
  <c r="J41" i="299"/>
  <c r="D35" i="252"/>
  <c r="K29"/>
  <c r="K52" s="1"/>
  <c r="J15" i="82"/>
  <c r="P36" i="88"/>
  <c r="B36"/>
  <c r="C36" s="1"/>
  <c r="F42" i="130"/>
  <c r="H36" i="142"/>
  <c r="C15" i="397"/>
  <c r="C22" s="1"/>
  <c r="C17" i="36" s="1"/>
  <c r="C35" i="397"/>
  <c r="C44" s="1"/>
  <c r="J39" i="31"/>
  <c r="K40" i="30"/>
  <c r="H29" i="43"/>
  <c r="N52" i="30"/>
  <c r="N16" i="28" s="1"/>
  <c r="J44" i="32"/>
  <c r="K44" s="1"/>
  <c r="E51" i="43"/>
  <c r="F49"/>
  <c r="F52" s="1"/>
  <c r="D48"/>
  <c r="H48" s="1"/>
  <c r="N48" s="1"/>
  <c r="C48" i="32" s="1"/>
  <c r="F42" i="43"/>
  <c r="F36"/>
  <c r="H33"/>
  <c r="M28"/>
  <c r="M10"/>
  <c r="N10" s="1"/>
  <c r="C10" i="32" s="1"/>
  <c r="J42" i="44"/>
  <c r="G30"/>
  <c r="G57" s="1"/>
  <c r="M28"/>
  <c r="M60" i="299"/>
  <c r="H57"/>
  <c r="M56"/>
  <c r="K41"/>
  <c r="M39"/>
  <c r="M14"/>
  <c r="M50" i="252"/>
  <c r="G51"/>
  <c r="M43"/>
  <c r="N43" s="1"/>
  <c r="F41"/>
  <c r="M27"/>
  <c r="N27" s="1"/>
  <c r="M20"/>
  <c r="M18"/>
  <c r="M62" i="231"/>
  <c r="M48"/>
  <c r="F51"/>
  <c r="M43"/>
  <c r="M40"/>
  <c r="H33"/>
  <c r="D29"/>
  <c r="M26"/>
  <c r="M14"/>
  <c r="M76" i="52"/>
  <c r="M75"/>
  <c r="M62"/>
  <c r="C63"/>
  <c r="C62" i="36" s="1"/>
  <c r="M60" i="52"/>
  <c r="M12"/>
  <c r="N67" i="92"/>
  <c r="K13" i="74"/>
  <c r="O12"/>
  <c r="K12"/>
  <c r="C36" i="79"/>
  <c r="C34"/>
  <c r="C21"/>
  <c r="C13"/>
  <c r="F37"/>
  <c r="G60" i="324" s="1"/>
  <c r="M60" s="1"/>
  <c r="F15" i="79"/>
  <c r="F17" s="1"/>
  <c r="F25" s="1"/>
  <c r="M14" i="80"/>
  <c r="O13"/>
  <c r="K13"/>
  <c r="C52" i="83"/>
  <c r="D15" i="85"/>
  <c r="D17" s="1"/>
  <c r="D25" s="1"/>
  <c r="C24" i="86"/>
  <c r="M14"/>
  <c r="M13"/>
  <c r="N36" i="88"/>
  <c r="C35" i="91"/>
  <c r="C33"/>
  <c r="K12" i="92"/>
  <c r="C41" i="97"/>
  <c r="D23"/>
  <c r="H15" i="100"/>
  <c r="C36" i="103"/>
  <c r="C14"/>
  <c r="D16"/>
  <c r="D18" s="1"/>
  <c r="O13" i="110"/>
  <c r="C41" i="115"/>
  <c r="C34"/>
  <c r="C20"/>
  <c r="M13" i="128"/>
  <c r="M12"/>
  <c r="C33" i="133"/>
  <c r="C20"/>
  <c r="F14" i="51"/>
  <c r="M13" i="134"/>
  <c r="C26" i="140"/>
  <c r="S25"/>
  <c r="C25"/>
  <c r="M15"/>
  <c r="P36" i="142"/>
  <c r="L36"/>
  <c r="M36" s="1"/>
  <c r="C35" i="145"/>
  <c r="M52" i="324"/>
  <c r="K52"/>
  <c r="L15" i="397"/>
  <c r="L22" s="1"/>
  <c r="L17" i="36" s="1"/>
  <c r="M17" i="397"/>
  <c r="M19"/>
  <c r="N19" s="1"/>
  <c r="M30" i="391"/>
  <c r="M50"/>
  <c r="M24"/>
  <c r="M43"/>
  <c r="M23"/>
  <c r="M33"/>
  <c r="M32"/>
  <c r="M45"/>
  <c r="M48"/>
  <c r="M22"/>
  <c r="M47"/>
  <c r="M29"/>
  <c r="M37"/>
  <c r="M71"/>
  <c r="M38"/>
  <c r="M25"/>
  <c r="M72"/>
  <c r="M26"/>
  <c r="M28"/>
  <c r="M36"/>
  <c r="M35"/>
  <c r="M42"/>
  <c r="M73"/>
  <c r="I76"/>
  <c r="I52"/>
  <c r="K38" i="403"/>
  <c r="N38" s="1"/>
  <c r="K35"/>
  <c r="M35"/>
  <c r="K63" i="87"/>
  <c r="L63" i="30"/>
  <c r="M63" i="87"/>
  <c r="B52" i="111"/>
  <c r="B33" i="52"/>
  <c r="B20"/>
  <c r="B22" s="1"/>
  <c r="B55" i="36" s="1"/>
  <c r="B69" s="1"/>
  <c r="B24" i="74"/>
  <c r="B53" i="76"/>
  <c r="C53" s="1"/>
  <c r="B14" i="74"/>
  <c r="I14" s="1"/>
  <c r="B53" i="75"/>
  <c r="I53" s="1"/>
  <c r="M77" i="371"/>
  <c r="B26" i="98"/>
  <c r="C26" s="1"/>
  <c r="M33" i="51"/>
  <c r="B25" i="98"/>
  <c r="C25" s="1"/>
  <c r="M21" i="52"/>
  <c r="M13" i="51"/>
  <c r="M12"/>
  <c r="M41" i="44"/>
  <c r="M33"/>
  <c r="M17" i="43"/>
  <c r="M20"/>
  <c r="M17" i="44"/>
  <c r="M10"/>
  <c r="B15" i="98"/>
  <c r="I15" s="1"/>
  <c r="Q21" i="100"/>
  <c r="L11" i="98"/>
  <c r="K11" s="1"/>
  <c r="D35" i="52"/>
  <c r="D33"/>
  <c r="D32"/>
  <c r="B26" i="86"/>
  <c r="C26" s="1"/>
  <c r="R61" i="90"/>
  <c r="R24" i="86" s="1"/>
  <c r="D15" i="52"/>
  <c r="D68" i="40" s="1"/>
  <c r="B69" i="86"/>
  <c r="B23"/>
  <c r="D30" i="43"/>
  <c r="B53" i="87"/>
  <c r="B45"/>
  <c r="K80" i="316"/>
  <c r="K103" s="1"/>
  <c r="K81" i="315"/>
  <c r="K81" i="314"/>
  <c r="E74"/>
  <c r="E155" s="1"/>
  <c r="G73" i="316"/>
  <c r="G154" s="1"/>
  <c r="G155" i="314"/>
  <c r="K28"/>
  <c r="F36" i="51"/>
  <c r="F35" i="36" s="1"/>
  <c r="F22" i="51"/>
  <c r="F33" i="36" s="1"/>
  <c r="C61" i="132"/>
  <c r="H17" i="44"/>
  <c r="F14" i="36"/>
  <c r="F28" s="1"/>
  <c r="J11" i="128"/>
  <c r="F10" i="36"/>
  <c r="B13" i="96"/>
  <c r="D23" i="95"/>
  <c r="E23" s="1"/>
  <c r="B15" i="92"/>
  <c r="I15" s="1"/>
  <c r="O49" i="94"/>
  <c r="O51"/>
  <c r="O27"/>
  <c r="G37" i="182"/>
  <c r="F154" i="316"/>
  <c r="K104" i="315"/>
  <c r="F74"/>
  <c r="K104" i="314"/>
  <c r="H73" i="316"/>
  <c r="H154" s="1"/>
  <c r="H74" i="315"/>
  <c r="H155" s="1"/>
  <c r="K16"/>
  <c r="H74" i="314"/>
  <c r="H155" s="1"/>
  <c r="K16"/>
  <c r="D154" i="316"/>
  <c r="B74" i="314"/>
  <c r="K83" i="23"/>
  <c r="D84"/>
  <c r="K23"/>
  <c r="K82"/>
  <c r="B84"/>
  <c r="G36" i="51"/>
  <c r="G35" i="36" s="1"/>
  <c r="G22" i="51"/>
  <c r="G33" i="36" s="1"/>
  <c r="B28" i="144"/>
  <c r="O19" i="142"/>
  <c r="F22" i="182"/>
  <c r="G30" i="40"/>
  <c r="B45" i="141"/>
  <c r="L11" i="140"/>
  <c r="M11" s="1"/>
  <c r="R65" i="33"/>
  <c r="S65" s="1"/>
  <c r="B26" i="28"/>
  <c r="S59" i="90"/>
  <c r="S58"/>
  <c r="D22" i="51"/>
  <c r="D33" i="36" s="1"/>
  <c r="C53" i="90"/>
  <c r="B23"/>
  <c r="C9" i="88"/>
  <c r="M83" i="371"/>
  <c r="L45" i="41"/>
  <c r="K45"/>
  <c r="K10" i="36"/>
  <c r="K24" s="1"/>
  <c r="K10" i="40"/>
  <c r="J20"/>
  <c r="I53" i="41"/>
  <c r="G14" i="36"/>
  <c r="G45" i="41"/>
  <c r="H20" i="40"/>
  <c r="F14"/>
  <c r="B45" i="41"/>
  <c r="J40" i="51"/>
  <c r="J35"/>
  <c r="J33"/>
  <c r="J11"/>
  <c r="J60" i="40" s="1"/>
  <c r="B15" i="139"/>
  <c r="B17" s="1"/>
  <c r="B67" i="134"/>
  <c r="B65"/>
  <c r="R53" i="138"/>
  <c r="B13"/>
  <c r="C105" i="51" s="1"/>
  <c r="D23" i="137"/>
  <c r="E23" s="1"/>
  <c r="M50" i="136"/>
  <c r="M48"/>
  <c r="M49"/>
  <c r="B36"/>
  <c r="C36" s="1"/>
  <c r="N18" i="41"/>
  <c r="L36" i="51"/>
  <c r="L35" i="36" s="1"/>
  <c r="B24" i="110"/>
  <c r="C24" s="1"/>
  <c r="M19" i="51"/>
  <c r="M21"/>
  <c r="L14"/>
  <c r="L16" s="1"/>
  <c r="L32" i="36" s="1"/>
  <c r="B15" i="114"/>
  <c r="C45" i="113"/>
  <c r="B14" i="110"/>
  <c r="I14" s="1"/>
  <c r="C26" i="80"/>
  <c r="S65" i="84"/>
  <c r="C25" i="80"/>
  <c r="C24"/>
  <c r="B15" i="84"/>
  <c r="C68" i="385"/>
  <c r="H18" i="43"/>
  <c r="N18" s="1"/>
  <c r="C18" i="32" s="1"/>
  <c r="H18" i="44"/>
  <c r="H10"/>
  <c r="J11" i="80"/>
  <c r="C74" i="33"/>
  <c r="B35" i="52"/>
  <c r="N68" i="74"/>
  <c r="C36" i="76"/>
  <c r="C15"/>
  <c r="C13"/>
  <c r="C12"/>
  <c r="M11" i="74"/>
  <c r="C50" i="76"/>
  <c r="C33"/>
  <c r="C27"/>
  <c r="C20"/>
  <c r="C52"/>
  <c r="C22"/>
  <c r="C49"/>
  <c r="C34"/>
  <c r="I36" i="32"/>
  <c r="J34"/>
  <c r="J22"/>
  <c r="K22" s="1"/>
  <c r="N48" i="31"/>
  <c r="N51" s="1"/>
  <c r="M51" i="44"/>
  <c r="M50"/>
  <c r="M49"/>
  <c r="M34"/>
  <c r="M29"/>
  <c r="J52"/>
  <c r="E30"/>
  <c r="E57" s="1"/>
  <c r="K30"/>
  <c r="K57" s="1"/>
  <c r="M22"/>
  <c r="C52" i="43"/>
  <c r="M13"/>
  <c r="N13" s="1"/>
  <c r="C13" i="32" s="1"/>
  <c r="N40" i="43"/>
  <c r="C40" i="32" s="1"/>
  <c r="M51" i="43"/>
  <c r="E36"/>
  <c r="M11" i="36"/>
  <c r="I45" i="41"/>
  <c r="J23" i="143"/>
  <c r="G52" i="44"/>
  <c r="H39"/>
  <c r="H43" i="299"/>
  <c r="N43" s="1"/>
  <c r="G29" i="231"/>
  <c r="M49" i="142"/>
  <c r="M48"/>
  <c r="H36" i="41"/>
  <c r="H27" i="231"/>
  <c r="G15"/>
  <c r="J23" i="137"/>
  <c r="K23" s="1"/>
  <c r="C10" i="136"/>
  <c r="C51"/>
  <c r="C23"/>
  <c r="C12"/>
  <c r="D45"/>
  <c r="H42"/>
  <c r="M13"/>
  <c r="M11"/>
  <c r="M40"/>
  <c r="M35"/>
  <c r="M33"/>
  <c r="M44"/>
  <c r="M17"/>
  <c r="M20"/>
  <c r="M27"/>
  <c r="M22"/>
  <c r="M51"/>
  <c r="M21"/>
  <c r="M19"/>
  <c r="H30"/>
  <c r="J35" i="231"/>
  <c r="J45" i="136"/>
  <c r="H23"/>
  <c r="J23" i="131"/>
  <c r="K23" s="1"/>
  <c r="J52" i="130"/>
  <c r="K52" s="1"/>
  <c r="O12" i="128"/>
  <c r="N30" i="130"/>
  <c r="N45" s="1"/>
  <c r="O45" s="1"/>
  <c r="H30"/>
  <c r="L15"/>
  <c r="L23" s="1"/>
  <c r="J23" i="113"/>
  <c r="K23" s="1"/>
  <c r="M12" i="43"/>
  <c r="N41" i="44"/>
  <c r="B41" i="32" s="1"/>
  <c r="L30" i="44"/>
  <c r="L57" s="1"/>
  <c r="L14" i="40"/>
  <c r="F52" i="112"/>
  <c r="M33" i="41"/>
  <c r="N33" s="1"/>
  <c r="O15" i="110"/>
  <c r="M18" i="36"/>
  <c r="J23" i="101"/>
  <c r="M34" i="43"/>
  <c r="M22"/>
  <c r="M40" i="44"/>
  <c r="M44" i="43"/>
  <c r="M39"/>
  <c r="M42" s="1"/>
  <c r="M20" i="44"/>
  <c r="M13"/>
  <c r="N13" s="1"/>
  <c r="B13" i="32" s="1"/>
  <c r="M50" i="43"/>
  <c r="K51" i="299"/>
  <c r="K29"/>
  <c r="K41" i="252"/>
  <c r="K35"/>
  <c r="M21"/>
  <c r="M17"/>
  <c r="M14"/>
  <c r="F36" i="30"/>
  <c r="F15"/>
  <c r="N57" i="41"/>
  <c r="N50"/>
  <c r="N40"/>
  <c r="N28"/>
  <c r="N19"/>
  <c r="M49" i="252"/>
  <c r="M39"/>
  <c r="K15"/>
  <c r="K22" s="1"/>
  <c r="M21" i="231"/>
  <c r="Q34" i="100"/>
  <c r="J23" i="95"/>
  <c r="K23" s="1"/>
  <c r="H34" i="43"/>
  <c r="H28"/>
  <c r="H14"/>
  <c r="H50" i="44"/>
  <c r="E42"/>
  <c r="C36" i="94"/>
  <c r="P15"/>
  <c r="H39" i="252"/>
  <c r="O20" i="94"/>
  <c r="O28"/>
  <c r="O45"/>
  <c r="O19"/>
  <c r="O44"/>
  <c r="O33"/>
  <c r="O22"/>
  <c r="O53"/>
  <c r="M49"/>
  <c r="M41"/>
  <c r="G34" i="182"/>
  <c r="G36"/>
  <c r="G32"/>
  <c r="G35"/>
  <c r="M51" i="94"/>
  <c r="G49" i="182"/>
  <c r="O10" i="30"/>
  <c r="M12"/>
  <c r="O13"/>
  <c r="O19"/>
  <c r="O27"/>
  <c r="O29"/>
  <c r="M35"/>
  <c r="N65" i="92"/>
  <c r="M15"/>
  <c r="K13"/>
  <c r="F15" i="94"/>
  <c r="F23" s="1"/>
  <c r="D52" i="44"/>
  <c r="H52" i="32"/>
  <c r="H36"/>
  <c r="J36" s="1"/>
  <c r="K36" s="1"/>
  <c r="K21"/>
  <c r="K20"/>
  <c r="K19"/>
  <c r="K17"/>
  <c r="H39" i="43"/>
  <c r="J52" i="88"/>
  <c r="J48" i="89"/>
  <c r="I52"/>
  <c r="J52" s="1"/>
  <c r="I48" i="32"/>
  <c r="J51" i="89"/>
  <c r="I51" i="32"/>
  <c r="J51" s="1"/>
  <c r="I50"/>
  <c r="J50" s="1"/>
  <c r="J50" i="89"/>
  <c r="I49" i="32"/>
  <c r="J49" s="1"/>
  <c r="K49" s="1"/>
  <c r="J49" i="89"/>
  <c r="D15" i="231"/>
  <c r="D52" i="88"/>
  <c r="K28"/>
  <c r="N14"/>
  <c r="N22" s="1"/>
  <c r="O14" s="1"/>
  <c r="D36" i="41"/>
  <c r="D41" i="231"/>
  <c r="O13" i="86"/>
  <c r="K13"/>
  <c r="O12"/>
  <c r="B52" i="88"/>
  <c r="C52" s="1"/>
  <c r="N22" i="182"/>
  <c r="J41" i="32"/>
  <c r="K41" s="1"/>
  <c r="J40"/>
  <c r="K40" s="1"/>
  <c r="J39"/>
  <c r="K39" s="1"/>
  <c r="J10"/>
  <c r="C42" i="43"/>
  <c r="C36"/>
  <c r="C30"/>
  <c r="H42" i="82"/>
  <c r="L23"/>
  <c r="M45" s="1"/>
  <c r="M13" i="80"/>
  <c r="N15" i="82"/>
  <c r="N23" s="1"/>
  <c r="O45" s="1"/>
  <c r="B52" i="44"/>
  <c r="P53" i="76"/>
  <c r="L45"/>
  <c r="L53"/>
  <c r="J45"/>
  <c r="K45" s="1"/>
  <c r="J52"/>
  <c r="H33" i="299"/>
  <c r="N33" s="1"/>
  <c r="H12" i="397"/>
  <c r="H28"/>
  <c r="N28" s="1"/>
  <c r="H56"/>
  <c r="N56" s="1"/>
  <c r="N66" i="74"/>
  <c r="F45" i="76"/>
  <c r="N22" i="41"/>
  <c r="H33" i="252"/>
  <c r="B29"/>
  <c r="M12" i="74"/>
  <c r="H20" i="41"/>
  <c r="N20" s="1"/>
  <c r="H27" i="397"/>
  <c r="K32" i="403"/>
  <c r="M32"/>
  <c r="K34"/>
  <c r="N34" s="1"/>
  <c r="L36"/>
  <c r="L37"/>
  <c r="N37" s="1"/>
  <c r="K36"/>
  <c r="N36" s="1"/>
  <c r="N39"/>
  <c r="K25" i="402"/>
  <c r="M25"/>
  <c r="K26"/>
  <c r="M26"/>
  <c r="L28"/>
  <c r="L29"/>
  <c r="L30"/>
  <c r="L31"/>
  <c r="L32"/>
  <c r="L33"/>
  <c r="K28"/>
  <c r="N28" s="1"/>
  <c r="K29"/>
  <c r="N29" s="1"/>
  <c r="K30"/>
  <c r="N30" s="1"/>
  <c r="K31"/>
  <c r="N31" s="1"/>
  <c r="K32"/>
  <c r="N32" s="1"/>
  <c r="K33"/>
  <c r="N33" s="1"/>
  <c r="M76" i="401"/>
  <c r="M63"/>
  <c r="M52"/>
  <c r="B58" i="51"/>
  <c r="M34"/>
  <c r="J21"/>
  <c r="E34" i="36"/>
  <c r="J84" i="23"/>
  <c r="K81"/>
  <c r="S52" i="144"/>
  <c r="G26" i="52"/>
  <c r="G56" i="36" s="1"/>
  <c r="G70" s="1"/>
  <c r="R72" i="33"/>
  <c r="B34" i="34" s="1"/>
  <c r="B41" i="145"/>
  <c r="C41" s="1"/>
  <c r="G40" i="52"/>
  <c r="H40" s="1"/>
  <c r="N40" s="1"/>
  <c r="S50" i="144"/>
  <c r="F23" i="140"/>
  <c r="B23" i="145"/>
  <c r="I58" i="324" s="1"/>
  <c r="R61" i="144"/>
  <c r="R24" i="140" s="1"/>
  <c r="S60" i="144"/>
  <c r="C33" i="145"/>
  <c r="B37"/>
  <c r="I60" i="324" s="1"/>
  <c r="R71" i="33"/>
  <c r="B33" i="34" s="1"/>
  <c r="G32" i="52"/>
  <c r="R75" i="144"/>
  <c r="R26" i="140" s="1"/>
  <c r="S26" s="1"/>
  <c r="B37" i="144"/>
  <c r="B41" s="1"/>
  <c r="C53"/>
  <c r="C12" i="145"/>
  <c r="R53" i="144"/>
  <c r="R55" s="1"/>
  <c r="K31"/>
  <c r="J35"/>
  <c r="K35" s="1"/>
  <c r="K25"/>
  <c r="T24" i="140"/>
  <c r="C22" i="145"/>
  <c r="K19" i="144"/>
  <c r="K18"/>
  <c r="K14"/>
  <c r="D77"/>
  <c r="C68"/>
  <c r="K10"/>
  <c r="M35"/>
  <c r="M31"/>
  <c r="M18"/>
  <c r="H63"/>
  <c r="M14"/>
  <c r="U53"/>
  <c r="U55" s="1"/>
  <c r="U63" s="1"/>
  <c r="U68" s="1"/>
  <c r="L13"/>
  <c r="M10"/>
  <c r="O39"/>
  <c r="O35"/>
  <c r="O32"/>
  <c r="U75"/>
  <c r="O31"/>
  <c r="O25"/>
  <c r="N21"/>
  <c r="O18"/>
  <c r="L77"/>
  <c r="G78" i="51"/>
  <c r="G42" i="36" s="1"/>
  <c r="P24" i="140"/>
  <c r="P28" i="144"/>
  <c r="G64" i="51"/>
  <c r="G40" i="36" s="1"/>
  <c r="G47" s="1"/>
  <c r="P63" i="144"/>
  <c r="G12" i="145"/>
  <c r="F15"/>
  <c r="F17" s="1"/>
  <c r="F57" i="324" s="1"/>
  <c r="H73" i="52"/>
  <c r="N73" s="1"/>
  <c r="D15" i="145"/>
  <c r="D17" s="1"/>
  <c r="T55" i="144"/>
  <c r="G53" i="52"/>
  <c r="H53" s="1"/>
  <c r="B11" i="140"/>
  <c r="I11" s="1"/>
  <c r="B23" i="142"/>
  <c r="C36" s="1"/>
  <c r="B42" i="140"/>
  <c r="N42" s="1"/>
  <c r="C50" i="142"/>
  <c r="B44" i="140"/>
  <c r="N44" s="1"/>
  <c r="B53" i="141"/>
  <c r="I53" s="1"/>
  <c r="B45" i="142"/>
  <c r="D45"/>
  <c r="M75" i="379"/>
  <c r="D15" i="140"/>
  <c r="D53" i="141"/>
  <c r="F45"/>
  <c r="F15" i="140"/>
  <c r="F53" i="141"/>
  <c r="F52" i="142"/>
  <c r="F53" s="1"/>
  <c r="H30"/>
  <c r="G53" i="41"/>
  <c r="G31" i="40"/>
  <c r="G11"/>
  <c r="J15" i="140"/>
  <c r="I15" s="1"/>
  <c r="K52" i="141"/>
  <c r="G21" i="36"/>
  <c r="K45" i="141"/>
  <c r="K53"/>
  <c r="F53" i="324"/>
  <c r="F50"/>
  <c r="O50" s="1"/>
  <c r="K45" i="142"/>
  <c r="K15" i="141"/>
  <c r="H56" i="299"/>
  <c r="N56" s="1"/>
  <c r="M42" i="141"/>
  <c r="M36"/>
  <c r="M45"/>
  <c r="M13" i="140"/>
  <c r="C50" i="324"/>
  <c r="L50" s="1"/>
  <c r="N12" i="299"/>
  <c r="M15" i="141"/>
  <c r="H60" i="252"/>
  <c r="H56"/>
  <c r="O52" i="141"/>
  <c r="H48" i="252"/>
  <c r="O42" i="141"/>
  <c r="O36"/>
  <c r="H34" i="252"/>
  <c r="N14" i="140"/>
  <c r="N53" i="141"/>
  <c r="M53" s="1"/>
  <c r="O30"/>
  <c r="G29" i="252"/>
  <c r="O52" i="142"/>
  <c r="H21" i="252"/>
  <c r="H18"/>
  <c r="G15"/>
  <c r="G22" s="1"/>
  <c r="G51" i="231"/>
  <c r="P53" i="141"/>
  <c r="O53" s="1"/>
  <c r="H49" i="231"/>
  <c r="H40"/>
  <c r="N40" s="1"/>
  <c r="P42" i="142"/>
  <c r="P30"/>
  <c r="P45" i="141"/>
  <c r="O45" s="1"/>
  <c r="I37" i="145"/>
  <c r="H25"/>
  <c r="H30" s="1"/>
  <c r="H39" s="1"/>
  <c r="H43" s="1"/>
  <c r="C61" i="324" s="1"/>
  <c r="I15" i="145"/>
  <c r="K37"/>
  <c r="K23"/>
  <c r="J17"/>
  <c r="K15"/>
  <c r="K17"/>
  <c r="L25"/>
  <c r="G15" i="44"/>
  <c r="G23" s="1"/>
  <c r="G56" s="1"/>
  <c r="D23" i="143"/>
  <c r="E23" s="1"/>
  <c r="G68" i="385"/>
  <c r="G36" i="44"/>
  <c r="D36" i="143"/>
  <c r="E36" s="1"/>
  <c r="G42" i="43"/>
  <c r="G45" s="1"/>
  <c r="G52"/>
  <c r="J42" i="143"/>
  <c r="K42" s="1"/>
  <c r="K23"/>
  <c r="I36" i="52"/>
  <c r="I57" i="36" s="1"/>
  <c r="J57" s="1"/>
  <c r="B35" i="138"/>
  <c r="Q108" i="51" s="1"/>
  <c r="C24" i="134"/>
  <c r="B63" i="138"/>
  <c r="B68" s="1"/>
  <c r="B77" s="1"/>
  <c r="B81" s="1"/>
  <c r="C61"/>
  <c r="C53"/>
  <c r="D13"/>
  <c r="F53" i="33"/>
  <c r="R75" i="138"/>
  <c r="R26" i="134" s="1"/>
  <c r="S26" s="1"/>
  <c r="F15" i="138"/>
  <c r="K39"/>
  <c r="D37" i="139"/>
  <c r="K34" i="138"/>
  <c r="K33"/>
  <c r="K32"/>
  <c r="J23"/>
  <c r="J28" s="1"/>
  <c r="U60" i="33"/>
  <c r="C58"/>
  <c r="I61" i="52"/>
  <c r="K20" i="138"/>
  <c r="K19"/>
  <c r="K18"/>
  <c r="C16" i="139"/>
  <c r="K14" i="138"/>
  <c r="D55"/>
  <c r="K12"/>
  <c r="L35"/>
  <c r="M35" s="1"/>
  <c r="M34"/>
  <c r="M33"/>
  <c r="M32"/>
  <c r="M31"/>
  <c r="M25"/>
  <c r="M20"/>
  <c r="M19"/>
  <c r="H63"/>
  <c r="M12"/>
  <c r="U75"/>
  <c r="O31"/>
  <c r="O25"/>
  <c r="O18"/>
  <c r="U61"/>
  <c r="L55"/>
  <c r="O12"/>
  <c r="I36" i="51"/>
  <c r="I35" i="36" s="1"/>
  <c r="J35" s="1"/>
  <c r="B37" i="139"/>
  <c r="C33"/>
  <c r="J22" i="52"/>
  <c r="I22"/>
  <c r="I55" i="36" s="1"/>
  <c r="J55" s="1"/>
  <c r="C20" i="139"/>
  <c r="B23"/>
  <c r="I22" i="51"/>
  <c r="I33" i="36" s="1"/>
  <c r="J33" s="1"/>
  <c r="R55" i="138"/>
  <c r="R23" i="134" s="1"/>
  <c r="J13" i="51"/>
  <c r="I14"/>
  <c r="S53" i="138"/>
  <c r="R63"/>
  <c r="R68" s="1"/>
  <c r="F34" i="139"/>
  <c r="G34" s="1"/>
  <c r="P35" i="138"/>
  <c r="O35" s="1"/>
  <c r="J77" i="51"/>
  <c r="G20" i="139"/>
  <c r="F22"/>
  <c r="G22" s="1"/>
  <c r="P63" i="138"/>
  <c r="P21"/>
  <c r="O21" s="1"/>
  <c r="P68"/>
  <c r="P77" s="1"/>
  <c r="F15" i="139"/>
  <c r="G15" s="1"/>
  <c r="G12"/>
  <c r="P13" i="138"/>
  <c r="U53"/>
  <c r="U55" s="1"/>
  <c r="D15" i="139"/>
  <c r="T55" i="138"/>
  <c r="I76" i="52"/>
  <c r="C36" i="139"/>
  <c r="D23"/>
  <c r="T61" i="138"/>
  <c r="C21" i="139"/>
  <c r="T23" i="134"/>
  <c r="S54" i="138"/>
  <c r="I57" i="52"/>
  <c r="J55"/>
  <c r="J57" s="1"/>
  <c r="J51" i="384" s="1"/>
  <c r="D15" i="137"/>
  <c r="E15" s="1"/>
  <c r="J23" i="43"/>
  <c r="B54" i="137"/>
  <c r="D30"/>
  <c r="E30" s="1"/>
  <c r="I36" i="44"/>
  <c r="E42" i="137"/>
  <c r="H25" i="139"/>
  <c r="H30" s="1"/>
  <c r="H39" s="1"/>
  <c r="H43" s="1"/>
  <c r="I23"/>
  <c r="I17"/>
  <c r="I15"/>
  <c r="I25"/>
  <c r="K37"/>
  <c r="K23"/>
  <c r="J30"/>
  <c r="K25"/>
  <c r="K17"/>
  <c r="K15"/>
  <c r="L30"/>
  <c r="K30" s="1"/>
  <c r="I42" i="32"/>
  <c r="J42" s="1"/>
  <c r="K42" s="1"/>
  <c r="J45" i="137"/>
  <c r="K45" s="1"/>
  <c r="K36"/>
  <c r="I54"/>
  <c r="J54" s="1"/>
  <c r="K54" s="1"/>
  <c r="C50" i="136"/>
  <c r="C19"/>
  <c r="C13"/>
  <c r="B30"/>
  <c r="B42"/>
  <c r="B53" i="135"/>
  <c r="I53" s="1"/>
  <c r="F15" i="134"/>
  <c r="H11"/>
  <c r="D11"/>
  <c r="I23" i="41"/>
  <c r="N13" i="29" s="1"/>
  <c r="J30" i="41"/>
  <c r="J68" i="40" s="1"/>
  <c r="H53" i="135"/>
  <c r="N61" i="397"/>
  <c r="I21" i="36"/>
  <c r="K52" i="135"/>
  <c r="K45"/>
  <c r="K41" i="30"/>
  <c r="K42" i="135"/>
  <c r="I19" i="36"/>
  <c r="J19" s="1"/>
  <c r="M52" i="135"/>
  <c r="M42"/>
  <c r="J35" i="299"/>
  <c r="M45" i="135"/>
  <c r="M53"/>
  <c r="K30"/>
  <c r="K53"/>
  <c r="M36" i="136"/>
  <c r="K23" i="135"/>
  <c r="J51" i="252"/>
  <c r="O52" i="135"/>
  <c r="N39" i="252"/>
  <c r="J41"/>
  <c r="J29"/>
  <c r="O45" i="135"/>
  <c r="J22" i="252"/>
  <c r="N23" i="135"/>
  <c r="O15"/>
  <c r="O23"/>
  <c r="P53"/>
  <c r="O53" s="1"/>
  <c r="O42"/>
  <c r="Q15" i="136"/>
  <c r="J22" i="231"/>
  <c r="Q30" i="136"/>
  <c r="Q52"/>
  <c r="D23" i="132"/>
  <c r="H12" i="51"/>
  <c r="N63" i="132"/>
  <c r="F36" i="52"/>
  <c r="F57" i="36" s="1"/>
  <c r="S73" i="132"/>
  <c r="J22" i="128"/>
  <c r="F23" i="132"/>
  <c r="R53"/>
  <c r="S54"/>
  <c r="C21" i="133"/>
  <c r="B23"/>
  <c r="H58" i="324" s="1"/>
  <c r="R61" i="132"/>
  <c r="S61" s="1"/>
  <c r="H59" i="324"/>
  <c r="C27" i="133"/>
  <c r="S24" i="128"/>
  <c r="B35" i="132"/>
  <c r="Q101" i="51" s="1"/>
  <c r="C34" i="133"/>
  <c r="B37"/>
  <c r="R75" i="132"/>
  <c r="R25" i="128" s="1"/>
  <c r="S25" s="1"/>
  <c r="C75" i="132"/>
  <c r="S72"/>
  <c r="B21"/>
  <c r="C16" i="133"/>
  <c r="B15" i="132"/>
  <c r="F108" i="51" s="1"/>
  <c r="B55" i="132"/>
  <c r="K39"/>
  <c r="D77"/>
  <c r="K34"/>
  <c r="K31"/>
  <c r="K25"/>
  <c r="K20"/>
  <c r="K18"/>
  <c r="D81"/>
  <c r="K10"/>
  <c r="M34"/>
  <c r="M31"/>
  <c r="H26" i="28"/>
  <c r="M25" i="132"/>
  <c r="M20"/>
  <c r="M19"/>
  <c r="U61"/>
  <c r="U63" s="1"/>
  <c r="U68" s="1"/>
  <c r="U77" s="1"/>
  <c r="U81" s="1"/>
  <c r="H55"/>
  <c r="L25" i="128"/>
  <c r="O34" i="132"/>
  <c r="O35"/>
  <c r="F21" i="133"/>
  <c r="G21" s="1"/>
  <c r="O20" i="132"/>
  <c r="O18"/>
  <c r="O11"/>
  <c r="L55"/>
  <c r="G36" i="133"/>
  <c r="F37"/>
  <c r="F78" i="51"/>
  <c r="F42" i="36" s="1"/>
  <c r="O33" i="132"/>
  <c r="E59" i="324"/>
  <c r="K59" s="1"/>
  <c r="G27" i="133"/>
  <c r="F64" i="51"/>
  <c r="F40" i="36" s="1"/>
  <c r="F47" s="1"/>
  <c r="P23" i="132"/>
  <c r="O15"/>
  <c r="P77"/>
  <c r="G13" i="133"/>
  <c r="F15"/>
  <c r="F56" i="51"/>
  <c r="F58" s="1"/>
  <c r="F49" i="40" s="1"/>
  <c r="B23" i="129"/>
  <c r="B45"/>
  <c r="B36" i="130"/>
  <c r="B45" s="1"/>
  <c r="F11" i="128"/>
  <c r="H45" i="129"/>
  <c r="H42" i="130"/>
  <c r="N41" i="41"/>
  <c r="J53" i="130"/>
  <c r="K53" s="1"/>
  <c r="K54" i="324"/>
  <c r="F31" i="40"/>
  <c r="N54" i="324"/>
  <c r="K42" i="129"/>
  <c r="J45" i="130"/>
  <c r="K45" s="1"/>
  <c r="K36" i="129"/>
  <c r="K53"/>
  <c r="K13" i="128"/>
  <c r="K15" i="129"/>
  <c r="F51" i="299"/>
  <c r="M52" i="129"/>
  <c r="F41" i="299"/>
  <c r="F44" s="1"/>
  <c r="M28" i="30"/>
  <c r="K53" i="324"/>
  <c r="L11" i="128"/>
  <c r="B50" i="324"/>
  <c r="K50" s="1"/>
  <c r="K23" i="129"/>
  <c r="M15"/>
  <c r="O52"/>
  <c r="N53"/>
  <c r="M53" s="1"/>
  <c r="N53" i="130"/>
  <c r="O53" s="1"/>
  <c r="N45" i="129"/>
  <c r="M45" s="1"/>
  <c r="M29" i="30"/>
  <c r="N14" i="128"/>
  <c r="O30" i="129"/>
  <c r="O15"/>
  <c r="O23"/>
  <c r="H57" i="231"/>
  <c r="N57" s="1"/>
  <c r="P15" i="128"/>
  <c r="O15" s="1"/>
  <c r="P45" i="129"/>
  <c r="O45" s="1"/>
  <c r="P53"/>
  <c r="O36"/>
  <c r="F29" i="231"/>
  <c r="F77" i="52"/>
  <c r="F64" i="36" s="1"/>
  <c r="F71" s="1"/>
  <c r="F70"/>
  <c r="D23" i="133"/>
  <c r="T81" i="132"/>
  <c r="H25" i="133"/>
  <c r="H30" s="1"/>
  <c r="H39" s="1"/>
  <c r="I17"/>
  <c r="I30"/>
  <c r="K37"/>
  <c r="K23"/>
  <c r="K17"/>
  <c r="K25"/>
  <c r="K15"/>
  <c r="L30"/>
  <c r="D23" i="131"/>
  <c r="E23" s="1"/>
  <c r="F69" i="41"/>
  <c r="B45" i="131"/>
  <c r="D30"/>
  <c r="E30" s="1"/>
  <c r="D45"/>
  <c r="E45" s="1"/>
  <c r="B54"/>
  <c r="F68" i="371"/>
  <c r="H29" i="44"/>
  <c r="F30" i="43"/>
  <c r="F36" i="44"/>
  <c r="F45" s="1"/>
  <c r="H40"/>
  <c r="H50" i="43"/>
  <c r="J42" i="131"/>
  <c r="K42" s="1"/>
  <c r="J36"/>
  <c r="K36" s="1"/>
  <c r="S50" i="114"/>
  <c r="L22" i="51"/>
  <c r="L33" i="36" s="1"/>
  <c r="R61" i="114"/>
  <c r="R24" i="110" s="1"/>
  <c r="S24" s="1"/>
  <c r="H31" i="33"/>
  <c r="M35" i="51"/>
  <c r="J24" i="110"/>
  <c r="R58" i="33"/>
  <c r="B20" i="34" s="1"/>
  <c r="F55" i="114"/>
  <c r="R53"/>
  <c r="R55" s="1"/>
  <c r="S55" s="1"/>
  <c r="C22" i="115"/>
  <c r="B23"/>
  <c r="C23" s="1"/>
  <c r="S25" i="110"/>
  <c r="C35" i="115"/>
  <c r="B37"/>
  <c r="C37" s="1"/>
  <c r="C33"/>
  <c r="S26" i="110"/>
  <c r="C75" i="114"/>
  <c r="C25" i="110"/>
  <c r="S61" i="114"/>
  <c r="C61"/>
  <c r="B23"/>
  <c r="B75" i="110" s="1"/>
  <c r="B63"/>
  <c r="C53" i="114"/>
  <c r="K39"/>
  <c r="K31"/>
  <c r="K34"/>
  <c r="K32"/>
  <c r="C65" i="33"/>
  <c r="D26" i="28"/>
  <c r="C26" s="1"/>
  <c r="K21" i="114"/>
  <c r="K18"/>
  <c r="M34"/>
  <c r="M31"/>
  <c r="H68"/>
  <c r="H77" s="1"/>
  <c r="M21"/>
  <c r="M18"/>
  <c r="L13"/>
  <c r="M13" s="1"/>
  <c r="M12"/>
  <c r="O39"/>
  <c r="M35"/>
  <c r="O34"/>
  <c r="O32"/>
  <c r="O25"/>
  <c r="O21"/>
  <c r="O20"/>
  <c r="O18"/>
  <c r="L77"/>
  <c r="N15"/>
  <c r="O15" s="1"/>
  <c r="O13"/>
  <c r="O12"/>
  <c r="G33" i="115"/>
  <c r="F37"/>
  <c r="G37" s="1"/>
  <c r="L78" i="51"/>
  <c r="L42" i="36" s="1"/>
  <c r="G20" i="115"/>
  <c r="F23"/>
  <c r="G23" s="1"/>
  <c r="U61" i="114"/>
  <c r="P63"/>
  <c r="U63"/>
  <c r="U68" s="1"/>
  <c r="U77" s="1"/>
  <c r="U81" s="1"/>
  <c r="M63" i="51"/>
  <c r="P23" i="114"/>
  <c r="F15" i="115"/>
  <c r="G12"/>
  <c r="U52" i="33"/>
  <c r="U50"/>
  <c r="L56" i="51"/>
  <c r="L58" s="1"/>
  <c r="L39" i="36" s="1"/>
  <c r="M63"/>
  <c r="D17" i="115"/>
  <c r="D25" s="1"/>
  <c r="C35" i="343" s="1"/>
  <c r="T68" i="114"/>
  <c r="C42" i="112"/>
  <c r="C41"/>
  <c r="C50"/>
  <c r="B23" i="111"/>
  <c r="C13" i="112"/>
  <c r="C39"/>
  <c r="C15"/>
  <c r="C12"/>
  <c r="C27"/>
  <c r="C21"/>
  <c r="C29"/>
  <c r="B45"/>
  <c r="B69" i="110"/>
  <c r="B45" i="111"/>
  <c r="D11" i="110"/>
  <c r="D53" i="111"/>
  <c r="D45"/>
  <c r="F23"/>
  <c r="F14" i="110"/>
  <c r="F45" i="112"/>
  <c r="F45" i="111"/>
  <c r="F53" i="112"/>
  <c r="H23" i="111"/>
  <c r="L14" i="36"/>
  <c r="M14" s="1"/>
  <c r="H53" i="112"/>
  <c r="H15" i="110"/>
  <c r="M49" i="41"/>
  <c r="L21" i="36"/>
  <c r="K52" i="111"/>
  <c r="K36"/>
  <c r="K30"/>
  <c r="K13" i="110"/>
  <c r="K11"/>
  <c r="K15" i="111"/>
  <c r="J15" i="112"/>
  <c r="M52" i="111"/>
  <c r="L42" i="112"/>
  <c r="L53" s="1"/>
  <c r="L45" i="111"/>
  <c r="B51" i="234" s="1"/>
  <c r="L53" i="111"/>
  <c r="M53" s="1"/>
  <c r="L36" i="30"/>
  <c r="M36" s="1"/>
  <c r="M36" i="111"/>
  <c r="M30"/>
  <c r="M23"/>
  <c r="K23"/>
  <c r="M15"/>
  <c r="L15" i="112"/>
  <c r="L23" s="1"/>
  <c r="M11" s="1"/>
  <c r="O52" i="111"/>
  <c r="O36"/>
  <c r="O45"/>
  <c r="O30"/>
  <c r="O11" i="110"/>
  <c r="O23" i="111"/>
  <c r="O42"/>
  <c r="M28" i="231"/>
  <c r="I37" i="115"/>
  <c r="H39"/>
  <c r="I23"/>
  <c r="I30"/>
  <c r="I25"/>
  <c r="I17"/>
  <c r="K37"/>
  <c r="K23"/>
  <c r="K30"/>
  <c r="L39"/>
  <c r="D15" i="113"/>
  <c r="E15" s="1"/>
  <c r="C23"/>
  <c r="D23" s="1"/>
  <c r="E23" s="1"/>
  <c r="M14" i="43"/>
  <c r="L68" i="385"/>
  <c r="D30" i="113"/>
  <c r="E30" s="1"/>
  <c r="L30" i="43"/>
  <c r="D36" i="113"/>
  <c r="E36" s="1"/>
  <c r="I45"/>
  <c r="J45" s="1"/>
  <c r="K45" s="1"/>
  <c r="B55" i="102"/>
  <c r="M14" i="52"/>
  <c r="C61" i="102"/>
  <c r="S25" i="98"/>
  <c r="S73" i="102"/>
  <c r="C75"/>
  <c r="S59"/>
  <c r="R61"/>
  <c r="R53"/>
  <c r="R55" s="1"/>
  <c r="R23" i="98" s="1"/>
  <c r="S23" s="1"/>
  <c r="S50" i="102"/>
  <c r="S74"/>
  <c r="S72"/>
  <c r="S71"/>
  <c r="S58"/>
  <c r="B38" i="103"/>
  <c r="C38" s="1"/>
  <c r="C34"/>
  <c r="M32" i="51"/>
  <c r="K36"/>
  <c r="K35" i="36" s="1"/>
  <c r="S75" i="102"/>
  <c r="K34" i="36"/>
  <c r="K22" i="51"/>
  <c r="K33" i="36" s="1"/>
  <c r="C22" i="103"/>
  <c r="B24"/>
  <c r="C21"/>
  <c r="H23" i="102"/>
  <c r="B16" i="103"/>
  <c r="N23" i="98"/>
  <c r="K14" i="51"/>
  <c r="K16" s="1"/>
  <c r="K32" i="36" s="1"/>
  <c r="M11" i="51"/>
  <c r="M60" i="40" s="1"/>
  <c r="K14" i="52"/>
  <c r="K16" s="1"/>
  <c r="J41" i="102"/>
  <c r="F38" i="103"/>
  <c r="G38" s="1"/>
  <c r="G34"/>
  <c r="K33" i="102"/>
  <c r="K35"/>
  <c r="K31"/>
  <c r="M61" i="52"/>
  <c r="K63"/>
  <c r="K62" i="36" s="1"/>
  <c r="C60" i="33"/>
  <c r="K21" i="102"/>
  <c r="D81"/>
  <c r="M54" i="52"/>
  <c r="M35" i="102"/>
  <c r="M33"/>
  <c r="M32"/>
  <c r="U61"/>
  <c r="M19"/>
  <c r="M15"/>
  <c r="K15"/>
  <c r="L23"/>
  <c r="K13"/>
  <c r="H81"/>
  <c r="M10"/>
  <c r="O33"/>
  <c r="O31"/>
  <c r="M21"/>
  <c r="N23"/>
  <c r="O21"/>
  <c r="O14"/>
  <c r="L55"/>
  <c r="O11"/>
  <c r="F41" i="34"/>
  <c r="G41" s="1"/>
  <c r="P35" i="102"/>
  <c r="O35" s="1"/>
  <c r="M77" i="51"/>
  <c r="M68"/>
  <c r="G22" i="103"/>
  <c r="F24"/>
  <c r="G24" s="1"/>
  <c r="U55" i="102"/>
  <c r="F16" i="103"/>
  <c r="G13"/>
  <c r="P13" i="102"/>
  <c r="P55"/>
  <c r="K56" i="51"/>
  <c r="K58" s="1"/>
  <c r="K49" i="384" s="1"/>
  <c r="D24" i="103"/>
  <c r="S55" i="102"/>
  <c r="T68"/>
  <c r="T77" s="1"/>
  <c r="T81" s="1"/>
  <c r="M53" i="52"/>
  <c r="D28" i="102"/>
  <c r="F23" i="98"/>
  <c r="B43"/>
  <c r="N43" s="1"/>
  <c r="B41"/>
  <c r="N41" s="1"/>
  <c r="B15" i="100"/>
  <c r="B23" s="1"/>
  <c r="B11" i="98"/>
  <c r="I11" s="1"/>
  <c r="B53" i="99"/>
  <c r="I53" s="1"/>
  <c r="B45"/>
  <c r="D15" i="100"/>
  <c r="D23" i="99"/>
  <c r="D23" i="100"/>
  <c r="D14" i="98"/>
  <c r="D45" i="99"/>
  <c r="D42" i="100"/>
  <c r="D45" s="1"/>
  <c r="D15" i="98"/>
  <c r="M81" i="379"/>
  <c r="F15" i="100"/>
  <c r="F14" i="98"/>
  <c r="F45" i="99"/>
  <c r="F30" i="100"/>
  <c r="F53" s="1"/>
  <c r="F15" i="98"/>
  <c r="K26" i="36"/>
  <c r="M30" i="41"/>
  <c r="N35"/>
  <c r="H53" i="100"/>
  <c r="H45"/>
  <c r="M42" i="41"/>
  <c r="H45" i="99"/>
  <c r="N58" i="41"/>
  <c r="K52" i="99"/>
  <c r="K42"/>
  <c r="K15"/>
  <c r="K45" i="100"/>
  <c r="M58" i="299"/>
  <c r="N58" s="1"/>
  <c r="M51"/>
  <c r="M52" i="99"/>
  <c r="M41" i="30"/>
  <c r="M42" i="99"/>
  <c r="K35" i="299"/>
  <c r="M36" i="99"/>
  <c r="L53"/>
  <c r="M14" i="98"/>
  <c r="M28" i="299"/>
  <c r="M29" s="1"/>
  <c r="L45" i="99"/>
  <c r="M30"/>
  <c r="K30"/>
  <c r="M20" i="299"/>
  <c r="M23" i="99"/>
  <c r="K23"/>
  <c r="M15"/>
  <c r="M15" i="299"/>
  <c r="K15"/>
  <c r="K22" s="1"/>
  <c r="M61" i="252"/>
  <c r="M60"/>
  <c r="M48"/>
  <c r="N48" s="1"/>
  <c r="M47"/>
  <c r="O42" i="99"/>
  <c r="O36"/>
  <c r="M34" i="252"/>
  <c r="M33"/>
  <c r="N33" s="1"/>
  <c r="O53" i="99"/>
  <c r="O30"/>
  <c r="O21" i="100"/>
  <c r="O39"/>
  <c r="O29"/>
  <c r="O15"/>
  <c r="O11"/>
  <c r="O49"/>
  <c r="O35"/>
  <c r="O12"/>
  <c r="O40"/>
  <c r="O20"/>
  <c r="O48"/>
  <c r="O36"/>
  <c r="O34"/>
  <c r="O10"/>
  <c r="O44"/>
  <c r="O15" i="99"/>
  <c r="O52" i="100"/>
  <c r="O23" i="99"/>
  <c r="P45"/>
  <c r="O45" s="1"/>
  <c r="M34" i="231"/>
  <c r="M33"/>
  <c r="N33" s="1"/>
  <c r="K35"/>
  <c r="Q36" i="100"/>
  <c r="Q42"/>
  <c r="I38" i="103"/>
  <c r="I24"/>
  <c r="I26"/>
  <c r="H31"/>
  <c r="I18"/>
  <c r="K41" i="34"/>
  <c r="I41"/>
  <c r="K38" i="103"/>
  <c r="K24"/>
  <c r="K18"/>
  <c r="K16"/>
  <c r="L26"/>
  <c r="D23" i="101"/>
  <c r="E23" s="1"/>
  <c r="M21" i="43"/>
  <c r="M68" i="379"/>
  <c r="M29" i="43"/>
  <c r="K68" i="385"/>
  <c r="M68" s="1"/>
  <c r="D36" i="101"/>
  <c r="M33" i="43"/>
  <c r="N33" s="1"/>
  <c r="C33" i="32" s="1"/>
  <c r="E36" i="101"/>
  <c r="C45"/>
  <c r="M35" i="43"/>
  <c r="M44" i="44"/>
  <c r="K52" i="43"/>
  <c r="I54" i="101"/>
  <c r="J54" s="1"/>
  <c r="K54" s="1"/>
  <c r="J36"/>
  <c r="J45" s="1"/>
  <c r="K45" s="1"/>
  <c r="K23"/>
  <c r="H15" i="32"/>
  <c r="B35" i="96"/>
  <c r="Q104" i="51" s="1"/>
  <c r="C75" i="96"/>
  <c r="C25" i="92"/>
  <c r="B21" i="96"/>
  <c r="I103" i="51" s="1"/>
  <c r="C61" i="96"/>
  <c r="B63"/>
  <c r="B68" s="1"/>
  <c r="B77" s="1"/>
  <c r="B81" s="1"/>
  <c r="C53"/>
  <c r="R53"/>
  <c r="R55" s="1"/>
  <c r="F63"/>
  <c r="F61" i="33"/>
  <c r="S72" i="96"/>
  <c r="R79" i="33"/>
  <c r="B41" i="34" s="1"/>
  <c r="S79" i="96"/>
  <c r="S25" i="92"/>
  <c r="S71" i="96"/>
  <c r="S73"/>
  <c r="E14" i="51"/>
  <c r="E16" s="1"/>
  <c r="E94" s="1"/>
  <c r="H13"/>
  <c r="E14" i="52"/>
  <c r="E16" s="1"/>
  <c r="E50" i="40" s="1"/>
  <c r="N63" i="92" s="1"/>
  <c r="R61" i="96"/>
  <c r="S61" s="1"/>
  <c r="C21" i="97"/>
  <c r="B23"/>
  <c r="H35" i="96"/>
  <c r="E36" i="51"/>
  <c r="E35" i="36" s="1"/>
  <c r="C36" i="97"/>
  <c r="B37"/>
  <c r="E36" i="52"/>
  <c r="E57" i="36" s="1"/>
  <c r="E71" s="1"/>
  <c r="K31" i="96"/>
  <c r="C16" i="97"/>
  <c r="K14" i="96"/>
  <c r="K37"/>
  <c r="D55"/>
  <c r="K13"/>
  <c r="K11"/>
  <c r="C50" i="33"/>
  <c r="K12" i="96"/>
  <c r="M20"/>
  <c r="M18"/>
  <c r="M14"/>
  <c r="M13"/>
  <c r="M12"/>
  <c r="M11"/>
  <c r="O39"/>
  <c r="O35"/>
  <c r="O32"/>
  <c r="O18"/>
  <c r="L68"/>
  <c r="O13"/>
  <c r="O12"/>
  <c r="O10"/>
  <c r="P39" i="33"/>
  <c r="O39" s="1"/>
  <c r="G33" i="97"/>
  <c r="F37"/>
  <c r="G37" s="1"/>
  <c r="O33" i="96"/>
  <c r="E78" i="51"/>
  <c r="E42" i="36" s="1"/>
  <c r="F23" i="97"/>
  <c r="G23" s="1"/>
  <c r="G20"/>
  <c r="E64" i="51"/>
  <c r="E40" i="36" s="1"/>
  <c r="P23" i="96"/>
  <c r="O15"/>
  <c r="G12" i="97"/>
  <c r="F15"/>
  <c r="P55" i="96"/>
  <c r="E56" i="51"/>
  <c r="E58" s="1"/>
  <c r="E39" i="36" s="1"/>
  <c r="H81" i="52"/>
  <c r="N81" s="1"/>
  <c r="D37" i="97"/>
  <c r="H62" i="52"/>
  <c r="N62" s="1"/>
  <c r="E63"/>
  <c r="E62" i="36" s="1"/>
  <c r="T68" i="96"/>
  <c r="T23" i="92"/>
  <c r="F23"/>
  <c r="C15" i="94"/>
  <c r="C39"/>
  <c r="C11"/>
  <c r="C52"/>
  <c r="C51"/>
  <c r="C23"/>
  <c r="C44"/>
  <c r="B15" i="30"/>
  <c r="C35" i="94"/>
  <c r="C21"/>
  <c r="C10"/>
  <c r="C20"/>
  <c r="C12"/>
  <c r="C22"/>
  <c r="C40"/>
  <c r="C28"/>
  <c r="C19"/>
  <c r="C48"/>
  <c r="C41"/>
  <c r="C29"/>
  <c r="C42"/>
  <c r="C45"/>
  <c r="B11" i="92"/>
  <c r="I11" s="1"/>
  <c r="B43"/>
  <c r="N43" s="1"/>
  <c r="B14"/>
  <c r="I14" s="1"/>
  <c r="B45" i="93"/>
  <c r="B53" i="94"/>
  <c r="C53" s="1"/>
  <c r="B53" i="93"/>
  <c r="I53" s="1"/>
  <c r="D15" i="30"/>
  <c r="D23" s="1"/>
  <c r="D15" i="94"/>
  <c r="F35" i="31"/>
  <c r="F53" i="94"/>
  <c r="H23" i="93"/>
  <c r="H15" i="94"/>
  <c r="E25" i="36"/>
  <c r="E26"/>
  <c r="D11" i="92"/>
  <c r="E45" i="41"/>
  <c r="H45" i="94"/>
  <c r="H45" i="93"/>
  <c r="D53"/>
  <c r="H53" i="94"/>
  <c r="K52" i="93"/>
  <c r="E21" i="36"/>
  <c r="K53" i="93"/>
  <c r="H18" i="36"/>
  <c r="N18" s="1"/>
  <c r="K23" i="93"/>
  <c r="K15"/>
  <c r="J15" i="94"/>
  <c r="H60" i="299"/>
  <c r="N60" s="1"/>
  <c r="M51" i="30"/>
  <c r="M42" i="93"/>
  <c r="M36"/>
  <c r="M45"/>
  <c r="M30"/>
  <c r="K30"/>
  <c r="M11" i="92"/>
  <c r="M23" i="93"/>
  <c r="H62" i="252"/>
  <c r="H61"/>
  <c r="N61" s="1"/>
  <c r="E51"/>
  <c r="O52" i="93"/>
  <c r="O50" i="30"/>
  <c r="O36" i="93"/>
  <c r="M53"/>
  <c r="E29" i="252"/>
  <c r="O30" i="93"/>
  <c r="H28" i="252"/>
  <c r="N28" s="1"/>
  <c r="O13" i="92"/>
  <c r="O11"/>
  <c r="O52" i="94"/>
  <c r="E15" i="252"/>
  <c r="E22" s="1"/>
  <c r="O23" i="93"/>
  <c r="O15"/>
  <c r="H62" i="231"/>
  <c r="H43"/>
  <c r="N43" s="1"/>
  <c r="P42" i="30"/>
  <c r="E41" i="231"/>
  <c r="P45" i="93"/>
  <c r="O45" s="1"/>
  <c r="H17" i="231"/>
  <c r="N17" s="1"/>
  <c r="P23" i="94"/>
  <c r="Q22" s="1"/>
  <c r="H14" i="231"/>
  <c r="N14" s="1"/>
  <c r="E15"/>
  <c r="E22" s="1"/>
  <c r="I37" i="97"/>
  <c r="H30"/>
  <c r="H39" s="1"/>
  <c r="H43" s="1"/>
  <c r="I23"/>
  <c r="I15"/>
  <c r="K23"/>
  <c r="J17"/>
  <c r="K17" s="1"/>
  <c r="K15"/>
  <c r="L30"/>
  <c r="B54" i="95"/>
  <c r="E68" i="385"/>
  <c r="E36" i="44"/>
  <c r="E45" s="1"/>
  <c r="D36" i="95"/>
  <c r="E36" s="1"/>
  <c r="C45"/>
  <c r="C54"/>
  <c r="E52" i="43"/>
  <c r="J45" i="95"/>
  <c r="K45" s="1"/>
  <c r="K30"/>
  <c r="I23" i="32"/>
  <c r="J13"/>
  <c r="J12"/>
  <c r="K12" s="1"/>
  <c r="J11"/>
  <c r="J15"/>
  <c r="K15" s="1"/>
  <c r="D14" i="51"/>
  <c r="D16" s="1"/>
  <c r="D48" i="40" s="1"/>
  <c r="S60" i="90"/>
  <c r="D36" i="51"/>
  <c r="D35" i="36" s="1"/>
  <c r="F23" i="90"/>
  <c r="R53"/>
  <c r="R55" s="1"/>
  <c r="R23" i="86" s="1"/>
  <c r="S23" s="1"/>
  <c r="F23"/>
  <c r="C21" i="91"/>
  <c r="B22"/>
  <c r="R75" i="90"/>
  <c r="R26" i="86" s="1"/>
  <c r="S26" s="1"/>
  <c r="C75" i="90"/>
  <c r="D70" i="36"/>
  <c r="C15" i="91"/>
  <c r="C11"/>
  <c r="B14"/>
  <c r="B16" s="1"/>
  <c r="S50" i="90"/>
  <c r="S53"/>
  <c r="K31"/>
  <c r="J35"/>
  <c r="K35" s="1"/>
  <c r="K21"/>
  <c r="J23"/>
  <c r="J28" s="1"/>
  <c r="J37" s="1"/>
  <c r="J41" s="1"/>
  <c r="K14"/>
  <c r="D55"/>
  <c r="K15"/>
  <c r="K13"/>
  <c r="K12"/>
  <c r="J11" i="33"/>
  <c r="K11" s="1"/>
  <c r="H54" i="52"/>
  <c r="K10" i="90"/>
  <c r="M33"/>
  <c r="M31"/>
  <c r="M25"/>
  <c r="L23"/>
  <c r="M20"/>
  <c r="M12"/>
  <c r="H63"/>
  <c r="U71" i="33"/>
  <c r="N35" i="90"/>
  <c r="M35" s="1"/>
  <c r="O34"/>
  <c r="O31"/>
  <c r="O25"/>
  <c r="U61"/>
  <c r="U63" s="1"/>
  <c r="U68" s="1"/>
  <c r="U77" s="1"/>
  <c r="U81" s="1"/>
  <c r="N21"/>
  <c r="M21" s="1"/>
  <c r="O20"/>
  <c r="O14"/>
  <c r="L55"/>
  <c r="N13"/>
  <c r="O12"/>
  <c r="O10"/>
  <c r="G32" i="91"/>
  <c r="F36"/>
  <c r="G36" s="1"/>
  <c r="F33" i="34"/>
  <c r="G33" s="1"/>
  <c r="H76" i="51"/>
  <c r="G19" i="91"/>
  <c r="F22"/>
  <c r="G22" s="1"/>
  <c r="P63" i="90"/>
  <c r="P68" s="1"/>
  <c r="P77" s="1"/>
  <c r="P21"/>
  <c r="O21" s="1"/>
  <c r="D64" i="51"/>
  <c r="D40" i="36" s="1"/>
  <c r="G11" i="91"/>
  <c r="F14"/>
  <c r="F16" s="1"/>
  <c r="P15" i="90"/>
  <c r="D56" i="51"/>
  <c r="D58" s="1"/>
  <c r="D77" i="52"/>
  <c r="D64" i="36" s="1"/>
  <c r="H75" i="52"/>
  <c r="D36" i="91"/>
  <c r="C26"/>
  <c r="T61" i="90"/>
  <c r="S61" s="1"/>
  <c r="D61" i="52"/>
  <c r="D63" s="1"/>
  <c r="C20" i="91"/>
  <c r="D22"/>
  <c r="I36"/>
  <c r="H24"/>
  <c r="H29" s="1"/>
  <c r="H38" s="1"/>
  <c r="H42" s="1"/>
  <c r="I22"/>
  <c r="I16"/>
  <c r="K36"/>
  <c r="K22"/>
  <c r="J24"/>
  <c r="K24" s="1"/>
  <c r="K16"/>
  <c r="L29"/>
  <c r="D15" i="89"/>
  <c r="E15" s="1"/>
  <c r="C23"/>
  <c r="D23" s="1"/>
  <c r="E23" s="1"/>
  <c r="D15" i="43"/>
  <c r="D23" s="1"/>
  <c r="H20" i="44"/>
  <c r="H21" i="43"/>
  <c r="N21" s="1"/>
  <c r="C21" i="32" s="1"/>
  <c r="D30" i="89"/>
  <c r="E30" s="1"/>
  <c r="D30" i="44"/>
  <c r="D57" s="1"/>
  <c r="D36" i="89"/>
  <c r="E36" s="1"/>
  <c r="E42"/>
  <c r="D42" i="43"/>
  <c r="K30" i="89"/>
  <c r="J45"/>
  <c r="K45" s="1"/>
  <c r="B43" i="86"/>
  <c r="N43" s="1"/>
  <c r="B11"/>
  <c r="C48" i="88"/>
  <c r="C44"/>
  <c r="B14" i="86"/>
  <c r="B15"/>
  <c r="I15" s="1"/>
  <c r="B54"/>
  <c r="N54" s="1"/>
  <c r="D45" i="87"/>
  <c r="F22" i="88"/>
  <c r="D14" i="40"/>
  <c r="H14" i="88"/>
  <c r="D10" i="36"/>
  <c r="D26"/>
  <c r="H42" i="88"/>
  <c r="E49" i="89"/>
  <c r="F15" i="86"/>
  <c r="D49" i="43"/>
  <c r="K52" i="87"/>
  <c r="K42"/>
  <c r="K35" i="30"/>
  <c r="K45" i="87"/>
  <c r="D15" i="40"/>
  <c r="K27" i="30"/>
  <c r="J28" i="31"/>
  <c r="J14" i="86"/>
  <c r="I14" s="1"/>
  <c r="J53" i="87"/>
  <c r="K30"/>
  <c r="D29" i="397"/>
  <c r="K14" i="88"/>
  <c r="K20"/>
  <c r="K52"/>
  <c r="D11" i="40"/>
  <c r="J11" i="86"/>
  <c r="I11" s="1"/>
  <c r="K13" i="88"/>
  <c r="K22"/>
  <c r="K48"/>
  <c r="K36"/>
  <c r="K30"/>
  <c r="K15" i="87"/>
  <c r="G50" i="182"/>
  <c r="M49" i="30"/>
  <c r="M15" i="86"/>
  <c r="M52" i="87"/>
  <c r="L42" i="30"/>
  <c r="H40" i="299"/>
  <c r="M53" i="87"/>
  <c r="M45"/>
  <c r="M15"/>
  <c r="D51" i="252"/>
  <c r="O52" i="87"/>
  <c r="O41" i="30"/>
  <c r="O42" i="87"/>
  <c r="D41" i="252"/>
  <c r="O30" i="87"/>
  <c r="D15" i="252"/>
  <c r="D22" s="1"/>
  <c r="H14"/>
  <c r="H61" i="231"/>
  <c r="P53" i="87"/>
  <c r="O53" s="1"/>
  <c r="P45"/>
  <c r="O45" s="1"/>
  <c r="P22" i="88"/>
  <c r="Q30" s="1"/>
  <c r="Q50"/>
  <c r="Q41"/>
  <c r="Q29"/>
  <c r="Q44"/>
  <c r="Q19"/>
  <c r="O23" i="87"/>
  <c r="O12" i="30"/>
  <c r="H11" i="231"/>
  <c r="N11" s="1"/>
  <c r="O11" i="86"/>
  <c r="C52" i="113"/>
  <c r="G84" i="23"/>
  <c r="H37" i="34"/>
  <c r="B17" i="324" s="1"/>
  <c r="I34" i="34"/>
  <c r="I37" i="85"/>
  <c r="I21" i="34"/>
  <c r="I23" i="85"/>
  <c r="H25"/>
  <c r="H30" s="1"/>
  <c r="H39" s="1"/>
  <c r="H43" s="1"/>
  <c r="I14" i="34"/>
  <c r="H15"/>
  <c r="I17" i="85"/>
  <c r="I15"/>
  <c r="D62" i="397"/>
  <c r="I35" i="34"/>
  <c r="K36"/>
  <c r="K37" i="85"/>
  <c r="J25"/>
  <c r="K23"/>
  <c r="J30"/>
  <c r="K17"/>
  <c r="K25"/>
  <c r="K15"/>
  <c r="K22" i="34"/>
  <c r="L23"/>
  <c r="L30" i="85"/>
  <c r="L15" i="34"/>
  <c r="L17" s="1"/>
  <c r="L25" s="1"/>
  <c r="L30" s="1"/>
  <c r="B23" i="84"/>
  <c r="B76" i="80" s="1"/>
  <c r="B64"/>
  <c r="R23"/>
  <c r="S23" s="1"/>
  <c r="B70"/>
  <c r="C55" i="84"/>
  <c r="D15"/>
  <c r="D35"/>
  <c r="R75"/>
  <c r="R26" i="80" s="1"/>
  <c r="F15" i="84"/>
  <c r="N23" i="80"/>
  <c r="H13" i="52"/>
  <c r="N13" s="1"/>
  <c r="H19" i="51"/>
  <c r="H21" i="84"/>
  <c r="H20" i="51"/>
  <c r="B23" i="85"/>
  <c r="C23" s="1"/>
  <c r="C22"/>
  <c r="H21" i="51"/>
  <c r="C21" i="52"/>
  <c r="C22" s="1"/>
  <c r="C55" i="36" s="1"/>
  <c r="C69" s="1"/>
  <c r="C26" i="52"/>
  <c r="C56" i="36" s="1"/>
  <c r="R25" i="80"/>
  <c r="S25" s="1"/>
  <c r="N25"/>
  <c r="C34" i="85"/>
  <c r="C35"/>
  <c r="B37"/>
  <c r="H34" i="51"/>
  <c r="K35" i="84"/>
  <c r="K32"/>
  <c r="D27" i="34"/>
  <c r="J19" i="33"/>
  <c r="K19" i="84"/>
  <c r="K18"/>
  <c r="J23"/>
  <c r="J28" s="1"/>
  <c r="J37" s="1"/>
  <c r="J41" s="1"/>
  <c r="D23" i="80"/>
  <c r="C16" i="85"/>
  <c r="J12" i="33"/>
  <c r="D63" i="84"/>
  <c r="K13"/>
  <c r="K12"/>
  <c r="G36" i="85"/>
  <c r="F36" i="34"/>
  <c r="G36" s="1"/>
  <c r="M35" i="84"/>
  <c r="M33"/>
  <c r="M32"/>
  <c r="M25"/>
  <c r="L21"/>
  <c r="K21" s="1"/>
  <c r="M20"/>
  <c r="M19"/>
  <c r="M14"/>
  <c r="H77"/>
  <c r="L15"/>
  <c r="M10"/>
  <c r="G35" i="85"/>
  <c r="F35" i="34"/>
  <c r="G35" s="1"/>
  <c r="U75" i="84"/>
  <c r="O35"/>
  <c r="O33"/>
  <c r="O31"/>
  <c r="O25"/>
  <c r="G22" i="85"/>
  <c r="F22" i="34"/>
  <c r="G22" s="1"/>
  <c r="F20"/>
  <c r="G20" s="1"/>
  <c r="N21" i="84"/>
  <c r="O20"/>
  <c r="O18"/>
  <c r="O14"/>
  <c r="L63"/>
  <c r="U53"/>
  <c r="U55" s="1"/>
  <c r="U63" s="1"/>
  <c r="U68" s="1"/>
  <c r="G34" i="85"/>
  <c r="F34" i="34"/>
  <c r="C78" i="51"/>
  <c r="C42" i="36" s="1"/>
  <c r="F37" i="85"/>
  <c r="G37" s="1"/>
  <c r="H77" i="51"/>
  <c r="G27" i="85"/>
  <c r="F27" i="34"/>
  <c r="G21" i="85"/>
  <c r="F23"/>
  <c r="G23" s="1"/>
  <c r="C64" i="51"/>
  <c r="C40" i="36" s="1"/>
  <c r="H62" i="51"/>
  <c r="G16" i="85"/>
  <c r="F16" i="34"/>
  <c r="G16" s="1"/>
  <c r="F13"/>
  <c r="G13" s="1"/>
  <c r="F15" i="85"/>
  <c r="P77" i="84"/>
  <c r="H54" i="51"/>
  <c r="P23" i="80"/>
  <c r="F14" i="34"/>
  <c r="G14" s="1"/>
  <c r="F12"/>
  <c r="G12" s="1"/>
  <c r="H55" i="51"/>
  <c r="P13" i="84"/>
  <c r="T75"/>
  <c r="D37" i="85"/>
  <c r="C27"/>
  <c r="T63" i="84"/>
  <c r="T68" s="1"/>
  <c r="B23" i="81"/>
  <c r="B45" i="82"/>
  <c r="B53" i="81"/>
  <c r="I53" s="1"/>
  <c r="B45"/>
  <c r="B15" i="80"/>
  <c r="I15" s="1"/>
  <c r="D23" i="81"/>
  <c r="D45" i="82"/>
  <c r="D45" i="81"/>
  <c r="D52" i="82"/>
  <c r="D53" s="1"/>
  <c r="F23" i="30"/>
  <c r="F11" i="80"/>
  <c r="F23" i="82"/>
  <c r="F45" i="81"/>
  <c r="D15" i="80"/>
  <c r="D53" i="81"/>
  <c r="H30" i="82"/>
  <c r="C57" i="44"/>
  <c r="H15" i="82"/>
  <c r="H14" i="31"/>
  <c r="C10" i="40"/>
  <c r="C14"/>
  <c r="C10" i="36"/>
  <c r="F9" i="31"/>
  <c r="C56" i="44"/>
  <c r="K52" i="81"/>
  <c r="C21" i="36"/>
  <c r="J42" i="30"/>
  <c r="K42" i="81"/>
  <c r="K36"/>
  <c r="J26" i="31"/>
  <c r="K14" i="80"/>
  <c r="K15" i="81"/>
  <c r="M61" i="30"/>
  <c r="M42" i="81"/>
  <c r="M36"/>
  <c r="C35" i="299"/>
  <c r="M30" i="81"/>
  <c r="K30"/>
  <c r="H28" i="299"/>
  <c r="B59" i="182"/>
  <c r="C50" s="1"/>
  <c r="M23" i="81"/>
  <c r="K23"/>
  <c r="M15"/>
  <c r="M62" i="30"/>
  <c r="M50"/>
  <c r="O52" i="81"/>
  <c r="N42" i="30"/>
  <c r="O42" s="1"/>
  <c r="O36" i="81"/>
  <c r="M53"/>
  <c r="O30"/>
  <c r="N11" i="80"/>
  <c r="M11" s="1"/>
  <c r="N15" i="30"/>
  <c r="N23" s="1"/>
  <c r="M13"/>
  <c r="O23" i="81"/>
  <c r="P45"/>
  <c r="O45" s="1"/>
  <c r="P14" i="80"/>
  <c r="O14" s="1"/>
  <c r="P11"/>
  <c r="O11" s="1"/>
  <c r="D23" i="83"/>
  <c r="E23" s="1"/>
  <c r="D15"/>
  <c r="E15" s="1"/>
  <c r="H20" i="43"/>
  <c r="D36" i="83"/>
  <c r="E36" s="1"/>
  <c r="D45"/>
  <c r="E45" s="1"/>
  <c r="C42" i="44"/>
  <c r="H41" i="43"/>
  <c r="J42" i="83"/>
  <c r="K42" s="1"/>
  <c r="J23"/>
  <c r="K23" s="1"/>
  <c r="K15"/>
  <c r="G37" i="79"/>
  <c r="G15"/>
  <c r="I36" i="34"/>
  <c r="I16"/>
  <c r="I17" i="79"/>
  <c r="I12" i="34"/>
  <c r="I15" i="79"/>
  <c r="K34" i="34"/>
  <c r="K27"/>
  <c r="K21"/>
  <c r="J25" i="79"/>
  <c r="K16" i="34"/>
  <c r="K14"/>
  <c r="K12"/>
  <c r="L37"/>
  <c r="L17" i="79"/>
  <c r="B15"/>
  <c r="S59" i="78"/>
  <c r="B34" i="36"/>
  <c r="S55" i="78"/>
  <c r="F23" i="74"/>
  <c r="B12" i="52"/>
  <c r="B14" s="1"/>
  <c r="J53" i="33"/>
  <c r="B15" i="52"/>
  <c r="B68" i="40" s="1"/>
  <c r="J63" i="78"/>
  <c r="F21"/>
  <c r="R61"/>
  <c r="S61" s="1"/>
  <c r="B37" i="79"/>
  <c r="J60" i="324" s="1"/>
  <c r="P60" s="1"/>
  <c r="B35" i="78"/>
  <c r="Q103" i="51" s="1"/>
  <c r="S75" i="78"/>
  <c r="B26" i="74"/>
  <c r="B75" i="33"/>
  <c r="C75" s="1"/>
  <c r="C26" i="74"/>
  <c r="C75" i="78"/>
  <c r="S26" i="74"/>
  <c r="C20" i="79"/>
  <c r="B23"/>
  <c r="J58" i="324" s="1"/>
  <c r="C61" i="78"/>
  <c r="B13"/>
  <c r="C103" i="51" s="1"/>
  <c r="C52" i="33"/>
  <c r="B55" i="78"/>
  <c r="B63" s="1"/>
  <c r="B68" s="1"/>
  <c r="B77" s="1"/>
  <c r="B81" s="1"/>
  <c r="O35"/>
  <c r="P31" i="33"/>
  <c r="O31" s="1"/>
  <c r="P25"/>
  <c r="O25" s="1"/>
  <c r="O25" i="78"/>
  <c r="B66" i="51"/>
  <c r="B71" s="1"/>
  <c r="B80" s="1"/>
  <c r="B84" s="1"/>
  <c r="B43" i="36" s="1"/>
  <c r="B39"/>
  <c r="B49" i="384"/>
  <c r="P23" i="78"/>
  <c r="O15"/>
  <c r="O13"/>
  <c r="P10" i="33"/>
  <c r="O10" s="1"/>
  <c r="P55" i="78"/>
  <c r="P12" i="33"/>
  <c r="O12" s="1"/>
  <c r="M31" i="78"/>
  <c r="O32"/>
  <c r="L61" i="33"/>
  <c r="M21" i="78"/>
  <c r="M18"/>
  <c r="L63"/>
  <c r="M14"/>
  <c r="L68"/>
  <c r="L53" i="33"/>
  <c r="L55" s="1"/>
  <c r="L84" s="1"/>
  <c r="K20" i="78"/>
  <c r="K19"/>
  <c r="U75"/>
  <c r="M34"/>
  <c r="M33"/>
  <c r="K31"/>
  <c r="K18"/>
  <c r="U61"/>
  <c r="K21"/>
  <c r="K14"/>
  <c r="H55"/>
  <c r="M12"/>
  <c r="U53"/>
  <c r="U55" s="1"/>
  <c r="D33" i="34"/>
  <c r="J34" i="33"/>
  <c r="K34" s="1"/>
  <c r="J31"/>
  <c r="K31" s="1"/>
  <c r="D14" i="34"/>
  <c r="D63" i="78"/>
  <c r="T63"/>
  <c r="T24" i="74"/>
  <c r="D23" i="77"/>
  <c r="E23" s="1"/>
  <c r="B30" i="44"/>
  <c r="B57" s="1"/>
  <c r="B68" i="397"/>
  <c r="D36" i="77"/>
  <c r="E36" s="1"/>
  <c r="E42"/>
  <c r="B45" i="44"/>
  <c r="B45" i="77"/>
  <c r="D45" s="1"/>
  <c r="E45" s="1"/>
  <c r="B54"/>
  <c r="H44" i="43"/>
  <c r="N44" s="1"/>
  <c r="C44" i="32" s="1"/>
  <c r="J42" i="77"/>
  <c r="K42" s="1"/>
  <c r="I45" i="32"/>
  <c r="I45" i="77"/>
  <c r="J45" s="1"/>
  <c r="K45" s="1"/>
  <c r="I54"/>
  <c r="J54" s="1"/>
  <c r="K54" s="1"/>
  <c r="J30"/>
  <c r="K30" s="1"/>
  <c r="J23"/>
  <c r="K23" s="1"/>
  <c r="B53" i="28"/>
  <c r="N53" s="1"/>
  <c r="B50"/>
  <c r="N50" s="1"/>
  <c r="B41" i="31"/>
  <c r="B45" i="75"/>
  <c r="B14" i="31"/>
  <c r="B23" i="75"/>
  <c r="D40" i="31"/>
  <c r="D34"/>
  <c r="D35" s="1"/>
  <c r="D14" i="74"/>
  <c r="D45" i="76"/>
  <c r="D53"/>
  <c r="F45" i="75"/>
  <c r="F30" i="30"/>
  <c r="F15" i="28" s="1"/>
  <c r="F26" i="31"/>
  <c r="N59" i="41"/>
  <c r="N48"/>
  <c r="N44"/>
  <c r="H42" i="76"/>
  <c r="H53" s="1"/>
  <c r="H42" i="41"/>
  <c r="H35" i="31"/>
  <c r="H14" i="74"/>
  <c r="H45" i="75"/>
  <c r="F13" i="28"/>
  <c r="F16" i="31"/>
  <c r="N14" i="41"/>
  <c r="P50" i="324"/>
  <c r="K61" i="30"/>
  <c r="B21" i="36"/>
  <c r="K48" i="30"/>
  <c r="K51"/>
  <c r="K49"/>
  <c r="M54" i="324"/>
  <c r="H43" i="397"/>
  <c r="K42" i="75"/>
  <c r="J36" i="30"/>
  <c r="J34" i="31"/>
  <c r="J35" s="1"/>
  <c r="J11"/>
  <c r="K15" i="75"/>
  <c r="J11" i="74"/>
  <c r="H49" i="299"/>
  <c r="N49" s="1"/>
  <c r="M42" i="75"/>
  <c r="L53"/>
  <c r="L14" i="74"/>
  <c r="K14" s="1"/>
  <c r="D53" i="324"/>
  <c r="M53" s="1"/>
  <c r="M27" i="30"/>
  <c r="M30" i="75"/>
  <c r="K30"/>
  <c r="M13" i="74"/>
  <c r="C54" i="182"/>
  <c r="C53"/>
  <c r="M23" i="75"/>
  <c r="K23"/>
  <c r="M15"/>
  <c r="O61" i="30"/>
  <c r="H58" i="252"/>
  <c r="N58" s="1"/>
  <c r="H50"/>
  <c r="N50" s="1"/>
  <c r="O52" i="75"/>
  <c r="B51" i="252"/>
  <c r="B52" s="1"/>
  <c r="O42" i="75"/>
  <c r="O36" i="30"/>
  <c r="O30" i="75"/>
  <c r="O13" i="74"/>
  <c r="O23" i="75"/>
  <c r="O63" i="30"/>
  <c r="P15" i="74"/>
  <c r="O15" s="1"/>
  <c r="H50" i="231"/>
  <c r="N50" s="1"/>
  <c r="P45" i="75"/>
  <c r="O45" s="1"/>
  <c r="O36"/>
  <c r="B29" i="231"/>
  <c r="P13" i="28"/>
  <c r="O13" s="1"/>
  <c r="P14"/>
  <c r="H21" i="231"/>
  <c r="P23" i="76"/>
  <c r="Q53" s="1"/>
  <c r="P11" i="74"/>
  <c r="O11" s="1"/>
  <c r="M50" i="397"/>
  <c r="N50" s="1"/>
  <c r="K51"/>
  <c r="N60"/>
  <c r="N58"/>
  <c r="N49"/>
  <c r="N48"/>
  <c r="N43"/>
  <c r="N40"/>
  <c r="I41"/>
  <c r="N34"/>
  <c r="N33"/>
  <c r="N27"/>
  <c r="N21"/>
  <c r="N20"/>
  <c r="N14"/>
  <c r="H57"/>
  <c r="N57" s="1"/>
  <c r="F29"/>
  <c r="H13"/>
  <c r="N13" s="1"/>
  <c r="H39"/>
  <c r="N39" s="1"/>
  <c r="H18"/>
  <c r="N18" s="1"/>
  <c r="H11"/>
  <c r="N11" s="1"/>
  <c r="M22" i="371"/>
  <c r="N11"/>
  <c r="N58" i="379"/>
  <c r="N18"/>
  <c r="N49"/>
  <c r="N33"/>
  <c r="N28"/>
  <c r="J15"/>
  <c r="J22" s="1"/>
  <c r="N57" i="385"/>
  <c r="N61"/>
  <c r="N62"/>
  <c r="M51"/>
  <c r="N50"/>
  <c r="N41"/>
  <c r="N34"/>
  <c r="J52"/>
  <c r="N27"/>
  <c r="N28"/>
  <c r="N17"/>
  <c r="N21"/>
  <c r="N11"/>
  <c r="D44"/>
  <c r="H44" s="1"/>
  <c r="D52"/>
  <c r="K22" i="371"/>
  <c r="N57"/>
  <c r="M51"/>
  <c r="N43"/>
  <c r="F26" i="36"/>
  <c r="G26"/>
  <c r="M12"/>
  <c r="C52" i="397"/>
  <c r="E52"/>
  <c r="E44"/>
  <c r="G52"/>
  <c r="G44"/>
  <c r="K44"/>
  <c r="H35"/>
  <c r="D52"/>
  <c r="D44"/>
  <c r="F52"/>
  <c r="I44"/>
  <c r="L44"/>
  <c r="M10"/>
  <c r="M15" s="1"/>
  <c r="M22" s="1"/>
  <c r="B15"/>
  <c r="B22" s="1"/>
  <c r="M26"/>
  <c r="M29" s="1"/>
  <c r="M15" i="40" s="1"/>
  <c r="B29" i="397"/>
  <c r="M32"/>
  <c r="M35" s="1"/>
  <c r="B35"/>
  <c r="M38"/>
  <c r="M41" s="1"/>
  <c r="B41"/>
  <c r="M47"/>
  <c r="M51" s="1"/>
  <c r="J10"/>
  <c r="J15" s="1"/>
  <c r="J22" s="1"/>
  <c r="J26"/>
  <c r="J29" s="1"/>
  <c r="J32"/>
  <c r="J38"/>
  <c r="J41" s="1"/>
  <c r="H47"/>
  <c r="B22" i="183"/>
  <c r="P5" i="110"/>
  <c r="P5" i="128" s="1"/>
  <c r="P5" i="134" s="1"/>
  <c r="P5" i="140" s="1"/>
  <c r="P7" i="111"/>
  <c r="P7" i="129" s="1"/>
  <c r="P7" i="135" s="1"/>
  <c r="P7" i="141" s="1"/>
  <c r="K48" i="40"/>
  <c r="F53" i="88"/>
  <c r="F45"/>
  <c r="D30" i="115"/>
  <c r="D39" s="1"/>
  <c r="D43" s="1"/>
  <c r="G37" i="343" s="1"/>
  <c r="N34" i="252"/>
  <c r="H35"/>
  <c r="M49" i="88"/>
  <c r="C52" i="252"/>
  <c r="L35" i="33"/>
  <c r="M31"/>
  <c r="M13" i="28"/>
  <c r="N65" i="86"/>
  <c r="D14" i="52"/>
  <c r="D16" s="1"/>
  <c r="M35" i="385"/>
  <c r="M52" s="1"/>
  <c r="N32"/>
  <c r="N35" s="1"/>
  <c r="K23" i="142"/>
  <c r="K52"/>
  <c r="K36"/>
  <c r="K22"/>
  <c r="K48"/>
  <c r="K50"/>
  <c r="K44"/>
  <c r="K21"/>
  <c r="K49"/>
  <c r="K51"/>
  <c r="K34"/>
  <c r="K33"/>
  <c r="K39"/>
  <c r="K41"/>
  <c r="K17"/>
  <c r="K15" i="100"/>
  <c r="K11"/>
  <c r="K23"/>
  <c r="K34"/>
  <c r="K13"/>
  <c r="K49"/>
  <c r="K33"/>
  <c r="K10"/>
  <c r="K44"/>
  <c r="K17"/>
  <c r="K20"/>
  <c r="K48"/>
  <c r="K35"/>
  <c r="K22"/>
  <c r="K36"/>
  <c r="C18" i="88"/>
  <c r="C30"/>
  <c r="C49"/>
  <c r="C41"/>
  <c r="C13"/>
  <c r="C21"/>
  <c r="C50"/>
  <c r="C39"/>
  <c r="C27"/>
  <c r="C19"/>
  <c r="C35"/>
  <c r="C51"/>
  <c r="C34"/>
  <c r="C20"/>
  <c r="O13" i="130"/>
  <c r="O36"/>
  <c r="O11"/>
  <c r="O34"/>
  <c r="O44"/>
  <c r="O12"/>
  <c r="O10"/>
  <c r="O22"/>
  <c r="O35"/>
  <c r="O27"/>
  <c r="O17"/>
  <c r="O48"/>
  <c r="O28"/>
  <c r="O49"/>
  <c r="C20" i="136"/>
  <c r="C44"/>
  <c r="C22"/>
  <c r="C48"/>
  <c r="C21"/>
  <c r="C28"/>
  <c r="C40"/>
  <c r="C34"/>
  <c r="C41"/>
  <c r="C17"/>
  <c r="C39"/>
  <c r="C14"/>
  <c r="C54" i="143"/>
  <c r="D52"/>
  <c r="C40" i="142"/>
  <c r="C41"/>
  <c r="C39"/>
  <c r="C30"/>
  <c r="C28"/>
  <c r="C12"/>
  <c r="C17"/>
  <c r="M12"/>
  <c r="M35"/>
  <c r="M27"/>
  <c r="M20"/>
  <c r="M11"/>
  <c r="M13"/>
  <c r="M21"/>
  <c r="M19"/>
  <c r="M10"/>
  <c r="M14"/>
  <c r="M29"/>
  <c r="M23"/>
  <c r="K30" i="136"/>
  <c r="K42"/>
  <c r="K13"/>
  <c r="K49"/>
  <c r="K21"/>
  <c r="K28"/>
  <c r="K40"/>
  <c r="K52"/>
  <c r="K22"/>
  <c r="K44"/>
  <c r="K48"/>
  <c r="K29"/>
  <c r="K39"/>
  <c r="K27"/>
  <c r="K50"/>
  <c r="L45"/>
  <c r="M45" s="1"/>
  <c r="L53"/>
  <c r="M53" s="1"/>
  <c r="M30"/>
  <c r="Q36"/>
  <c r="P45"/>
  <c r="Q45" s="1"/>
  <c r="H45" i="112"/>
  <c r="D45"/>
  <c r="D53"/>
  <c r="M52" i="94"/>
  <c r="M14"/>
  <c r="M33"/>
  <c r="M11"/>
  <c r="M21"/>
  <c r="M40"/>
  <c r="M22"/>
  <c r="M48"/>
  <c r="M50"/>
  <c r="M29"/>
  <c r="M34"/>
  <c r="M19"/>
  <c r="M27"/>
  <c r="M20"/>
  <c r="P45" i="112"/>
  <c r="P53"/>
  <c r="J52" i="95"/>
  <c r="K52" s="1"/>
  <c r="I54"/>
  <c r="J54" s="1"/>
  <c r="K54" s="1"/>
  <c r="C42" i="88"/>
  <c r="B45"/>
  <c r="C45" s="1"/>
  <c r="N45" i="100"/>
  <c r="O45" s="1"/>
  <c r="O30"/>
  <c r="L53"/>
  <c r="C30" i="82"/>
  <c r="C11"/>
  <c r="C19"/>
  <c r="C23"/>
  <c r="C34"/>
  <c r="C49"/>
  <c r="C50"/>
  <c r="C27"/>
  <c r="C48"/>
  <c r="C29"/>
  <c r="C17"/>
  <c r="C35"/>
  <c r="C33"/>
  <c r="C14"/>
  <c r="C36"/>
  <c r="B9" i="324"/>
  <c r="K63" i="30"/>
  <c r="J49" i="31"/>
  <c r="J51" s="1"/>
  <c r="K50" i="30"/>
  <c r="J52"/>
  <c r="D48" i="31"/>
  <c r="P47"/>
  <c r="O48" i="30"/>
  <c r="P52"/>
  <c r="L47" i="31"/>
  <c r="M48" i="30"/>
  <c r="H47" i="31"/>
  <c r="L43"/>
  <c r="M44" i="30"/>
  <c r="H43" i="31"/>
  <c r="D39"/>
  <c r="L38"/>
  <c r="M39" i="30"/>
  <c r="H38" i="31"/>
  <c r="D38"/>
  <c r="D28"/>
  <c r="P27"/>
  <c r="P30" i="30"/>
  <c r="L27" i="31"/>
  <c r="L30" i="30"/>
  <c r="H27" i="31"/>
  <c r="H29" s="1"/>
  <c r="B26"/>
  <c r="B30" i="30"/>
  <c r="N21" i="31"/>
  <c r="O22" i="30"/>
  <c r="J21" i="31"/>
  <c r="K22" i="30"/>
  <c r="N20" i="31"/>
  <c r="O21" i="30"/>
  <c r="F20" i="31"/>
  <c r="N19"/>
  <c r="O20" i="30"/>
  <c r="N14" i="28"/>
  <c r="M14" s="1"/>
  <c r="M20" i="30"/>
  <c r="J19" i="31"/>
  <c r="K20" i="30"/>
  <c r="J14" i="28"/>
  <c r="F19" i="31"/>
  <c r="B19"/>
  <c r="B14" i="28"/>
  <c r="J18" i="31"/>
  <c r="K19" i="30"/>
  <c r="N16" i="31"/>
  <c r="O17" i="30"/>
  <c r="J16" i="31"/>
  <c r="K17" i="30"/>
  <c r="J13" i="28"/>
  <c r="B16" i="31"/>
  <c r="B13" i="28"/>
  <c r="I13" s="1"/>
  <c r="P6" i="31"/>
  <c r="P7" i="76" s="1"/>
  <c r="P7" i="82" s="1"/>
  <c r="P6" i="88" s="1"/>
  <c r="P7" i="94" s="1"/>
  <c r="P7" i="100" s="1"/>
  <c r="P7" i="112" s="1"/>
  <c r="P7" i="130" s="1"/>
  <c r="P7" i="136" s="1"/>
  <c r="P7" i="142" s="1"/>
  <c r="L9" i="34"/>
  <c r="L9" i="79" s="1"/>
  <c r="L9" i="85" s="1"/>
  <c r="L8" i="91" s="1"/>
  <c r="L9" i="97" s="1"/>
  <c r="L10" i="103" s="1"/>
  <c r="L9" i="115" s="1"/>
  <c r="L9" i="133" s="1"/>
  <c r="L9" i="139" s="1"/>
  <c r="L9" i="145" s="1"/>
  <c r="J35" i="32"/>
  <c r="K35" s="1"/>
  <c r="H34" i="33"/>
  <c r="F34"/>
  <c r="P33"/>
  <c r="P75"/>
  <c r="N33"/>
  <c r="O33" s="1"/>
  <c r="U73"/>
  <c r="J32"/>
  <c r="F20"/>
  <c r="J61"/>
  <c r="R60"/>
  <c r="P18"/>
  <c r="P21" s="1"/>
  <c r="P61"/>
  <c r="P25" i="28" s="1"/>
  <c r="L18" i="33"/>
  <c r="U58"/>
  <c r="C54"/>
  <c r="J14"/>
  <c r="K14" s="1"/>
  <c r="U54"/>
  <c r="K33" i="34"/>
  <c r="J37"/>
  <c r="I20"/>
  <c r="H23"/>
  <c r="H17"/>
  <c r="M41" i="36"/>
  <c r="N41" s="1"/>
  <c r="B26"/>
  <c r="H12"/>
  <c r="M20" i="40"/>
  <c r="E14" i="36"/>
  <c r="E30" i="40"/>
  <c r="E53" i="41"/>
  <c r="E10" i="40"/>
  <c r="H30" i="41"/>
  <c r="N27"/>
  <c r="L10" i="36"/>
  <c r="M11" i="43"/>
  <c r="L15"/>
  <c r="L23" s="1"/>
  <c r="E15"/>
  <c r="E23" s="1"/>
  <c r="H11"/>
  <c r="M48" i="44"/>
  <c r="L52"/>
  <c r="L36"/>
  <c r="M35"/>
  <c r="H50" i="379"/>
  <c r="N50" s="1"/>
  <c r="C51"/>
  <c r="H34"/>
  <c r="C35"/>
  <c r="M32"/>
  <c r="M35" s="1"/>
  <c r="L35"/>
  <c r="D44"/>
  <c r="H26"/>
  <c r="C29"/>
  <c r="J38" i="371"/>
  <c r="J41" s="1"/>
  <c r="I41"/>
  <c r="M34"/>
  <c r="L35"/>
  <c r="H26"/>
  <c r="C29"/>
  <c r="J47" i="299"/>
  <c r="J51" s="1"/>
  <c r="I51"/>
  <c r="J26"/>
  <c r="J29" s="1"/>
  <c r="I29"/>
  <c r="H10"/>
  <c r="C15"/>
  <c r="C22" s="1"/>
  <c r="H13" i="252"/>
  <c r="N13" s="1"/>
  <c r="C15"/>
  <c r="C22" s="1"/>
  <c r="J26" i="231"/>
  <c r="J29" s="1"/>
  <c r="I29"/>
  <c r="H67" i="52"/>
  <c r="N67" s="1"/>
  <c r="C63" i="36"/>
  <c r="H63" s="1"/>
  <c r="N63" s="1"/>
  <c r="K51" i="384"/>
  <c r="D51"/>
  <c r="D61" i="36"/>
  <c r="D51" i="40"/>
  <c r="O63" i="86" s="1"/>
  <c r="J11" i="52"/>
  <c r="F14"/>
  <c r="F16" s="1"/>
  <c r="C14"/>
  <c r="C16" s="1"/>
  <c r="L7" i="111"/>
  <c r="L7" i="129" s="1"/>
  <c r="L7" i="135" s="1"/>
  <c r="L7" i="141" s="1"/>
  <c r="L5" i="110"/>
  <c r="L5" i="128" s="1"/>
  <c r="L5" i="134" s="1"/>
  <c r="L5" i="140" s="1"/>
  <c r="J7" i="111"/>
  <c r="J7" i="129" s="1"/>
  <c r="J7" i="135" s="1"/>
  <c r="J7" i="141" s="1"/>
  <c r="J5" i="110"/>
  <c r="J5" i="128" s="1"/>
  <c r="J5" i="134" s="1"/>
  <c r="J5" i="140" s="1"/>
  <c r="F23" i="100"/>
  <c r="M13" i="112"/>
  <c r="M42"/>
  <c r="M14"/>
  <c r="M33"/>
  <c r="M48"/>
  <c r="M50"/>
  <c r="K12" i="88"/>
  <c r="K27"/>
  <c r="K29"/>
  <c r="K33"/>
  <c r="K35"/>
  <c r="K39"/>
  <c r="K44"/>
  <c r="K49"/>
  <c r="K51"/>
  <c r="K21"/>
  <c r="K16"/>
  <c r="K11"/>
  <c r="K41"/>
  <c r="M21" i="82"/>
  <c r="J45"/>
  <c r="J53"/>
  <c r="C48" i="76"/>
  <c r="C39"/>
  <c r="C44"/>
  <c r="G33" i="145"/>
  <c r="F37"/>
  <c r="J44" i="371"/>
  <c r="D32" i="36"/>
  <c r="H23" i="30"/>
  <c r="B36" i="91"/>
  <c r="C32"/>
  <c r="D16"/>
  <c r="C14"/>
  <c r="C30" i="112"/>
  <c r="C11"/>
  <c r="C34"/>
  <c r="C51"/>
  <c r="C17"/>
  <c r="C35"/>
  <c r="C33"/>
  <c r="C14"/>
  <c r="C44"/>
  <c r="C22"/>
  <c r="C10"/>
  <c r="C48"/>
  <c r="C49"/>
  <c r="C28"/>
  <c r="K15" i="130"/>
  <c r="K19"/>
  <c r="K23"/>
  <c r="K51"/>
  <c r="K39"/>
  <c r="K50"/>
  <c r="K41"/>
  <c r="K14"/>
  <c r="K12"/>
  <c r="K44"/>
  <c r="K10"/>
  <c r="K22"/>
  <c r="K40"/>
  <c r="K21"/>
  <c r="K13"/>
  <c r="P23" i="142"/>
  <c r="N45"/>
  <c r="O45" s="1"/>
  <c r="N53"/>
  <c r="O53" s="1"/>
  <c r="N23" i="136"/>
  <c r="O15" s="1"/>
  <c r="O34" i="142"/>
  <c r="O11"/>
  <c r="O51"/>
  <c r="O40"/>
  <c r="O28"/>
  <c r="O49"/>
  <c r="O13"/>
  <c r="O12"/>
  <c r="O22"/>
  <c r="O35"/>
  <c r="O48"/>
  <c r="O27"/>
  <c r="O50"/>
  <c r="O20"/>
  <c r="O44"/>
  <c r="L45" i="94"/>
  <c r="M45" s="1"/>
  <c r="M30"/>
  <c r="P45"/>
  <c r="Q45" s="1"/>
  <c r="Q30"/>
  <c r="P53"/>
  <c r="Q53" s="1"/>
  <c r="J53"/>
  <c r="G14" i="91"/>
  <c r="L23" i="100"/>
  <c r="P45"/>
  <c r="Q45" s="1"/>
  <c r="P53"/>
  <c r="Q53" s="1"/>
  <c r="Q30"/>
  <c r="O28"/>
  <c r="O19"/>
  <c r="O27"/>
  <c r="O41"/>
  <c r="O50"/>
  <c r="O17"/>
  <c r="O42"/>
  <c r="O23"/>
  <c r="O13"/>
  <c r="O33"/>
  <c r="O14"/>
  <c r="O22"/>
  <c r="O51"/>
  <c r="D23" i="82"/>
  <c r="B32" i="31"/>
  <c r="B36" i="30"/>
  <c r="P13" i="31"/>
  <c r="O14" i="30"/>
  <c r="P15"/>
  <c r="P23" s="1"/>
  <c r="P12" i="28" s="1"/>
  <c r="L13" i="31"/>
  <c r="M14" i="30"/>
  <c r="L15"/>
  <c r="N10" i="31"/>
  <c r="O11" i="30"/>
  <c r="M11"/>
  <c r="J10" i="31"/>
  <c r="K11" i="30"/>
  <c r="F10" i="31"/>
  <c r="J9"/>
  <c r="J15" i="30"/>
  <c r="K10"/>
  <c r="L6" i="31"/>
  <c r="L7" i="76" s="1"/>
  <c r="L7" i="82" s="1"/>
  <c r="L6" i="88" s="1"/>
  <c r="L7" i="94" s="1"/>
  <c r="L7" i="100" s="1"/>
  <c r="L7" i="112" s="1"/>
  <c r="L7" i="130" s="1"/>
  <c r="L7" i="136" s="1"/>
  <c r="L7" i="142" s="1"/>
  <c r="H9" i="34"/>
  <c r="H9" i="79" s="1"/>
  <c r="H9" i="85" s="1"/>
  <c r="H8" i="91" s="1"/>
  <c r="H9" i="97" s="1"/>
  <c r="H10" i="103" s="1"/>
  <c r="H9" i="115" s="1"/>
  <c r="H9" i="133" s="1"/>
  <c r="H9" i="139" s="1"/>
  <c r="H9" i="145" s="1"/>
  <c r="F7" i="75"/>
  <c r="F7" i="81" s="1"/>
  <c r="F7" i="87" s="1"/>
  <c r="F7" i="93" s="1"/>
  <c r="F7" i="99" s="1"/>
  <c r="F7" i="111" s="1"/>
  <c r="F7" i="129" s="1"/>
  <c r="F7" i="135" s="1"/>
  <c r="F7" i="141" s="1"/>
  <c r="F6" i="31"/>
  <c r="F7" i="76" s="1"/>
  <c r="F7" i="82" s="1"/>
  <c r="F6" i="88" s="1"/>
  <c r="F7" i="94" s="1"/>
  <c r="F7" i="100" s="1"/>
  <c r="F7" i="112" s="1"/>
  <c r="F7" i="130" s="1"/>
  <c r="F7" i="136" s="1"/>
  <c r="F7" i="142" s="1"/>
  <c r="H23" i="32"/>
  <c r="L39" i="33"/>
  <c r="D34"/>
  <c r="F75"/>
  <c r="B33"/>
  <c r="C73"/>
  <c r="R73"/>
  <c r="H32"/>
  <c r="N75"/>
  <c r="F32"/>
  <c r="J75"/>
  <c r="F25"/>
  <c r="F26" i="28"/>
  <c r="J20" i="33"/>
  <c r="K20" s="1"/>
  <c r="D61"/>
  <c r="D25" i="28" s="1"/>
  <c r="N19" i="33"/>
  <c r="O19" s="1"/>
  <c r="L19"/>
  <c r="U59"/>
  <c r="H14"/>
  <c r="R54"/>
  <c r="L12"/>
  <c r="P11"/>
  <c r="P53"/>
  <c r="P55" s="1"/>
  <c r="N11"/>
  <c r="U51"/>
  <c r="R51"/>
  <c r="B11"/>
  <c r="C51"/>
  <c r="B10"/>
  <c r="B53"/>
  <c r="R50"/>
  <c r="K13" i="34"/>
  <c r="J15"/>
  <c r="J20" i="36"/>
  <c r="J27" s="1"/>
  <c r="I27"/>
  <c r="F45" i="41"/>
  <c r="F13" i="36"/>
  <c r="D13"/>
  <c r="D45" i="41"/>
  <c r="B10" i="36"/>
  <c r="N11" i="41"/>
  <c r="H15"/>
  <c r="J27" i="43"/>
  <c r="J30" s="1"/>
  <c r="I30"/>
  <c r="E52" i="44"/>
  <c r="H51"/>
  <c r="H33"/>
  <c r="C36"/>
  <c r="J10"/>
  <c r="I15"/>
  <c r="J47" i="379"/>
  <c r="J51" s="1"/>
  <c r="I51"/>
  <c r="H13"/>
  <c r="N13" s="1"/>
  <c r="C15"/>
  <c r="C22" s="1"/>
  <c r="M11"/>
  <c r="M15" s="1"/>
  <c r="M22" s="1"/>
  <c r="L15"/>
  <c r="L22" s="1"/>
  <c r="J48" i="371"/>
  <c r="J51" s="1"/>
  <c r="I51"/>
  <c r="D51"/>
  <c r="H48"/>
  <c r="N48" s="1"/>
  <c r="H14"/>
  <c r="N14" s="1"/>
  <c r="C15"/>
  <c r="C22" s="1"/>
  <c r="N12"/>
  <c r="M17" i="36"/>
  <c r="M39" i="231"/>
  <c r="L41"/>
  <c r="K41"/>
  <c r="M38"/>
  <c r="B41"/>
  <c r="H38"/>
  <c r="H34"/>
  <c r="N34" s="1"/>
  <c r="B35"/>
  <c r="C65" i="52"/>
  <c r="J26"/>
  <c r="I56" i="36"/>
  <c r="M15" i="52"/>
  <c r="C52" i="136"/>
  <c r="O15" i="130"/>
  <c r="M42" i="94"/>
  <c r="C14" i="88"/>
  <c r="K42" i="100"/>
  <c r="C45" i="82"/>
  <c r="C42"/>
  <c r="C52" i="231"/>
  <c r="L35" i="31"/>
  <c r="K27" i="36"/>
  <c r="H11"/>
  <c r="N29" i="41"/>
  <c r="J52" i="43"/>
  <c r="J42"/>
  <c r="E42"/>
  <c r="H22"/>
  <c r="H19"/>
  <c r="N19" s="1"/>
  <c r="C19" i="32" s="1"/>
  <c r="G15" i="43"/>
  <c r="G23" s="1"/>
  <c r="H48" i="44"/>
  <c r="H19"/>
  <c r="N19" s="1"/>
  <c r="B19" i="32" s="1"/>
  <c r="N61" i="379"/>
  <c r="H57"/>
  <c r="N57" s="1"/>
  <c r="H41"/>
  <c r="H27"/>
  <c r="N27" s="1"/>
  <c r="M29"/>
  <c r="G29"/>
  <c r="E29"/>
  <c r="H19"/>
  <c r="N19" s="1"/>
  <c r="I22"/>
  <c r="D22"/>
  <c r="N60" i="371"/>
  <c r="N56"/>
  <c r="D41"/>
  <c r="D52" s="1"/>
  <c r="H28"/>
  <c r="N28" s="1"/>
  <c r="H27"/>
  <c r="N27" s="1"/>
  <c r="M29"/>
  <c r="K29"/>
  <c r="G29"/>
  <c r="E29"/>
  <c r="H17"/>
  <c r="N17" s="1"/>
  <c r="N28" i="299"/>
  <c r="D29"/>
  <c r="H21"/>
  <c r="N21" s="1"/>
  <c r="H11"/>
  <c r="N11" s="1"/>
  <c r="H57" i="252"/>
  <c r="N57" s="1"/>
  <c r="H61" i="52"/>
  <c r="C42" i="136"/>
  <c r="C30"/>
  <c r="B14" i="51"/>
  <c r="B16" s="1"/>
  <c r="B22"/>
  <c r="B33" i="36" s="1"/>
  <c r="B15" i="97"/>
  <c r="E22" i="51"/>
  <c r="E33" i="36" s="1"/>
  <c r="C48" i="182"/>
  <c r="O10" i="94"/>
  <c r="O34"/>
  <c r="O14"/>
  <c r="O40"/>
  <c r="O48"/>
  <c r="O36"/>
  <c r="O13"/>
  <c r="O21"/>
  <c r="O50"/>
  <c r="O41"/>
  <c r="O35"/>
  <c r="O29"/>
  <c r="O23"/>
  <c r="O17"/>
  <c r="O11"/>
  <c r="H41" i="385"/>
  <c r="K40" i="76"/>
  <c r="K10"/>
  <c r="K20"/>
  <c r="K30"/>
  <c r="K49"/>
  <c r="K52"/>
  <c r="K13"/>
  <c r="K42"/>
  <c r="K21"/>
  <c r="K48"/>
  <c r="K41"/>
  <c r="K35"/>
  <c r="K29"/>
  <c r="K23"/>
  <c r="K17"/>
  <c r="K11"/>
  <c r="M20" i="88"/>
  <c r="M14"/>
  <c r="B49" i="40"/>
  <c r="D39" i="36"/>
  <c r="K33" i="33"/>
  <c r="D55"/>
  <c r="M13" i="36"/>
  <c r="I61"/>
  <c r="J61" s="1"/>
  <c r="M11" i="88"/>
  <c r="M16"/>
  <c r="M21"/>
  <c r="M51"/>
  <c r="M48"/>
  <c r="M40"/>
  <c r="M36"/>
  <c r="M34"/>
  <c r="M30"/>
  <c r="M28"/>
  <c r="M9"/>
  <c r="M10"/>
  <c r="H75" i="51"/>
  <c r="E49" i="40"/>
  <c r="N23" i="76"/>
  <c r="M14" i="92"/>
  <c r="M15" i="80"/>
  <c r="L63" i="52"/>
  <c r="L62" i="36" s="1"/>
  <c r="M62" s="1"/>
  <c r="I22" i="299"/>
  <c r="L29"/>
  <c r="H36" i="136"/>
  <c r="D16" i="34"/>
  <c r="H61" i="33"/>
  <c r="U72"/>
  <c r="D30" i="30"/>
  <c r="D42"/>
  <c r="K13" i="28"/>
  <c r="O30" i="130"/>
  <c r="N53" i="100"/>
  <c r="O53" s="1"/>
  <c r="M10" i="94"/>
  <c r="M23"/>
  <c r="L53"/>
  <c r="M53" s="1"/>
  <c r="B53" i="82"/>
  <c r="C53" s="1"/>
  <c r="M17" i="94"/>
  <c r="M17" i="142"/>
  <c r="M39"/>
  <c r="M51"/>
  <c r="M40"/>
  <c r="K29"/>
  <c r="K10"/>
  <c r="K40"/>
  <c r="O40" i="130"/>
  <c r="O39"/>
  <c r="O50"/>
  <c r="C27" i="136"/>
  <c r="C29"/>
  <c r="C11"/>
  <c r="C12" i="88"/>
  <c r="C40"/>
  <c r="F52" i="299"/>
  <c r="H35" i="379"/>
  <c r="I14" i="40"/>
  <c r="C34" i="142"/>
  <c r="C15"/>
  <c r="C48"/>
  <c r="N61" i="33"/>
  <c r="B15" i="85"/>
  <c r="L50" i="40"/>
  <c r="N63" i="110" s="1"/>
  <c r="H30" i="30"/>
  <c r="N66" i="80"/>
  <c r="H20" i="33"/>
  <c r="F18" i="31"/>
  <c r="H36" i="30"/>
  <c r="D52"/>
  <c r="F23" i="44"/>
  <c r="F56" s="1"/>
  <c r="I6" i="111"/>
  <c r="I6" i="129" s="1"/>
  <c r="I6" i="135" s="1"/>
  <c r="I6" i="141" s="1"/>
  <c r="J44" i="385"/>
  <c r="K23" i="44"/>
  <c r="K56" s="1"/>
  <c r="C33" i="88"/>
  <c r="C16"/>
  <c r="C29"/>
  <c r="C10"/>
  <c r="K41" i="100"/>
  <c r="K12"/>
  <c r="K50"/>
  <c r="K39"/>
  <c r="K40"/>
  <c r="K21"/>
  <c r="C10" i="82"/>
  <c r="C44"/>
  <c r="C22"/>
  <c r="C52"/>
  <c r="C51"/>
  <c r="C28"/>
  <c r="C13"/>
  <c r="C49" i="136"/>
  <c r="C35"/>
  <c r="C33"/>
  <c r="O20" i="130"/>
  <c r="O33"/>
  <c r="O51"/>
  <c r="O19"/>
  <c r="K19" i="142"/>
  <c r="K27"/>
  <c r="K12"/>
  <c r="M28"/>
  <c r="M34"/>
  <c r="M50"/>
  <c r="M22"/>
  <c r="K14" i="136"/>
  <c r="K33"/>
  <c r="K41"/>
  <c r="K12"/>
  <c r="K51"/>
  <c r="K23"/>
  <c r="K19"/>
  <c r="M35" i="94"/>
  <c r="K36" i="136"/>
  <c r="J53" i="112"/>
  <c r="M22"/>
  <c r="M12"/>
  <c r="M28" i="94"/>
  <c r="F17" i="139"/>
  <c r="K53" i="136"/>
  <c r="K45"/>
  <c r="K15"/>
  <c r="K53" i="142"/>
  <c r="F58" i="324"/>
  <c r="L58" s="1"/>
  <c r="F45" i="142"/>
  <c r="M15" i="112"/>
  <c r="O42" i="130"/>
  <c r="P45" i="76"/>
  <c r="J53"/>
  <c r="K53" s="1"/>
  <c r="P23" i="130"/>
  <c r="Q15" s="1"/>
  <c r="D23" i="112"/>
  <c r="K30" i="130"/>
  <c r="K15" i="142"/>
  <c r="C15" i="136"/>
  <c r="K30" i="142"/>
  <c r="O36" i="136"/>
  <c r="D53" i="142"/>
  <c r="P53" i="136"/>
  <c r="Q53" s="1"/>
  <c r="K42" i="130"/>
  <c r="Q36"/>
  <c r="M40" i="112"/>
  <c r="J23" i="94"/>
  <c r="K42" s="1"/>
  <c r="M36"/>
  <c r="C45" i="112"/>
  <c r="J22" i="299"/>
  <c r="J52" i="41"/>
  <c r="C72" i="33"/>
  <c r="M17" i="30"/>
  <c r="K21"/>
  <c r="F14" i="28"/>
  <c r="K13" i="32"/>
  <c r="K11"/>
  <c r="K61" i="36"/>
  <c r="K51" i="40"/>
  <c r="O63" i="98" s="1"/>
  <c r="N13" i="41"/>
  <c r="M15"/>
  <c r="M23" s="1"/>
  <c r="J15"/>
  <c r="J23" s="1"/>
  <c r="H35" i="43"/>
  <c r="J36"/>
  <c r="D36"/>
  <c r="B36"/>
  <c r="E30"/>
  <c r="H27"/>
  <c r="H44" i="44"/>
  <c r="H34"/>
  <c r="N34" s="1"/>
  <c r="B34" i="32" s="1"/>
  <c r="K36" i="44"/>
  <c r="H28"/>
  <c r="H22"/>
  <c r="N22" s="1"/>
  <c r="B22" i="32" s="1"/>
  <c r="H14" i="44"/>
  <c r="N14" s="1"/>
  <c r="B14" i="32" s="1"/>
  <c r="D15" i="44"/>
  <c r="D23" s="1"/>
  <c r="D56" s="1"/>
  <c r="N48" i="379"/>
  <c r="F51"/>
  <c r="F52" s="1"/>
  <c r="D51"/>
  <c r="D52" s="1"/>
  <c r="F44"/>
  <c r="N39"/>
  <c r="E22"/>
  <c r="H14"/>
  <c r="N14" s="1"/>
  <c r="K15"/>
  <c r="K22" s="1"/>
  <c r="G15"/>
  <c r="G22" s="1"/>
  <c r="H11"/>
  <c r="H68" i="371"/>
  <c r="H58"/>
  <c r="N58" s="1"/>
  <c r="L51"/>
  <c r="I35"/>
  <c r="I44" s="1"/>
  <c r="H21"/>
  <c r="N21" s="1"/>
  <c r="G22"/>
  <c r="E22"/>
  <c r="N34" i="299"/>
  <c r="N17"/>
  <c r="H47" i="252"/>
  <c r="N47" s="1"/>
  <c r="E35"/>
  <c r="H26"/>
  <c r="B44"/>
  <c r="H60" i="231"/>
  <c r="N60" s="1"/>
  <c r="H58"/>
  <c r="N58" s="1"/>
  <c r="M51"/>
  <c r="K51"/>
  <c r="H39"/>
  <c r="G41"/>
  <c r="H34" i="52"/>
  <c r="K22"/>
  <c r="K55" i="36" s="1"/>
  <c r="E22" i="52"/>
  <c r="O51" i="30"/>
  <c r="P50" i="31"/>
  <c r="D49"/>
  <c r="O49" i="30"/>
  <c r="P48" i="31"/>
  <c r="N43"/>
  <c r="O44" i="30"/>
  <c r="J43" i="31"/>
  <c r="K44" i="30"/>
  <c r="F43" i="31"/>
  <c r="F39"/>
  <c r="N38"/>
  <c r="O39" i="30"/>
  <c r="J38" i="31"/>
  <c r="K39" i="30"/>
  <c r="F38" i="31"/>
  <c r="F42" i="30"/>
  <c r="N27" i="31"/>
  <c r="N30" i="30"/>
  <c r="O28"/>
  <c r="J27" i="31"/>
  <c r="J29" s="1"/>
  <c r="J30" i="30"/>
  <c r="I30" s="1"/>
  <c r="K28"/>
  <c r="F27" i="31"/>
  <c r="L20"/>
  <c r="M21" i="30"/>
  <c r="D14" i="28"/>
  <c r="L18" i="31"/>
  <c r="M19" i="30"/>
  <c r="L9" i="31"/>
  <c r="M10" i="30"/>
  <c r="J48" i="32"/>
  <c r="K48" s="1"/>
  <c r="J30"/>
  <c r="H45"/>
  <c r="K30"/>
  <c r="J29"/>
  <c r="K29" s="1"/>
  <c r="J28"/>
  <c r="K28" s="1"/>
  <c r="J27"/>
  <c r="K27" s="1"/>
  <c r="F39" i="33"/>
  <c r="N32"/>
  <c r="L75"/>
  <c r="B20"/>
  <c r="B61"/>
  <c r="N14"/>
  <c r="N53"/>
  <c r="L10"/>
  <c r="H53"/>
  <c r="K20" i="34"/>
  <c r="J23"/>
  <c r="K23" s="1"/>
  <c r="J12" i="36"/>
  <c r="J26" s="1"/>
  <c r="I26"/>
  <c r="J25" i="40"/>
  <c r="N63" i="41"/>
  <c r="K30" i="43"/>
  <c r="M27"/>
  <c r="M30" s="1"/>
  <c r="M39" i="44"/>
  <c r="L42"/>
  <c r="J27"/>
  <c r="I30"/>
  <c r="M11"/>
  <c r="L15"/>
  <c r="L23" s="1"/>
  <c r="L56" s="1"/>
  <c r="J40" i="379"/>
  <c r="N40" s="1"/>
  <c r="I41"/>
  <c r="M38"/>
  <c r="L41"/>
  <c r="J34"/>
  <c r="J35" s="1"/>
  <c r="I35"/>
  <c r="J26"/>
  <c r="J29" s="1"/>
  <c r="I29"/>
  <c r="H38" i="371"/>
  <c r="C41"/>
  <c r="H32"/>
  <c r="C35"/>
  <c r="L44"/>
  <c r="J13"/>
  <c r="I15"/>
  <c r="I22" s="1"/>
  <c r="N69" i="110"/>
  <c r="M32" i="252"/>
  <c r="L35"/>
  <c r="E35" i="231"/>
  <c r="H32"/>
  <c r="G55" i="182"/>
  <c r="G54"/>
  <c r="G56"/>
  <c r="G52"/>
  <c r="J59"/>
  <c r="G48"/>
  <c r="B60" i="183"/>
  <c r="M63" i="30"/>
  <c r="O62"/>
  <c r="K62"/>
  <c r="K14" i="32"/>
  <c r="K10"/>
  <c r="U79" i="33"/>
  <c r="M34"/>
  <c r="M20"/>
  <c r="J21"/>
  <c r="K35" i="34"/>
  <c r="I33"/>
  <c r="I22"/>
  <c r="I13"/>
  <c r="E70" i="36"/>
  <c r="C26"/>
  <c r="N17" i="41"/>
  <c r="B42" i="43"/>
  <c r="H17"/>
  <c r="N17" s="1"/>
  <c r="C17" i="32" s="1"/>
  <c r="H12" i="43"/>
  <c r="N12" s="1"/>
  <c r="C12" i="32" s="1"/>
  <c r="C15" i="43"/>
  <c r="C23" s="1"/>
  <c r="K15"/>
  <c r="K23" s="1"/>
  <c r="F15"/>
  <c r="F23" s="1"/>
  <c r="B15"/>
  <c r="B23" s="1"/>
  <c r="F52" i="44"/>
  <c r="H21"/>
  <c r="N21" s="1"/>
  <c r="B21" i="32" s="1"/>
  <c r="H62" i="379"/>
  <c r="N62" s="1"/>
  <c r="M51"/>
  <c r="K51"/>
  <c r="K52" s="1"/>
  <c r="H47"/>
  <c r="N47" s="1"/>
  <c r="B41"/>
  <c r="B44" s="1"/>
  <c r="H21"/>
  <c r="N21" s="1"/>
  <c r="H20"/>
  <c r="N20" s="1"/>
  <c r="H17"/>
  <c r="N17" s="1"/>
  <c r="H62" i="371"/>
  <c r="N62" s="1"/>
  <c r="H61"/>
  <c r="N61" s="1"/>
  <c r="N50"/>
  <c r="H49"/>
  <c r="N49" s="1"/>
  <c r="K51"/>
  <c r="B51"/>
  <c r="G51"/>
  <c r="H47"/>
  <c r="N47" s="1"/>
  <c r="H40"/>
  <c r="N40" s="1"/>
  <c r="H39"/>
  <c r="N39" s="1"/>
  <c r="M41"/>
  <c r="K41"/>
  <c r="E35"/>
  <c r="H33"/>
  <c r="N33" s="1"/>
  <c r="K35"/>
  <c r="F52"/>
  <c r="B52"/>
  <c r="H18"/>
  <c r="N18" s="1"/>
  <c r="J15"/>
  <c r="J22" s="1"/>
  <c r="F15"/>
  <c r="F22" s="1"/>
  <c r="D15"/>
  <c r="D22" s="1"/>
  <c r="B15"/>
  <c r="B22" s="1"/>
  <c r="H19" i="36"/>
  <c r="N40" i="299"/>
  <c r="H39"/>
  <c r="E35"/>
  <c r="H32"/>
  <c r="G22"/>
  <c r="M41" i="252"/>
  <c r="G35"/>
  <c r="H20"/>
  <c r="N20" s="1"/>
  <c r="H19"/>
  <c r="N19" s="1"/>
  <c r="N18"/>
  <c r="H17"/>
  <c r="B22"/>
  <c r="N62" i="231"/>
  <c r="H47"/>
  <c r="N47" s="1"/>
  <c r="D35"/>
  <c r="H28"/>
  <c r="D22"/>
  <c r="K15"/>
  <c r="K22" s="1"/>
  <c r="G22"/>
  <c r="H76" i="52"/>
  <c r="H26" i="299"/>
  <c r="C29"/>
  <c r="J38" i="231"/>
  <c r="J41" s="1"/>
  <c r="I41"/>
  <c r="M27"/>
  <c r="L29"/>
  <c r="M52" i="52"/>
  <c r="M55" s="1"/>
  <c r="M57" s="1"/>
  <c r="L55"/>
  <c r="L57" s="1"/>
  <c r="K36"/>
  <c r="M32"/>
  <c r="K56" i="36"/>
  <c r="M26" i="52"/>
  <c r="M20"/>
  <c r="L22"/>
  <c r="L55" i="36" s="1"/>
  <c r="H20" i="371"/>
  <c r="N20" s="1"/>
  <c r="H19"/>
  <c r="N19" s="1"/>
  <c r="H13"/>
  <c r="H15" s="1"/>
  <c r="G24" i="36"/>
  <c r="E24"/>
  <c r="H62" i="299"/>
  <c r="N62" s="1"/>
  <c r="H61"/>
  <c r="N61" s="1"/>
  <c r="H50"/>
  <c r="N50" s="1"/>
  <c r="H48"/>
  <c r="N48" s="1"/>
  <c r="G51"/>
  <c r="G52" s="1"/>
  <c r="H47"/>
  <c r="N47" s="1"/>
  <c r="E41"/>
  <c r="H38"/>
  <c r="B41"/>
  <c r="H27"/>
  <c r="N27" s="1"/>
  <c r="H19"/>
  <c r="N19" s="1"/>
  <c r="H18"/>
  <c r="N18" s="1"/>
  <c r="E22"/>
  <c r="H14"/>
  <c r="N14" s="1"/>
  <c r="H13"/>
  <c r="N13" s="1"/>
  <c r="F15"/>
  <c r="F22" s="1"/>
  <c r="D15"/>
  <c r="D22" s="1"/>
  <c r="H40" i="252"/>
  <c r="N40" s="1"/>
  <c r="E41"/>
  <c r="H38"/>
  <c r="D29"/>
  <c r="H12"/>
  <c r="N12" s="1"/>
  <c r="H11"/>
  <c r="N11" s="1"/>
  <c r="F15"/>
  <c r="F22" s="1"/>
  <c r="H10"/>
  <c r="H48" i="231"/>
  <c r="D51"/>
  <c r="H51" s="1"/>
  <c r="K29"/>
  <c r="E29"/>
  <c r="H20"/>
  <c r="N20" s="1"/>
  <c r="H19"/>
  <c r="N19" s="1"/>
  <c r="H18"/>
  <c r="N18" s="1"/>
  <c r="H13"/>
  <c r="N13" s="1"/>
  <c r="H12"/>
  <c r="B15"/>
  <c r="B22" s="1"/>
  <c r="G77" i="52"/>
  <c r="B77"/>
  <c r="H60"/>
  <c r="H56"/>
  <c r="N56" s="1"/>
  <c r="G55"/>
  <c r="G57" s="1"/>
  <c r="E55"/>
  <c r="E57" s="1"/>
  <c r="H52"/>
  <c r="C24" i="74"/>
  <c r="Q34" i="76"/>
  <c r="Q28" i="94"/>
  <c r="Q40"/>
  <c r="Q48"/>
  <c r="Q49"/>
  <c r="H68" i="385"/>
  <c r="N36" i="112"/>
  <c r="N30"/>
  <c r="B30" i="100"/>
  <c r="H23"/>
  <c r="P15" i="112"/>
  <c r="D42" i="130"/>
  <c r="D30"/>
  <c r="B15"/>
  <c r="D15" i="133"/>
  <c r="N52" i="136"/>
  <c r="F30"/>
  <c r="H52" i="142"/>
  <c r="L42"/>
  <c r="M42" s="1"/>
  <c r="D48" i="137"/>
  <c r="C52"/>
  <c r="C52" i="101"/>
  <c r="M76" i="51"/>
  <c r="M20"/>
  <c r="M11" i="110"/>
  <c r="B52" i="112"/>
  <c r="N23"/>
  <c r="C27" i="115"/>
  <c r="C21"/>
  <c r="O13" i="128"/>
  <c r="F36" i="130"/>
  <c r="F15"/>
  <c r="C25" i="134"/>
  <c r="F42" i="136"/>
  <c r="D15"/>
  <c r="H42" i="142"/>
  <c r="L30"/>
  <c r="D37" i="145"/>
  <c r="O51" i="324"/>
  <c r="M51"/>
  <c r="H10" i="385"/>
  <c r="I15"/>
  <c r="I22" s="1"/>
  <c r="N12"/>
  <c r="N14"/>
  <c r="N18"/>
  <c r="N20"/>
  <c r="H26"/>
  <c r="K35"/>
  <c r="I41"/>
  <c r="N43"/>
  <c r="N49"/>
  <c r="N51" s="1"/>
  <c r="N56"/>
  <c r="M49" i="130" l="1"/>
  <c r="M21"/>
  <c r="M52"/>
  <c r="M20"/>
  <c r="M42"/>
  <c r="M40"/>
  <c r="H45" i="76"/>
  <c r="H21" i="52"/>
  <c r="L49" i="40"/>
  <c r="N20" i="44"/>
  <c r="B20" i="32" s="1"/>
  <c r="M29" i="252"/>
  <c r="K44"/>
  <c r="N50" i="43"/>
  <c r="C50" i="32" s="1"/>
  <c r="N49" i="231"/>
  <c r="N56" i="252"/>
  <c r="M16" i="28"/>
  <c r="I45" i="75"/>
  <c r="B13" i="234"/>
  <c r="B28" i="90"/>
  <c r="B37" s="1"/>
  <c r="B41" s="1"/>
  <c r="B75" i="86"/>
  <c r="I45" i="141"/>
  <c r="B11" i="234"/>
  <c r="I45" i="87"/>
  <c r="B18" i="234"/>
  <c r="Q42" i="88"/>
  <c r="Q51"/>
  <c r="Q35"/>
  <c r="Q12"/>
  <c r="Q16"/>
  <c r="Q40"/>
  <c r="S55" i="90"/>
  <c r="N25" i="389"/>
  <c r="I45" i="81"/>
  <c r="B19" i="234"/>
  <c r="I45" i="93"/>
  <c r="B14" i="234"/>
  <c r="M45" i="99"/>
  <c r="B52" i="234"/>
  <c r="I45" i="99"/>
  <c r="B15" i="234"/>
  <c r="I45" i="129"/>
  <c r="B12" i="234"/>
  <c r="N59" i="324"/>
  <c r="I53" i="87"/>
  <c r="O59" i="182"/>
  <c r="C13" i="94"/>
  <c r="C33"/>
  <c r="J56" i="40"/>
  <c r="J62"/>
  <c r="C37" i="85"/>
  <c r="N50" i="44"/>
  <c r="B50" i="32" s="1"/>
  <c r="N28" i="43"/>
  <c r="C28" i="32" s="1"/>
  <c r="K11" i="140"/>
  <c r="M25" i="36"/>
  <c r="N49" i="44"/>
  <c r="B49" i="32" s="1"/>
  <c r="M41" i="299"/>
  <c r="L53" i="88"/>
  <c r="M53" s="1"/>
  <c r="M69" i="423"/>
  <c r="B15" i="133"/>
  <c r="B17" s="1"/>
  <c r="C14" i="94"/>
  <c r="C17"/>
  <c r="C50"/>
  <c r="C34"/>
  <c r="I45" i="111"/>
  <c r="B16" i="234"/>
  <c r="I45" i="135"/>
  <c r="B17" i="234"/>
  <c r="K14" i="182"/>
  <c r="K13"/>
  <c r="K19"/>
  <c r="K16"/>
  <c r="K17"/>
  <c r="K15"/>
  <c r="K12"/>
  <c r="K18"/>
  <c r="K11"/>
  <c r="H26" i="52"/>
  <c r="N26" s="1"/>
  <c r="I59" i="324"/>
  <c r="B24" i="140"/>
  <c r="C24" s="1"/>
  <c r="I101" i="51"/>
  <c r="B61" i="140"/>
  <c r="T101" i="51"/>
  <c r="B73" i="140"/>
  <c r="L102" i="51"/>
  <c r="G54" i="40"/>
  <c r="G60"/>
  <c r="G56"/>
  <c r="I15" i="30"/>
  <c r="J54" i="40"/>
  <c r="I56"/>
  <c r="B23" i="128"/>
  <c r="C23" s="1"/>
  <c r="I102" i="51"/>
  <c r="B26" i="110"/>
  <c r="C26" s="1"/>
  <c r="Q107" i="51"/>
  <c r="B23" i="110"/>
  <c r="C23" s="1"/>
  <c r="F101" i="51"/>
  <c r="M56" i="40"/>
  <c r="L104" i="51"/>
  <c r="M22" i="52"/>
  <c r="M68" i="40"/>
  <c r="M54"/>
  <c r="N12" i="51"/>
  <c r="B15" i="102"/>
  <c r="N18" i="44"/>
  <c r="B18" i="32" s="1"/>
  <c r="D18" s="1"/>
  <c r="E18" s="1"/>
  <c r="B15" i="96"/>
  <c r="C104" i="51"/>
  <c r="B58" i="86"/>
  <c r="T108" i="51"/>
  <c r="B72" i="86"/>
  <c r="L109" i="51"/>
  <c r="B63" i="86"/>
  <c r="F105" i="51"/>
  <c r="M66" i="40"/>
  <c r="L108" i="51"/>
  <c r="B23" i="80"/>
  <c r="F106" i="51"/>
  <c r="C14" i="34"/>
  <c r="H15" i="52"/>
  <c r="H68" i="40" s="1"/>
  <c r="I14" i="28"/>
  <c r="M83" i="41"/>
  <c r="C63" i="144"/>
  <c r="I23" i="141"/>
  <c r="B11" i="182"/>
  <c r="I36" i="30"/>
  <c r="I49"/>
  <c r="K42"/>
  <c r="I42"/>
  <c r="U63" i="138"/>
  <c r="U68" s="1"/>
  <c r="K23"/>
  <c r="K11" i="134"/>
  <c r="I11"/>
  <c r="L28" i="132"/>
  <c r="K23"/>
  <c r="M23"/>
  <c r="I23" i="129"/>
  <c r="B12" i="182"/>
  <c r="O53" i="129"/>
  <c r="P35" i="33"/>
  <c r="L63"/>
  <c r="L68" s="1"/>
  <c r="L24" i="28"/>
  <c r="I23" i="111"/>
  <c r="B16" i="182"/>
  <c r="B53" i="111"/>
  <c r="I53" s="1"/>
  <c r="I52"/>
  <c r="K39" i="36"/>
  <c r="I23" i="99"/>
  <c r="B15" i="182"/>
  <c r="M26" i="40"/>
  <c r="M11"/>
  <c r="E47" i="36"/>
  <c r="O18" i="33"/>
  <c r="E66" i="51"/>
  <c r="E48" i="40"/>
  <c r="M37" i="96"/>
  <c r="S75"/>
  <c r="E48" i="36"/>
  <c r="N60" i="252"/>
  <c r="I23" i="81"/>
  <c r="B19" i="182"/>
  <c r="K11" i="80"/>
  <c r="D21" i="33"/>
  <c r="D23" i="78"/>
  <c r="U63"/>
  <c r="U68" s="1"/>
  <c r="U77" s="1"/>
  <c r="U81" s="1"/>
  <c r="I15" i="74"/>
  <c r="I23" i="75"/>
  <c r="B13" i="182"/>
  <c r="B31" i="40"/>
  <c r="K28" i="138"/>
  <c r="J37"/>
  <c r="J41" s="1"/>
  <c r="I25" i="133"/>
  <c r="G53" i="43"/>
  <c r="N24" i="110"/>
  <c r="U77" i="144"/>
  <c r="U81" s="1"/>
  <c r="D36" i="52"/>
  <c r="D57" i="36" s="1"/>
  <c r="H23" i="90"/>
  <c r="N23" i="86"/>
  <c r="D68" i="114"/>
  <c r="C63"/>
  <c r="C70" i="36"/>
  <c r="K53" i="111"/>
  <c r="F49" i="36"/>
  <c r="K52" i="299"/>
  <c r="N12" i="44"/>
  <c r="B12" i="32" s="1"/>
  <c r="K75" i="134"/>
  <c r="K23" i="78"/>
  <c r="J28"/>
  <c r="B45" i="136"/>
  <c r="C45" s="1"/>
  <c r="M68" i="397"/>
  <c r="B36" i="51"/>
  <c r="B35" i="36" s="1"/>
  <c r="B49" s="1"/>
  <c r="G36" i="52"/>
  <c r="G57" i="36" s="1"/>
  <c r="M40" i="51"/>
  <c r="H68"/>
  <c r="N68" s="1"/>
  <c r="C32" i="36"/>
  <c r="C94" i="51"/>
  <c r="G49" i="40"/>
  <c r="G39" i="36"/>
  <c r="G66" i="51"/>
  <c r="G49" i="384"/>
  <c r="K48" i="36"/>
  <c r="N23" i="128"/>
  <c r="O21" i="78"/>
  <c r="N23"/>
  <c r="J62" i="51"/>
  <c r="J64" s="1"/>
  <c r="I64"/>
  <c r="I40" i="36" s="1"/>
  <c r="J40" s="1"/>
  <c r="G58" i="324"/>
  <c r="M58" s="1"/>
  <c r="G23" i="79"/>
  <c r="J45" i="32"/>
  <c r="N68" i="385"/>
  <c r="Q28" i="76"/>
  <c r="N51" i="379"/>
  <c r="M36" i="43"/>
  <c r="M15" i="130"/>
  <c r="M53"/>
  <c r="M48"/>
  <c r="M35"/>
  <c r="J52" i="371"/>
  <c r="M28" i="130"/>
  <c r="M14"/>
  <c r="M10"/>
  <c r="B75" i="40"/>
  <c r="K94" i="51"/>
  <c r="F44" i="397"/>
  <c r="H29"/>
  <c r="I52"/>
  <c r="N21" i="231"/>
  <c r="B52"/>
  <c r="P58" i="324"/>
  <c r="C24" i="36"/>
  <c r="H45" i="82"/>
  <c r="U77" i="84"/>
  <c r="U81" s="1"/>
  <c r="C23" i="80"/>
  <c r="Q52" i="88"/>
  <c r="N14" i="252"/>
  <c r="M42" i="30"/>
  <c r="I54" i="89"/>
  <c r="J54" s="1"/>
  <c r="K54" s="1"/>
  <c r="N75" i="52"/>
  <c r="D47" i="36"/>
  <c r="N54" i="52"/>
  <c r="D45" i="101"/>
  <c r="E45" s="1"/>
  <c r="M36" i="41"/>
  <c r="U63" i="102"/>
  <c r="U68" s="1"/>
  <c r="U77" s="1"/>
  <c r="U81" s="1"/>
  <c r="B18" i="103"/>
  <c r="C18" s="1"/>
  <c r="C23" i="133"/>
  <c r="K11" i="128"/>
  <c r="B53" i="130"/>
  <c r="B63" i="128"/>
  <c r="I47" i="36"/>
  <c r="J47" s="1"/>
  <c r="J26" i="51"/>
  <c r="O23" i="141"/>
  <c r="N21" i="252"/>
  <c r="J23" i="144"/>
  <c r="J28" s="1"/>
  <c r="J37" s="1"/>
  <c r="J41" s="1"/>
  <c r="S61"/>
  <c r="H32" i="52"/>
  <c r="N32" s="1"/>
  <c r="N26" i="402"/>
  <c r="N25"/>
  <c r="D53" i="88"/>
  <c r="I52" i="32"/>
  <c r="I54" s="1"/>
  <c r="N39" i="43"/>
  <c r="C39" i="32" s="1"/>
  <c r="H54"/>
  <c r="N34" i="43"/>
  <c r="C34" i="32" s="1"/>
  <c r="D34" s="1"/>
  <c r="E34" s="1"/>
  <c r="N49" i="252"/>
  <c r="K14" i="98"/>
  <c r="K44" i="299"/>
  <c r="H35" i="52"/>
  <c r="N35" s="1"/>
  <c r="F24" i="36"/>
  <c r="N17" i="44"/>
  <c r="B17" i="32" s="1"/>
  <c r="D17" s="1"/>
  <c r="E17" s="1"/>
  <c r="N35" i="403"/>
  <c r="N17" i="397"/>
  <c r="G25" i="79"/>
  <c r="M35" i="299"/>
  <c r="E76" i="74"/>
  <c r="L34" i="36"/>
  <c r="L48" s="1"/>
  <c r="M34" i="52"/>
  <c r="B154" i="316"/>
  <c r="G69" i="36"/>
  <c r="M15" i="252"/>
  <c r="M22" s="1"/>
  <c r="F52"/>
  <c r="L52" i="397"/>
  <c r="N12"/>
  <c r="N45" i="88"/>
  <c r="M53" i="82"/>
  <c r="G16" i="51"/>
  <c r="J41" i="182"/>
  <c r="H69" i="423"/>
  <c r="N69" s="1"/>
  <c r="N33" i="403"/>
  <c r="H57" i="51"/>
  <c r="N57" s="1"/>
  <c r="L58" i="234"/>
  <c r="N25" i="128"/>
  <c r="N57" i="299"/>
  <c r="H23" i="132"/>
  <c r="N22" i="128"/>
  <c r="H23" i="96"/>
  <c r="N24" i="92"/>
  <c r="N77" i="96"/>
  <c r="H11" i="92"/>
  <c r="B54" i="110"/>
  <c r="N54" s="1"/>
  <c r="N26" i="134"/>
  <c r="N27"/>
  <c r="N77" i="138"/>
  <c r="N77" i="102"/>
  <c r="K75" i="98"/>
  <c r="N42" i="41"/>
  <c r="N26" i="80"/>
  <c r="N81" i="84"/>
  <c r="H23" i="82"/>
  <c r="N24" i="140"/>
  <c r="H23" i="144"/>
  <c r="H19" i="52"/>
  <c r="C23" i="145"/>
  <c r="H11" i="52"/>
  <c r="H62" i="40" s="1"/>
  <c r="N63" i="144"/>
  <c r="B52" i="30"/>
  <c r="I52" s="1"/>
  <c r="H15" i="114"/>
  <c r="N81"/>
  <c r="N68" i="90"/>
  <c r="H22" i="88"/>
  <c r="H23" i="78"/>
  <c r="N23" i="74"/>
  <c r="N68" i="78"/>
  <c r="D9" i="324"/>
  <c r="F23" i="138"/>
  <c r="N34" i="51"/>
  <c r="N19"/>
  <c r="I16"/>
  <c r="J23" i="134"/>
  <c r="J15" i="51"/>
  <c r="J66" i="40" s="1"/>
  <c r="F53" i="43"/>
  <c r="F23" i="114"/>
  <c r="M77" i="52"/>
  <c r="K65"/>
  <c r="M63"/>
  <c r="M65" s="1"/>
  <c r="N53"/>
  <c r="M30" i="44"/>
  <c r="M57" s="1"/>
  <c r="F37" i="96"/>
  <c r="D54" i="95"/>
  <c r="E54" s="1"/>
  <c r="C36" i="91"/>
  <c r="F28" i="90"/>
  <c r="D45" i="44"/>
  <c r="H69" i="414"/>
  <c r="N69" s="1"/>
  <c r="D30" i="85"/>
  <c r="C37" i="343"/>
  <c r="C45" i="43"/>
  <c r="J23" i="74"/>
  <c r="B53" i="44"/>
  <c r="M45" i="41"/>
  <c r="H23"/>
  <c r="I10" i="36"/>
  <c r="C36" i="34"/>
  <c r="D14" i="31"/>
  <c r="D22" s="1"/>
  <c r="G41" i="182"/>
  <c r="C33" i="36"/>
  <c r="C24" i="51"/>
  <c r="O45" i="88"/>
  <c r="M45" i="76"/>
  <c r="M40"/>
  <c r="M20"/>
  <c r="M14"/>
  <c r="M36"/>
  <c r="M10"/>
  <c r="F51" i="40"/>
  <c r="O63" i="128" s="1"/>
  <c r="F65" i="52"/>
  <c r="N34"/>
  <c r="L49" i="36"/>
  <c r="M16" i="52"/>
  <c r="N48" i="231"/>
  <c r="L69" i="36"/>
  <c r="M36" i="52"/>
  <c r="L28" i="36"/>
  <c r="D44" i="231"/>
  <c r="N17" i="252"/>
  <c r="N39" i="299"/>
  <c r="F53" i="44"/>
  <c r="P13" i="33"/>
  <c r="P15" s="1"/>
  <c r="P23" s="1"/>
  <c r="P28" s="1"/>
  <c r="P37" s="1"/>
  <c r="P41" s="1"/>
  <c r="H20" i="52"/>
  <c r="H51" i="252"/>
  <c r="N68" i="371"/>
  <c r="K53" i="44"/>
  <c r="K45"/>
  <c r="N44"/>
  <c r="B44" i="32" s="1"/>
  <c r="M39" i="112"/>
  <c r="M49"/>
  <c r="M34" i="130"/>
  <c r="M44"/>
  <c r="C49" i="142"/>
  <c r="C29"/>
  <c r="C19"/>
  <c r="C22"/>
  <c r="M41" i="130"/>
  <c r="M13"/>
  <c r="C53" i="142"/>
  <c r="D53" i="100"/>
  <c r="M52" i="30"/>
  <c r="F23" i="133"/>
  <c r="F25" i="145"/>
  <c r="N22" i="43"/>
  <c r="C22" i="32" s="1"/>
  <c r="D22" s="1"/>
  <c r="E22" s="1"/>
  <c r="N21" i="52"/>
  <c r="E53" i="44"/>
  <c r="D24" i="91"/>
  <c r="M39" i="82"/>
  <c r="M21" i="112"/>
  <c r="M35"/>
  <c r="M29"/>
  <c r="M20"/>
  <c r="M52"/>
  <c r="M28"/>
  <c r="I14" i="52"/>
  <c r="I16" s="1"/>
  <c r="M52" i="44"/>
  <c r="D29" i="31"/>
  <c r="F13" i="33"/>
  <c r="C10" i="142"/>
  <c r="C20"/>
  <c r="C21"/>
  <c r="C42"/>
  <c r="C14"/>
  <c r="C35"/>
  <c r="C23"/>
  <c r="C13"/>
  <c r="M23" i="130"/>
  <c r="M39"/>
  <c r="M22"/>
  <c r="M17"/>
  <c r="M29"/>
  <c r="M51"/>
  <c r="M19"/>
  <c r="L49" i="384"/>
  <c r="M42" i="88"/>
  <c r="E32" i="36"/>
  <c r="E46" s="1"/>
  <c r="M39"/>
  <c r="J35" i="397"/>
  <c r="H41"/>
  <c r="H15"/>
  <c r="H51"/>
  <c r="S52" i="33"/>
  <c r="N20" i="43"/>
  <c r="C20" i="32" s="1"/>
  <c r="H22" i="31"/>
  <c r="C47" i="36"/>
  <c r="F21" i="34"/>
  <c r="N77" i="51"/>
  <c r="Q13" i="88"/>
  <c r="Q22"/>
  <c r="Q49"/>
  <c r="Q39"/>
  <c r="Q33"/>
  <c r="Q27"/>
  <c r="Q18"/>
  <c r="Q11"/>
  <c r="Q21"/>
  <c r="Q48"/>
  <c r="Q36"/>
  <c r="Q10"/>
  <c r="N61" i="231"/>
  <c r="N53" i="88"/>
  <c r="H33" i="51"/>
  <c r="N33" s="1"/>
  <c r="N62" i="252"/>
  <c r="N13" i="51"/>
  <c r="M51" i="252"/>
  <c r="M22" i="299"/>
  <c r="N20"/>
  <c r="C16" i="103"/>
  <c r="M35" i="36"/>
  <c r="F45" i="43"/>
  <c r="H11" i="51"/>
  <c r="F37" i="139"/>
  <c r="G37" s="1"/>
  <c r="J36" i="51"/>
  <c r="G17" i="145"/>
  <c r="C45" i="142"/>
  <c r="S24" i="140"/>
  <c r="B15" i="145"/>
  <c r="B17" s="1"/>
  <c r="C17" s="1"/>
  <c r="G14" i="52"/>
  <c r="G16" s="1"/>
  <c r="J53" i="88"/>
  <c r="K53" s="1"/>
  <c r="D25" i="97"/>
  <c r="M15" i="231"/>
  <c r="M22" s="1"/>
  <c r="F44" i="252"/>
  <c r="L36" i="52"/>
  <c r="L57" i="36" s="1"/>
  <c r="L71" s="1"/>
  <c r="D54" i="131"/>
  <c r="E54" s="1"/>
  <c r="F28" i="132"/>
  <c r="J63"/>
  <c r="H69" i="41"/>
  <c r="N69" s="1"/>
  <c r="F15" i="144"/>
  <c r="J63"/>
  <c r="G45" i="44"/>
  <c r="S75" i="138"/>
  <c r="N26" i="51"/>
  <c r="J68" i="138"/>
  <c r="N35" i="51"/>
  <c r="J81" i="114"/>
  <c r="K24" i="51"/>
  <c r="G16" i="234" s="1"/>
  <c r="C24" i="103"/>
  <c r="F23" i="102"/>
  <c r="J23" i="98"/>
  <c r="S74" i="33"/>
  <c r="E54" i="36"/>
  <c r="D23" i="96"/>
  <c r="J63"/>
  <c r="C48" i="40"/>
  <c r="H15" i="51"/>
  <c r="H66" i="40" s="1"/>
  <c r="J63" i="84"/>
  <c r="J68" i="78"/>
  <c r="J55" i="33"/>
  <c r="J63" s="1"/>
  <c r="L45" i="44"/>
  <c r="H69" i="405"/>
  <c r="H68" i="379"/>
  <c r="N68" s="1"/>
  <c r="D28" i="132"/>
  <c r="D26" i="103"/>
  <c r="M15" i="43"/>
  <c r="M23" s="1"/>
  <c r="D30" i="97"/>
  <c r="C32" i="343"/>
  <c r="C23" i="97"/>
  <c r="D45" i="95"/>
  <c r="E45" s="1"/>
  <c r="D25" i="79"/>
  <c r="B51" i="384"/>
  <c r="B65" i="52"/>
  <c r="B70" s="1"/>
  <c r="B79" s="1"/>
  <c r="B83" s="1"/>
  <c r="B65" i="36" s="1"/>
  <c r="B61"/>
  <c r="C15" i="79"/>
  <c r="B51" i="40"/>
  <c r="O64" i="74" s="1"/>
  <c r="G49" i="36"/>
  <c r="L46"/>
  <c r="M52" i="299"/>
  <c r="H33" i="52"/>
  <c r="N33" s="1"/>
  <c r="H32" i="51"/>
  <c r="N32" s="1"/>
  <c r="F22" i="52"/>
  <c r="F55" i="36" s="1"/>
  <c r="F69" s="1"/>
  <c r="N69" i="98"/>
  <c r="F30" i="79"/>
  <c r="F39" s="1"/>
  <c r="Q34" i="88"/>
  <c r="Q28"/>
  <c r="Q14"/>
  <c r="M36" i="130"/>
  <c r="G15" i="145"/>
  <c r="M69" i="405"/>
  <c r="N67" i="86"/>
  <c r="F16" i="51"/>
  <c r="J45" i="88"/>
  <c r="K45" s="1"/>
  <c r="J59" i="324"/>
  <c r="P59" s="1"/>
  <c r="F68" i="132"/>
  <c r="F23" i="128"/>
  <c r="E75"/>
  <c r="E75" i="98"/>
  <c r="M14" i="51"/>
  <c r="M16" s="1"/>
  <c r="F63" i="102"/>
  <c r="F81" i="84"/>
  <c r="C36" i="52"/>
  <c r="C57" i="36" s="1"/>
  <c r="C71" s="1"/>
  <c r="C36" i="51"/>
  <c r="C35" i="36" s="1"/>
  <c r="C49" s="1"/>
  <c r="C53" i="43"/>
  <c r="K73" i="316"/>
  <c r="K154" s="1"/>
  <c r="K74" i="315"/>
  <c r="K155" s="1"/>
  <c r="H40" i="51"/>
  <c r="N40" s="1"/>
  <c r="N68" i="140"/>
  <c r="N66"/>
  <c r="D23" i="144"/>
  <c r="F63"/>
  <c r="N29" i="43"/>
  <c r="C29" i="32" s="1"/>
  <c r="B15" i="110"/>
  <c r="I15" s="1"/>
  <c r="B25" i="139"/>
  <c r="B30" s="1"/>
  <c r="B39" s="1"/>
  <c r="B43" s="1"/>
  <c r="G16" i="343" s="1"/>
  <c r="D15" i="138"/>
  <c r="N67" i="134"/>
  <c r="N65"/>
  <c r="F68" i="138"/>
  <c r="S55"/>
  <c r="F26" i="110"/>
  <c r="L94" i="51"/>
  <c r="D15" i="114"/>
  <c r="D13" i="33"/>
  <c r="B15" i="115"/>
  <c r="B17" s="1"/>
  <c r="L10" i="40"/>
  <c r="F24" i="92"/>
  <c r="E75"/>
  <c r="F68" i="96"/>
  <c r="D23" i="94"/>
  <c r="D24" i="51"/>
  <c r="D80" i="40" s="1"/>
  <c r="D28" i="90"/>
  <c r="E75" i="86"/>
  <c r="G22" i="182"/>
  <c r="F25" i="28"/>
  <c r="F55" i="33"/>
  <c r="H12" i="52"/>
  <c r="B17" i="79"/>
  <c r="D12" i="28"/>
  <c r="D54" i="143"/>
  <c r="E54" s="1"/>
  <c r="C37" i="139"/>
  <c r="N69" i="405"/>
  <c r="N14" i="43"/>
  <c r="C14" i="32" s="1"/>
  <c r="D39" i="97"/>
  <c r="D43" s="1"/>
  <c r="G32" i="343" s="1"/>
  <c r="T24" i="86"/>
  <c r="S24" s="1"/>
  <c r="D45" i="89"/>
  <c r="E45" s="1"/>
  <c r="D39" i="85"/>
  <c r="D43" s="1"/>
  <c r="G36" i="343" s="1"/>
  <c r="C51" i="40"/>
  <c r="O64" i="80" s="1"/>
  <c r="C61" i="36"/>
  <c r="H68" i="397"/>
  <c r="N68" s="1"/>
  <c r="D30" i="79"/>
  <c r="D39" s="1"/>
  <c r="D43" s="1"/>
  <c r="G30" i="343" s="1"/>
  <c r="C31"/>
  <c r="E49" i="384"/>
  <c r="I24" i="51"/>
  <c r="I80" i="40" s="1"/>
  <c r="I48"/>
  <c r="J14" i="51"/>
  <c r="J16" s="1"/>
  <c r="J48" i="40" s="1"/>
  <c r="J14"/>
  <c r="M80" i="371"/>
  <c r="M82" i="405"/>
  <c r="L52"/>
  <c r="M49"/>
  <c r="H40" i="234"/>
  <c r="L40"/>
  <c r="I10" i="40"/>
  <c r="P53" i="88"/>
  <c r="Q53" s="1"/>
  <c r="P45"/>
  <c r="Q45" s="1"/>
  <c r="C15" i="145"/>
  <c r="G28" i="36"/>
  <c r="M52" i="391"/>
  <c r="M76"/>
  <c r="J15" i="40"/>
  <c r="D52" i="83"/>
  <c r="C54"/>
  <c r="D54" s="1"/>
  <c r="E54" s="1"/>
  <c r="G57" i="324"/>
  <c r="M57" s="1"/>
  <c r="G17" i="79"/>
  <c r="J23" i="82"/>
  <c r="K53" s="1"/>
  <c r="I52" i="252"/>
  <c r="I44"/>
  <c r="J31" i="40"/>
  <c r="J11"/>
  <c r="K9" i="88"/>
  <c r="K40"/>
  <c r="K34"/>
  <c r="K50"/>
  <c r="K42"/>
  <c r="K18"/>
  <c r="K10"/>
  <c r="K19"/>
  <c r="F45" i="100"/>
  <c r="S23" i="134"/>
  <c r="K63" i="400"/>
  <c r="J52"/>
  <c r="I52"/>
  <c r="H52"/>
  <c r="F52"/>
  <c r="L49" i="43"/>
  <c r="D49" i="113"/>
  <c r="B27" i="28"/>
  <c r="C27" s="1"/>
  <c r="C33" i="34"/>
  <c r="C23" i="79"/>
  <c r="B16" i="52"/>
  <c r="M11" i="98"/>
  <c r="B24" i="91"/>
  <c r="B60" i="86"/>
  <c r="N15" i="41"/>
  <c r="N23" s="1"/>
  <c r="B25" i="128"/>
  <c r="C25" s="1"/>
  <c r="B23" i="132"/>
  <c r="B22" i="128"/>
  <c r="C22" s="1"/>
  <c r="M12" i="130"/>
  <c r="B26" i="92"/>
  <c r="C26" s="1"/>
  <c r="H34" i="36"/>
  <c r="B24" i="92"/>
  <c r="C24" s="1"/>
  <c r="B23" i="96"/>
  <c r="B75" i="92" s="1"/>
  <c r="B23"/>
  <c r="F155" i="315"/>
  <c r="F155" i="314"/>
  <c r="B155"/>
  <c r="K74"/>
  <c r="K155" s="1"/>
  <c r="K84" i="23"/>
  <c r="B59" i="140"/>
  <c r="S75" i="144"/>
  <c r="G53" i="44"/>
  <c r="C44" i="142"/>
  <c r="R26" i="28"/>
  <c r="S26" s="1"/>
  <c r="B27" i="34"/>
  <c r="B27" i="86"/>
  <c r="D94" i="51"/>
  <c r="D12" i="32"/>
  <c r="E12" s="1"/>
  <c r="N10" i="44"/>
  <c r="B10" i="32" s="1"/>
  <c r="Q9" i="88"/>
  <c r="Q20"/>
  <c r="B53"/>
  <c r="C53" s="1"/>
  <c r="B26" i="134"/>
  <c r="C26" s="1"/>
  <c r="C23" i="139"/>
  <c r="I94" i="51"/>
  <c r="B15" i="138"/>
  <c r="F109" i="51" s="1"/>
  <c r="D45" i="137"/>
  <c r="E45" s="1"/>
  <c r="M22" i="51"/>
  <c r="L48" i="40"/>
  <c r="C49" i="182"/>
  <c r="C55"/>
  <c r="B23" i="30"/>
  <c r="B12" i="28" s="1"/>
  <c r="O53" i="82"/>
  <c r="S71" i="33"/>
  <c r="B36" i="52"/>
  <c r="B57" i="36" s="1"/>
  <c r="B15" i="78"/>
  <c r="F102" i="51" s="1"/>
  <c r="N29" i="44"/>
  <c r="B29" i="32" s="1"/>
  <c r="Q40" i="76"/>
  <c r="Q30"/>
  <c r="Q51"/>
  <c r="Q45"/>
  <c r="N51" i="44"/>
  <c r="B51" i="32" s="1"/>
  <c r="D50"/>
  <c r="E50" s="1"/>
  <c r="I17" i="36"/>
  <c r="J17" s="1"/>
  <c r="O45" i="136"/>
  <c r="M33" i="130"/>
  <c r="F20" i="36"/>
  <c r="F27" s="1"/>
  <c r="N69" i="128"/>
  <c r="M11"/>
  <c r="M11" i="130"/>
  <c r="L53" i="44"/>
  <c r="L45" i="112"/>
  <c r="M31" i="40"/>
  <c r="Q20" i="94"/>
  <c r="D20" i="36"/>
  <c r="D27" s="1"/>
  <c r="N69" i="86"/>
  <c r="O36" i="82"/>
  <c r="K37" i="182"/>
  <c r="K31"/>
  <c r="K34"/>
  <c r="K36"/>
  <c r="K30"/>
  <c r="K35"/>
  <c r="K32"/>
  <c r="K33"/>
  <c r="K38"/>
  <c r="M27" i="82"/>
  <c r="M19"/>
  <c r="M28"/>
  <c r="M34"/>
  <c r="K40"/>
  <c r="M41"/>
  <c r="M50"/>
  <c r="M14"/>
  <c r="M17"/>
  <c r="M10"/>
  <c r="M30"/>
  <c r="M36"/>
  <c r="M42"/>
  <c r="M11"/>
  <c r="M49"/>
  <c r="M13"/>
  <c r="M23"/>
  <c r="M29"/>
  <c r="M35"/>
  <c r="M40"/>
  <c r="M48"/>
  <c r="M20"/>
  <c r="M22"/>
  <c r="M12"/>
  <c r="M52"/>
  <c r="M33"/>
  <c r="M44"/>
  <c r="M51"/>
  <c r="O42"/>
  <c r="O30"/>
  <c r="M15"/>
  <c r="B20" i="36"/>
  <c r="B27" s="1"/>
  <c r="N70" i="74"/>
  <c r="N36" i="41"/>
  <c r="N32" i="403"/>
  <c r="L52" i="400"/>
  <c r="L76"/>
  <c r="L63"/>
  <c r="K76"/>
  <c r="K52"/>
  <c r="I76"/>
  <c r="I63"/>
  <c r="H76"/>
  <c r="H63"/>
  <c r="G52"/>
  <c r="G63"/>
  <c r="G76"/>
  <c r="F76"/>
  <c r="F63"/>
  <c r="E63"/>
  <c r="E76"/>
  <c r="E52"/>
  <c r="D52"/>
  <c r="D63"/>
  <c r="D76"/>
  <c r="H40" i="36"/>
  <c r="M36" i="51"/>
  <c r="L24"/>
  <c r="L80" i="40" s="1"/>
  <c r="M33" i="36"/>
  <c r="N21" i="51"/>
  <c r="J22"/>
  <c r="E49" i="36"/>
  <c r="H22" i="51"/>
  <c r="L74" i="40"/>
  <c r="H15" i="29" s="1"/>
  <c r="K74" i="40"/>
  <c r="H17" i="29" s="1"/>
  <c r="G24" i="51"/>
  <c r="G80" i="40" s="1"/>
  <c r="G48"/>
  <c r="G32" i="36"/>
  <c r="G46" s="1"/>
  <c r="G94" i="51"/>
  <c r="F84" i="33"/>
  <c r="F63"/>
  <c r="G54" i="36"/>
  <c r="G50" i="40"/>
  <c r="N64" i="140" s="1"/>
  <c r="G24" i="52"/>
  <c r="G82" i="40" s="1"/>
  <c r="B27" i="140"/>
  <c r="S53" i="144"/>
  <c r="R23" i="140"/>
  <c r="R63" i="144"/>
  <c r="R68" s="1"/>
  <c r="R77" s="1"/>
  <c r="R81" s="1"/>
  <c r="R27" i="140" s="1"/>
  <c r="C77" i="144"/>
  <c r="D81"/>
  <c r="H68"/>
  <c r="K13"/>
  <c r="M13"/>
  <c r="L15"/>
  <c r="N23"/>
  <c r="M21"/>
  <c r="O21"/>
  <c r="L81"/>
  <c r="O58" i="324"/>
  <c r="P37" i="144"/>
  <c r="P68"/>
  <c r="L57" i="324"/>
  <c r="D25" i="145"/>
  <c r="S55" i="144"/>
  <c r="T23" i="140"/>
  <c r="T63" i="144"/>
  <c r="C52" i="142"/>
  <c r="C27"/>
  <c r="C33"/>
  <c r="C11"/>
  <c r="C51"/>
  <c r="K15" i="140"/>
  <c r="L53" i="324"/>
  <c r="O53"/>
  <c r="H22" i="397"/>
  <c r="H51" i="299"/>
  <c r="C56" i="182"/>
  <c r="C51"/>
  <c r="C52"/>
  <c r="M14" i="140"/>
  <c r="O14"/>
  <c r="O14" i="28"/>
  <c r="P45" i="142"/>
  <c r="P53"/>
  <c r="O15" i="30"/>
  <c r="J25" i="145"/>
  <c r="I17"/>
  <c r="K25"/>
  <c r="L30"/>
  <c r="R77" i="138"/>
  <c r="R81" s="1"/>
  <c r="R27" i="134" s="1"/>
  <c r="J61" i="52"/>
  <c r="J63" s="1"/>
  <c r="J65" s="1"/>
  <c r="J70" s="1"/>
  <c r="I63"/>
  <c r="I62" i="36" s="1"/>
  <c r="D23" i="134"/>
  <c r="D63" i="138"/>
  <c r="C55"/>
  <c r="U53" i="33"/>
  <c r="J51" i="40"/>
  <c r="J13" i="33"/>
  <c r="K35" i="138"/>
  <c r="L37"/>
  <c r="H68"/>
  <c r="M33" i="33"/>
  <c r="U77" i="138"/>
  <c r="U81" s="1"/>
  <c r="L63"/>
  <c r="L23" i="134"/>
  <c r="J34" i="36"/>
  <c r="I48"/>
  <c r="J48" s="1"/>
  <c r="C18" i="343"/>
  <c r="J75" i="51"/>
  <c r="J78" s="1"/>
  <c r="I78"/>
  <c r="I42" i="36" s="1"/>
  <c r="F23" i="139"/>
  <c r="G23" s="1"/>
  <c r="J53" i="51"/>
  <c r="J56" s="1"/>
  <c r="J58" s="1"/>
  <c r="I56"/>
  <c r="I58" s="1"/>
  <c r="P15" i="138"/>
  <c r="O13"/>
  <c r="P81"/>
  <c r="D17" i="139"/>
  <c r="C17" s="1"/>
  <c r="C15"/>
  <c r="T63" i="138"/>
  <c r="T68" s="1"/>
  <c r="J76" i="52"/>
  <c r="J77" s="1"/>
  <c r="I77"/>
  <c r="I64" i="36" s="1"/>
  <c r="N76" i="52"/>
  <c r="N77" s="1"/>
  <c r="T24" i="134"/>
  <c r="S24" s="1"/>
  <c r="S61" i="138"/>
  <c r="S63"/>
  <c r="I51" i="40"/>
  <c r="O63" i="134" s="1"/>
  <c r="I51" i="384"/>
  <c r="I65" i="52"/>
  <c r="D13" i="32"/>
  <c r="E13" s="1"/>
  <c r="I30" i="139"/>
  <c r="J39"/>
  <c r="L39"/>
  <c r="L43" s="1"/>
  <c r="B53" i="136"/>
  <c r="C53" s="1"/>
  <c r="F12" i="28"/>
  <c r="J45" i="41"/>
  <c r="J52" i="252"/>
  <c r="J44"/>
  <c r="M23" i="135"/>
  <c r="N11" i="134"/>
  <c r="N26" i="231"/>
  <c r="F37" i="132"/>
  <c r="N68"/>
  <c r="F41"/>
  <c r="R55"/>
  <c r="S53"/>
  <c r="D37"/>
  <c r="R23" i="128"/>
  <c r="S23" s="1"/>
  <c r="S75" i="132"/>
  <c r="H60" i="324"/>
  <c r="C37" i="133"/>
  <c r="H57" i="324"/>
  <c r="B25" i="133"/>
  <c r="B28" i="132"/>
  <c r="B72" i="128"/>
  <c r="C55" i="132"/>
  <c r="B63"/>
  <c r="F61" i="36"/>
  <c r="D26" i="128"/>
  <c r="H22"/>
  <c r="H63" i="132"/>
  <c r="L63"/>
  <c r="L22" i="128"/>
  <c r="E60" i="324"/>
  <c r="G37" i="133"/>
  <c r="P81" i="132"/>
  <c r="P28"/>
  <c r="O23"/>
  <c r="F39" i="36"/>
  <c r="F66" i="51"/>
  <c r="F49" i="384"/>
  <c r="G15" i="133"/>
  <c r="F17"/>
  <c r="B43" i="128"/>
  <c r="N43" s="1"/>
  <c r="B11"/>
  <c r="I11" s="1"/>
  <c r="B41"/>
  <c r="N41" s="1"/>
  <c r="H53" i="130"/>
  <c r="H45"/>
  <c r="M45"/>
  <c r="M50"/>
  <c r="M27"/>
  <c r="M30"/>
  <c r="M14" i="128"/>
  <c r="O14"/>
  <c r="F44" i="231"/>
  <c r="F52"/>
  <c r="Q53" i="130"/>
  <c r="F51" i="384"/>
  <c r="T26" i="128"/>
  <c r="I39" i="133"/>
  <c r="H43"/>
  <c r="L39"/>
  <c r="K30"/>
  <c r="N40" i="44"/>
  <c r="B40" i="32" s="1"/>
  <c r="D40" s="1"/>
  <c r="E40" s="1"/>
  <c r="H42" i="44"/>
  <c r="S53" i="114"/>
  <c r="F63"/>
  <c r="R63"/>
  <c r="R23" i="110"/>
  <c r="S23" s="1"/>
  <c r="B28" i="114"/>
  <c r="B37" s="1"/>
  <c r="B41" s="1"/>
  <c r="T105" i="51" s="1"/>
  <c r="B72" i="110"/>
  <c r="H81" i="114"/>
  <c r="K13"/>
  <c r="L15"/>
  <c r="M15" s="1"/>
  <c r="L81"/>
  <c r="N23"/>
  <c r="O23" s="1"/>
  <c r="M61" i="51"/>
  <c r="N61" s="1"/>
  <c r="L64"/>
  <c r="P68" i="114"/>
  <c r="P28"/>
  <c r="F17" i="115"/>
  <c r="G15"/>
  <c r="M55" i="51"/>
  <c r="N55" s="1"/>
  <c r="T77" i="114"/>
  <c r="B11" i="110"/>
  <c r="I11" s="1"/>
  <c r="B41"/>
  <c r="N41" s="1"/>
  <c r="B43"/>
  <c r="N43" s="1"/>
  <c r="B58"/>
  <c r="C23" i="112"/>
  <c r="F11" i="110"/>
  <c r="H11"/>
  <c r="M52" i="41"/>
  <c r="J23" i="112"/>
  <c r="K53" s="1"/>
  <c r="K45" i="111"/>
  <c r="M45"/>
  <c r="M51" i="112"/>
  <c r="M19"/>
  <c r="M10"/>
  <c r="M41"/>
  <c r="M30"/>
  <c r="M36"/>
  <c r="M27"/>
  <c r="M44"/>
  <c r="M45"/>
  <c r="M53"/>
  <c r="M34"/>
  <c r="O36"/>
  <c r="I39" i="115"/>
  <c r="H43"/>
  <c r="I43" s="1"/>
  <c r="L43"/>
  <c r="K43" s="1"/>
  <c r="K39"/>
  <c r="L45" i="43"/>
  <c r="D45" i="113"/>
  <c r="E45" s="1"/>
  <c r="B63" i="102"/>
  <c r="C55"/>
  <c r="S53"/>
  <c r="R24" i="98"/>
  <c r="S24" s="1"/>
  <c r="S61" i="102"/>
  <c r="R63"/>
  <c r="R68" s="1"/>
  <c r="R77" s="1"/>
  <c r="R81" s="1"/>
  <c r="R27" i="98" s="1"/>
  <c r="B26" i="103"/>
  <c r="H28" i="102"/>
  <c r="H37" s="1"/>
  <c r="H41" s="1"/>
  <c r="K50" i="40"/>
  <c r="N63" i="98" s="1"/>
  <c r="K54" i="36"/>
  <c r="M54" s="1"/>
  <c r="D27" i="98"/>
  <c r="L28" i="102"/>
  <c r="K23"/>
  <c r="H27" i="98"/>
  <c r="M23" i="102"/>
  <c r="N28"/>
  <c r="L23" i="98"/>
  <c r="L63" i="102"/>
  <c r="M75" i="51"/>
  <c r="M78" s="1"/>
  <c r="K78"/>
  <c r="K42" i="36" s="1"/>
  <c r="M62" i="51"/>
  <c r="K64"/>
  <c r="P15" i="102"/>
  <c r="O13"/>
  <c r="G16" i="103"/>
  <c r="F18"/>
  <c r="P23" i="98"/>
  <c r="P63" i="102"/>
  <c r="F15" i="34"/>
  <c r="K49" i="40"/>
  <c r="M54" i="51"/>
  <c r="T27" i="98"/>
  <c r="D37" i="102"/>
  <c r="C20" i="100"/>
  <c r="C10"/>
  <c r="C17"/>
  <c r="C29"/>
  <c r="C50"/>
  <c r="C44"/>
  <c r="C33"/>
  <c r="C42"/>
  <c r="C35"/>
  <c r="C23"/>
  <c r="C19"/>
  <c r="C27"/>
  <c r="C49"/>
  <c r="C14"/>
  <c r="C22"/>
  <c r="C12"/>
  <c r="C40"/>
  <c r="C51"/>
  <c r="C39"/>
  <c r="C52"/>
  <c r="C48"/>
  <c r="C15"/>
  <c r="C21"/>
  <c r="C34"/>
  <c r="C41"/>
  <c r="C36"/>
  <c r="C11"/>
  <c r="C13"/>
  <c r="C28"/>
  <c r="D11" i="98"/>
  <c r="M14" i="40"/>
  <c r="K52" i="397"/>
  <c r="K21" i="36"/>
  <c r="K28" s="1"/>
  <c r="K31" i="40"/>
  <c r="M53" i="99"/>
  <c r="K53"/>
  <c r="K45"/>
  <c r="M35" i="231"/>
  <c r="H40" i="103"/>
  <c r="I31"/>
  <c r="L31"/>
  <c r="K26"/>
  <c r="K36" i="101"/>
  <c r="B28" i="96"/>
  <c r="B37" s="1"/>
  <c r="B41" s="1"/>
  <c r="T104" i="51" s="1"/>
  <c r="B72" i="92"/>
  <c r="S53" i="96"/>
  <c r="R23" i="92"/>
  <c r="S55" i="96"/>
  <c r="S23" i="92"/>
  <c r="C37" i="97"/>
  <c r="R24" i="92"/>
  <c r="S24" s="1"/>
  <c r="R63" i="96"/>
  <c r="N26" i="92"/>
  <c r="C55" i="96"/>
  <c r="D23" i="92"/>
  <c r="C23" s="1"/>
  <c r="D63" i="96"/>
  <c r="H81"/>
  <c r="L77"/>
  <c r="P28"/>
  <c r="O23"/>
  <c r="P63"/>
  <c r="P23" i="92"/>
  <c r="F17" i="97"/>
  <c r="G15"/>
  <c r="T77" i="96"/>
  <c r="D28"/>
  <c r="H23" i="94"/>
  <c r="K15"/>
  <c r="E44" i="299"/>
  <c r="E52" i="252"/>
  <c r="E44"/>
  <c r="Q21" i="94"/>
  <c r="Q15"/>
  <c r="Q42"/>
  <c r="Q23"/>
  <c r="Q17"/>
  <c r="Q11"/>
  <c r="Q29"/>
  <c r="Q35"/>
  <c r="Q41"/>
  <c r="Q50"/>
  <c r="Q10"/>
  <c r="Q52"/>
  <c r="Q13"/>
  <c r="Q36"/>
  <c r="Q12"/>
  <c r="Q27"/>
  <c r="Q33"/>
  <c r="Q39"/>
  <c r="Q44"/>
  <c r="Q51"/>
  <c r="Q14"/>
  <c r="Q34"/>
  <c r="Q19"/>
  <c r="I17" i="97"/>
  <c r="J25"/>
  <c r="L39"/>
  <c r="L43" s="1"/>
  <c r="R63" i="90"/>
  <c r="R68" s="1"/>
  <c r="R77" s="1"/>
  <c r="R81" s="1"/>
  <c r="R27" i="86" s="1"/>
  <c r="C22" i="91"/>
  <c r="S75" i="90"/>
  <c r="D71" i="36"/>
  <c r="D63" i="90"/>
  <c r="C55"/>
  <c r="D23" i="86"/>
  <c r="C23" s="1"/>
  <c r="K23" i="90"/>
  <c r="L28"/>
  <c r="H68"/>
  <c r="O35"/>
  <c r="M13"/>
  <c r="N15"/>
  <c r="O13"/>
  <c r="L23" i="86"/>
  <c r="L63" i="90"/>
  <c r="N76" i="51"/>
  <c r="D78"/>
  <c r="D42" i="36" s="1"/>
  <c r="D49" s="1"/>
  <c r="H63" i="51"/>
  <c r="O15" i="90"/>
  <c r="P23"/>
  <c r="P81"/>
  <c r="D66" i="51"/>
  <c r="D49" i="40"/>
  <c r="D49" i="384"/>
  <c r="T63" i="90"/>
  <c r="I24" i="91"/>
  <c r="J29"/>
  <c r="L38"/>
  <c r="D53" i="44"/>
  <c r="K45" i="32"/>
  <c r="H45" i="41"/>
  <c r="H45" i="88"/>
  <c r="K53" i="87"/>
  <c r="K14" i="86"/>
  <c r="K11"/>
  <c r="O12" i="88"/>
  <c r="O27"/>
  <c r="O29"/>
  <c r="O33"/>
  <c r="O35"/>
  <c r="O39"/>
  <c r="O44"/>
  <c r="O50"/>
  <c r="O22"/>
  <c r="O19"/>
  <c r="O13"/>
  <c r="O53"/>
  <c r="O20"/>
  <c r="O42"/>
  <c r="O49"/>
  <c r="O10"/>
  <c r="O9"/>
  <c r="O28"/>
  <c r="O30"/>
  <c r="O34"/>
  <c r="O36"/>
  <c r="O40"/>
  <c r="O48"/>
  <c r="O51"/>
  <c r="O21"/>
  <c r="O16"/>
  <c r="O11"/>
  <c r="O52"/>
  <c r="O18"/>
  <c r="O41"/>
  <c r="D52" i="113"/>
  <c r="E52" s="1"/>
  <c r="C54"/>
  <c r="D54" s="1"/>
  <c r="E54" s="1"/>
  <c r="I25" i="85"/>
  <c r="D31" i="40"/>
  <c r="H62" i="397"/>
  <c r="I30" i="85"/>
  <c r="J39"/>
  <c r="K30"/>
  <c r="L39"/>
  <c r="B28" i="84"/>
  <c r="B37" s="1"/>
  <c r="B41" s="1"/>
  <c r="T109" i="51" s="1"/>
  <c r="B73" i="80"/>
  <c r="F23"/>
  <c r="D23" i="84"/>
  <c r="F26" i="80"/>
  <c r="R77" i="84"/>
  <c r="R81" s="1"/>
  <c r="R27" i="80" s="1"/>
  <c r="J23"/>
  <c r="F23" i="84"/>
  <c r="H23"/>
  <c r="N24" i="80"/>
  <c r="D68" i="84"/>
  <c r="C63"/>
  <c r="S63"/>
  <c r="K15"/>
  <c r="L23"/>
  <c r="M15"/>
  <c r="H81"/>
  <c r="N23"/>
  <c r="M21"/>
  <c r="O21"/>
  <c r="L68"/>
  <c r="G34" i="34"/>
  <c r="F37"/>
  <c r="C16" i="324"/>
  <c r="G27" i="34"/>
  <c r="H53" i="51"/>
  <c r="C56"/>
  <c r="C58" s="1"/>
  <c r="P81" i="84"/>
  <c r="G15" i="85"/>
  <c r="F17"/>
  <c r="P15" i="84"/>
  <c r="O13"/>
  <c r="S75"/>
  <c r="T26" i="80"/>
  <c r="S26" s="1"/>
  <c r="T77" i="84"/>
  <c r="S68"/>
  <c r="B11" i="80"/>
  <c r="I11" s="1"/>
  <c r="B44"/>
  <c r="N44" s="1"/>
  <c r="B59"/>
  <c r="B42"/>
  <c r="N42" s="1"/>
  <c r="D11"/>
  <c r="H53" i="82"/>
  <c r="O19"/>
  <c r="O28"/>
  <c r="O34"/>
  <c r="O40"/>
  <c r="O48"/>
  <c r="O22"/>
  <c r="O12"/>
  <c r="O20"/>
  <c r="O21"/>
  <c r="O49"/>
  <c r="O52"/>
  <c r="O13"/>
  <c r="O23"/>
  <c r="O29"/>
  <c r="O35"/>
  <c r="O41"/>
  <c r="O50"/>
  <c r="O17"/>
  <c r="O10"/>
  <c r="O14"/>
  <c r="O27"/>
  <c r="O39"/>
  <c r="O11"/>
  <c r="O33"/>
  <c r="O44"/>
  <c r="O51"/>
  <c r="O15"/>
  <c r="N41" i="43"/>
  <c r="H42"/>
  <c r="G30" i="79"/>
  <c r="J30"/>
  <c r="I25"/>
  <c r="L39" i="34"/>
  <c r="L43" s="1"/>
  <c r="K17" i="79"/>
  <c r="L25"/>
  <c r="B25"/>
  <c r="C25" s="1"/>
  <c r="J57" i="324"/>
  <c r="P57" s="1"/>
  <c r="C17" i="79"/>
  <c r="J24" i="74"/>
  <c r="F23" i="78"/>
  <c r="C37" i="79"/>
  <c r="R24" i="74"/>
  <c r="S24" s="1"/>
  <c r="R63" i="78"/>
  <c r="R68" s="1"/>
  <c r="R77" s="1"/>
  <c r="R81" s="1"/>
  <c r="R27" i="74" s="1"/>
  <c r="B23" i="78"/>
  <c r="C55"/>
  <c r="P23" i="74"/>
  <c r="P63" i="78"/>
  <c r="O23"/>
  <c r="P28"/>
  <c r="N21" i="33"/>
  <c r="L25" i="28"/>
  <c r="O21" i="33"/>
  <c r="L77" i="78"/>
  <c r="H63"/>
  <c r="H23" i="74"/>
  <c r="J15" i="33"/>
  <c r="C63" i="78"/>
  <c r="D68"/>
  <c r="T68"/>
  <c r="H15" i="44"/>
  <c r="H23" s="1"/>
  <c r="J22" i="182"/>
  <c r="B44" i="74"/>
  <c r="N44" s="1"/>
  <c r="B11"/>
  <c r="B42"/>
  <c r="N42" s="1"/>
  <c r="K36" i="30"/>
  <c r="C9" i="324"/>
  <c r="K11" i="74"/>
  <c r="B17" i="36"/>
  <c r="B24" s="1"/>
  <c r="N51" i="299"/>
  <c r="M53" i="75"/>
  <c r="K53"/>
  <c r="M14" i="74"/>
  <c r="M21" i="76"/>
  <c r="M15"/>
  <c r="M42"/>
  <c r="M23"/>
  <c r="M17"/>
  <c r="M11"/>
  <c r="M29"/>
  <c r="M35"/>
  <c r="M41"/>
  <c r="M48"/>
  <c r="M49"/>
  <c r="M19"/>
  <c r="M13"/>
  <c r="M12"/>
  <c r="M22"/>
  <c r="M27"/>
  <c r="M33"/>
  <c r="M39"/>
  <c r="M44"/>
  <c r="M50"/>
  <c r="M52"/>
  <c r="M30"/>
  <c r="M51"/>
  <c r="M53"/>
  <c r="M28"/>
  <c r="M34"/>
  <c r="N51" i="231"/>
  <c r="B44"/>
  <c r="Q20" i="76"/>
  <c r="Q23"/>
  <c r="Q17"/>
  <c r="Q11"/>
  <c r="Q29"/>
  <c r="Q35"/>
  <c r="Q41"/>
  <c r="Q48"/>
  <c r="Q10"/>
  <c r="Q49"/>
  <c r="Q36"/>
  <c r="Q52"/>
  <c r="Q21"/>
  <c r="Q19"/>
  <c r="Q15"/>
  <c r="Q13"/>
  <c r="Q12"/>
  <c r="Q22"/>
  <c r="Q27"/>
  <c r="Q33"/>
  <c r="Q39"/>
  <c r="Q44"/>
  <c r="Q50"/>
  <c r="Q14"/>
  <c r="Q42"/>
  <c r="N47" i="397"/>
  <c r="N51" s="1"/>
  <c r="N32" i="379"/>
  <c r="B52"/>
  <c r="L52" i="371"/>
  <c r="B52" i="397"/>
  <c r="B44"/>
  <c r="H44" s="1"/>
  <c r="N38"/>
  <c r="N41" s="1"/>
  <c r="N26"/>
  <c r="N29" s="1"/>
  <c r="N32"/>
  <c r="N35" s="1"/>
  <c r="N10"/>
  <c r="N15" s="1"/>
  <c r="N22" s="1"/>
  <c r="J52"/>
  <c r="J44"/>
  <c r="M52"/>
  <c r="H52"/>
  <c r="M44"/>
  <c r="K52" i="385"/>
  <c r="K44"/>
  <c r="M44" s="1"/>
  <c r="H53" i="142"/>
  <c r="H45"/>
  <c r="F45" i="130"/>
  <c r="F53"/>
  <c r="B53" i="112"/>
  <c r="C53" s="1"/>
  <c r="C52"/>
  <c r="D52" i="101"/>
  <c r="C54"/>
  <c r="D54" s="1"/>
  <c r="E54" s="1"/>
  <c r="N53" i="136"/>
  <c r="O53" s="1"/>
  <c r="O52"/>
  <c r="B23" i="130"/>
  <c r="P23" i="112"/>
  <c r="Q15" s="1"/>
  <c r="C30" i="100"/>
  <c r="B45"/>
  <c r="C45" s="1"/>
  <c r="B53"/>
  <c r="C53" s="1"/>
  <c r="O30" i="112"/>
  <c r="N53"/>
  <c r="O53" s="1"/>
  <c r="N45"/>
  <c r="O45" s="1"/>
  <c r="N12" i="52"/>
  <c r="H55"/>
  <c r="H57" s="1"/>
  <c r="N52"/>
  <c r="N55" s="1"/>
  <c r="N57" s="1"/>
  <c r="G51" i="384"/>
  <c r="G61" i="36"/>
  <c r="G68" s="1"/>
  <c r="G51" i="40"/>
  <c r="O64" i="140" s="1"/>
  <c r="G65" i="52"/>
  <c r="G70" s="1"/>
  <c r="G79" s="1"/>
  <c r="G83" s="1"/>
  <c r="G65" i="36" s="1"/>
  <c r="H63" i="52"/>
  <c r="N60"/>
  <c r="B64" i="36"/>
  <c r="B77" i="40"/>
  <c r="O73" i="74" s="1"/>
  <c r="E44" i="231"/>
  <c r="E52"/>
  <c r="H15" i="252"/>
  <c r="H22" s="1"/>
  <c r="N10"/>
  <c r="N15" s="1"/>
  <c r="N22" s="1"/>
  <c r="D44"/>
  <c r="D52"/>
  <c r="N38"/>
  <c r="N41" s="1"/>
  <c r="H41"/>
  <c r="N38" i="299"/>
  <c r="N41" s="1"/>
  <c r="H41"/>
  <c r="L61" i="36"/>
  <c r="L68" s="1"/>
  <c r="L51" i="384"/>
  <c r="L51" i="40"/>
  <c r="O63" i="110" s="1"/>
  <c r="L65" i="52"/>
  <c r="L52" i="231"/>
  <c r="L44"/>
  <c r="C44" i="299"/>
  <c r="C52"/>
  <c r="G44" i="252"/>
  <c r="G52"/>
  <c r="G27" i="36"/>
  <c r="N70" i="140"/>
  <c r="D20" i="32"/>
  <c r="E20" s="1"/>
  <c r="K48" i="182"/>
  <c r="K53"/>
  <c r="K55"/>
  <c r="K54"/>
  <c r="K51"/>
  <c r="K50"/>
  <c r="K49"/>
  <c r="M35" i="252"/>
  <c r="N32"/>
  <c r="N35" s="1"/>
  <c r="N32" i="371"/>
  <c r="H35"/>
  <c r="N38"/>
  <c r="N41" s="1"/>
  <c r="H41"/>
  <c r="M41" i="379"/>
  <c r="N38"/>
  <c r="N41" s="1"/>
  <c r="M15" i="44"/>
  <c r="M23" s="1"/>
  <c r="M56" s="1"/>
  <c r="N11"/>
  <c r="B11" i="32" s="1"/>
  <c r="J30" i="44"/>
  <c r="N27"/>
  <c r="N39"/>
  <c r="M42"/>
  <c r="K45" i="43"/>
  <c r="K53"/>
  <c r="M10" i="33"/>
  <c r="L13"/>
  <c r="K10"/>
  <c r="B21"/>
  <c r="O32"/>
  <c r="N35"/>
  <c r="O35" s="1"/>
  <c r="L14" i="31"/>
  <c r="K30" i="30"/>
  <c r="J45"/>
  <c r="J15" i="28"/>
  <c r="J53" i="30"/>
  <c r="F41" i="31"/>
  <c r="J41"/>
  <c r="J44" s="1"/>
  <c r="N41"/>
  <c r="E55" i="36"/>
  <c r="E69" s="1"/>
  <c r="E24" i="52"/>
  <c r="E82" i="40" s="1"/>
  <c r="K69" i="36"/>
  <c r="M55"/>
  <c r="M69" s="1"/>
  <c r="G44" i="231"/>
  <c r="H44" s="1"/>
  <c r="G52"/>
  <c r="N26" i="252"/>
  <c r="N29" s="1"/>
  <c r="H29"/>
  <c r="H15" i="379"/>
  <c r="H22" s="1"/>
  <c r="N11"/>
  <c r="N15" s="1"/>
  <c r="N22" s="1"/>
  <c r="E53" i="43"/>
  <c r="E45"/>
  <c r="G17" i="139"/>
  <c r="F70" i="52"/>
  <c r="F79" s="1"/>
  <c r="F83" s="1"/>
  <c r="F65" i="36" s="1"/>
  <c r="F77" i="40"/>
  <c r="O72" i="128" s="1"/>
  <c r="D16" i="28"/>
  <c r="H21" i="33"/>
  <c r="N25" i="28"/>
  <c r="G15" i="234"/>
  <c r="B16" i="28"/>
  <c r="D53" i="30"/>
  <c r="D15" i="28"/>
  <c r="D45" i="30"/>
  <c r="H25" i="28"/>
  <c r="H53" i="136"/>
  <c r="H45"/>
  <c r="O11" i="76"/>
  <c r="O17"/>
  <c r="O23"/>
  <c r="O29"/>
  <c r="O35"/>
  <c r="O41"/>
  <c r="O48"/>
  <c r="O21"/>
  <c r="O13"/>
  <c r="O45"/>
  <c r="O36"/>
  <c r="O34"/>
  <c r="O28"/>
  <c r="O14"/>
  <c r="O52"/>
  <c r="O12"/>
  <c r="O22"/>
  <c r="O27"/>
  <c r="O33"/>
  <c r="O39"/>
  <c r="O44"/>
  <c r="O50"/>
  <c r="O19"/>
  <c r="O42"/>
  <c r="O40"/>
  <c r="O51"/>
  <c r="O30"/>
  <c r="O20"/>
  <c r="O10"/>
  <c r="H78" i="51"/>
  <c r="F25" i="133"/>
  <c r="E58" i="324"/>
  <c r="G23" i="133"/>
  <c r="D63" i="33"/>
  <c r="D24" i="28"/>
  <c r="D84" i="33"/>
  <c r="F30" i="145"/>
  <c r="G25"/>
  <c r="B17" i="97"/>
  <c r="C15"/>
  <c r="H33" i="36"/>
  <c r="B47"/>
  <c r="B32"/>
  <c r="B48" i="40"/>
  <c r="B24" i="51"/>
  <c r="B80" i="40" s="1"/>
  <c r="B94" i="51"/>
  <c r="E44" i="371"/>
  <c r="E52"/>
  <c r="K44"/>
  <c r="M44" s="1"/>
  <c r="K52"/>
  <c r="E44" i="379"/>
  <c r="E52"/>
  <c r="D19" i="32"/>
  <c r="E19" s="1"/>
  <c r="J52" i="31"/>
  <c r="B54" i="36"/>
  <c r="B24" i="52"/>
  <c r="B82" i="40" s="1"/>
  <c r="B50"/>
  <c r="N64" i="74" s="1"/>
  <c r="H56" i="36"/>
  <c r="C28"/>
  <c r="J15" i="44"/>
  <c r="I23"/>
  <c r="C53"/>
  <c r="C45"/>
  <c r="I45" i="43"/>
  <c r="I53"/>
  <c r="B55" i="33"/>
  <c r="C53"/>
  <c r="S51"/>
  <c r="B13" i="34"/>
  <c r="P24" i="28"/>
  <c r="P63" i="33"/>
  <c r="P68" s="1"/>
  <c r="P77" s="1"/>
  <c r="P81" s="1"/>
  <c r="P28" i="28" s="1"/>
  <c r="P84" i="33"/>
  <c r="M12"/>
  <c r="K12"/>
  <c r="K19"/>
  <c r="M19"/>
  <c r="J27" i="28"/>
  <c r="N27"/>
  <c r="F27"/>
  <c r="D35" i="33"/>
  <c r="M39"/>
  <c r="K39"/>
  <c r="J23" i="32"/>
  <c r="K23" s="1"/>
  <c r="J14" i="31"/>
  <c r="N14"/>
  <c r="P14"/>
  <c r="M21" i="100"/>
  <c r="M13"/>
  <c r="M48"/>
  <c r="M20"/>
  <c r="M17"/>
  <c r="M27"/>
  <c r="M42"/>
  <c r="M28"/>
  <c r="M19"/>
  <c r="M51"/>
  <c r="M14"/>
  <c r="M12"/>
  <c r="M10"/>
  <c r="M34"/>
  <c r="M41"/>
  <c r="M39"/>
  <c r="M36"/>
  <c r="M40"/>
  <c r="M35"/>
  <c r="M33"/>
  <c r="M23"/>
  <c r="M29"/>
  <c r="M50"/>
  <c r="M11"/>
  <c r="M49"/>
  <c r="M22"/>
  <c r="M44"/>
  <c r="M45"/>
  <c r="M30"/>
  <c r="F24" i="91"/>
  <c r="G16"/>
  <c r="Q52" i="142"/>
  <c r="Q12"/>
  <c r="Q35"/>
  <c r="Q27"/>
  <c r="Q20"/>
  <c r="Q40"/>
  <c r="Q49"/>
  <c r="Q34"/>
  <c r="Q51"/>
  <c r="Q19"/>
  <c r="Q42"/>
  <c r="Q10"/>
  <c r="Q14"/>
  <c r="Q29"/>
  <c r="Q23"/>
  <c r="Q45"/>
  <c r="Q48"/>
  <c r="Q44"/>
  <c r="Q36"/>
  <c r="Q13"/>
  <c r="Q33"/>
  <c r="Q41"/>
  <c r="Q22"/>
  <c r="Q50"/>
  <c r="Q30"/>
  <c r="Q11"/>
  <c r="Q21"/>
  <c r="Q28"/>
  <c r="Q39"/>
  <c r="Q17"/>
  <c r="D29" i="91"/>
  <c r="D38" s="1"/>
  <c r="D42" s="1"/>
  <c r="G35" i="343" s="1"/>
  <c r="C33"/>
  <c r="G18" i="234"/>
  <c r="I96" i="51"/>
  <c r="C50" i="40"/>
  <c r="N64" i="80" s="1"/>
  <c r="C24" i="52"/>
  <c r="C82" i="40" s="1"/>
  <c r="C54" i="36"/>
  <c r="F24" i="52"/>
  <c r="F82" i="40" s="1"/>
  <c r="F50"/>
  <c r="N63" i="128" s="1"/>
  <c r="F54" i="36"/>
  <c r="F68" s="1"/>
  <c r="J14" i="52"/>
  <c r="J16" s="1"/>
  <c r="J24" s="1"/>
  <c r="J82" i="40" s="1"/>
  <c r="K70" i="52"/>
  <c r="K79" s="1"/>
  <c r="K83" s="1"/>
  <c r="K65" i="36" s="1"/>
  <c r="K77" i="40"/>
  <c r="O72" i="98" s="1"/>
  <c r="I44" i="231"/>
  <c r="I52"/>
  <c r="I44" i="299"/>
  <c r="I52"/>
  <c r="C44" i="371"/>
  <c r="C52"/>
  <c r="C44" i="379"/>
  <c r="C52"/>
  <c r="L44"/>
  <c r="M44" s="1"/>
  <c r="L52"/>
  <c r="M36" i="44"/>
  <c r="N35"/>
  <c r="B35" i="32" s="1"/>
  <c r="N11" i="43"/>
  <c r="H15"/>
  <c r="H23" s="1"/>
  <c r="J10" i="36"/>
  <c r="J24" s="1"/>
  <c r="I24"/>
  <c r="L24"/>
  <c r="M10"/>
  <c r="M24" s="1"/>
  <c r="N12"/>
  <c r="H26"/>
  <c r="B14" i="324"/>
  <c r="H25" i="34"/>
  <c r="I23"/>
  <c r="B15" i="324"/>
  <c r="K37" i="34"/>
  <c r="I37"/>
  <c r="M18" i="33"/>
  <c r="L21"/>
  <c r="M21" s="1"/>
  <c r="K18"/>
  <c r="F21"/>
  <c r="K32"/>
  <c r="J35"/>
  <c r="K35" s="1"/>
  <c r="P27" i="28"/>
  <c r="C8" i="324"/>
  <c r="B15" i="28"/>
  <c r="B71"/>
  <c r="B45" i="30"/>
  <c r="B45" i="28"/>
  <c r="N45" s="1"/>
  <c r="P16"/>
  <c r="O16" s="1"/>
  <c r="O52" i="30"/>
  <c r="P51" i="31"/>
  <c r="D54" i="36"/>
  <c r="D68" s="1"/>
  <c r="D24" i="52"/>
  <c r="D82" i="40" s="1"/>
  <c r="D50"/>
  <c r="N63" i="86" s="1"/>
  <c r="M50" i="40"/>
  <c r="J23" i="33"/>
  <c r="B30" i="79"/>
  <c r="M32" i="36"/>
  <c r="M46" s="1"/>
  <c r="K46"/>
  <c r="I52" i="385"/>
  <c r="I44"/>
  <c r="H29"/>
  <c r="H52" s="1"/>
  <c r="N26"/>
  <c r="N29" s="1"/>
  <c r="N52" s="1"/>
  <c r="H15"/>
  <c r="H22" s="1"/>
  <c r="N10"/>
  <c r="N15" s="1"/>
  <c r="N22" s="1"/>
  <c r="M30" i="142"/>
  <c r="L53"/>
  <c r="M53" s="1"/>
  <c r="L45"/>
  <c r="M45" s="1"/>
  <c r="D23" i="136"/>
  <c r="F23" i="130"/>
  <c r="O40" i="112"/>
  <c r="O48"/>
  <c r="O22"/>
  <c r="O41"/>
  <c r="O44"/>
  <c r="O51"/>
  <c r="O49"/>
  <c r="O50"/>
  <c r="O14"/>
  <c r="O20"/>
  <c r="O33"/>
  <c r="O19"/>
  <c r="O21"/>
  <c r="O17"/>
  <c r="O42"/>
  <c r="O10"/>
  <c r="O27"/>
  <c r="O34"/>
  <c r="O13"/>
  <c r="O11"/>
  <c r="O12"/>
  <c r="O39"/>
  <c r="O28"/>
  <c r="O15"/>
  <c r="O52"/>
  <c r="D52" i="137"/>
  <c r="C54"/>
  <c r="D54" s="1"/>
  <c r="E54" s="1"/>
  <c r="F45" i="136"/>
  <c r="F53"/>
  <c r="D17" i="133"/>
  <c r="C15"/>
  <c r="D45" i="130"/>
  <c r="D53"/>
  <c r="N19" i="52"/>
  <c r="H22"/>
  <c r="E51" i="384"/>
  <c r="E61" i="36"/>
  <c r="E68" s="1"/>
  <c r="E51" i="40"/>
  <c r="O63" i="92" s="1"/>
  <c r="E65" i="52"/>
  <c r="D62" i="36"/>
  <c r="H62" s="1"/>
  <c r="D65" i="52"/>
  <c r="G64" i="36"/>
  <c r="N12" i="231"/>
  <c r="N15" s="1"/>
  <c r="N22" s="1"/>
  <c r="H15"/>
  <c r="H22" s="1"/>
  <c r="K44"/>
  <c r="K52"/>
  <c r="B44" i="299"/>
  <c r="B52"/>
  <c r="M56" i="36"/>
  <c r="M70" s="1"/>
  <c r="K70"/>
  <c r="K57"/>
  <c r="M51" i="384"/>
  <c r="M51" i="40"/>
  <c r="M29" i="231"/>
  <c r="N27"/>
  <c r="H29" i="299"/>
  <c r="N26"/>
  <c r="N29" s="1"/>
  <c r="N28" i="231"/>
  <c r="H29"/>
  <c r="N32" i="299"/>
  <c r="N35" s="1"/>
  <c r="H35"/>
  <c r="E27" i="36"/>
  <c r="N69" i="92"/>
  <c r="D21" i="32"/>
  <c r="E21" s="1"/>
  <c r="N32" i="231"/>
  <c r="N35" s="1"/>
  <c r="H35"/>
  <c r="L44" i="252"/>
  <c r="M44" s="1"/>
  <c r="L52"/>
  <c r="L26" i="36"/>
  <c r="M19"/>
  <c r="M26" s="1"/>
  <c r="L27"/>
  <c r="I44" i="379"/>
  <c r="I52"/>
  <c r="I53" i="44"/>
  <c r="I45"/>
  <c r="I57"/>
  <c r="M45" i="43"/>
  <c r="N20" i="40"/>
  <c r="D27" i="324" s="1"/>
  <c r="H55" i="33"/>
  <c r="N55"/>
  <c r="O14"/>
  <c r="M14"/>
  <c r="C61"/>
  <c r="B25" i="28"/>
  <c r="C25" s="1"/>
  <c r="L27"/>
  <c r="L86" i="33"/>
  <c r="O30" i="30"/>
  <c r="N15" i="28"/>
  <c r="N45" i="30"/>
  <c r="N53"/>
  <c r="F45"/>
  <c r="D14" i="32"/>
  <c r="E14" s="1"/>
  <c r="H30" i="44"/>
  <c r="N28"/>
  <c r="B28" i="32" s="1"/>
  <c r="D44"/>
  <c r="E44" s="1"/>
  <c r="N27" i="43"/>
  <c r="H30"/>
  <c r="N35"/>
  <c r="H36"/>
  <c r="D13" i="34"/>
  <c r="D15" s="1"/>
  <c r="D17" s="1"/>
  <c r="T53" i="33"/>
  <c r="T55" s="1"/>
  <c r="J30" i="40"/>
  <c r="J10"/>
  <c r="J53" i="41"/>
  <c r="K13" i="94"/>
  <c r="K28"/>
  <c r="K51"/>
  <c r="K39"/>
  <c r="K10"/>
  <c r="K22"/>
  <c r="K41"/>
  <c r="K17"/>
  <c r="K44"/>
  <c r="K48"/>
  <c r="K30"/>
  <c r="K34"/>
  <c r="K19"/>
  <c r="K52"/>
  <c r="K11"/>
  <c r="K40"/>
  <c r="K27"/>
  <c r="K20"/>
  <c r="K35"/>
  <c r="K29"/>
  <c r="K14"/>
  <c r="K36"/>
  <c r="K49"/>
  <c r="K21"/>
  <c r="K50"/>
  <c r="K12"/>
  <c r="K33"/>
  <c r="K23"/>
  <c r="Q13" i="130"/>
  <c r="Q49"/>
  <c r="Q34"/>
  <c r="Q33"/>
  <c r="Q20"/>
  <c r="Q17"/>
  <c r="Q29"/>
  <c r="Q22"/>
  <c r="Q35"/>
  <c r="Q50"/>
  <c r="Q39"/>
  <c r="Q28"/>
  <c r="Q23"/>
  <c r="Q19"/>
  <c r="Q51"/>
  <c r="Q44"/>
  <c r="Q12"/>
  <c r="Q14"/>
  <c r="Q40"/>
  <c r="Q30"/>
  <c r="Q45"/>
  <c r="Q42"/>
  <c r="Q21"/>
  <c r="Q10"/>
  <c r="Q48"/>
  <c r="Q41"/>
  <c r="Q27"/>
  <c r="Q11"/>
  <c r="H45" i="30"/>
  <c r="H15" i="28"/>
  <c r="B17" i="85"/>
  <c r="C15"/>
  <c r="B29" i="91"/>
  <c r="C15" i="343"/>
  <c r="C24" i="91"/>
  <c r="J94" i="51"/>
  <c r="L52" i="299"/>
  <c r="L44"/>
  <c r="M44" s="1"/>
  <c r="O23" i="30"/>
  <c r="N12" i="28"/>
  <c r="H48" i="36"/>
  <c r="D44" i="299"/>
  <c r="D52"/>
  <c r="G44" i="371"/>
  <c r="G52"/>
  <c r="G44" i="379"/>
  <c r="G52"/>
  <c r="H52" i="44"/>
  <c r="N48"/>
  <c r="N11" i="36"/>
  <c r="N25" s="1"/>
  <c r="H25"/>
  <c r="N15" i="52"/>
  <c r="J56" i="36"/>
  <c r="J70" s="1"/>
  <c r="I70"/>
  <c r="C70" i="52"/>
  <c r="C79" s="1"/>
  <c r="C83" s="1"/>
  <c r="C65" i="36" s="1"/>
  <c r="C77" i="40"/>
  <c r="O73" i="80" s="1"/>
  <c r="N38" i="231"/>
  <c r="H41"/>
  <c r="N70" i="80"/>
  <c r="H21" i="36"/>
  <c r="H36" i="44"/>
  <c r="N33"/>
  <c r="J45" i="43"/>
  <c r="J53"/>
  <c r="H10" i="36"/>
  <c r="G15" i="34"/>
  <c r="F17"/>
  <c r="K15"/>
  <c r="J17"/>
  <c r="B12"/>
  <c r="S50" i="33"/>
  <c r="R53"/>
  <c r="B67" i="28"/>
  <c r="B13" i="33"/>
  <c r="B15" s="1"/>
  <c r="B69" i="28"/>
  <c r="O11" i="33"/>
  <c r="N13"/>
  <c r="M11"/>
  <c r="S54"/>
  <c r="B16" i="34"/>
  <c r="C16" s="1"/>
  <c r="D21"/>
  <c r="C21" s="1"/>
  <c r="S59" i="33"/>
  <c r="F35"/>
  <c r="S73"/>
  <c r="B35" i="34"/>
  <c r="B35" i="33"/>
  <c r="D41" i="34"/>
  <c r="C41" s="1"/>
  <c r="S79" i="33"/>
  <c r="J23" i="30"/>
  <c r="I23" s="1"/>
  <c r="K15"/>
  <c r="F14" i="31"/>
  <c r="L23" i="30"/>
  <c r="M15"/>
  <c r="B35" i="31"/>
  <c r="O49" i="136"/>
  <c r="O28"/>
  <c r="O48"/>
  <c r="O50"/>
  <c r="O22"/>
  <c r="O27"/>
  <c r="O19"/>
  <c r="O23"/>
  <c r="O51"/>
  <c r="O17"/>
  <c r="O35"/>
  <c r="O33"/>
  <c r="O20"/>
  <c r="O13"/>
  <c r="O40"/>
  <c r="O44"/>
  <c r="O11"/>
  <c r="O41"/>
  <c r="O12"/>
  <c r="O21"/>
  <c r="O29"/>
  <c r="O39"/>
  <c r="O30"/>
  <c r="O34"/>
  <c r="O14"/>
  <c r="O10"/>
  <c r="O42"/>
  <c r="H12" i="28"/>
  <c r="G75" i="40"/>
  <c r="G71" i="51"/>
  <c r="G80" s="1"/>
  <c r="G84" s="1"/>
  <c r="G43" i="36" s="1"/>
  <c r="G37" i="145"/>
  <c r="F60" i="324"/>
  <c r="I24" i="52"/>
  <c r="I82" i="40" s="1"/>
  <c r="I50"/>
  <c r="I54" i="36"/>
  <c r="J52" i="231"/>
  <c r="J44"/>
  <c r="N10" i="299"/>
  <c r="N15" s="1"/>
  <c r="N22" s="1"/>
  <c r="H15"/>
  <c r="H22" s="1"/>
  <c r="J52"/>
  <c r="J44"/>
  <c r="H29" i="371"/>
  <c r="N26"/>
  <c r="N29" s="1"/>
  <c r="M35"/>
  <c r="N34"/>
  <c r="H29" i="379"/>
  <c r="N26"/>
  <c r="N29" s="1"/>
  <c r="H14" i="40"/>
  <c r="D20" i="34"/>
  <c r="T61" i="33"/>
  <c r="T25" i="28" s="1"/>
  <c r="S58" i="33"/>
  <c r="B22" i="34"/>
  <c r="S60" i="33"/>
  <c r="R61"/>
  <c r="J25" i="28"/>
  <c r="T75" i="33"/>
  <c r="D34" i="34"/>
  <c r="S72" i="33"/>
  <c r="B22" i="31"/>
  <c r="C19" s="1"/>
  <c r="B29"/>
  <c r="L53" i="30"/>
  <c r="M30"/>
  <c r="L15" i="28"/>
  <c r="L45" i="30"/>
  <c r="P15" i="28"/>
  <c r="P45" i="30"/>
  <c r="P53"/>
  <c r="D41" i="31"/>
  <c r="H41"/>
  <c r="L41"/>
  <c r="L51"/>
  <c r="K52" i="30"/>
  <c r="J16" i="28"/>
  <c r="E75" i="40"/>
  <c r="E71" i="51"/>
  <c r="E80" s="1"/>
  <c r="E84" s="1"/>
  <c r="E43" i="36" s="1"/>
  <c r="K29" i="51"/>
  <c r="K38" s="1"/>
  <c r="K42" s="1"/>
  <c r="K41" i="40" s="1"/>
  <c r="H17" i="36"/>
  <c r="N17" s="1"/>
  <c r="J41" i="379"/>
  <c r="J44" s="1"/>
  <c r="H51"/>
  <c r="K52" i="182"/>
  <c r="D45" i="43"/>
  <c r="L24" i="52"/>
  <c r="L82" i="40" s="1"/>
  <c r="C37" i="145"/>
  <c r="D51" i="31"/>
  <c r="M52" i="379"/>
  <c r="D24" i="36"/>
  <c r="N29" i="31"/>
  <c r="O15" i="76"/>
  <c r="N20" i="51"/>
  <c r="H22" i="371"/>
  <c r="E52" i="299"/>
  <c r="D44" i="371"/>
  <c r="I52"/>
  <c r="N30" i="41"/>
  <c r="N68" i="40" s="1"/>
  <c r="M53" i="100"/>
  <c r="Q53" i="112"/>
  <c r="Q45"/>
  <c r="H13" i="36"/>
  <c r="H35" i="33"/>
  <c r="O53" i="76"/>
  <c r="H15" i="33"/>
  <c r="N29" i="231"/>
  <c r="K24" i="52"/>
  <c r="K82" i="40" s="1"/>
  <c r="E24" i="51"/>
  <c r="E80" i="40" s="1"/>
  <c r="H35" i="36"/>
  <c r="O29" i="112"/>
  <c r="O35"/>
  <c r="N13" i="371"/>
  <c r="N15" s="1"/>
  <c r="N22" s="1"/>
  <c r="D52" i="231"/>
  <c r="N51" i="371"/>
  <c r="H51"/>
  <c r="M32" i="33"/>
  <c r="G59" i="182"/>
  <c r="N20" i="52"/>
  <c r="N39" i="231"/>
  <c r="H44" i="252"/>
  <c r="N44" s="1"/>
  <c r="N51"/>
  <c r="B45" i="43"/>
  <c r="M61" i="36"/>
  <c r="K56" i="182"/>
  <c r="F29" i="31"/>
  <c r="M23" i="112"/>
  <c r="N44" i="385"/>
  <c r="L77" i="33"/>
  <c r="L81" s="1"/>
  <c r="L28" i="28" s="1"/>
  <c r="U75" i="33"/>
  <c r="Q52" i="130"/>
  <c r="M52" i="371"/>
  <c r="L29" i="31"/>
  <c r="P29"/>
  <c r="Q53" i="142"/>
  <c r="K45" i="94"/>
  <c r="C16" i="91"/>
  <c r="M41" i="231"/>
  <c r="M21" i="36"/>
  <c r="M28" s="1"/>
  <c r="U55" i="33"/>
  <c r="M15" i="100"/>
  <c r="K53" i="94"/>
  <c r="Q15" i="142"/>
  <c r="D46" i="36"/>
  <c r="H77" i="52"/>
  <c r="N34" i="379"/>
  <c r="N35" s="1"/>
  <c r="E28" i="36"/>
  <c r="I15" i="34"/>
  <c r="U61" i="33"/>
  <c r="E9" i="324"/>
  <c r="K14" i="28"/>
  <c r="M52" i="100"/>
  <c r="R75" i="33"/>
  <c r="O49" i="76"/>
  <c r="K68" i="36"/>
  <c r="L103" i="51" l="1"/>
  <c r="B76" i="74"/>
  <c r="L107" i="51"/>
  <c r="B75" i="128"/>
  <c r="C19" i="182"/>
  <c r="C15"/>
  <c r="C11"/>
  <c r="C14"/>
  <c r="C13"/>
  <c r="C16"/>
  <c r="C12"/>
  <c r="C17"/>
  <c r="C18"/>
  <c r="C18" i="234"/>
  <c r="C16"/>
  <c r="C14"/>
  <c r="C12"/>
  <c r="C19"/>
  <c r="C15"/>
  <c r="C13"/>
  <c r="C11"/>
  <c r="C17"/>
  <c r="C15" i="130"/>
  <c r="C18"/>
  <c r="M24" i="52"/>
  <c r="M82" i="40" s="1"/>
  <c r="F107" i="51"/>
  <c r="B23" i="102"/>
  <c r="B75" i="98" s="1"/>
  <c r="B23"/>
  <c r="C23" s="1"/>
  <c r="B63"/>
  <c r="K96" i="51"/>
  <c r="K80" i="40"/>
  <c r="K12" i="29" s="1"/>
  <c r="K35" i="40"/>
  <c r="I16" i="28"/>
  <c r="B53" i="30"/>
  <c r="I53" s="1"/>
  <c r="B43" i="28"/>
  <c r="N43" s="1"/>
  <c r="L105" i="51"/>
  <c r="B63" i="92"/>
  <c r="F103" i="51"/>
  <c r="B56" i="28"/>
  <c r="N56" s="1"/>
  <c r="D74" i="40"/>
  <c r="H20" i="29" s="1"/>
  <c r="H56" i="40"/>
  <c r="C80"/>
  <c r="K20" i="29" s="1"/>
  <c r="H57" i="36"/>
  <c r="N11" i="51"/>
  <c r="N54" i="40" s="1"/>
  <c r="H54"/>
  <c r="H60"/>
  <c r="G71" i="36"/>
  <c r="I15" i="28"/>
  <c r="I45" i="30"/>
  <c r="H36" i="52"/>
  <c r="H36" i="51"/>
  <c r="L37" i="132"/>
  <c r="M28"/>
  <c r="K28"/>
  <c r="M52" i="252"/>
  <c r="N45" i="41"/>
  <c r="F15" i="33"/>
  <c r="D15"/>
  <c r="J54" i="32"/>
  <c r="K54" s="1"/>
  <c r="C26" i="31"/>
  <c r="K45" i="82"/>
  <c r="D28" i="78"/>
  <c r="D37" s="1"/>
  <c r="J52" i="32"/>
  <c r="I11" i="74"/>
  <c r="G96" i="51"/>
  <c r="K28" i="78"/>
  <c r="J37"/>
  <c r="C68" i="114"/>
  <c r="D77"/>
  <c r="H28" i="90"/>
  <c r="H37" s="1"/>
  <c r="H41" s="1"/>
  <c r="K75" i="86"/>
  <c r="N28" i="78"/>
  <c r="M23"/>
  <c r="K39" i="139"/>
  <c r="M34" i="36"/>
  <c r="M48" s="1"/>
  <c r="K75" i="128"/>
  <c r="H28" i="132"/>
  <c r="H37" s="1"/>
  <c r="H41" s="1"/>
  <c r="H28" i="96"/>
  <c r="K75" i="92"/>
  <c r="N81" i="96"/>
  <c r="I32" i="36"/>
  <c r="J32" s="1"/>
  <c r="N81" i="138"/>
  <c r="N81" i="102"/>
  <c r="C96" i="51"/>
  <c r="N11" i="52"/>
  <c r="G19" i="234"/>
  <c r="C29" i="51"/>
  <c r="C38" s="1"/>
  <c r="C42" s="1"/>
  <c r="C36" i="36" s="1"/>
  <c r="H14" i="52"/>
  <c r="H16" s="1"/>
  <c r="H50" i="40" s="1"/>
  <c r="K76" i="80"/>
  <c r="H28" i="144"/>
  <c r="H37" s="1"/>
  <c r="H41" s="1"/>
  <c r="N68"/>
  <c r="N23" i="110"/>
  <c r="H23" i="114"/>
  <c r="C15" i="115"/>
  <c r="F9" i="324"/>
  <c r="N77" i="90"/>
  <c r="H28" i="78"/>
  <c r="H37" s="1"/>
  <c r="H41" s="1"/>
  <c r="K76" i="74"/>
  <c r="N77" i="78"/>
  <c r="F28" i="138"/>
  <c r="F28" i="114"/>
  <c r="F28" i="102"/>
  <c r="F41" i="96"/>
  <c r="F37" i="90"/>
  <c r="C68" i="36"/>
  <c r="H56" i="44"/>
  <c r="K13" i="29"/>
  <c r="G21" i="34"/>
  <c r="F23"/>
  <c r="K18" i="29"/>
  <c r="I57" i="324"/>
  <c r="O57" s="1"/>
  <c r="B25" i="145"/>
  <c r="H14" i="51"/>
  <c r="H16" s="1"/>
  <c r="E19" i="29"/>
  <c r="F48" i="40"/>
  <c r="J68" i="132"/>
  <c r="B20" i="29"/>
  <c r="J68" i="144"/>
  <c r="J23" i="140"/>
  <c r="F23" i="144"/>
  <c r="D29" i="32"/>
  <c r="E29" s="1"/>
  <c r="I29" i="51"/>
  <c r="I38" s="1"/>
  <c r="J24" i="28"/>
  <c r="J77" i="138"/>
  <c r="N36" i="52"/>
  <c r="N36" i="51"/>
  <c r="J68" i="96"/>
  <c r="N15" i="51"/>
  <c r="N66" i="40" s="1"/>
  <c r="J68" i="84"/>
  <c r="F28"/>
  <c r="J84" i="33"/>
  <c r="J77" i="78"/>
  <c r="J86" i="33"/>
  <c r="J79" i="52"/>
  <c r="J83" s="1"/>
  <c r="D31" i="103"/>
  <c r="D40" s="1"/>
  <c r="D44" s="1"/>
  <c r="G33" i="343" s="1"/>
  <c r="C34"/>
  <c r="B41" i="182"/>
  <c r="C38" s="1"/>
  <c r="B40" i="234"/>
  <c r="C37" s="1"/>
  <c r="I74" i="40"/>
  <c r="H12" i="29" s="1"/>
  <c r="J24" i="51"/>
  <c r="J80" i="40" s="1"/>
  <c r="F24" i="51"/>
  <c r="F80" i="40" s="1"/>
  <c r="F94" i="51"/>
  <c r="D96"/>
  <c r="D29"/>
  <c r="D38" s="1"/>
  <c r="D42" s="1"/>
  <c r="C74" i="40"/>
  <c r="H19" i="29" s="1"/>
  <c r="M48" i="40"/>
  <c r="M24" i="51"/>
  <c r="M80" i="40" s="1"/>
  <c r="M94" i="51"/>
  <c r="F32" i="36"/>
  <c r="F46" s="1"/>
  <c r="F43" i="79"/>
  <c r="G39"/>
  <c r="L53" i="405"/>
  <c r="F77" i="132"/>
  <c r="F68" i="102"/>
  <c r="E76" i="80"/>
  <c r="F68" i="144"/>
  <c r="D28"/>
  <c r="N34" i="36"/>
  <c r="N48" s="1"/>
  <c r="F77" i="138"/>
  <c r="F23" i="134"/>
  <c r="D23" i="138"/>
  <c r="F23" i="110"/>
  <c r="D23" i="114"/>
  <c r="F77" i="96"/>
  <c r="D37" i="90"/>
  <c r="F68" i="33"/>
  <c r="F77" s="1"/>
  <c r="F86"/>
  <c r="F24" i="28"/>
  <c r="D41" i="78"/>
  <c r="J77" i="40"/>
  <c r="L29" i="51"/>
  <c r="L38" s="1"/>
  <c r="L42" s="1"/>
  <c r="N49" i="405"/>
  <c r="N52" s="1"/>
  <c r="M52"/>
  <c r="M53" s="1"/>
  <c r="O23" i="112"/>
  <c r="K15" i="82"/>
  <c r="K48"/>
  <c r="K52"/>
  <c r="K42"/>
  <c r="K29"/>
  <c r="K12"/>
  <c r="K39"/>
  <c r="K13"/>
  <c r="K44"/>
  <c r="K27"/>
  <c r="K11"/>
  <c r="K30"/>
  <c r="K19"/>
  <c r="K34"/>
  <c r="K50"/>
  <c r="K10"/>
  <c r="K33"/>
  <c r="K20"/>
  <c r="K35"/>
  <c r="K28"/>
  <c r="K41"/>
  <c r="K17"/>
  <c r="K14"/>
  <c r="K49"/>
  <c r="K21"/>
  <c r="K51"/>
  <c r="K36"/>
  <c r="K22"/>
  <c r="K23"/>
  <c r="L52" i="43"/>
  <c r="L53" s="1"/>
  <c r="M49"/>
  <c r="C13" i="343"/>
  <c r="K76" i="40"/>
  <c r="N72" i="98" s="1"/>
  <c r="N14" i="51"/>
  <c r="N16" s="1"/>
  <c r="M10" i="40"/>
  <c r="N76" i="140"/>
  <c r="G11" i="234"/>
  <c r="D16" i="324"/>
  <c r="F16" s="1"/>
  <c r="C27" i="34"/>
  <c r="B23" i="134"/>
  <c r="C23" s="1"/>
  <c r="B23" i="138"/>
  <c r="B75" i="134" s="1"/>
  <c r="B63"/>
  <c r="C59" i="182"/>
  <c r="G17" i="234"/>
  <c r="L96" i="51"/>
  <c r="K14" i="29"/>
  <c r="B64" i="74"/>
  <c r="B23"/>
  <c r="C23" s="1"/>
  <c r="C32" i="31"/>
  <c r="C17"/>
  <c r="B58" i="234"/>
  <c r="K41" i="182"/>
  <c r="H31" i="40"/>
  <c r="M63" i="400"/>
  <c r="M76"/>
  <c r="M52"/>
  <c r="N75" i="51"/>
  <c r="N78" s="1"/>
  <c r="N22"/>
  <c r="G29"/>
  <c r="G38" s="1"/>
  <c r="G42" s="1"/>
  <c r="K15" i="29"/>
  <c r="G74" i="40"/>
  <c r="H13" i="29" s="1"/>
  <c r="S23" i="140"/>
  <c r="G76" i="40"/>
  <c r="N73" i="140" s="1"/>
  <c r="G29" i="52"/>
  <c r="G38" s="1"/>
  <c r="G42" s="1"/>
  <c r="D27" i="140"/>
  <c r="C27" s="1"/>
  <c r="C81" i="144"/>
  <c r="H77"/>
  <c r="L23"/>
  <c r="K15"/>
  <c r="M15"/>
  <c r="N28"/>
  <c r="M23"/>
  <c r="O23"/>
  <c r="L27" i="140"/>
  <c r="P41" i="144"/>
  <c r="P77"/>
  <c r="D30" i="145"/>
  <c r="D39" s="1"/>
  <c r="D43" s="1"/>
  <c r="G29" i="343" s="1"/>
  <c r="C29"/>
  <c r="T68" i="144"/>
  <c r="S63"/>
  <c r="M45" i="30"/>
  <c r="I25" i="145"/>
  <c r="J30"/>
  <c r="L39"/>
  <c r="L43" s="1"/>
  <c r="I69" i="36"/>
  <c r="J62"/>
  <c r="J69" s="1"/>
  <c r="N61" i="52"/>
  <c r="N63" s="1"/>
  <c r="N65" s="1"/>
  <c r="N70" s="1"/>
  <c r="N79" s="1"/>
  <c r="N83" s="1"/>
  <c r="D68" i="138"/>
  <c r="C63"/>
  <c r="L41"/>
  <c r="K37"/>
  <c r="M37"/>
  <c r="H77"/>
  <c r="L68"/>
  <c r="J42" i="36"/>
  <c r="I49"/>
  <c r="J49" s="1"/>
  <c r="F25" i="139"/>
  <c r="G25" s="1"/>
  <c r="P27" i="134"/>
  <c r="P23" i="138"/>
  <c r="O15"/>
  <c r="J66" i="51"/>
  <c r="J49" i="40"/>
  <c r="J49" i="384"/>
  <c r="D25" i="139"/>
  <c r="I39" i="36"/>
  <c r="I49" i="40"/>
  <c r="I66" i="51"/>
  <c r="I49" i="384"/>
  <c r="I71" i="36"/>
  <c r="J64"/>
  <c r="J71" s="1"/>
  <c r="I70" i="52"/>
  <c r="I79" s="1"/>
  <c r="I83" s="1"/>
  <c r="I65" i="36" s="1"/>
  <c r="J65" s="1"/>
  <c r="I77" i="40"/>
  <c r="O72" i="134" s="1"/>
  <c r="T77" i="138"/>
  <c r="S68"/>
  <c r="I39" i="139"/>
  <c r="J43"/>
  <c r="I43" s="1"/>
  <c r="O11" i="134"/>
  <c r="M11"/>
  <c r="N77" i="132"/>
  <c r="J26" i="128"/>
  <c r="R22"/>
  <c r="S22" s="1"/>
  <c r="S55" i="132"/>
  <c r="R63"/>
  <c r="R68" s="1"/>
  <c r="D41"/>
  <c r="B30" i="133"/>
  <c r="B39" s="1"/>
  <c r="B43" s="1"/>
  <c r="H61" i="324" s="1"/>
  <c r="C12" i="343"/>
  <c r="B37" i="132"/>
  <c r="B68"/>
  <c r="C63"/>
  <c r="H68"/>
  <c r="L68"/>
  <c r="N60" i="324"/>
  <c r="K60"/>
  <c r="G17" i="133"/>
  <c r="E57" i="324"/>
  <c r="P37" i="132"/>
  <c r="O28"/>
  <c r="F71" i="51"/>
  <c r="F80" s="1"/>
  <c r="F84" s="1"/>
  <c r="F43" i="36" s="1"/>
  <c r="F75" i="40"/>
  <c r="P26" i="128"/>
  <c r="I43" i="133"/>
  <c r="B61" i="324"/>
  <c r="L43" i="133"/>
  <c r="K43" s="1"/>
  <c r="K39"/>
  <c r="R68" i="114"/>
  <c r="S63"/>
  <c r="F68"/>
  <c r="B27" i="110"/>
  <c r="B60"/>
  <c r="C17" i="115"/>
  <c r="B25"/>
  <c r="H27" i="110"/>
  <c r="K15" i="114"/>
  <c r="L23"/>
  <c r="L27" i="110"/>
  <c r="M23" i="114"/>
  <c r="N28"/>
  <c r="O28" s="1"/>
  <c r="P77"/>
  <c r="L40" i="36"/>
  <c r="L47" s="1"/>
  <c r="L66" i="51"/>
  <c r="P37" i="114"/>
  <c r="F25" i="115"/>
  <c r="G17"/>
  <c r="T81" i="114"/>
  <c r="M53" i="41"/>
  <c r="K10" i="112"/>
  <c r="K12"/>
  <c r="K20"/>
  <c r="K33"/>
  <c r="K22"/>
  <c r="K49"/>
  <c r="K19"/>
  <c r="K13"/>
  <c r="K11"/>
  <c r="K14"/>
  <c r="K17"/>
  <c r="K27"/>
  <c r="K39"/>
  <c r="K34"/>
  <c r="K28"/>
  <c r="K21"/>
  <c r="K30"/>
  <c r="K50"/>
  <c r="K35"/>
  <c r="K45"/>
  <c r="K40"/>
  <c r="K51"/>
  <c r="K44"/>
  <c r="K52"/>
  <c r="K36"/>
  <c r="K29"/>
  <c r="K48"/>
  <c r="K42"/>
  <c r="K41"/>
  <c r="K15"/>
  <c r="C63" i="102"/>
  <c r="B68"/>
  <c r="S81"/>
  <c r="S68"/>
  <c r="S27" i="98"/>
  <c r="S63" i="102"/>
  <c r="S77"/>
  <c r="M68" i="36"/>
  <c r="J68" i="33"/>
  <c r="B31" i="103"/>
  <c r="C16" i="343"/>
  <c r="C26" i="103"/>
  <c r="N27" i="98"/>
  <c r="K28" i="102"/>
  <c r="L37"/>
  <c r="N37"/>
  <c r="M28"/>
  <c r="L68"/>
  <c r="M42" i="36"/>
  <c r="M49" s="1"/>
  <c r="K49"/>
  <c r="K40"/>
  <c r="K66" i="51"/>
  <c r="N62"/>
  <c r="M64"/>
  <c r="M56"/>
  <c r="M58" s="1"/>
  <c r="N54"/>
  <c r="P68" i="102"/>
  <c r="P23"/>
  <c r="O15"/>
  <c r="G18" i="103"/>
  <c r="F26"/>
  <c r="D41" i="102"/>
  <c r="C54" i="234"/>
  <c r="C47"/>
  <c r="C50"/>
  <c r="C48"/>
  <c r="C49"/>
  <c r="C55"/>
  <c r="C51"/>
  <c r="C53"/>
  <c r="C52"/>
  <c r="H44" i="103"/>
  <c r="I40"/>
  <c r="L40"/>
  <c r="K31"/>
  <c r="B27" i="92"/>
  <c r="B60"/>
  <c r="B58"/>
  <c r="R68" i="96"/>
  <c r="S63"/>
  <c r="C63"/>
  <c r="D68"/>
  <c r="H27" i="92"/>
  <c r="M35" i="33"/>
  <c r="L81" i="96"/>
  <c r="O28"/>
  <c r="P37"/>
  <c r="P68"/>
  <c r="G17" i="97"/>
  <c r="F25"/>
  <c r="T81" i="96"/>
  <c r="D37"/>
  <c r="I25" i="97"/>
  <c r="J30"/>
  <c r="K25"/>
  <c r="C63" i="90"/>
  <c r="D68"/>
  <c r="K28"/>
  <c r="L37"/>
  <c r="H77"/>
  <c r="L68"/>
  <c r="M15"/>
  <c r="N23"/>
  <c r="O23" s="1"/>
  <c r="H42" i="36"/>
  <c r="N42" s="1"/>
  <c r="N63" i="51"/>
  <c r="H64"/>
  <c r="D71"/>
  <c r="D80" s="1"/>
  <c r="D84" s="1"/>
  <c r="D43" i="36" s="1"/>
  <c r="D75" i="40"/>
  <c r="P27" i="86"/>
  <c r="P28" i="90"/>
  <c r="T68"/>
  <c r="S63"/>
  <c r="D69" i="36"/>
  <c r="I29" i="91"/>
  <c r="J38"/>
  <c r="K38" s="1"/>
  <c r="K29"/>
  <c r="L42"/>
  <c r="C51" i="31"/>
  <c r="H21" i="40"/>
  <c r="H26"/>
  <c r="N62" i="397"/>
  <c r="J43" i="85"/>
  <c r="I43" s="1"/>
  <c r="I39"/>
  <c r="L43"/>
  <c r="K43" s="1"/>
  <c r="K39"/>
  <c r="B27" i="80"/>
  <c r="B61"/>
  <c r="D28" i="84"/>
  <c r="F37"/>
  <c r="H28"/>
  <c r="D77"/>
  <c r="C68"/>
  <c r="H27" i="80"/>
  <c r="K23" i="84"/>
  <c r="L28"/>
  <c r="M23"/>
  <c r="N28"/>
  <c r="L77"/>
  <c r="G37" i="34"/>
  <c r="C17" i="324"/>
  <c r="E17" s="1"/>
  <c r="E16"/>
  <c r="P86" i="33"/>
  <c r="N53" i="51"/>
  <c r="N56" s="1"/>
  <c r="N58" s="1"/>
  <c r="H56"/>
  <c r="H58" s="1"/>
  <c r="P23" i="84"/>
  <c r="O15"/>
  <c r="G17" i="85"/>
  <c r="F25"/>
  <c r="P27" i="80"/>
  <c r="C39" i="36"/>
  <c r="C66" i="51"/>
  <c r="C49" i="40"/>
  <c r="C49" i="384"/>
  <c r="T81" i="84"/>
  <c r="S77"/>
  <c r="C41" i="32"/>
  <c r="N42" i="43"/>
  <c r="I30" i="79"/>
  <c r="J39"/>
  <c r="K25"/>
  <c r="L30"/>
  <c r="S63" i="78"/>
  <c r="F28"/>
  <c r="B28"/>
  <c r="B73" i="74"/>
  <c r="B37" i="78"/>
  <c r="P68"/>
  <c r="P37"/>
  <c r="O28"/>
  <c r="L81"/>
  <c r="H68"/>
  <c r="C68"/>
  <c r="D77"/>
  <c r="T77"/>
  <c r="S68"/>
  <c r="B21" i="234"/>
  <c r="C16" i="31"/>
  <c r="C22" i="182"/>
  <c r="B22"/>
  <c r="C10" i="324"/>
  <c r="M15" i="28"/>
  <c r="N52" i="252"/>
  <c r="O53" i="30"/>
  <c r="N52" i="397"/>
  <c r="H44" i="379"/>
  <c r="H52" i="299"/>
  <c r="N19" i="36"/>
  <c r="N26" s="1"/>
  <c r="N44" i="397"/>
  <c r="N44" i="379"/>
  <c r="P52" i="31"/>
  <c r="P44"/>
  <c r="F44"/>
  <c r="N35" i="36"/>
  <c r="K17" i="29"/>
  <c r="E29" i="51"/>
  <c r="E38" s="1"/>
  <c r="E42" s="1"/>
  <c r="E96"/>
  <c r="E74" i="40"/>
  <c r="H16" i="29" s="1"/>
  <c r="G14" i="234"/>
  <c r="N14" i="40"/>
  <c r="D24" i="324" s="1"/>
  <c r="N44" i="31"/>
  <c r="N52"/>
  <c r="L29" i="52"/>
  <c r="L38" s="1"/>
  <c r="L42" s="1"/>
  <c r="N75" i="110"/>
  <c r="L76" i="40"/>
  <c r="N72" i="110" s="1"/>
  <c r="K17" i="234"/>
  <c r="K36" i="36"/>
  <c r="F23" i="33"/>
  <c r="T27" i="28"/>
  <c r="D23" i="34"/>
  <c r="C20"/>
  <c r="J54" i="36"/>
  <c r="J68" s="1"/>
  <c r="I68"/>
  <c r="I29" i="52"/>
  <c r="I38" s="1"/>
  <c r="I42" s="1"/>
  <c r="N75" i="134"/>
  <c r="I76" i="40"/>
  <c r="N72" i="134" s="1"/>
  <c r="O60" i="324"/>
  <c r="L60"/>
  <c r="D7"/>
  <c r="F22" i="31"/>
  <c r="J12" i="28"/>
  <c r="I12" s="1"/>
  <c r="K23" i="30"/>
  <c r="N15" i="33"/>
  <c r="O13"/>
  <c r="K17" i="34"/>
  <c r="J25"/>
  <c r="I25" s="1"/>
  <c r="C14" i="324"/>
  <c r="E14" s="1"/>
  <c r="G17" i="34"/>
  <c r="F25"/>
  <c r="H24" i="36"/>
  <c r="N10"/>
  <c r="N24" s="1"/>
  <c r="B33" i="32"/>
  <c r="N36" i="44"/>
  <c r="D10" i="32"/>
  <c r="E10" s="1"/>
  <c r="B15"/>
  <c r="H20" i="36"/>
  <c r="H27" s="1"/>
  <c r="C27"/>
  <c r="N52" i="44"/>
  <c r="B48" i="32"/>
  <c r="T63" i="33"/>
  <c r="D33" i="343" s="1"/>
  <c r="T24" i="28"/>
  <c r="T84" i="33"/>
  <c r="H45" i="43"/>
  <c r="D28" i="32"/>
  <c r="E28" s="1"/>
  <c r="N84" i="33"/>
  <c r="N63"/>
  <c r="N24" i="28"/>
  <c r="D70" i="52"/>
  <c r="D79" s="1"/>
  <c r="D83" s="1"/>
  <c r="D65" i="36" s="1"/>
  <c r="D77" i="40"/>
  <c r="O72" i="86" s="1"/>
  <c r="E70" i="52"/>
  <c r="E79" s="1"/>
  <c r="E83" s="1"/>
  <c r="E65" i="36" s="1"/>
  <c r="E77" i="40"/>
  <c r="O72" i="92" s="1"/>
  <c r="B39" i="79"/>
  <c r="C30"/>
  <c r="J28" i="33"/>
  <c r="N75" i="86"/>
  <c r="D29" i="52"/>
  <c r="D38" s="1"/>
  <c r="D42" s="1"/>
  <c r="D76" i="40"/>
  <c r="N72" i="86" s="1"/>
  <c r="H30" i="34"/>
  <c r="C11" i="32"/>
  <c r="C15" s="1"/>
  <c r="C23" s="1"/>
  <c r="N15" i="43"/>
  <c r="N23" s="1"/>
  <c r="M53" i="44"/>
  <c r="M45"/>
  <c r="F76" i="40"/>
  <c r="N72" i="128" s="1"/>
  <c r="N75"/>
  <c r="F29" i="52"/>
  <c r="F38" s="1"/>
  <c r="F42" s="1"/>
  <c r="N76" i="80"/>
  <c r="C29" i="52"/>
  <c r="C38" s="1"/>
  <c r="C42" s="1"/>
  <c r="C76" i="40"/>
  <c r="N73" i="80" s="1"/>
  <c r="N22" i="31"/>
  <c r="O14" s="1"/>
  <c r="J22"/>
  <c r="K14" s="1"/>
  <c r="B24" i="28"/>
  <c r="C24" s="1"/>
  <c r="B63" i="33"/>
  <c r="C55"/>
  <c r="B84"/>
  <c r="B76" i="40"/>
  <c r="N73" i="74" s="1"/>
  <c r="N76"/>
  <c r="B29" i="52"/>
  <c r="B38" s="1"/>
  <c r="B42" s="1"/>
  <c r="B37" i="40" s="1"/>
  <c r="D68" i="33"/>
  <c r="D77" s="1"/>
  <c r="D81" s="1"/>
  <c r="D28" i="28" s="1"/>
  <c r="D86" i="33"/>
  <c r="K58" i="324"/>
  <c r="N58"/>
  <c r="L22" i="31"/>
  <c r="L15" i="33"/>
  <c r="M13"/>
  <c r="K13"/>
  <c r="B27" i="32"/>
  <c r="N30" i="44"/>
  <c r="J21" i="36"/>
  <c r="J28" s="1"/>
  <c r="I28"/>
  <c r="L70" i="52"/>
  <c r="L79" s="1"/>
  <c r="L83" s="1"/>
  <c r="L65" i="36" s="1"/>
  <c r="M65" s="1"/>
  <c r="L77" i="40"/>
  <c r="O72" i="110" s="1"/>
  <c r="N51" i="40"/>
  <c r="O65" i="28" s="1"/>
  <c r="N51" i="384"/>
  <c r="R27" i="28"/>
  <c r="S75" i="33"/>
  <c r="L52" i="31"/>
  <c r="L44"/>
  <c r="N75" i="98"/>
  <c r="K29" i="52"/>
  <c r="K38" s="1"/>
  <c r="K42" s="1"/>
  <c r="H23" i="33"/>
  <c r="N14" i="52"/>
  <c r="N16" s="1"/>
  <c r="N13" i="36"/>
  <c r="C11" i="324"/>
  <c r="K16" i="28"/>
  <c r="B10" i="324"/>
  <c r="K15" i="28"/>
  <c r="B44" i="31"/>
  <c r="C44" s="1"/>
  <c r="B52"/>
  <c r="C52" s="1"/>
  <c r="C29"/>
  <c r="C11"/>
  <c r="C28"/>
  <c r="C22"/>
  <c r="C39"/>
  <c r="C48"/>
  <c r="C33"/>
  <c r="C12"/>
  <c r="C38"/>
  <c r="C13"/>
  <c r="C14"/>
  <c r="C41"/>
  <c r="C27"/>
  <c r="C49"/>
  <c r="C43"/>
  <c r="C10"/>
  <c r="C34"/>
  <c r="C21"/>
  <c r="C47"/>
  <c r="C18"/>
  <c r="C9"/>
  <c r="C40"/>
  <c r="C50"/>
  <c r="C20"/>
  <c r="C34" i="34"/>
  <c r="D37"/>
  <c r="R25" i="28"/>
  <c r="S25" s="1"/>
  <c r="S61" i="33"/>
  <c r="C22" i="34"/>
  <c r="B23"/>
  <c r="N63" i="134"/>
  <c r="J50" i="40"/>
  <c r="L12" i="28"/>
  <c r="M12" s="1"/>
  <c r="M23" i="30"/>
  <c r="C35" i="34"/>
  <c r="B37"/>
  <c r="B23" i="33"/>
  <c r="B78" i="28" s="1"/>
  <c r="B65"/>
  <c r="S53" i="33"/>
  <c r="R55"/>
  <c r="C12" i="34"/>
  <c r="B15"/>
  <c r="B38" i="91"/>
  <c r="C29"/>
  <c r="B25" i="85"/>
  <c r="C17"/>
  <c r="D10" i="324"/>
  <c r="N36" i="43"/>
  <c r="C35" i="32"/>
  <c r="C36" s="1"/>
  <c r="C27"/>
  <c r="C30" s="1"/>
  <c r="N30" i="43"/>
  <c r="H57" i="44"/>
  <c r="H53"/>
  <c r="H45"/>
  <c r="H84" i="33"/>
  <c r="H24" i="28"/>
  <c r="H63" i="33"/>
  <c r="M77" i="40"/>
  <c r="M70" i="52"/>
  <c r="M79" s="1"/>
  <c r="M83" s="1"/>
  <c r="M57" i="36"/>
  <c r="K71"/>
  <c r="D25" i="133"/>
  <c r="C17"/>
  <c r="E8" i="324"/>
  <c r="F8"/>
  <c r="J29" i="52"/>
  <c r="J38" s="1"/>
  <c r="J42" s="1"/>
  <c r="J76" i="40"/>
  <c r="J29" i="51"/>
  <c r="G24" i="91"/>
  <c r="F29"/>
  <c r="P22" i="31"/>
  <c r="Q51" s="1"/>
  <c r="I56" i="44"/>
  <c r="J23"/>
  <c r="J56" s="1"/>
  <c r="H70" i="36"/>
  <c r="N56"/>
  <c r="N70" s="1"/>
  <c r="B68"/>
  <c r="H54"/>
  <c r="B29" i="51"/>
  <c r="B38" s="1"/>
  <c r="B42" s="1"/>
  <c r="K16" i="29"/>
  <c r="G13" i="234"/>
  <c r="H13" s="1"/>
  <c r="B74" i="40"/>
  <c r="H14" i="29" s="1"/>
  <c r="B96" i="51"/>
  <c r="H32" i="36"/>
  <c r="B46"/>
  <c r="H47"/>
  <c r="N33"/>
  <c r="B25" i="97"/>
  <c r="C17"/>
  <c r="F39" i="145"/>
  <c r="G30"/>
  <c r="F30" i="133"/>
  <c r="G25"/>
  <c r="F30" i="139"/>
  <c r="E76" i="40"/>
  <c r="N72" i="92" s="1"/>
  <c r="N75"/>
  <c r="E29" i="52"/>
  <c r="E38" s="1"/>
  <c r="E42" s="1"/>
  <c r="N42" i="44"/>
  <c r="B39" i="32"/>
  <c r="J45" i="44"/>
  <c r="J57"/>
  <c r="J53"/>
  <c r="H64" i="36"/>
  <c r="B71"/>
  <c r="H51" i="40"/>
  <c r="H65" i="52"/>
  <c r="H70" s="1"/>
  <c r="H79" s="1"/>
  <c r="H83" s="1"/>
  <c r="H51" i="384"/>
  <c r="Q40" i="112"/>
  <c r="Q19"/>
  <c r="Q14"/>
  <c r="Q20"/>
  <c r="Q27"/>
  <c r="Q39"/>
  <c r="Q41"/>
  <c r="Q50"/>
  <c r="Q35"/>
  <c r="Q51"/>
  <c r="Q34"/>
  <c r="Q49"/>
  <c r="Q21"/>
  <c r="Q11"/>
  <c r="Q28"/>
  <c r="Q10"/>
  <c r="Q29"/>
  <c r="Q22"/>
  <c r="Q42"/>
  <c r="Q13"/>
  <c r="Q52"/>
  <c r="Q12"/>
  <c r="Q33"/>
  <c r="Q48"/>
  <c r="Q44"/>
  <c r="Q30"/>
  <c r="Q36"/>
  <c r="C36" i="130"/>
  <c r="C30"/>
  <c r="C10"/>
  <c r="C20"/>
  <c r="C33"/>
  <c r="C50"/>
  <c r="C17"/>
  <c r="C29"/>
  <c r="C41"/>
  <c r="C48"/>
  <c r="C49"/>
  <c r="C40"/>
  <c r="C11"/>
  <c r="C14"/>
  <c r="C39"/>
  <c r="C22"/>
  <c r="C44"/>
  <c r="C13"/>
  <c r="C34"/>
  <c r="C21"/>
  <c r="C23"/>
  <c r="C27"/>
  <c r="C12"/>
  <c r="C35"/>
  <c r="C19"/>
  <c r="C51"/>
  <c r="C28"/>
  <c r="C52"/>
  <c r="C42"/>
  <c r="C53"/>
  <c r="C45"/>
  <c r="H77" i="40"/>
  <c r="U63" i="33"/>
  <c r="U68" s="1"/>
  <c r="U77" s="1"/>
  <c r="U81" s="1"/>
  <c r="M41" i="31"/>
  <c r="N52" i="379"/>
  <c r="K22" i="182"/>
  <c r="M52" i="231"/>
  <c r="I17" i="34"/>
  <c r="H44" i="371"/>
  <c r="N44" s="1"/>
  <c r="K44" i="31"/>
  <c r="K52"/>
  <c r="K41"/>
  <c r="J52" i="379"/>
  <c r="H55" i="36"/>
  <c r="H61"/>
  <c r="N61" s="1"/>
  <c r="M20"/>
  <c r="M27" s="1"/>
  <c r="O12" i="28"/>
  <c r="O15"/>
  <c r="M53" i="30"/>
  <c r="H52" i="379"/>
  <c r="H52" i="371"/>
  <c r="C35" i="31"/>
  <c r="N15" i="44"/>
  <c r="N23" s="1"/>
  <c r="N56" s="1"/>
  <c r="N21" i="36"/>
  <c r="N41" i="231"/>
  <c r="N52" s="1"/>
  <c r="D25" i="34"/>
  <c r="D30" s="1"/>
  <c r="O45" i="30"/>
  <c r="H52" i="231"/>
  <c r="N52" i="299"/>
  <c r="H44"/>
  <c r="N44" s="1"/>
  <c r="M44" i="231"/>
  <c r="N44" s="1"/>
  <c r="G77" i="40"/>
  <c r="O73" i="140" s="1"/>
  <c r="N22" i="52"/>
  <c r="D52" i="31"/>
  <c r="D44"/>
  <c r="C13" i="34"/>
  <c r="H44" i="31"/>
  <c r="H52" i="252"/>
  <c r="K53" i="30"/>
  <c r="K45"/>
  <c r="K21" i="33"/>
  <c r="M76" i="40"/>
  <c r="N35" i="371"/>
  <c r="N52" s="1"/>
  <c r="K59" i="182"/>
  <c r="E37" i="40" l="1"/>
  <c r="E43"/>
  <c r="J37"/>
  <c r="J43"/>
  <c r="D37"/>
  <c r="I37"/>
  <c r="I43"/>
  <c r="G37"/>
  <c r="G43"/>
  <c r="H17" i="234"/>
  <c r="H19"/>
  <c r="H18"/>
  <c r="H15"/>
  <c r="K37" i="40"/>
  <c r="K43"/>
  <c r="C43"/>
  <c r="C37"/>
  <c r="F37"/>
  <c r="F43"/>
  <c r="L37"/>
  <c r="L43"/>
  <c r="N56"/>
  <c r="N62"/>
  <c r="H14" i="234"/>
  <c r="H11"/>
  <c r="H16"/>
  <c r="G36" i="36"/>
  <c r="G50" s="1"/>
  <c r="G41" i="40"/>
  <c r="G35"/>
  <c r="L101" i="51"/>
  <c r="M29" i="52"/>
  <c r="M38" s="1"/>
  <c r="M42" s="1"/>
  <c r="M74" i="40"/>
  <c r="L35"/>
  <c r="L41"/>
  <c r="M29" i="51"/>
  <c r="M38" s="1"/>
  <c r="M42" s="1"/>
  <c r="M35" i="40" s="1"/>
  <c r="L106" i="51"/>
  <c r="B28" i="102"/>
  <c r="B37" s="1"/>
  <c r="B41" s="1"/>
  <c r="B72" i="98"/>
  <c r="E41" i="40"/>
  <c r="E35"/>
  <c r="D41"/>
  <c r="D35"/>
  <c r="N67" i="28"/>
  <c r="K19" i="234"/>
  <c r="C35" i="40"/>
  <c r="C41"/>
  <c r="B74" i="28"/>
  <c r="D36" i="324"/>
  <c r="N69" i="28"/>
  <c r="N60" i="40"/>
  <c r="B35"/>
  <c r="B41"/>
  <c r="K37" i="132"/>
  <c r="L41"/>
  <c r="M37"/>
  <c r="H24" i="52"/>
  <c r="H82" i="40" s="1"/>
  <c r="D23" i="33"/>
  <c r="N27" i="86"/>
  <c r="D81" i="114"/>
  <c r="C77"/>
  <c r="K37" i="78"/>
  <c r="J41"/>
  <c r="K41" s="1"/>
  <c r="N37"/>
  <c r="M28"/>
  <c r="N61" i="80"/>
  <c r="N60" i="128"/>
  <c r="N26"/>
  <c r="H37" i="96"/>
  <c r="N60" i="92"/>
  <c r="N60" i="134"/>
  <c r="N60" i="98"/>
  <c r="N58"/>
  <c r="N59" i="80"/>
  <c r="N27" i="140"/>
  <c r="N61"/>
  <c r="N59"/>
  <c r="N77" i="144"/>
  <c r="H28" i="114"/>
  <c r="H37" s="1"/>
  <c r="H41" s="1"/>
  <c r="M96" i="51"/>
  <c r="N60" i="110"/>
  <c r="N81" i="90"/>
  <c r="K18" i="234"/>
  <c r="N27" i="74"/>
  <c r="N81" i="78"/>
  <c r="K78" i="28"/>
  <c r="J74" i="40"/>
  <c r="J96" i="51"/>
  <c r="F37" i="138"/>
  <c r="F37" i="114"/>
  <c r="F37" i="102"/>
  <c r="J27" i="92"/>
  <c r="E18" i="29"/>
  <c r="B17"/>
  <c r="F41" i="90"/>
  <c r="H78" i="28"/>
  <c r="H48" i="40"/>
  <c r="H24" i="51"/>
  <c r="H80" i="40" s="1"/>
  <c r="H94" i="51"/>
  <c r="N62" i="36"/>
  <c r="N58" i="92"/>
  <c r="N58" i="86"/>
  <c r="K15" i="234"/>
  <c r="B30" i="145"/>
  <c r="B39" s="1"/>
  <c r="C39" s="1"/>
  <c r="C25"/>
  <c r="C11" i="343"/>
  <c r="G23" i="34"/>
  <c r="C15" i="324"/>
  <c r="E15" s="1"/>
  <c r="F29" i="51"/>
  <c r="F38" s="1"/>
  <c r="F42" s="1"/>
  <c r="J77" i="132"/>
  <c r="F28" i="144"/>
  <c r="J77"/>
  <c r="J77" i="33"/>
  <c r="J81" i="138"/>
  <c r="J77" i="96"/>
  <c r="J77" i="84"/>
  <c r="J81" i="78"/>
  <c r="E34" i="29"/>
  <c r="C31" i="234"/>
  <c r="C33"/>
  <c r="C29"/>
  <c r="C30"/>
  <c r="C32"/>
  <c r="C34"/>
  <c r="C36"/>
  <c r="C35"/>
  <c r="C33" i="182"/>
  <c r="C36"/>
  <c r="C30"/>
  <c r="C32"/>
  <c r="C34"/>
  <c r="C31"/>
  <c r="C37"/>
  <c r="C35"/>
  <c r="F96" i="51"/>
  <c r="K19" i="29"/>
  <c r="G12" i="234"/>
  <c r="H12" s="1"/>
  <c r="F74" i="40"/>
  <c r="H18" i="29" s="1"/>
  <c r="D36" i="36"/>
  <c r="D50" s="1"/>
  <c r="H49"/>
  <c r="G61" i="324"/>
  <c r="M61" s="1"/>
  <c r="G43" i="79"/>
  <c r="K23" i="112"/>
  <c r="F36" i="36"/>
  <c r="F50" s="1"/>
  <c r="F81" i="132"/>
  <c r="N58" i="128"/>
  <c r="B44" i="29"/>
  <c r="E45"/>
  <c r="B34"/>
  <c r="F77" i="102"/>
  <c r="D37" i="84"/>
  <c r="F77" i="144"/>
  <c r="D37"/>
  <c r="N53" i="405"/>
  <c r="D28" i="138"/>
  <c r="E75" i="134"/>
  <c r="F81" i="138"/>
  <c r="N58" i="110"/>
  <c r="D28" i="114"/>
  <c r="L36" i="36"/>
  <c r="M36" s="1"/>
  <c r="F81" i="96"/>
  <c r="D41" i="90"/>
  <c r="E37" i="29"/>
  <c r="B35"/>
  <c r="F27" i="74"/>
  <c r="M52" i="43"/>
  <c r="M53" s="1"/>
  <c r="N94" i="51"/>
  <c r="N48" i="40"/>
  <c r="N24" i="51"/>
  <c r="N80" i="40" s="1"/>
  <c r="G13" i="343"/>
  <c r="G58" i="36"/>
  <c r="G72" s="1"/>
  <c r="K11" i="234"/>
  <c r="N58" i="134"/>
  <c r="B28" i="138"/>
  <c r="B37" s="1"/>
  <c r="B41" s="1"/>
  <c r="T106" i="51" s="1"/>
  <c r="B72" i="134"/>
  <c r="E10" i="324"/>
  <c r="O41" i="31"/>
  <c r="F10" i="324"/>
  <c r="N31" i="40"/>
  <c r="N64" i="51"/>
  <c r="N66" s="1"/>
  <c r="N49" i="36"/>
  <c r="C30" i="145"/>
  <c r="H81" i="144"/>
  <c r="K23"/>
  <c r="L28"/>
  <c r="M28" s="1"/>
  <c r="N37"/>
  <c r="O28"/>
  <c r="P81"/>
  <c r="T77"/>
  <c r="S68"/>
  <c r="I30" i="145"/>
  <c r="J39"/>
  <c r="K30"/>
  <c r="K39"/>
  <c r="C68" i="138"/>
  <c r="D77"/>
  <c r="K41"/>
  <c r="M41"/>
  <c r="H81"/>
  <c r="L77"/>
  <c r="I75" i="40"/>
  <c r="I71" i="51"/>
  <c r="I80" s="1"/>
  <c r="I84" s="1"/>
  <c r="I43" i="36" s="1"/>
  <c r="J43" s="1"/>
  <c r="J39"/>
  <c r="I46"/>
  <c r="J46" s="1"/>
  <c r="J75" i="40"/>
  <c r="J71" i="51"/>
  <c r="J80" s="1"/>
  <c r="J84" s="1"/>
  <c r="O23" i="138"/>
  <c r="P28"/>
  <c r="C36" i="343"/>
  <c r="D36" s="1"/>
  <c r="D30" i="139"/>
  <c r="C25"/>
  <c r="S77" i="138"/>
  <c r="T81"/>
  <c r="K43" i="139"/>
  <c r="N81" i="132"/>
  <c r="S63"/>
  <c r="S68"/>
  <c r="R77"/>
  <c r="F26" i="128"/>
  <c r="B41" i="132"/>
  <c r="T103" i="51" s="1"/>
  <c r="B77" i="132"/>
  <c r="C68"/>
  <c r="H77"/>
  <c r="L77"/>
  <c r="P41"/>
  <c r="O41" s="1"/>
  <c r="O37"/>
  <c r="K57" i="324"/>
  <c r="N57"/>
  <c r="F77" i="114"/>
  <c r="R77"/>
  <c r="S68"/>
  <c r="C17" i="343"/>
  <c r="B30" i="115"/>
  <c r="C25"/>
  <c r="L28" i="114"/>
  <c r="K23"/>
  <c r="M28"/>
  <c r="N37"/>
  <c r="O37" s="1"/>
  <c r="L71" i="51"/>
  <c r="L80" s="1"/>
  <c r="L84" s="1"/>
  <c r="L43" i="36" s="1"/>
  <c r="L75" i="40"/>
  <c r="P81" i="114"/>
  <c r="P41"/>
  <c r="F30" i="115"/>
  <c r="G25"/>
  <c r="T27" i="110"/>
  <c r="Q23" i="112"/>
  <c r="B77" i="102"/>
  <c r="C68"/>
  <c r="B40" i="103"/>
  <c r="C31"/>
  <c r="K37" i="102"/>
  <c r="L41"/>
  <c r="K41" s="1"/>
  <c r="M37"/>
  <c r="N41"/>
  <c r="M41" s="1"/>
  <c r="L77"/>
  <c r="M40" i="36"/>
  <c r="K47"/>
  <c r="K71" i="51"/>
  <c r="K80" s="1"/>
  <c r="K84" s="1"/>
  <c r="K43" i="36" s="1"/>
  <c r="K50" s="1"/>
  <c r="K75" i="40"/>
  <c r="P28" i="102"/>
  <c r="O23"/>
  <c r="P77"/>
  <c r="M49" i="40"/>
  <c r="M49" i="384"/>
  <c r="M66" i="51"/>
  <c r="F31" i="103"/>
  <c r="G26"/>
  <c r="F27" i="98"/>
  <c r="C58" i="234"/>
  <c r="I44" i="103"/>
  <c r="K40"/>
  <c r="L44"/>
  <c r="K44" s="1"/>
  <c r="R77" i="96"/>
  <c r="S68"/>
  <c r="D77"/>
  <c r="C68"/>
  <c r="L27" i="92"/>
  <c r="P41" i="96"/>
  <c r="O41" s="1"/>
  <c r="O37"/>
  <c r="P77"/>
  <c r="F30" i="97"/>
  <c r="G25"/>
  <c r="T27" i="92"/>
  <c r="H65" i="36"/>
  <c r="N65" s="1"/>
  <c r="D41" i="96"/>
  <c r="I30" i="97"/>
  <c r="J39"/>
  <c r="K30"/>
  <c r="D77" i="90"/>
  <c r="C68"/>
  <c r="N77" i="40"/>
  <c r="O74" i="28" s="1"/>
  <c r="K37" i="90"/>
  <c r="L41"/>
  <c r="K41" s="1"/>
  <c r="H81"/>
  <c r="L77"/>
  <c r="M23"/>
  <c r="N28"/>
  <c r="O28" s="1"/>
  <c r="P37"/>
  <c r="T77"/>
  <c r="S68"/>
  <c r="I38" i="91"/>
  <c r="J42"/>
  <c r="I42" s="1"/>
  <c r="D35" i="32"/>
  <c r="E35" s="1"/>
  <c r="N21" i="40"/>
  <c r="N26"/>
  <c r="D41" i="84"/>
  <c r="F41"/>
  <c r="H37"/>
  <c r="D81"/>
  <c r="C77"/>
  <c r="K28"/>
  <c r="L37"/>
  <c r="M28"/>
  <c r="N37"/>
  <c r="L81"/>
  <c r="C71" i="51"/>
  <c r="C80" s="1"/>
  <c r="C84" s="1"/>
  <c r="C43" i="36" s="1"/>
  <c r="H43" s="1"/>
  <c r="C75" i="40"/>
  <c r="F30" i="85"/>
  <c r="G25"/>
  <c r="N49" i="40"/>
  <c r="N49" i="384"/>
  <c r="C46" i="36"/>
  <c r="H39"/>
  <c r="N39" s="1"/>
  <c r="P28" i="84"/>
  <c r="O23"/>
  <c r="H49" i="384"/>
  <c r="H66" i="51"/>
  <c r="H49" i="40"/>
  <c r="T27" i="80"/>
  <c r="S27" s="1"/>
  <c r="S81" i="84"/>
  <c r="D41" i="32"/>
  <c r="E41" s="1"/>
  <c r="C42"/>
  <c r="C45" s="1"/>
  <c r="I39" i="79"/>
  <c r="J43"/>
  <c r="I43" s="1"/>
  <c r="K30"/>
  <c r="L39"/>
  <c r="F37" i="78"/>
  <c r="B41"/>
  <c r="T102" i="51" s="1"/>
  <c r="P41" i="78"/>
  <c r="O37"/>
  <c r="P77"/>
  <c r="L27" i="74"/>
  <c r="H77" i="78"/>
  <c r="C77"/>
  <c r="D81"/>
  <c r="S77"/>
  <c r="T81"/>
  <c r="C7" i="324"/>
  <c r="F7" s="1"/>
  <c r="M44" i="31"/>
  <c r="O29"/>
  <c r="O44"/>
  <c r="N55" i="36"/>
  <c r="N69" s="1"/>
  <c r="H69"/>
  <c r="K12" i="234"/>
  <c r="B36" i="36"/>
  <c r="Q10" i="31"/>
  <c r="Q9"/>
  <c r="Q20"/>
  <c r="Q11"/>
  <c r="Q18"/>
  <c r="Q12"/>
  <c r="Q35"/>
  <c r="Q41"/>
  <c r="Q28"/>
  <c r="Q26"/>
  <c r="Q43"/>
  <c r="Q22"/>
  <c r="Q40"/>
  <c r="Q32"/>
  <c r="Q33"/>
  <c r="Q19"/>
  <c r="Q21"/>
  <c r="Q16"/>
  <c r="Q39"/>
  <c r="Q38"/>
  <c r="Q34"/>
  <c r="Q27"/>
  <c r="Q50"/>
  <c r="Q13"/>
  <c r="Q47"/>
  <c r="Q48"/>
  <c r="G29" i="91"/>
  <c r="F38"/>
  <c r="H68" i="33"/>
  <c r="H86"/>
  <c r="C15" i="34"/>
  <c r="B17"/>
  <c r="R84" i="33"/>
  <c r="S55"/>
  <c r="R24" i="28"/>
  <c r="S24" s="1"/>
  <c r="R63" i="33"/>
  <c r="D17" i="324"/>
  <c r="F17" s="1"/>
  <c r="C37" i="34"/>
  <c r="D15" i="324"/>
  <c r="F15" s="1"/>
  <c r="C23" i="34"/>
  <c r="E11" i="324"/>
  <c r="H28" i="33"/>
  <c r="N53" i="44"/>
  <c r="N57"/>
  <c r="N45"/>
  <c r="L23" i="33"/>
  <c r="M15"/>
  <c r="K15"/>
  <c r="M10" i="31"/>
  <c r="M28"/>
  <c r="M21"/>
  <c r="M16"/>
  <c r="M50"/>
  <c r="M40"/>
  <c r="M22"/>
  <c r="M32"/>
  <c r="M12"/>
  <c r="M11"/>
  <c r="M33"/>
  <c r="M19"/>
  <c r="M26"/>
  <c r="M48"/>
  <c r="M39"/>
  <c r="M34"/>
  <c r="M9"/>
  <c r="M38"/>
  <c r="M47"/>
  <c r="M18"/>
  <c r="M35"/>
  <c r="M13"/>
  <c r="M43"/>
  <c r="M20"/>
  <c r="M27"/>
  <c r="B68" i="33"/>
  <c r="C63"/>
  <c r="B86"/>
  <c r="C58" i="36"/>
  <c r="C72" s="1"/>
  <c r="F58"/>
  <c r="F72" s="1"/>
  <c r="D58"/>
  <c r="D72" s="1"/>
  <c r="C39" i="79"/>
  <c r="B43"/>
  <c r="N68" i="33"/>
  <c r="N86"/>
  <c r="T68"/>
  <c r="T77" s="1"/>
  <c r="T81" s="1"/>
  <c r="D29" i="343"/>
  <c r="D35"/>
  <c r="D31"/>
  <c r="D37"/>
  <c r="D32"/>
  <c r="D34"/>
  <c r="B43" i="145"/>
  <c r="B52" i="32"/>
  <c r="D48"/>
  <c r="E48" s="1"/>
  <c r="D15"/>
  <c r="E15" s="1"/>
  <c r="B23"/>
  <c r="D33"/>
  <c r="B36"/>
  <c r="J30" i="34"/>
  <c r="I30" s="1"/>
  <c r="K25"/>
  <c r="D37" i="324"/>
  <c r="N71" i="28"/>
  <c r="N64" i="36"/>
  <c r="H71"/>
  <c r="D39" i="32"/>
  <c r="B42"/>
  <c r="E58" i="36"/>
  <c r="E72" s="1"/>
  <c r="F39" i="139"/>
  <c r="G30"/>
  <c r="G30" i="133"/>
  <c r="F39"/>
  <c r="F43" i="145"/>
  <c r="G39"/>
  <c r="B30" i="97"/>
  <c r="C14" i="343"/>
  <c r="C25" i="97"/>
  <c r="N32" i="36"/>
  <c r="H68"/>
  <c r="N54"/>
  <c r="N68" s="1"/>
  <c r="J38" i="51"/>
  <c r="I42"/>
  <c r="D30" i="133"/>
  <c r="C30" i="343"/>
  <c r="C25" i="133"/>
  <c r="M71" i="36"/>
  <c r="N57"/>
  <c r="N45" i="43"/>
  <c r="C25" i="85"/>
  <c r="B30"/>
  <c r="C19" i="343"/>
  <c r="B42" i="91"/>
  <c r="C38"/>
  <c r="F81" i="33"/>
  <c r="B28"/>
  <c r="B37" s="1"/>
  <c r="B41" s="1"/>
  <c r="B7" i="324"/>
  <c r="K12" i="28"/>
  <c r="N50" i="40"/>
  <c r="N24" i="52"/>
  <c r="N82" i="40" s="1"/>
  <c r="N78" i="28" s="1"/>
  <c r="K58" i="36"/>
  <c r="D27" i="32"/>
  <c r="E27" s="1"/>
  <c r="B30"/>
  <c r="N59" i="74"/>
  <c r="B58" i="36"/>
  <c r="K13" i="31"/>
  <c r="K11"/>
  <c r="K39"/>
  <c r="K48"/>
  <c r="K50"/>
  <c r="K40"/>
  <c r="K22"/>
  <c r="K26"/>
  <c r="K28"/>
  <c r="K32"/>
  <c r="K33"/>
  <c r="K47"/>
  <c r="K34"/>
  <c r="K12"/>
  <c r="K20"/>
  <c r="K35"/>
  <c r="K38"/>
  <c r="K29"/>
  <c r="K9"/>
  <c r="K43"/>
  <c r="K16"/>
  <c r="K19"/>
  <c r="K18"/>
  <c r="K27"/>
  <c r="K10"/>
  <c r="K21"/>
  <c r="K51"/>
  <c r="O22"/>
  <c r="O13"/>
  <c r="O28"/>
  <c r="O47"/>
  <c r="O11"/>
  <c r="O39"/>
  <c r="O50"/>
  <c r="O26"/>
  <c r="O40"/>
  <c r="O9"/>
  <c r="O34"/>
  <c r="O12"/>
  <c r="O32"/>
  <c r="O33"/>
  <c r="O18"/>
  <c r="O48"/>
  <c r="O35"/>
  <c r="O51"/>
  <c r="O38"/>
  <c r="O10"/>
  <c r="O27"/>
  <c r="O16"/>
  <c r="O20"/>
  <c r="O21"/>
  <c r="O43"/>
  <c r="O19"/>
  <c r="H39" i="34"/>
  <c r="J37" i="33"/>
  <c r="G25" i="34"/>
  <c r="F30"/>
  <c r="N23" i="33"/>
  <c r="O15"/>
  <c r="I58" i="36"/>
  <c r="F28" i="33"/>
  <c r="L58" i="36"/>
  <c r="L72" s="1"/>
  <c r="K14" i="234"/>
  <c r="E36" i="36"/>
  <c r="E50" s="1"/>
  <c r="S27" i="28"/>
  <c r="Q44" i="31"/>
  <c r="Q52"/>
  <c r="D39" i="34"/>
  <c r="D43" s="1"/>
  <c r="M51" i="31"/>
  <c r="Q14"/>
  <c r="M29"/>
  <c r="M52"/>
  <c r="D11" i="32"/>
  <c r="E11" s="1"/>
  <c r="M14" i="31"/>
  <c r="C21" i="234"/>
  <c r="N20" i="36"/>
  <c r="N27" s="1"/>
  <c r="T86" i="33"/>
  <c r="G21" i="234"/>
  <c r="O52" i="31"/>
  <c r="Q29"/>
  <c r="M37" i="40" l="1"/>
  <c r="M43"/>
  <c r="I41"/>
  <c r="I35"/>
  <c r="K13" i="234"/>
  <c r="F41" i="40"/>
  <c r="F35"/>
  <c r="M41"/>
  <c r="T107" i="51"/>
  <c r="B27" i="98"/>
  <c r="C27" s="1"/>
  <c r="B60"/>
  <c r="B58"/>
  <c r="H76" i="40"/>
  <c r="H29" i="52"/>
  <c r="H38" s="1"/>
  <c r="H42" s="1"/>
  <c r="M41" i="132"/>
  <c r="K41"/>
  <c r="D28" i="33"/>
  <c r="E78" i="28"/>
  <c r="J81" i="33"/>
  <c r="C50" i="36"/>
  <c r="D27" i="110"/>
  <c r="C27" s="1"/>
  <c r="C81" i="114"/>
  <c r="N41" i="78"/>
  <c r="M41" s="1"/>
  <c r="M37"/>
  <c r="O41"/>
  <c r="K42" i="91"/>
  <c r="H41" i="96"/>
  <c r="N81" i="144"/>
  <c r="N27" i="110"/>
  <c r="F37" i="144"/>
  <c r="F41" i="138"/>
  <c r="F41" i="114"/>
  <c r="F41" i="102"/>
  <c r="J27" i="86"/>
  <c r="B18" i="29"/>
  <c r="E16"/>
  <c r="E12"/>
  <c r="B12"/>
  <c r="H29" i="51"/>
  <c r="H38" s="1"/>
  <c r="H42" s="1"/>
  <c r="H74" i="40"/>
  <c r="H96" i="51"/>
  <c r="I68" i="30"/>
  <c r="J81" i="132"/>
  <c r="J81" i="144"/>
  <c r="J81" i="96"/>
  <c r="J81" i="84"/>
  <c r="C41" i="182"/>
  <c r="C40" i="234"/>
  <c r="H46" i="36"/>
  <c r="L50"/>
  <c r="F81" i="102"/>
  <c r="E35" i="29"/>
  <c r="B36"/>
  <c r="D41" i="144"/>
  <c r="F81"/>
  <c r="D37" i="138"/>
  <c r="D37" i="114"/>
  <c r="E43" i="29"/>
  <c r="B43"/>
  <c r="N96" i="51"/>
  <c r="F27" i="86"/>
  <c r="E41" i="29"/>
  <c r="B42"/>
  <c r="N29" i="51"/>
  <c r="N38" s="1"/>
  <c r="N42" s="1"/>
  <c r="N74" i="40"/>
  <c r="B27" i="134"/>
  <c r="B60"/>
  <c r="B58"/>
  <c r="E7" i="324"/>
  <c r="M43" i="36"/>
  <c r="N43" s="1"/>
  <c r="H27" i="140"/>
  <c r="K28" i="144"/>
  <c r="L37"/>
  <c r="M37" s="1"/>
  <c r="N41"/>
  <c r="O37"/>
  <c r="P27" i="140"/>
  <c r="T81" i="144"/>
  <c r="S77"/>
  <c r="I39" i="145"/>
  <c r="J43"/>
  <c r="D81" i="138"/>
  <c r="C77"/>
  <c r="H27" i="134"/>
  <c r="L81" i="138"/>
  <c r="N46" i="36"/>
  <c r="D39" i="139"/>
  <c r="C30"/>
  <c r="P37" i="138"/>
  <c r="O28"/>
  <c r="T27" i="134"/>
  <c r="S27" s="1"/>
  <c r="S81" i="138"/>
  <c r="S77" i="132"/>
  <c r="R81"/>
  <c r="B60" i="128"/>
  <c r="B26"/>
  <c r="C26" s="1"/>
  <c r="B58"/>
  <c r="B81" i="132"/>
  <c r="C81" s="1"/>
  <c r="C77"/>
  <c r="H81"/>
  <c r="L81"/>
  <c r="R81" i="114"/>
  <c r="S77"/>
  <c r="F81"/>
  <c r="C30" i="115"/>
  <c r="B39"/>
  <c r="L37" i="114"/>
  <c r="M37" s="1"/>
  <c r="K28"/>
  <c r="N41"/>
  <c r="P27" i="110"/>
  <c r="F39" i="115"/>
  <c r="G30"/>
  <c r="C77" i="102"/>
  <c r="B81"/>
  <c r="C81" s="1"/>
  <c r="B44" i="103"/>
  <c r="C40"/>
  <c r="L81" i="102"/>
  <c r="M47" i="36"/>
  <c r="N40"/>
  <c r="N47" s="1"/>
  <c r="M71" i="51"/>
  <c r="M80" s="1"/>
  <c r="M84" s="1"/>
  <c r="M75" i="40"/>
  <c r="P37" i="102"/>
  <c r="O28"/>
  <c r="F40" i="103"/>
  <c r="G31"/>
  <c r="P81" i="102"/>
  <c r="R81" i="96"/>
  <c r="S77"/>
  <c r="D81"/>
  <c r="C77"/>
  <c r="G30" i="97"/>
  <c r="F39"/>
  <c r="P81" i="96"/>
  <c r="F27" i="92"/>
  <c r="J43" i="97"/>
  <c r="I39"/>
  <c r="K39"/>
  <c r="C77" i="90"/>
  <c r="D81"/>
  <c r="H27" i="86"/>
  <c r="M28" i="90"/>
  <c r="N37"/>
  <c r="O37" s="1"/>
  <c r="L81"/>
  <c r="P41"/>
  <c r="N71" i="36"/>
  <c r="S77" i="90"/>
  <c r="T81"/>
  <c r="F27" i="80"/>
  <c r="J27"/>
  <c r="H41" i="84"/>
  <c r="C81"/>
  <c r="D27" i="80"/>
  <c r="C27" s="1"/>
  <c r="L41" i="84"/>
  <c r="K41" s="1"/>
  <c r="K37"/>
  <c r="M37"/>
  <c r="N41"/>
  <c r="L27" i="80"/>
  <c r="H71" i="51"/>
  <c r="H80" s="1"/>
  <c r="H84" s="1"/>
  <c r="H75" i="40"/>
  <c r="N71" i="51"/>
  <c r="N80" s="1"/>
  <c r="N84" s="1"/>
  <c r="N75" i="40"/>
  <c r="G30" i="85"/>
  <c r="F39"/>
  <c r="O28" i="84"/>
  <c r="P37"/>
  <c r="K39" i="79"/>
  <c r="L43"/>
  <c r="K43" s="1"/>
  <c r="D19" i="343"/>
  <c r="F41" i="78"/>
  <c r="B27" i="74"/>
  <c r="B61"/>
  <c r="B59"/>
  <c r="P81" i="78"/>
  <c r="H81"/>
  <c r="D27" i="74"/>
  <c r="C81" i="78"/>
  <c r="S81"/>
  <c r="T27" i="74"/>
  <c r="S27" s="1"/>
  <c r="F37" i="33"/>
  <c r="N28"/>
  <c r="O23"/>
  <c r="H58" i="36"/>
  <c r="B72"/>
  <c r="K72"/>
  <c r="M58"/>
  <c r="M72" s="1"/>
  <c r="N65" i="28"/>
  <c r="D35" i="324"/>
  <c r="B62" i="28"/>
  <c r="B60"/>
  <c r="F28"/>
  <c r="G18" i="343"/>
  <c r="C42" i="91"/>
  <c r="B39" i="85"/>
  <c r="C30"/>
  <c r="D39" i="133"/>
  <c r="C30"/>
  <c r="D14" i="343"/>
  <c r="C21"/>
  <c r="F43" i="133"/>
  <c r="G39"/>
  <c r="D42" i="32"/>
  <c r="E42" s="1"/>
  <c r="D36"/>
  <c r="E36" s="1"/>
  <c r="G11" i="343"/>
  <c r="I61" i="324"/>
  <c r="C43" i="145"/>
  <c r="T28" i="28"/>
  <c r="H29" i="343"/>
  <c r="H30"/>
  <c r="H36"/>
  <c r="H32"/>
  <c r="H37"/>
  <c r="H33"/>
  <c r="H35"/>
  <c r="G12"/>
  <c r="J61" i="324"/>
  <c r="P61" s="1"/>
  <c r="C43" i="79"/>
  <c r="H37" i="33"/>
  <c r="J28" i="28"/>
  <c r="F42" i="91"/>
  <c r="G42" s="1"/>
  <c r="G38"/>
  <c r="D37" i="33"/>
  <c r="H36" i="36"/>
  <c r="B50"/>
  <c r="J58"/>
  <c r="J72" s="1"/>
  <c r="I72"/>
  <c r="F39" i="34"/>
  <c r="G30"/>
  <c r="J41" i="33"/>
  <c r="H43" i="34"/>
  <c r="O14" i="182"/>
  <c r="O13"/>
  <c r="O19"/>
  <c r="O18"/>
  <c r="O17"/>
  <c r="O16"/>
  <c r="O15"/>
  <c r="D30" i="32"/>
  <c r="O11" i="182"/>
  <c r="O12"/>
  <c r="B45" i="32"/>
  <c r="B54"/>
  <c r="N29" i="52"/>
  <c r="N38" s="1"/>
  <c r="N42" s="1"/>
  <c r="N76" i="40"/>
  <c r="D30" i="343"/>
  <c r="D40" s="1"/>
  <c r="C40"/>
  <c r="J42" i="51"/>
  <c r="I36" i="36"/>
  <c r="K16" i="234"/>
  <c r="B39" i="97"/>
  <c r="C30"/>
  <c r="F61" i="324"/>
  <c r="L61" s="1"/>
  <c r="G43" i="145"/>
  <c r="G39" i="139"/>
  <c r="F43"/>
  <c r="G43" s="1"/>
  <c r="K30" i="34"/>
  <c r="J39"/>
  <c r="D23" i="32"/>
  <c r="E23" s="1"/>
  <c r="N77" i="33"/>
  <c r="C68"/>
  <c r="B77"/>
  <c r="L28"/>
  <c r="M23"/>
  <c r="K23"/>
  <c r="S63"/>
  <c r="R68"/>
  <c r="D12" i="343"/>
  <c r="D18"/>
  <c r="D16"/>
  <c r="D13"/>
  <c r="R86" i="33"/>
  <c r="D11" i="343"/>
  <c r="D15"/>
  <c r="D17"/>
  <c r="B25" i="34"/>
  <c r="D14" i="324"/>
  <c r="F14" s="1"/>
  <c r="C17" i="34"/>
  <c r="H77" i="33"/>
  <c r="K21" i="234"/>
  <c r="L12" s="1"/>
  <c r="H21"/>
  <c r="N37" i="40" l="1"/>
  <c r="H37"/>
  <c r="J35"/>
  <c r="J41"/>
  <c r="H35"/>
  <c r="N35"/>
  <c r="M41" i="84"/>
  <c r="N27" i="92"/>
  <c r="F41" i="144"/>
  <c r="J27" i="134"/>
  <c r="E14" i="29"/>
  <c r="B14"/>
  <c r="J27" i="110"/>
  <c r="E13" i="29"/>
  <c r="B15"/>
  <c r="J27" i="98"/>
  <c r="F27" i="140"/>
  <c r="E42" i="29"/>
  <c r="B41"/>
  <c r="D41" i="138"/>
  <c r="D41" i="114"/>
  <c r="C27" i="74"/>
  <c r="M50" i="36"/>
  <c r="L41" i="144"/>
  <c r="K41" s="1"/>
  <c r="K37"/>
  <c r="M41"/>
  <c r="O41"/>
  <c r="T27" i="140"/>
  <c r="S27" s="1"/>
  <c r="S81" i="144"/>
  <c r="I43" i="145"/>
  <c r="K43"/>
  <c r="C81" i="138"/>
  <c r="D27" i="134"/>
  <c r="C27" s="1"/>
  <c r="L27"/>
  <c r="P41" i="138"/>
  <c r="O41" s="1"/>
  <c r="O37"/>
  <c r="D43" i="139"/>
  <c r="C39"/>
  <c r="S81" i="132"/>
  <c r="R26" i="128"/>
  <c r="S26" s="1"/>
  <c r="H26"/>
  <c r="L26"/>
  <c r="R27" i="110"/>
  <c r="S27" s="1"/>
  <c r="S81" i="114"/>
  <c r="C39" i="115"/>
  <c r="B43"/>
  <c r="L41" i="114"/>
  <c r="K41" s="1"/>
  <c r="K37"/>
  <c r="M41"/>
  <c r="O41"/>
  <c r="F43" i="115"/>
  <c r="G43" s="1"/>
  <c r="G39"/>
  <c r="G17" i="343"/>
  <c r="C44" i="103"/>
  <c r="L27" i="98"/>
  <c r="P27"/>
  <c r="F44" i="103"/>
  <c r="G44" s="1"/>
  <c r="G40"/>
  <c r="P41" i="102"/>
  <c r="O41" s="1"/>
  <c r="O37"/>
  <c r="D45" i="32"/>
  <c r="E45" s="1"/>
  <c r="R27" i="92"/>
  <c r="S27" s="1"/>
  <c r="S81" i="96"/>
  <c r="C81"/>
  <c r="D27" i="92"/>
  <c r="C27" s="1"/>
  <c r="P27"/>
  <c r="F43" i="97"/>
  <c r="G43" s="1"/>
  <c r="G39"/>
  <c r="I43"/>
  <c r="K43"/>
  <c r="D27" i="86"/>
  <c r="C27" s="1"/>
  <c r="C81" i="90"/>
  <c r="L27" i="86"/>
  <c r="M37" i="90"/>
  <c r="N41"/>
  <c r="M41" s="1"/>
  <c r="T27" i="86"/>
  <c r="S27" s="1"/>
  <c r="S81" i="90"/>
  <c r="N27" i="80"/>
  <c r="P41" i="84"/>
  <c r="O41" s="1"/>
  <c r="O37"/>
  <c r="G39" i="85"/>
  <c r="F43"/>
  <c r="G43" s="1"/>
  <c r="B13" i="29"/>
  <c r="J27" i="74"/>
  <c r="P27"/>
  <c r="H27"/>
  <c r="L15" i="234"/>
  <c r="L11"/>
  <c r="L18"/>
  <c r="L13"/>
  <c r="L19"/>
  <c r="L17"/>
  <c r="C25" i="34"/>
  <c r="B30"/>
  <c r="C77" i="33"/>
  <c r="B81"/>
  <c r="N81"/>
  <c r="J43" i="34"/>
  <c r="K43" s="1"/>
  <c r="K39"/>
  <c r="D40" i="324"/>
  <c r="N77" i="28"/>
  <c r="D41" i="33"/>
  <c r="H41"/>
  <c r="E61" i="324"/>
  <c r="G43" i="133"/>
  <c r="D43"/>
  <c r="C39"/>
  <c r="C39" i="85"/>
  <c r="B43"/>
  <c r="H72" i="36"/>
  <c r="N58"/>
  <c r="N72" s="1"/>
  <c r="O28" i="33"/>
  <c r="N37"/>
  <c r="F41"/>
  <c r="H81"/>
  <c r="R77"/>
  <c r="S68"/>
  <c r="L37"/>
  <c r="M28"/>
  <c r="K28"/>
  <c r="B43" i="97"/>
  <c r="C39"/>
  <c r="I50" i="36"/>
  <c r="J50" s="1"/>
  <c r="J36"/>
  <c r="N36" s="1"/>
  <c r="N50" s="1"/>
  <c r="N74" i="28"/>
  <c r="D38" i="324"/>
  <c r="B18"/>
  <c r="G39" i="34"/>
  <c r="F43"/>
  <c r="H50" i="36"/>
  <c r="L16" i="234"/>
  <c r="I39" i="34"/>
  <c r="L14" i="234"/>
  <c r="D21" i="343"/>
  <c r="O22" i="182"/>
  <c r="E30" i="32"/>
  <c r="O61" i="324"/>
  <c r="E21" i="29" l="1"/>
  <c r="B21"/>
  <c r="J27" i="140"/>
  <c r="F27" i="134"/>
  <c r="E38" i="29"/>
  <c r="B38"/>
  <c r="B37"/>
  <c r="E36"/>
  <c r="F27" i="110"/>
  <c r="G34" i="343"/>
  <c r="H34" s="1"/>
  <c r="C43" i="139"/>
  <c r="I43" i="34"/>
  <c r="C43" i="115"/>
  <c r="G15" i="343"/>
  <c r="O41" i="90"/>
  <c r="N60" i="28"/>
  <c r="D33" i="324"/>
  <c r="C43" i="97"/>
  <c r="G14" i="343"/>
  <c r="N41" i="33"/>
  <c r="O41" s="1"/>
  <c r="O37"/>
  <c r="G19" i="343"/>
  <c r="C43" i="85"/>
  <c r="N28" i="28"/>
  <c r="G43" i="34"/>
  <c r="C18" i="324"/>
  <c r="E18" s="1"/>
  <c r="L41" i="33"/>
  <c r="M37"/>
  <c r="K37"/>
  <c r="S77"/>
  <c r="R81"/>
  <c r="H28" i="28"/>
  <c r="G31" i="343"/>
  <c r="C43" i="133"/>
  <c r="K61" i="324"/>
  <c r="N61"/>
  <c r="B28" i="28"/>
  <c r="C28" s="1"/>
  <c r="C81" i="33"/>
  <c r="C30" i="34"/>
  <c r="B39"/>
  <c r="L21" i="234"/>
  <c r="H19" i="343" l="1"/>
  <c r="B43" i="34"/>
  <c r="C39"/>
  <c r="H31" i="343"/>
  <c r="H40" s="1"/>
  <c r="G40"/>
  <c r="R28" i="28"/>
  <c r="S28" s="1"/>
  <c r="S81" i="33"/>
  <c r="H17" i="343"/>
  <c r="H16"/>
  <c r="H13"/>
  <c r="H15"/>
  <c r="H11"/>
  <c r="H12"/>
  <c r="H18"/>
  <c r="M41" i="33"/>
  <c r="K41"/>
  <c r="H14" i="343"/>
  <c r="G21"/>
  <c r="D18" i="324" l="1"/>
  <c r="F18" s="1"/>
  <c r="C43" i="34"/>
  <c r="H21" i="343"/>
  <c r="H58" i="234"/>
  <c r="C52" i="77" l="1"/>
  <c r="D49"/>
  <c r="B49" i="43"/>
  <c r="H49" i="41"/>
  <c r="N49" s="1"/>
  <c r="B52"/>
  <c r="B43" i="40" s="1"/>
  <c r="N61" i="74" l="1"/>
  <c r="B14" i="36"/>
  <c r="B30" i="40"/>
  <c r="B53" i="41"/>
  <c r="B10" i="40"/>
  <c r="H49" i="43"/>
  <c r="B52"/>
  <c r="B53" s="1"/>
  <c r="C54" i="77"/>
  <c r="D54" s="1"/>
  <c r="E54" s="1"/>
  <c r="D52"/>
  <c r="N49" i="43" l="1"/>
  <c r="B28" i="36"/>
  <c r="C49" i="32" l="1"/>
  <c r="D49" l="1"/>
  <c r="E49" s="1"/>
  <c r="B52" i="423" l="1"/>
  <c r="H49"/>
  <c r="N49" s="1"/>
  <c r="N52" s="1"/>
  <c r="N53" s="1"/>
  <c r="E17" i="29"/>
  <c r="B53" i="423" l="1"/>
  <c r="H52"/>
  <c r="H53" s="1"/>
  <c r="H62" i="30" l="1"/>
  <c r="M62" i="41" l="1"/>
  <c r="L25" i="40"/>
  <c r="L30"/>
  <c r="N62" i="41" l="1"/>
  <c r="M25" i="40"/>
  <c r="M30"/>
  <c r="N25" l="1"/>
  <c r="D29" i="324" s="1"/>
  <c r="F52" i="75" l="1"/>
  <c r="F49" i="76"/>
  <c r="F49" i="30"/>
  <c r="F48" i="31" l="1"/>
  <c r="F52" i="30"/>
  <c r="F53" i="75"/>
  <c r="M78" i="423"/>
  <c r="F15" i="74"/>
  <c r="F52" i="76"/>
  <c r="F53" l="1"/>
  <c r="F51" i="31"/>
  <c r="F53" i="30"/>
  <c r="F16" i="28"/>
  <c r="F52" i="31" l="1"/>
  <c r="H51" i="30" l="1"/>
  <c r="H51" i="88"/>
  <c r="H52" i="87"/>
  <c r="M82" i="432" s="1"/>
  <c r="H53" i="87" l="1"/>
  <c r="H15" i="86"/>
  <c r="H52" i="88"/>
  <c r="H52" i="30"/>
  <c r="H50" i="31"/>
  <c r="D51" i="43"/>
  <c r="C52" i="89"/>
  <c r="C54" s="1"/>
  <c r="D54" s="1"/>
  <c r="E54" s="1"/>
  <c r="D51"/>
  <c r="D52" i="41"/>
  <c r="D43" i="40" s="1"/>
  <c r="H51" i="41"/>
  <c r="N51" s="1"/>
  <c r="N52" s="1"/>
  <c r="N41" i="40" l="1"/>
  <c r="N43"/>
  <c r="N10"/>
  <c r="D23" i="324" s="1"/>
  <c r="N53" i="41"/>
  <c r="N30" i="40"/>
  <c r="D30" i="324" s="1"/>
  <c r="D52" i="89"/>
  <c r="E51"/>
  <c r="D52" i="43"/>
  <c r="D53" s="1"/>
  <c r="H51"/>
  <c r="H51" i="31"/>
  <c r="H53" i="88"/>
  <c r="D14" i="36"/>
  <c r="H52" i="41"/>
  <c r="D30" i="40"/>
  <c r="D10"/>
  <c r="D53" i="41"/>
  <c r="N60" i="86"/>
  <c r="H53" i="30"/>
  <c r="H16" i="28"/>
  <c r="H41" i="40" l="1"/>
  <c r="H43"/>
  <c r="D28" i="36"/>
  <c r="H14"/>
  <c r="D11" i="324"/>
  <c r="F11" s="1"/>
  <c r="H10" i="40"/>
  <c r="H30"/>
  <c r="H53" i="41"/>
  <c r="H52" i="31"/>
  <c r="N51" i="43"/>
  <c r="H52"/>
  <c r="H53" s="1"/>
  <c r="N62" i="28"/>
  <c r="D34" i="324"/>
  <c r="N14" i="36" l="1"/>
  <c r="N28" s="1"/>
  <c r="H28"/>
  <c r="N52" i="43"/>
  <c r="N53" s="1"/>
  <c r="C51" i="32"/>
  <c r="D51" l="1"/>
  <c r="C52"/>
  <c r="C54" l="1"/>
  <c r="D54" s="1"/>
  <c r="E54" s="1"/>
  <c r="D52"/>
</calcChain>
</file>

<file path=xl/sharedStrings.xml><?xml version="1.0" encoding="utf-8"?>
<sst xmlns="http://schemas.openxmlformats.org/spreadsheetml/2006/main" count="20350" uniqueCount="1011">
  <si>
    <t xml:space="preserve"> </t>
  </si>
  <si>
    <t>Banque de la République d’Haïti</t>
  </si>
  <si>
    <t>DONNÉES FINANCIÈRES TRIMESTRIELLES</t>
  </si>
  <si>
    <t>DES ÉTABLISSEMENTS BANCAIRES</t>
  </si>
  <si>
    <t>TABLE DES MATIÈRES</t>
  </si>
  <si>
    <t>NOTE AUX UTILISATEURS</t>
  </si>
  <si>
    <t xml:space="preserve">i </t>
  </si>
  <si>
    <t xml:space="preserve">SECTION 1 </t>
  </si>
  <si>
    <t>GRAPHES ET TABLEAUX</t>
  </si>
  <si>
    <t>Évolution du bilan</t>
  </si>
  <si>
    <t>Évolution des résultats</t>
  </si>
  <si>
    <t>Évolution du nombre d'employés</t>
  </si>
  <si>
    <t>Évolution du nombre de prêts</t>
  </si>
  <si>
    <t>Évolution du nombre de dépôts</t>
  </si>
  <si>
    <t>SECTION 2</t>
  </si>
  <si>
    <t>SOMMAIRE FINANCIER - SYSTÈME BANCAIRE</t>
  </si>
  <si>
    <t>Indicateurs financiers</t>
  </si>
  <si>
    <t>Parts de marché</t>
  </si>
  <si>
    <t>Bilan</t>
  </si>
  <si>
    <t xml:space="preserve">      Analyse des variations</t>
  </si>
  <si>
    <t xml:space="preserve">      Analyse de la composition</t>
  </si>
  <si>
    <t xml:space="preserve">      Devises et Gourdes</t>
  </si>
  <si>
    <t>Résultats</t>
  </si>
  <si>
    <t xml:space="preserve">      Analyse des variations trimestrielles</t>
  </si>
  <si>
    <t xml:space="preserve">      Analyse des variations annuelles</t>
  </si>
  <si>
    <t>SECTION 3</t>
  </si>
  <si>
    <t>SOMMAIRE FINANCIER DÉTAILLÉ - SYSTÈME BANCAIRE</t>
  </si>
  <si>
    <t>Faits saillants financiers</t>
  </si>
  <si>
    <t xml:space="preserve">      Gourdes et devises</t>
  </si>
  <si>
    <t xml:space="preserve">      Gourdes seulement</t>
  </si>
  <si>
    <t xml:space="preserve">      Devises seulement</t>
  </si>
  <si>
    <t xml:space="preserve">SECTION 4 </t>
  </si>
  <si>
    <t>STATISTIQUES PAR BANQUE</t>
  </si>
  <si>
    <t>BNC (Banque Nationale de Crédit)</t>
  </si>
  <si>
    <t>BPH (Banque Populaire Haïtienne)</t>
  </si>
  <si>
    <t>BUH (Banque de l'Union Haïtienne)</t>
  </si>
  <si>
    <t>CAPITALBK (Capital Bank)</t>
  </si>
  <si>
    <t xml:space="preserve">SECTION 5 </t>
  </si>
  <si>
    <t>RESPECT DES NORMES PRUDENTIELLES</t>
  </si>
  <si>
    <t>Limite relative à la position nette de change des banques</t>
  </si>
  <si>
    <t>Limites relatives à la concentration des risques de crédit</t>
  </si>
  <si>
    <t>Suffisance des fonds propres</t>
  </si>
  <si>
    <t>ANNEXE 1</t>
  </si>
  <si>
    <t>Information sur le calcul des ratios financiers clés</t>
  </si>
  <si>
    <t>Ce rapport a été préparé par la Direction de la Supervision de la Banque de la République d'Haïti (BRH) à partir des</t>
  </si>
  <si>
    <t>informations périodiques soumises par les établissements bancaires.</t>
  </si>
  <si>
    <t xml:space="preserve">Ce rapport ne constitue pas une analyse de la performance financière des établissements bancaires effectuée par la BRH. </t>
  </si>
  <si>
    <t>Toute conclusion tirée de ce rapport n'engage que l'utilisateur et ne saurait en aucune manière être attribuée à la BRH.</t>
  </si>
  <si>
    <t>Ce rapport comporte les cinq sections suivantes :</t>
  </si>
  <si>
    <t>Section 1 :  Graphes et tableaux</t>
  </si>
  <si>
    <t>Section 2 :  Sommaire financier (sommaire consolidé de l'ensemble des banques)</t>
  </si>
  <si>
    <t>Section 3 :  Sommaire financier détaillé (sommaire détaillé banque par banque)</t>
  </si>
  <si>
    <t>Section 4 :  Statistiques par banque ( données financières et indicateurs financiers banque par banque)</t>
  </si>
  <si>
    <t>Section 5 :  Respect des normes prudentielles</t>
  </si>
  <si>
    <t xml:space="preserve">  </t>
  </si>
  <si>
    <t>SECTION 1</t>
  </si>
  <si>
    <t>SOMMAIRE FINANCIER EN GRAPHES</t>
  </si>
  <si>
    <t xml:space="preserve">                                                                                                                                              </t>
  </si>
  <si>
    <t>BICH</t>
  </si>
  <si>
    <t>BNC</t>
  </si>
  <si>
    <t>BPH</t>
  </si>
  <si>
    <t>BUH</t>
  </si>
  <si>
    <t>PROMOBK</t>
  </si>
  <si>
    <t>SOCABK</t>
  </si>
  <si>
    <t>SOGEBK</t>
  </si>
  <si>
    <t>UNIBK</t>
  </si>
  <si>
    <t>CAPITALBK</t>
  </si>
  <si>
    <t>SOGEBL</t>
  </si>
  <si>
    <t>CBNA</t>
  </si>
  <si>
    <t>SCOTIA</t>
  </si>
  <si>
    <t>TOTAL</t>
  </si>
  <si>
    <t>N/A</t>
  </si>
  <si>
    <t>*</t>
  </si>
  <si>
    <t>Sept. 1998</t>
  </si>
  <si>
    <t>Sept. 1999</t>
  </si>
  <si>
    <t>Sept. 2000</t>
  </si>
  <si>
    <t>Sept. 2001</t>
  </si>
  <si>
    <t>NOMBRE D'EMPLOYÉS PAR BANQUE</t>
  </si>
  <si>
    <t>BIDC</t>
  </si>
  <si>
    <t>BMH</t>
  </si>
  <si>
    <t>SOCABL</t>
  </si>
  <si>
    <t>BHD</t>
  </si>
  <si>
    <t>Déc. 1998</t>
  </si>
  <si>
    <t>163</t>
  </si>
  <si>
    <t>Mars 1999</t>
  </si>
  <si>
    <t>161</t>
  </si>
  <si>
    <t>Juin 1999</t>
  </si>
  <si>
    <t>376</t>
  </si>
  <si>
    <t>160</t>
  </si>
  <si>
    <t>383</t>
  </si>
  <si>
    <t>164</t>
  </si>
  <si>
    <t>Déc. 1999</t>
  </si>
  <si>
    <t>385</t>
  </si>
  <si>
    <t>Mars 2000</t>
  </si>
  <si>
    <t>389</t>
  </si>
  <si>
    <t>Juin 2000</t>
  </si>
  <si>
    <t>377</t>
  </si>
  <si>
    <t>165</t>
  </si>
  <si>
    <t>310</t>
  </si>
  <si>
    <t>168</t>
  </si>
  <si>
    <t>Déc. 2000</t>
  </si>
  <si>
    <t>11</t>
  </si>
  <si>
    <t>306</t>
  </si>
  <si>
    <t>174</t>
  </si>
  <si>
    <t>236</t>
  </si>
  <si>
    <t>30</t>
  </si>
  <si>
    <t>90</t>
  </si>
  <si>
    <t>Mars 2001</t>
  </si>
  <si>
    <t>281</t>
  </si>
  <si>
    <t>181</t>
  </si>
  <si>
    <t>262</t>
  </si>
  <si>
    <t>29</t>
  </si>
  <si>
    <t>Juin 2001</t>
  </si>
  <si>
    <t>182</t>
  </si>
  <si>
    <t>33</t>
  </si>
  <si>
    <t>186</t>
  </si>
  <si>
    <t>28</t>
  </si>
  <si>
    <t>Déc. 2001</t>
  </si>
  <si>
    <t>195</t>
  </si>
  <si>
    <t>31</t>
  </si>
  <si>
    <t>Mars 2002</t>
  </si>
  <si>
    <t>88</t>
  </si>
  <si>
    <t>Juin 2002</t>
  </si>
  <si>
    <t>** Banque dessaisie le 25 février 2002</t>
  </si>
  <si>
    <t>EVOLUTION DU NOMBRE DE PRÊTS PAR BANQUE</t>
  </si>
  <si>
    <t xml:space="preserve">BNC </t>
  </si>
  <si>
    <t xml:space="preserve">BUH </t>
  </si>
  <si>
    <t>**</t>
  </si>
  <si>
    <t xml:space="preserve">   N/A : données non disponibles</t>
  </si>
  <si>
    <t>Mars98</t>
  </si>
  <si>
    <t>Juin 98</t>
  </si>
  <si>
    <t>NOMBRE DE COMPTES DE DÉPÔTS PAR BANQUE</t>
  </si>
  <si>
    <t>(En unités)</t>
  </si>
  <si>
    <t xml:space="preserve">CAPITALBK </t>
  </si>
  <si>
    <t>À vue</t>
  </si>
  <si>
    <t>Épargne</t>
  </si>
  <si>
    <t>À Terme</t>
  </si>
  <si>
    <t>RÉPARTITION DES DÉPÔTS DANS LA REGION METROPOLITAINE</t>
  </si>
  <si>
    <t>En Milliers de Gourdes</t>
  </si>
  <si>
    <t>À terme</t>
  </si>
  <si>
    <t>RÉPARTITION DES DÉPÔTS DANS LES VILLES DE PROVINCE</t>
  </si>
  <si>
    <t>UNIBANK</t>
  </si>
  <si>
    <t>* Banque dessaisie le 25 février 2002</t>
  </si>
  <si>
    <t>Siège Social</t>
  </si>
  <si>
    <t>Place Geffrard</t>
  </si>
  <si>
    <t>Rue Pavée II</t>
  </si>
  <si>
    <t>Delmas</t>
  </si>
  <si>
    <t>Pétion-Ville</t>
  </si>
  <si>
    <t>Lalue</t>
  </si>
  <si>
    <t>Laboule</t>
  </si>
  <si>
    <t>Aéroport</t>
  </si>
  <si>
    <t>Carrefour</t>
  </si>
  <si>
    <t>Diquini</t>
  </si>
  <si>
    <t>Rue du Quai</t>
  </si>
  <si>
    <t>Carrefour-Feuilles</t>
  </si>
  <si>
    <t>Parc Industriel</t>
  </si>
  <si>
    <t>Varreux</t>
  </si>
  <si>
    <t>Bel-Air</t>
  </si>
  <si>
    <t>Canapé-Vert</t>
  </si>
  <si>
    <t>Rue Capois</t>
  </si>
  <si>
    <t>Damien</t>
  </si>
  <si>
    <t>Frères</t>
  </si>
  <si>
    <t>Portail Léogane</t>
  </si>
  <si>
    <t>Croix des Bossales</t>
  </si>
  <si>
    <t>Monseigneur Guilloux</t>
  </si>
  <si>
    <t>Martissant</t>
  </si>
  <si>
    <t>Nazon</t>
  </si>
  <si>
    <t>Croix des Bouquets</t>
  </si>
  <si>
    <t>Lathan</t>
  </si>
  <si>
    <t>Turgeau</t>
  </si>
  <si>
    <t>Rue des Fronts Forts</t>
  </si>
  <si>
    <t>Autres succursales non précisées</t>
  </si>
  <si>
    <t>VILLES DE PROVINCES</t>
  </si>
  <si>
    <t>Aquin</t>
  </si>
  <si>
    <t>Jacmel</t>
  </si>
  <si>
    <t>Hinche</t>
  </si>
  <si>
    <t>Cayes</t>
  </si>
  <si>
    <t>Cabaret</t>
  </si>
  <si>
    <t>Fort-Liberté</t>
  </si>
  <si>
    <t>Gonaïves</t>
  </si>
  <si>
    <t>Port-de-Paix</t>
  </si>
  <si>
    <t>Petit-Goave</t>
  </si>
  <si>
    <t>Miragoane</t>
  </si>
  <si>
    <t>Jérémie</t>
  </si>
  <si>
    <t>Léogane</t>
  </si>
  <si>
    <t>Limbé</t>
  </si>
  <si>
    <t>Vertières</t>
  </si>
  <si>
    <t>L'Estère</t>
  </si>
  <si>
    <t>St-Marc</t>
  </si>
  <si>
    <t>RÉPARTITION GÉOGRAPHIQUE DES COMPTES DE DÉPÔTS D'ÉPARGNE PAR BANQUE, PAR SUCCURSALES ET PAR AGENCES</t>
  </si>
  <si>
    <t>Port-au-Prince,ses environs et Provinces</t>
  </si>
  <si>
    <t>RÉPARTITION GÉOGRAPHIQUE DES COMPTES DE DÉPÔTS À TERME PAR BANQUE, PAR SUCCURSALES ET PAR AGENCES</t>
  </si>
  <si>
    <t>SYSTÈME BANCAIRE</t>
  </si>
  <si>
    <t>SOMMAIRE FINANCIER</t>
  </si>
  <si>
    <t>INDICATEURS FINANCIERS</t>
  </si>
  <si>
    <t>SEPTEMBRE</t>
  </si>
  <si>
    <t>Var.</t>
  </si>
  <si>
    <t>FAITS SAILLANTS FINANCIERS</t>
  </si>
  <si>
    <t>(En milliers de gourdes)</t>
  </si>
  <si>
    <t xml:space="preserve">      Actif</t>
  </si>
  <si>
    <t xml:space="preserve">      Bons B.R.H.</t>
  </si>
  <si>
    <t xml:space="preserve">      Prêts</t>
  </si>
  <si>
    <t xml:space="preserve">      Dépôts</t>
  </si>
  <si>
    <t xml:space="preserve">      Avoir des Actionnaires</t>
  </si>
  <si>
    <t>TRIM 1</t>
  </si>
  <si>
    <t>TRIM 2</t>
  </si>
  <si>
    <t>TRIM 3</t>
  </si>
  <si>
    <t>TRIM 4</t>
  </si>
  <si>
    <t>CUMUL</t>
  </si>
  <si>
    <t xml:space="preserve">      Revenus nets d'intérêt</t>
  </si>
  <si>
    <t xml:space="preserve">      Autres revenus</t>
  </si>
  <si>
    <t xml:space="preserve">      Dot. à la provision pr créances dout.</t>
  </si>
  <si>
    <t xml:space="preserve">      Dépenses d'exploitation</t>
  </si>
  <si>
    <t xml:space="preserve">      Bénéfice net</t>
  </si>
  <si>
    <t>ANNÉE</t>
  </si>
  <si>
    <t>RATIOS FINANCIERS CLÉS</t>
  </si>
  <si>
    <t xml:space="preserve">(Données trimestrielles </t>
  </si>
  <si>
    <t xml:space="preserve"> annualisées et cumul)</t>
  </si>
  <si>
    <t>Structure financière</t>
  </si>
  <si>
    <t xml:space="preserve">      Avoir des actionnaires</t>
  </si>
  <si>
    <t xml:space="preserve">      en % de l'actif</t>
  </si>
  <si>
    <t xml:space="preserve">      Dépôts en % de l'actif</t>
  </si>
  <si>
    <t>Qualité de l'actif</t>
  </si>
  <si>
    <t xml:space="preserve">      Prêts improductifs bruts</t>
  </si>
  <si>
    <t xml:space="preserve">      en % des prêts bruts</t>
  </si>
  <si>
    <t xml:space="preserve">      Provisions pour créances douteuses</t>
  </si>
  <si>
    <t xml:space="preserve">      en % des prêts improductifs bruts</t>
  </si>
  <si>
    <t xml:space="preserve">      Prêts improductifs nets</t>
  </si>
  <si>
    <t xml:space="preserve">      en % de l'avoir des actionnaires</t>
  </si>
  <si>
    <t>Rentabilité</t>
  </si>
  <si>
    <t xml:space="preserve">      ROA (rendement de l'actif)</t>
  </si>
  <si>
    <r>
      <t xml:space="preserve">      ROE ( </t>
    </r>
    <r>
      <rPr>
        <sz val="12"/>
        <rFont val="CG Times"/>
        <family val="1"/>
      </rPr>
      <t>rendement avoir des action.</t>
    </r>
    <r>
      <rPr>
        <sz val="9"/>
        <rFont val="CG Times"/>
        <family val="1"/>
      </rPr>
      <t>)</t>
    </r>
  </si>
  <si>
    <t xml:space="preserve">      Revenus nets d'intérêts</t>
  </si>
  <si>
    <t xml:space="preserve">      en % des revenus d'intérêt</t>
  </si>
  <si>
    <t xml:space="preserve">      Rendement moyen des prêts</t>
  </si>
  <si>
    <t xml:space="preserve">      Rémunération moyenne des dépôts</t>
  </si>
  <si>
    <t xml:space="preserve">      en % du produit net bancaire</t>
  </si>
  <si>
    <t xml:space="preserve">      (marge nette d'int.+autres revenus)</t>
  </si>
  <si>
    <t xml:space="preserve">      Productivité par employé ('000 gdes)</t>
  </si>
  <si>
    <t xml:space="preserve">          Nombre de succursales autorisées</t>
  </si>
  <si>
    <t>115</t>
  </si>
  <si>
    <t>A partir du Trim 2 1998, les prêts improductifs désignent les prêts dont le principal ou les intérêts sont dus et impayés depuis 90 jours ou plus. Avant cette date, ce rapport considérait les prêts échus depuis plus de 15 jours.</t>
  </si>
  <si>
    <t>PARTS DE MARCHÉ</t>
  </si>
  <si>
    <t>(En milliers de gourdes et en pourcentage)</t>
  </si>
  <si>
    <t>ACTIF</t>
  </si>
  <si>
    <t xml:space="preserve">PRÊTS BRUTS </t>
  </si>
  <si>
    <t>DÉPÔTS TOTAUX</t>
  </si>
  <si>
    <t>DÉPÔTS US</t>
  </si>
  <si>
    <t>Montant</t>
  </si>
  <si>
    <t>%</t>
  </si>
  <si>
    <t>Rang</t>
  </si>
  <si>
    <t>SOCABEL</t>
  </si>
  <si>
    <t>PRÊTS BRUTS</t>
  </si>
  <si>
    <t xml:space="preserve">                                                                                                                                                                                                                                                               </t>
  </si>
  <si>
    <t>BILAN - ANALYSE DES VARIATIONS</t>
  </si>
  <si>
    <t xml:space="preserve">   Disponibilités</t>
  </si>
  <si>
    <t xml:space="preserve">         Encaisse</t>
  </si>
  <si>
    <t xml:space="preserve">         Avoirs à la BRH</t>
  </si>
  <si>
    <t xml:space="preserve">         Avoirs à l'étranger</t>
  </si>
  <si>
    <t xml:space="preserve">         Avoirs dans les banques locales</t>
  </si>
  <si>
    <t xml:space="preserve">         Autres liquidités</t>
  </si>
  <si>
    <t xml:space="preserve">   Bons B.R.H.</t>
  </si>
  <si>
    <t xml:space="preserve">   Autres Placements</t>
  </si>
  <si>
    <t xml:space="preserve">   Portefeuille net</t>
  </si>
  <si>
    <t xml:space="preserve">   Immobilisations</t>
  </si>
  <si>
    <t xml:space="preserve">   Autres actifs</t>
  </si>
  <si>
    <t>PASSIF</t>
  </si>
  <si>
    <t xml:space="preserve">   Dépôts</t>
  </si>
  <si>
    <t xml:space="preserve">       À vue</t>
  </si>
  <si>
    <t xml:space="preserve">       Épargne</t>
  </si>
  <si>
    <t xml:space="preserve">       À terme</t>
  </si>
  <si>
    <t xml:space="preserve">   Obligations à vue</t>
  </si>
  <si>
    <t xml:space="preserve">      Banques locales</t>
  </si>
  <si>
    <t xml:space="preserve">      Banques à l'étranger</t>
  </si>
  <si>
    <t xml:space="preserve">      Autres</t>
  </si>
  <si>
    <t xml:space="preserve">   Obligations à terme</t>
  </si>
  <si>
    <t xml:space="preserve">      Banque à l'étranger</t>
  </si>
  <si>
    <t xml:space="preserve">   Autres passifs</t>
  </si>
  <si>
    <t>AVOIR DES ACTIONNAIRES</t>
  </si>
  <si>
    <t xml:space="preserve">   Capital versé</t>
  </si>
  <si>
    <t xml:space="preserve">   Réserves</t>
  </si>
  <si>
    <t xml:space="preserve">   Surplus d'apport </t>
  </si>
  <si>
    <t xml:space="preserve">   BNR</t>
  </si>
  <si>
    <t>Hors-bilan</t>
  </si>
  <si>
    <t xml:space="preserve">      Effets à l'encaissement</t>
  </si>
  <si>
    <t xml:space="preserve">      Crédit documentaire</t>
  </si>
  <si>
    <t xml:space="preserve">      Portefeuille brut</t>
  </si>
  <si>
    <t xml:space="preserve">      Portefeuille de crédit improductif</t>
  </si>
  <si>
    <t>BILAN - ANALYSE DE LA COMPOSITION</t>
  </si>
  <si>
    <t>Comp.</t>
  </si>
  <si>
    <t xml:space="preserve">   Surplus d'apport</t>
  </si>
  <si>
    <t>BILAN</t>
  </si>
  <si>
    <t>DEVISES ET GOURDES</t>
  </si>
  <si>
    <r>
      <t>Devises converties</t>
    </r>
    <r>
      <rPr>
        <b/>
        <vertAlign val="superscript"/>
        <sz val="8"/>
        <rFont val="CG Times"/>
        <family val="1"/>
      </rPr>
      <t xml:space="preserve"> *</t>
    </r>
  </si>
  <si>
    <t>Gourdes</t>
  </si>
  <si>
    <t>Total</t>
  </si>
  <si>
    <t>% devises/total</t>
  </si>
  <si>
    <t>Devises converties *</t>
  </si>
  <si>
    <r>
      <t xml:space="preserve">   Portefeuille net </t>
    </r>
    <r>
      <rPr>
        <sz val="10"/>
        <rFont val="CG Times"/>
        <family val="1"/>
      </rPr>
      <t xml:space="preserve"> </t>
    </r>
  </si>
  <si>
    <t>RÉSULTATS - ANALYSE DES VARIATIONS TRIMESTRIELLES</t>
  </si>
  <si>
    <t>REVENUS NETS D'INTÉRÊT</t>
  </si>
  <si>
    <t xml:space="preserve">      Revenus d'intérêt</t>
  </si>
  <si>
    <t xml:space="preserve">            Prêts</t>
  </si>
  <si>
    <t xml:space="preserve">            Intérêts sur Bons B.R.H.  </t>
  </si>
  <si>
    <t xml:space="preserve">            Autres </t>
  </si>
  <si>
    <t xml:space="preserve">      Dépenses d'intérêt</t>
  </si>
  <si>
    <t>AUTRES REVENUS</t>
  </si>
  <si>
    <t xml:space="preserve">      Commissions</t>
  </si>
  <si>
    <t xml:space="preserve">      Gains sur change</t>
  </si>
  <si>
    <t>PRODUIT NET BANCAIRE</t>
  </si>
  <si>
    <t>Dotation à la provision pour créances douteuses</t>
  </si>
  <si>
    <t>BÉNÉFICE AVANT DÉPENSES D'EXPLOITATION</t>
  </si>
  <si>
    <t>ET IMPÔTS SUR LE REVENU</t>
  </si>
  <si>
    <t>DÉPENSES D'EXPLOITATION</t>
  </si>
  <si>
    <t xml:space="preserve">      Salaires et avantages sociaux</t>
  </si>
  <si>
    <t xml:space="preserve">      Frais de locaux</t>
  </si>
  <si>
    <t xml:space="preserve">      Amortissement</t>
  </si>
  <si>
    <t xml:space="preserve">      Autres dépenses d'exploitation</t>
  </si>
  <si>
    <t>BÉNÉFICE AVANT IMPÔTS SUR LE REVENU</t>
  </si>
  <si>
    <t>Impôts sur le revenu</t>
  </si>
  <si>
    <t xml:space="preserve">BÉNÉFICE NET </t>
  </si>
  <si>
    <t xml:space="preserve"> TRIM 1</t>
  </si>
  <si>
    <t xml:space="preserve">            Intérêts sur Bons B.R.H.</t>
  </si>
  <si>
    <t xml:space="preserve">   Marge nette en % Revenu d'intérêt</t>
  </si>
  <si>
    <t xml:space="preserve">   Frais d'exploitation en % Produit net bancaire</t>
  </si>
  <si>
    <t>RÉSULTATS - ANALYSE DES VARIATIONS ANNUELLES</t>
  </si>
  <si>
    <t>BÉNÉFICE NET</t>
  </si>
  <si>
    <t>SOMMAIRE FINANCIER DÉTAILLÉ</t>
  </si>
  <si>
    <t>UNIBNK</t>
  </si>
  <si>
    <t>SOUS-TOTAL</t>
  </si>
  <si>
    <t xml:space="preserve">     Bons B.R.H.</t>
  </si>
  <si>
    <t>RÉSULTATS</t>
  </si>
  <si>
    <t xml:space="preserve">      Frais d'exploitation</t>
  </si>
  <si>
    <t xml:space="preserve">      Bénéfice net </t>
  </si>
  <si>
    <t>REVENUS REPORTÉS</t>
  </si>
  <si>
    <t>ACCEPTATIONS EN CIRCULATION</t>
  </si>
  <si>
    <t>CAPITAL</t>
  </si>
  <si>
    <t xml:space="preserve">   Capital autorisé</t>
  </si>
  <si>
    <t xml:space="preserve">   Moins actions non émises</t>
  </si>
  <si>
    <t xml:space="preserve">   Profits non distribués</t>
  </si>
  <si>
    <t xml:space="preserve">   Profits et pertes</t>
  </si>
  <si>
    <t>RESERVES</t>
  </si>
  <si>
    <t xml:space="preserve">   Réserve légale</t>
  </si>
  <si>
    <t xml:space="preserve">   Autres réserves</t>
  </si>
  <si>
    <t>TOTAL DU PASSIF</t>
  </si>
  <si>
    <t>STRUCTURE FINANCIÈRE</t>
  </si>
  <si>
    <t xml:space="preserve">      Avoirs des actionnaires</t>
  </si>
  <si>
    <t xml:space="preserve">    </t>
  </si>
  <si>
    <t>QUALITÉ DE L'ACTIF</t>
  </si>
  <si>
    <t xml:space="preserve">      en  % des prêts bruts</t>
  </si>
  <si>
    <t xml:space="preserve">      Provision pour créances douteuses</t>
  </si>
  <si>
    <t>RENTABILITÉ</t>
  </si>
  <si>
    <t xml:space="preserve">      ROE (rendement de l'avoir des actionn.)</t>
  </si>
  <si>
    <t xml:space="preserve">      (revenus nets d'intérêt + autres revenus)</t>
  </si>
  <si>
    <r>
      <t xml:space="preserve">       </t>
    </r>
    <r>
      <rPr>
        <b/>
        <sz val="10"/>
        <rFont val="CG Times"/>
      </rPr>
      <t>Productivité par employé ('000)</t>
    </r>
  </si>
  <si>
    <t>BILAN PAR BANQUE (DEVISES ET GOURDES)</t>
  </si>
  <si>
    <t xml:space="preserve">BNC  </t>
  </si>
  <si>
    <t xml:space="preserve">   Portefeuille net </t>
  </si>
  <si>
    <t xml:space="preserve">   Effets à l'encaissement</t>
  </si>
  <si>
    <t xml:space="preserve">   Crédit documentaire</t>
  </si>
  <si>
    <t xml:space="preserve">   Autres</t>
  </si>
  <si>
    <t xml:space="preserve">   Portefeuille brut</t>
  </si>
  <si>
    <t xml:space="preserve">   Provisions pour créances douteuses</t>
  </si>
  <si>
    <t xml:space="preserve">   Portefeuille de crédit improductif</t>
  </si>
  <si>
    <t>Dépôts US convertis</t>
  </si>
  <si>
    <t>DISPONIBILITÉS</t>
  </si>
  <si>
    <t>BONS BRH</t>
  </si>
  <si>
    <t xml:space="preserve">BILAN PAR BANQUE (GOURDES EXCLUANT LES DEVISES) </t>
  </si>
  <si>
    <t xml:space="preserve">BILAN PAR BANQUE (DEVISES CONVERTIES) </t>
  </si>
  <si>
    <t>Actif devises en % actif total</t>
  </si>
  <si>
    <t>Dépôts devises en % dépôts totaux</t>
  </si>
  <si>
    <t>RÉSULTATS TRIMESTRIELS PAR BANQUE</t>
  </si>
  <si>
    <t>BÉNÉFICE NET (PERTE NETTE)</t>
  </si>
  <si>
    <t>marge nette en % revenus d'intérêts</t>
  </si>
  <si>
    <t>frais d'exploitation en % produit net bancaire</t>
  </si>
  <si>
    <t>REVENUS D'INTÉR.</t>
  </si>
  <si>
    <t>revnet%revint</t>
  </si>
  <si>
    <t>F.D'EXPL.%PNB</t>
  </si>
  <si>
    <t>frais d'expl.</t>
  </si>
  <si>
    <t>bénef.net</t>
  </si>
  <si>
    <t>RÉSULTATS CUMULATIFS PAR BANQUE</t>
  </si>
  <si>
    <t>SECTION 4</t>
  </si>
  <si>
    <t xml:space="preserve">      Prêts nets</t>
  </si>
  <si>
    <t xml:space="preserve">      Bénéfice (perte) net</t>
  </si>
  <si>
    <t>et cumulatives annualisées)</t>
  </si>
  <si>
    <t xml:space="preserve">      (revenus nets d'int.+autres revenus)</t>
  </si>
  <si>
    <t>ANALYSE DES VARIATIONS</t>
  </si>
  <si>
    <t>ANALYSE DE LA COMPOSITION</t>
  </si>
  <si>
    <t>ANALYSE DES VARIATIONS TRIMESTRIELLES</t>
  </si>
  <si>
    <t>ANALYSE DES VARIATIONS ANNUELLES</t>
  </si>
  <si>
    <r>
      <t xml:space="preserve">      ROE (</t>
    </r>
    <r>
      <rPr>
        <sz val="12"/>
        <rFont val="CG Times"/>
        <family val="1"/>
      </rPr>
      <t>rendement avoir des action.</t>
    </r>
    <r>
      <rPr>
        <sz val="9"/>
        <rFont val="CG Times"/>
        <family val="1"/>
      </rPr>
      <t>)</t>
    </r>
  </si>
  <si>
    <t xml:space="preserve">             Prêts</t>
  </si>
  <si>
    <t xml:space="preserve">             Intérêts sur Bons B.R.H.</t>
  </si>
  <si>
    <t xml:space="preserve">            Intérêts sur bons B.R.H.</t>
  </si>
  <si>
    <t>BANQUE NATIONALE DE CRÉDIT (BNC)</t>
  </si>
  <si>
    <t xml:space="preserve">TRIM 2  </t>
  </si>
  <si>
    <t xml:space="preserve">      Productivité par  employé ('000 gdes)</t>
  </si>
  <si>
    <t>BANQUE NATIONALE DE CRÉDIT  (BNC)</t>
  </si>
  <si>
    <t>BANQUE POPULAIRE HAÏTIENNE (BPH)</t>
  </si>
  <si>
    <t xml:space="preserve">       à vue</t>
  </si>
  <si>
    <t>BANQUE DE L'UNION HAÏTIENNE (BUH)</t>
  </si>
  <si>
    <t xml:space="preserve">    Bons B.R.H.</t>
  </si>
  <si>
    <t>CAPITAL BANK (CAPITALBK)</t>
  </si>
  <si>
    <t>Dotation à la provisions pour créances douteuses</t>
  </si>
  <si>
    <t>CITIBANK N.A. (CBNA)</t>
  </si>
  <si>
    <t xml:space="preserve"> (En milliers de gourdes)</t>
  </si>
  <si>
    <t>SCOTIA BANK (SCOTIA)</t>
  </si>
  <si>
    <t>SOCIÉTÉ GÉNÉRALE HAÏTIENNE DE BANQUE (SOGEBK)</t>
  </si>
  <si>
    <t>SOCIÉTÉ GÉNÉRALE HAÏTIENNE DE BANQUE D'ÉPARGNE ET DE LOGEMENT (SOGEBL)</t>
  </si>
  <si>
    <t xml:space="preserve">Devises converties </t>
  </si>
  <si>
    <t>SOCIÉTÉ GÉNÉRALE HAÏTIENNE DE BANQUE D'ÉPARGNE ET DE LOGEMENT</t>
  </si>
  <si>
    <t>UNIBANK (UNIBK)</t>
  </si>
  <si>
    <t xml:space="preserve">Dotation à la provision pour créances douteuses </t>
  </si>
  <si>
    <t>BÉNÉFICE NET  (PERTE NETTE)</t>
  </si>
  <si>
    <t>INFORMATION SUR LE CALCUL DES RATIOS FINANCIERS CLÉS</t>
  </si>
  <si>
    <t>RATIOS FINANCIERS</t>
  </si>
  <si>
    <t xml:space="preserve">          Avoir des actionnaires</t>
  </si>
  <si>
    <t xml:space="preserve">          en % de l'actif</t>
  </si>
  <si>
    <t xml:space="preserve">          Dépôts en % de l'actif</t>
  </si>
  <si>
    <t xml:space="preserve">          Prêts improductifs bruts</t>
  </si>
  <si>
    <t xml:space="preserve">          en % des prêts bruts</t>
  </si>
  <si>
    <t xml:space="preserve">   </t>
  </si>
  <si>
    <r>
      <t xml:space="preserve">          </t>
    </r>
    <r>
      <rPr>
        <b/>
        <sz val="12"/>
        <rFont val="CG Times"/>
      </rPr>
      <t>Provision pour créances douteuses</t>
    </r>
  </si>
  <si>
    <r>
      <t xml:space="preserve">          </t>
    </r>
    <r>
      <rPr>
        <b/>
        <sz val="12"/>
        <rFont val="CG Times"/>
      </rPr>
      <t>en % des prêts improductifs bruts</t>
    </r>
  </si>
  <si>
    <r>
      <t xml:space="preserve">          </t>
    </r>
    <r>
      <rPr>
        <b/>
        <sz val="12"/>
        <rFont val="CG Times"/>
      </rPr>
      <t>Prêts improductifs nets</t>
    </r>
  </si>
  <si>
    <t xml:space="preserve">          en % de l'avoir des actionnaires</t>
  </si>
  <si>
    <t xml:space="preserve">          ROA (rendement de l'actif)</t>
  </si>
  <si>
    <t xml:space="preserve"> (Actif de la fin de la période +</t>
  </si>
  <si>
    <t xml:space="preserve"> actif total du début de la période)/2</t>
  </si>
  <si>
    <t xml:space="preserve">          ROE ( rendement de l'avoir</t>
  </si>
  <si>
    <r>
      <t xml:space="preserve">            Bénéfice net de la période                   </t>
    </r>
    <r>
      <rPr>
        <sz val="12"/>
        <rFont val="CG Times"/>
      </rPr>
      <t xml:space="preserve">   x 100% </t>
    </r>
    <r>
      <rPr>
        <vertAlign val="superscript"/>
        <sz val="12"/>
        <rFont val="CG Times"/>
        <family val="1"/>
      </rPr>
      <t>2</t>
    </r>
  </si>
  <si>
    <t xml:space="preserve">          des actionnaires)</t>
  </si>
  <si>
    <t>(Avoir des actionnaires de la fin de la période +</t>
  </si>
  <si>
    <t>avoir des actionnaires du début de la période)/2</t>
  </si>
  <si>
    <t>(Revenus d'intérêt totaux de la période -</t>
  </si>
  <si>
    <t xml:space="preserve">          Revenus nets d'intérêt</t>
  </si>
  <si>
    <r>
      <t xml:space="preserve">dépenses d'intérêt totales de la période)       </t>
    </r>
    <r>
      <rPr>
        <sz val="12"/>
        <rFont val="CG Times"/>
      </rPr>
      <t xml:space="preserve">    x 100%</t>
    </r>
  </si>
  <si>
    <t xml:space="preserve">          en % des revenus d'intérêt</t>
  </si>
  <si>
    <t>Revenus d'intérêts totaux de la période</t>
  </si>
  <si>
    <t xml:space="preserve">          Rendement moyen des prêts</t>
  </si>
  <si>
    <r>
      <t xml:space="preserve">Revenus d'intérêt sur les prêts de la période         </t>
    </r>
    <r>
      <rPr>
        <sz val="12"/>
        <rFont val="CG Times"/>
      </rPr>
      <t xml:space="preserve">   x 100% </t>
    </r>
    <r>
      <rPr>
        <vertAlign val="superscript"/>
        <sz val="12"/>
        <rFont val="CG Times"/>
        <family val="1"/>
      </rPr>
      <t>2</t>
    </r>
  </si>
  <si>
    <t xml:space="preserve">((Prêts bruts du début de la période + prêts bruts  </t>
  </si>
  <si>
    <t xml:space="preserve">                  de la fin de la période))/2</t>
  </si>
  <si>
    <t xml:space="preserve">          Rémunération moyenne des dépôts</t>
  </si>
  <si>
    <r>
      <t xml:space="preserve">Dépenses d'intérêts de la période       </t>
    </r>
    <r>
      <rPr>
        <sz val="12"/>
        <rFont val="CG Times"/>
      </rPr>
      <t xml:space="preserve">  x 100% </t>
    </r>
    <r>
      <rPr>
        <vertAlign val="superscript"/>
        <sz val="12"/>
        <rFont val="CG Times"/>
        <family val="1"/>
      </rPr>
      <t>2</t>
    </r>
  </si>
  <si>
    <t>(Dépôts totaux du début de la période +</t>
  </si>
  <si>
    <t>dépôts totaux de la fin de la période)/2</t>
  </si>
  <si>
    <t xml:space="preserve">          Dépenses d'exploitation</t>
  </si>
  <si>
    <t xml:space="preserve">          en % du produit net bancaire</t>
  </si>
  <si>
    <r>
      <t xml:space="preserve">Dépenses d'exploitation de la période    </t>
    </r>
    <r>
      <rPr>
        <sz val="12"/>
        <rFont val="CG Times"/>
      </rPr>
      <t xml:space="preserve">    x 100%</t>
    </r>
  </si>
  <si>
    <t xml:space="preserve">          (revenus nets d'intérêts + autres revenus)</t>
  </si>
  <si>
    <t xml:space="preserve">    Produit net bancaire de la période</t>
  </si>
  <si>
    <t xml:space="preserve">          Rentabilité par employé</t>
  </si>
  <si>
    <r>
      <t xml:space="preserve">   </t>
    </r>
    <r>
      <rPr>
        <u/>
        <sz val="12"/>
        <rFont val="CG Times"/>
        <family val="1"/>
      </rPr>
      <t xml:space="preserve">Produit net bancaire de la période               </t>
    </r>
    <r>
      <rPr>
        <sz val="12"/>
        <rFont val="CG Times"/>
        <family val="1"/>
      </rPr>
      <t xml:space="preserve">   x 100% </t>
    </r>
    <r>
      <rPr>
        <vertAlign val="superscript"/>
        <sz val="12"/>
        <rFont val="CG Times"/>
        <family val="1"/>
      </rPr>
      <t>2</t>
    </r>
  </si>
  <si>
    <t xml:space="preserve">          (Produit net bancaire par employé)</t>
  </si>
  <si>
    <t xml:space="preserve"> (Nombre d'employés du début de la période +</t>
  </si>
  <si>
    <t xml:space="preserve"> nombre d'employés de la fin de la période)/2</t>
  </si>
  <si>
    <r>
      <t xml:space="preserve">           1</t>
    </r>
    <r>
      <rPr>
        <sz val="12"/>
        <rFont val="CG Times"/>
        <family val="1"/>
      </rPr>
      <t xml:space="preserve"> </t>
    </r>
    <r>
      <rPr>
        <sz val="10"/>
        <rFont val="CG Times"/>
        <family val="1"/>
      </rPr>
      <t>Période signifie : trimestre, cumul ou année selon qu'il s'agisse du calcul d'un ratio trimestriel, cumulatif ou annuel.</t>
    </r>
  </si>
  <si>
    <t>Sept. 2002</t>
  </si>
  <si>
    <t>Ouanaminthe</t>
  </si>
  <si>
    <t>Sans Fil</t>
  </si>
  <si>
    <t>170</t>
  </si>
  <si>
    <t>Déc. 2002</t>
  </si>
  <si>
    <t>176</t>
  </si>
  <si>
    <t>Mars 2003</t>
  </si>
  <si>
    <t>172</t>
  </si>
  <si>
    <t>145</t>
  </si>
  <si>
    <t>Juin 2003</t>
  </si>
  <si>
    <t>175</t>
  </si>
  <si>
    <t>Sept. 2003</t>
  </si>
  <si>
    <t>AU 30 SEPTEMBRE 2003</t>
  </si>
  <si>
    <t>R.O.A.</t>
  </si>
  <si>
    <t>R.O.E.</t>
  </si>
  <si>
    <t>COEFICIENT</t>
  </si>
  <si>
    <t>D'EXPLOITATION</t>
  </si>
  <si>
    <t>PNB/EMPLOYÉ</t>
  </si>
  <si>
    <t>ACTIF/EMPLOYÉ</t>
  </si>
  <si>
    <t>Portefeuille Net</t>
  </si>
  <si>
    <t>Dépôts/Nbre d'agences</t>
  </si>
  <si>
    <t>DÉPÔTS/EMPLOYÉS</t>
  </si>
  <si>
    <t>83</t>
  </si>
  <si>
    <t>Champs de Mars</t>
  </si>
  <si>
    <t>Fonds-des-Nègres</t>
  </si>
  <si>
    <t>Mirebalais</t>
  </si>
  <si>
    <t>Déc. 2003</t>
  </si>
  <si>
    <t>Cap Saint-Michel</t>
  </si>
  <si>
    <t>AU 31 MARS 2004</t>
  </si>
  <si>
    <t>Mars 2004</t>
  </si>
  <si>
    <t>198</t>
  </si>
  <si>
    <t>Juin 2004</t>
  </si>
  <si>
    <t>AU 30 JUIN 2004</t>
  </si>
  <si>
    <t>201</t>
  </si>
  <si>
    <t>Rue Charéron</t>
  </si>
  <si>
    <t>Rue Bonne Foi</t>
  </si>
  <si>
    <t>Rue Cameau</t>
  </si>
  <si>
    <t>CLASSEMENT PAR RENTABILITÉ ET PAR PRODUCTIVITÉ</t>
  </si>
  <si>
    <t xml:space="preserve">      Prêts Nets</t>
  </si>
  <si>
    <t>Crédit bruts/Employés</t>
  </si>
  <si>
    <r>
      <t xml:space="preserve">      en % de l'avoir des actionnaires (</t>
    </r>
    <r>
      <rPr>
        <b/>
        <sz val="8"/>
        <rFont val="CG Times"/>
      </rPr>
      <t>tx. d'exposition</t>
    </r>
    <r>
      <rPr>
        <sz val="12"/>
        <rFont val="CG Times"/>
      </rPr>
      <t>)</t>
    </r>
  </si>
  <si>
    <t>Sept. 2004</t>
  </si>
  <si>
    <t>80</t>
  </si>
  <si>
    <t>La Gonave</t>
  </si>
  <si>
    <t xml:space="preserve">       Productivité par Employé ('000 gdes)</t>
  </si>
  <si>
    <t>Déc. 2004</t>
  </si>
  <si>
    <t>84</t>
  </si>
  <si>
    <t>200</t>
  </si>
  <si>
    <t xml:space="preserve">SYSTÈME BANCAIRE </t>
  </si>
  <si>
    <t>Mars 2005</t>
  </si>
  <si>
    <t>Thor</t>
  </si>
  <si>
    <t>SECTION 5</t>
  </si>
  <si>
    <t xml:space="preserve">                                                                      LIMITE RELATIVE À LA POSITION NETTE DE CHANGE DES BANQUES </t>
  </si>
  <si>
    <t xml:space="preserve">                                                                      LIMITES SUR LA CONCENTRATION DES RISQUES DE CRÉDIT</t>
  </si>
  <si>
    <t>Circulaire 81-3 - POSITION NETTE DE CHANGE DES BANQUES</t>
  </si>
  <si>
    <t xml:space="preserve">Nombre de jours de dépassement </t>
  </si>
  <si>
    <r>
      <t>1</t>
    </r>
    <r>
      <rPr>
        <b/>
        <sz val="12"/>
        <rFont val="CG Times"/>
      </rPr>
      <t xml:space="preserve"> Position de chaque banque le dernier jour du mois</t>
    </r>
  </si>
  <si>
    <t>CIRCULAIRE 83-4 - LIMITES RELATIVES À LA CONCENTRATION DES RISQUES DE CRÉDIT</t>
  </si>
  <si>
    <t>RISQUES APPARENTES</t>
  </si>
  <si>
    <t>Limite individuelle</t>
  </si>
  <si>
    <t>Tout établissement bancaire est tenu de respecter en tout temps un rapport maximum de 10% entre l'ensemble des risques de crédit</t>
  </si>
  <si>
    <t>qu'il encourt du fait de ses opérations avec un Risque Apparenté (à l'établissement bancaire) et le montant de ses fonds propres</t>
  </si>
  <si>
    <t>rélgementaires.</t>
  </si>
  <si>
    <t>Limite cumulative</t>
  </si>
  <si>
    <t>Tout établissement bancaire est tenu de respecter en tout temps un rapport maximum de 200% entre le cumul des risques de crédit</t>
  </si>
  <si>
    <t>qu'il encourt du fait de ses opérations avec un Risque Apparenté (à l'établissement bancaire) et le montant de ses fonds propres.</t>
  </si>
  <si>
    <t>LIMITE INDIVIDUELLE EN FONCTION DES FONDS PROPRES RÉGLEMENTAIRES</t>
  </si>
  <si>
    <t xml:space="preserve"> plus de 10%</t>
  </si>
  <si>
    <t>Distribution des risques apparentés</t>
  </si>
  <si>
    <t>Nombre</t>
  </si>
  <si>
    <t>Encours</t>
  </si>
  <si>
    <t>% de l'encours</t>
  </si>
  <si>
    <t>emprunteurs</t>
  </si>
  <si>
    <t>(en gourdes)</t>
  </si>
  <si>
    <t>5% et moins</t>
  </si>
  <si>
    <t>+ de 10%</t>
  </si>
  <si>
    <t>(individu ou groupe)</t>
  </si>
  <si>
    <t>SCOTIABK</t>
  </si>
  <si>
    <t>LIMITE CUMULATIVE EN FONCTION DES FONDS PROPRES RÉGLEMENTAIRES</t>
  </si>
  <si>
    <t>Total Risques</t>
  </si>
  <si>
    <t>Fonds</t>
  </si>
  <si>
    <t>Apparentés</t>
  </si>
  <si>
    <t>Propres</t>
  </si>
  <si>
    <t>(gourdes)</t>
  </si>
  <si>
    <t>(a)</t>
  </si>
  <si>
    <t>(b)</t>
  </si>
  <si>
    <t>(a) / (b)</t>
  </si>
  <si>
    <r>
      <t xml:space="preserve">5% et moins </t>
    </r>
    <r>
      <rPr>
        <b/>
        <sz val="11"/>
        <rFont val="Arial"/>
        <family val="2"/>
      </rPr>
      <t>(des fonds propres)</t>
    </r>
  </si>
  <si>
    <r>
      <t xml:space="preserve"> 5% </t>
    </r>
    <r>
      <rPr>
        <b/>
        <vertAlign val="superscript"/>
        <sz val="16"/>
        <rFont val="Arial"/>
        <family val="2"/>
      </rPr>
      <t>+</t>
    </r>
    <r>
      <rPr>
        <b/>
        <sz val="14"/>
        <rFont val="Arial"/>
        <family val="2"/>
      </rPr>
      <t xml:space="preserve"> et 10%</t>
    </r>
  </si>
  <si>
    <r>
      <t xml:space="preserve">5% </t>
    </r>
    <r>
      <rPr>
        <b/>
        <vertAlign val="superscript"/>
        <sz val="16"/>
        <rFont val="Arial"/>
        <family val="2"/>
      </rPr>
      <t>+</t>
    </r>
    <r>
      <rPr>
        <b/>
        <sz val="10"/>
        <rFont val="Arial"/>
        <family val="2"/>
      </rPr>
      <t xml:space="preserve"> et 10%</t>
    </r>
  </si>
  <si>
    <t>RISQUES NON APPARENTES</t>
  </si>
  <si>
    <t>Limite</t>
  </si>
  <si>
    <t>Tout établissement bancaire est tenu de respecter en tout temps un rapport maximum de 20% entre l'ensemble des risques de crédit</t>
  </si>
  <si>
    <t>qu'il encourt du fait de ses opérations avec un Risque Non Apparenté (à l'établissement bancaire) et le montant de ses fonds propres</t>
  </si>
  <si>
    <t>réglementaires.</t>
  </si>
  <si>
    <t xml:space="preserve"> plus de 20%</t>
  </si>
  <si>
    <t>Distribution des risques non apparentés de 5% et plus</t>
  </si>
  <si>
    <t>5% et 10%</t>
  </si>
  <si>
    <t>+ de 20%</t>
  </si>
  <si>
    <r>
      <t>5% et 10%</t>
    </r>
    <r>
      <rPr>
        <b/>
        <sz val="11"/>
        <rFont val="Arial"/>
        <family val="2"/>
      </rPr>
      <t xml:space="preserve"> (des fonds propres)</t>
    </r>
  </si>
  <si>
    <r>
      <t xml:space="preserve"> 10% </t>
    </r>
    <r>
      <rPr>
        <b/>
        <vertAlign val="superscript"/>
        <sz val="16"/>
        <rFont val="Arial"/>
        <family val="2"/>
      </rPr>
      <t>+</t>
    </r>
    <r>
      <rPr>
        <b/>
        <sz val="14"/>
        <rFont val="Arial"/>
        <family val="2"/>
      </rPr>
      <t xml:space="preserve"> et 20%</t>
    </r>
  </si>
  <si>
    <r>
      <t xml:space="preserve">10% </t>
    </r>
    <r>
      <rPr>
        <b/>
        <sz val="16"/>
        <rFont val="Arial"/>
        <family val="2"/>
      </rPr>
      <t>+</t>
    </r>
    <r>
      <rPr>
        <b/>
        <sz val="11"/>
        <rFont val="Arial"/>
        <family val="2"/>
      </rPr>
      <t xml:space="preserve"> et 20%</t>
    </r>
  </si>
  <si>
    <t>RISQUES PAR SECTEUR D'ACTIVITÉ</t>
  </si>
  <si>
    <t>LIMITE SECTORIELLE EN POURCENTAGE DES RISQUES DE CRÉDIT TOTAUX</t>
  </si>
  <si>
    <t>Code Secteur</t>
  </si>
  <si>
    <t>Secteurs d'activités</t>
  </si>
  <si>
    <t>SOGEBEL</t>
  </si>
  <si>
    <t>Ressources naturelles</t>
  </si>
  <si>
    <t>-</t>
  </si>
  <si>
    <t>Industrie alimentaire</t>
  </si>
  <si>
    <t>Industrie des boissons</t>
  </si>
  <si>
    <t>Industrie du bois</t>
  </si>
  <si>
    <t>Industrie chimique</t>
  </si>
  <si>
    <t>Industrie du textile</t>
  </si>
  <si>
    <t>Industrie pharmacie</t>
  </si>
  <si>
    <t>Imprimerie, édition</t>
  </si>
  <si>
    <t>Sidérurgie, aciérie</t>
  </si>
  <si>
    <t>Industrie de la fabrication</t>
  </si>
  <si>
    <t>Autres industries</t>
  </si>
  <si>
    <t>Production et distribution de l'électricité</t>
  </si>
  <si>
    <t>Production et distribution de gaz</t>
  </si>
  <si>
    <t>Traitement et distribution de l'eau</t>
  </si>
  <si>
    <t>Entrep/ batiment et corps/ métiers corresp.</t>
  </si>
  <si>
    <t xml:space="preserve">Commerce de gros(1) </t>
  </si>
  <si>
    <t xml:space="preserve">Commerce de détail(2) </t>
  </si>
  <si>
    <t>Rest/débits/boissons, casinos/activités/loterie</t>
  </si>
  <si>
    <t>Hotels,motels et pensions</t>
  </si>
  <si>
    <t>Transport</t>
  </si>
  <si>
    <t>Immobilier résidentiel</t>
  </si>
  <si>
    <t>Immobilier commercial</t>
  </si>
  <si>
    <t>Télécommunications</t>
  </si>
  <si>
    <t>Services financiers</t>
  </si>
  <si>
    <t>Services professionnels</t>
  </si>
  <si>
    <t>Services médicaux</t>
  </si>
  <si>
    <t>Services d'agence ou de représentation</t>
  </si>
  <si>
    <t>Services d'enseignement</t>
  </si>
  <si>
    <t>Autres services</t>
  </si>
  <si>
    <t>Crédit à la consommation</t>
  </si>
  <si>
    <t xml:space="preserve">(1) Commerce de gros </t>
  </si>
  <si>
    <t>Import-export</t>
  </si>
  <si>
    <t>Produits pétroliers</t>
  </si>
  <si>
    <t>Produits pharmaceutiques</t>
  </si>
  <si>
    <t>Produits alimentaires</t>
  </si>
  <si>
    <t>Matériaux de construction</t>
  </si>
  <si>
    <t>Appareils électroménagers électron.,équipe.inform.</t>
  </si>
  <si>
    <t>Autres</t>
  </si>
  <si>
    <t>S-Total</t>
  </si>
  <si>
    <t xml:space="preserve">(2) Commerce de détail </t>
  </si>
  <si>
    <t xml:space="preserve">Produits pétroliers </t>
  </si>
  <si>
    <t>Véhicules automobiles</t>
  </si>
  <si>
    <t>Librairie ,papeterie</t>
  </si>
  <si>
    <t xml:space="preserve">Appareils électro- ménagers électroni.équip. inform. </t>
  </si>
  <si>
    <t>CIRCULAIRE 88 - SUFFISANCE DES FONDS PROPRES</t>
  </si>
  <si>
    <t>Actif bilan et hors bilan net des déductions</t>
  </si>
  <si>
    <t>Actif pondéré en fonction des risques</t>
  </si>
  <si>
    <t>Fonds propres réglementaires</t>
  </si>
  <si>
    <t>Ratio fonds propres sur actif  à risques</t>
  </si>
  <si>
    <t>202</t>
  </si>
  <si>
    <t>Juin 2005</t>
  </si>
  <si>
    <t>91</t>
  </si>
  <si>
    <t>97</t>
  </si>
  <si>
    <t>Sept. 2005</t>
  </si>
  <si>
    <t>190</t>
  </si>
  <si>
    <t>SYSTÈME</t>
  </si>
  <si>
    <t>SYTÈME</t>
  </si>
  <si>
    <t>Déc. 2005</t>
  </si>
  <si>
    <t>185</t>
  </si>
  <si>
    <t>180</t>
  </si>
  <si>
    <t>Mars 2006</t>
  </si>
  <si>
    <t>Juin 2006</t>
  </si>
  <si>
    <t>177</t>
  </si>
  <si>
    <t>Sept. 2006</t>
  </si>
  <si>
    <t xml:space="preserve">      Rendement moyen des prêts productifs</t>
  </si>
  <si>
    <t>Déc. 2006</t>
  </si>
  <si>
    <t xml:space="preserve">SOCIÉTÉ GÉNÉRALE HAÏTIENNE DE BANQUE (SOGEBK) </t>
  </si>
  <si>
    <t>Ratio actif / fonds propres</t>
  </si>
  <si>
    <t>REVENUS NETS</t>
  </si>
  <si>
    <t>46</t>
  </si>
  <si>
    <t>58</t>
  </si>
  <si>
    <t>PORTEFEUILLE NET</t>
  </si>
  <si>
    <t>Mars 2007</t>
  </si>
  <si>
    <t>REVENUS BRUTS (P.N.B.)</t>
  </si>
  <si>
    <t>REVENUS NETS (Bénéf.)</t>
  </si>
  <si>
    <t>Juin 2007</t>
  </si>
  <si>
    <t xml:space="preserve">      Dot. à la provision pr créances douteuses</t>
  </si>
  <si>
    <t xml:space="preserve">      Dot. à la prov. pr créances douteuses</t>
  </si>
  <si>
    <t>44</t>
  </si>
  <si>
    <t>60</t>
  </si>
  <si>
    <t>Bourdon</t>
  </si>
  <si>
    <t>Sept. 2007</t>
  </si>
  <si>
    <t>59</t>
  </si>
  <si>
    <t>(En milliers de gourdes )</t>
  </si>
  <si>
    <t>(En milliers de gourdes et en pourcentage )</t>
  </si>
  <si>
    <t>Déc. 2007</t>
  </si>
  <si>
    <t>47</t>
  </si>
  <si>
    <t>Tabarre</t>
  </si>
  <si>
    <t>Mars 2008</t>
  </si>
  <si>
    <t>63</t>
  </si>
  <si>
    <t>Juin 2008</t>
  </si>
  <si>
    <t>Sept. 2008</t>
  </si>
  <si>
    <t>41</t>
  </si>
  <si>
    <t>61</t>
  </si>
  <si>
    <t>62</t>
  </si>
  <si>
    <t>Déc. 2008</t>
  </si>
  <si>
    <t xml:space="preserve">                   Actif total </t>
  </si>
  <si>
    <t xml:space="preserve">                 Actif total </t>
  </si>
  <si>
    <t xml:space="preserve">                Dépôts totaux                  x 100%</t>
  </si>
  <si>
    <r>
      <t xml:space="preserve">              Prêts improductifs            </t>
    </r>
    <r>
      <rPr>
        <sz val="12"/>
        <rFont val="CG Times"/>
      </rPr>
      <t xml:space="preserve"> x 100%</t>
    </r>
  </si>
  <si>
    <t xml:space="preserve">                   Prêts bruts    </t>
  </si>
  <si>
    <t xml:space="preserve">         Provision pour créances douteuses               x 100%</t>
  </si>
  <si>
    <t xml:space="preserve">                 Prêts improductifs bruts  </t>
  </si>
  <si>
    <t xml:space="preserve">         Prêts improductifs nets            x 100%          </t>
  </si>
  <si>
    <t xml:space="preserve">           Avoir des actionnaires </t>
  </si>
  <si>
    <t xml:space="preserve">         Avoir des actionnaires              x 100%</t>
  </si>
  <si>
    <r>
      <t xml:space="preserve">   Bénéfice net de la période </t>
    </r>
    <r>
      <rPr>
        <vertAlign val="superscript"/>
        <sz val="12"/>
        <rFont val="CG Times"/>
        <family val="1"/>
      </rPr>
      <t>1</t>
    </r>
    <r>
      <rPr>
        <u/>
        <sz val="12"/>
        <rFont val="CG Times"/>
        <family val="1"/>
      </rPr>
      <t xml:space="preserve">            </t>
    </r>
    <r>
      <rPr>
        <sz val="12"/>
        <rFont val="CG Times"/>
        <family val="1"/>
      </rPr>
      <t xml:space="preserve">  x 100%  </t>
    </r>
    <r>
      <rPr>
        <vertAlign val="superscript"/>
        <sz val="12"/>
        <rFont val="CG Times"/>
        <family val="1"/>
      </rPr>
      <t xml:space="preserve">2 </t>
    </r>
    <r>
      <rPr>
        <sz val="12"/>
        <rFont val="CG Times"/>
        <family val="1"/>
      </rPr>
      <t xml:space="preserve">      </t>
    </r>
  </si>
  <si>
    <t>Mars 2009</t>
  </si>
  <si>
    <t>38</t>
  </si>
  <si>
    <t>Cap-Haïtien</t>
  </si>
  <si>
    <t>Juin 2009</t>
  </si>
  <si>
    <t>42</t>
  </si>
  <si>
    <t>Sept. 2009</t>
  </si>
  <si>
    <t>Déc. 2009</t>
  </si>
  <si>
    <t>Graphe Bons BRH</t>
  </si>
  <si>
    <t xml:space="preserve"> Graphe Dépots US</t>
  </si>
  <si>
    <t>Mars 2010</t>
  </si>
  <si>
    <t>56</t>
  </si>
  <si>
    <t>36</t>
  </si>
  <si>
    <t xml:space="preserve">                        Circulaire 81-4 - POSITION NETTE DE CHANGE DES BANQUES</t>
  </si>
  <si>
    <t>Juin 2010</t>
  </si>
  <si>
    <t>53</t>
  </si>
  <si>
    <t>RÉPARTITION GÉOGRAPHIQUE DES COMPTES DE DÉPÔTS À VUE PAR BANQUE, PAR SUCCURSALES ET PAR AGENCES</t>
  </si>
  <si>
    <t>Place Geffrard 2</t>
  </si>
  <si>
    <t xml:space="preserve">Rue Pavée </t>
  </si>
  <si>
    <t xml:space="preserve">        Pavée 1</t>
  </si>
  <si>
    <t xml:space="preserve">        Pavée 2</t>
  </si>
  <si>
    <t xml:space="preserve">        Delmas 52</t>
  </si>
  <si>
    <t xml:space="preserve">        Delmas 2</t>
  </si>
  <si>
    <t xml:space="preserve">        Delmas K-Dis</t>
  </si>
  <si>
    <t xml:space="preserve">        Delmas 32</t>
  </si>
  <si>
    <t xml:space="preserve">        Delmas 55</t>
  </si>
  <si>
    <t xml:space="preserve">        Delmas 48</t>
  </si>
  <si>
    <t xml:space="preserve">        Delmas-Aéroport</t>
  </si>
  <si>
    <t xml:space="preserve">        Delmas 16</t>
  </si>
  <si>
    <t xml:space="preserve">        Delmas 71</t>
  </si>
  <si>
    <t xml:space="preserve">        Kiosque Mégamart</t>
  </si>
  <si>
    <t xml:space="preserve">        P-V 1</t>
  </si>
  <si>
    <t xml:space="preserve">        Place Boyer</t>
  </si>
  <si>
    <t xml:space="preserve">        Choucoune Plaza</t>
  </si>
  <si>
    <t xml:space="preserve">        P-V 2</t>
  </si>
  <si>
    <t xml:space="preserve">        P-V 3</t>
  </si>
  <si>
    <t xml:space="preserve">        P-V 4</t>
  </si>
  <si>
    <t>Aéroport 2</t>
  </si>
  <si>
    <t xml:space="preserve">         Arcachon</t>
  </si>
  <si>
    <t xml:space="preserve">         Carrefour</t>
  </si>
  <si>
    <t xml:space="preserve">         Truitiers</t>
  </si>
  <si>
    <t>Clercine</t>
  </si>
  <si>
    <t>Turgeau 2</t>
  </si>
  <si>
    <t xml:space="preserve">         Cap-Haïtien 1</t>
  </si>
  <si>
    <t xml:space="preserve">         Cap-Haïtien 2</t>
  </si>
  <si>
    <t xml:space="preserve">         Cayes 1</t>
  </si>
  <si>
    <t xml:space="preserve">         Cayes 2</t>
  </si>
  <si>
    <t>RAPPORT  "STATISTIQUES"  ET INDICATEURS FINANCIERS</t>
  </si>
  <si>
    <t>Bilan au 30 septembre 2010</t>
  </si>
  <si>
    <t>AU 30 SEPTEMBRE 2010</t>
  </si>
  <si>
    <t>Sept. 2010</t>
  </si>
  <si>
    <t>51</t>
  </si>
  <si>
    <t>(au 30 septembre ou pour l’exercice terminé le 30 septembre)</t>
  </si>
  <si>
    <t>QUALITÉ DE L’ACTIF</t>
  </si>
  <si>
    <t xml:space="preserve">  Provisions pour créances douteuses en  % des </t>
  </si>
  <si>
    <t xml:space="preserve">          </t>
  </si>
  <si>
    <t>Indicateurs financiers clés</t>
  </si>
  <si>
    <t xml:space="preserve">  Dépôts…………………………………………………………………………………………………………….</t>
  </si>
  <si>
    <t xml:space="preserve">  Avoir des actionnaires………………………………………………………………………………..</t>
  </si>
  <si>
    <t xml:space="preserve">  Revenus nets d’intérêt…………………………………………………………………………………</t>
  </si>
  <si>
    <t xml:space="preserve">  Autres revenus …………………………………………………………………………………………….</t>
  </si>
  <si>
    <t xml:space="preserve">  Dotation à la Provision pour Créances douteuses ……………………………..</t>
  </si>
  <si>
    <t xml:space="preserve">  Frais d’exploitation ……………………………………………………………………………………..</t>
  </si>
  <si>
    <t xml:space="preserve">  Bénéfice net (perte nette) …………………………………………………………………………..</t>
  </si>
  <si>
    <t xml:space="preserve">  Avoir des actionnaires en  % de l’actif………………………………………………………….</t>
  </si>
  <si>
    <t xml:space="preserve">  Dépôts en  % de l’actif……………………………………………………………………………………..</t>
  </si>
  <si>
    <t xml:space="preserve">  Prêts improductifs bruts en  % des prêts bruts ……………………………………………</t>
  </si>
  <si>
    <r>
      <t xml:space="preserve">     prêts improductifs bruts</t>
    </r>
    <r>
      <rPr>
        <vertAlign val="superscript"/>
        <sz val="7.5"/>
        <rFont val="Arial"/>
        <family val="2"/>
      </rPr>
      <t xml:space="preserve"> </t>
    </r>
    <r>
      <rPr>
        <vertAlign val="subscript"/>
        <sz val="7.5"/>
        <rFont val="Arial"/>
        <family val="2"/>
      </rPr>
      <t>……………………………………………………………………………………………………………………….</t>
    </r>
  </si>
  <si>
    <t xml:space="preserve">  Prêts improductifs nets en  % de l’avoir des actionnaires ………………………</t>
  </si>
  <si>
    <t xml:space="preserve">  Rendement de l’actif (ROA)……………………………………………………………………………..</t>
  </si>
  <si>
    <t xml:space="preserve">  Rendement de l’avoir des actionnaires (ROE) …………………………………………….</t>
  </si>
  <si>
    <t xml:space="preserve">  Revenus nets d’intérêts en  % des revenus d’intérêt…………………………………..</t>
  </si>
  <si>
    <t xml:space="preserve">  Rendement moyen des prêts…………………………………………………………………………..</t>
  </si>
  <si>
    <r>
      <t xml:space="preserve">  Rémunération moyenne des dépôts </t>
    </r>
    <r>
      <rPr>
        <vertAlign val="superscript"/>
        <sz val="7.5"/>
        <rFont val="Arial"/>
        <family val="2"/>
      </rPr>
      <t>a</t>
    </r>
    <r>
      <rPr>
        <vertAlign val="subscript"/>
        <sz val="7.5"/>
        <rFont val="Arial"/>
        <family val="2"/>
      </rPr>
      <t>……………………………………………………………………………………….</t>
    </r>
  </si>
  <si>
    <t xml:space="preserve">  Dépenses d’exploitation en  % du produit net bancaire ……………………………..</t>
  </si>
  <si>
    <t>Produit net bancaire par employé  (en milliers de gourdes)…………………………..</t>
  </si>
  <si>
    <t>Nombre d’employés………………………………………………………………………………………………</t>
  </si>
  <si>
    <t xml:space="preserve">         (en millions de gourdes)</t>
  </si>
  <si>
    <t xml:space="preserve">  Bons BRH …………………………………………………………..………………………..</t>
  </si>
  <si>
    <t xml:space="preserve">  Prêts nets……………………………………………………………………………………..</t>
  </si>
  <si>
    <t xml:space="preserve">  Actif………………………………………………………………………………………………….</t>
  </si>
  <si>
    <t xml:space="preserve">         (en pourcentage)</t>
  </si>
  <si>
    <t>Var 09-08</t>
  </si>
  <si>
    <t>Var 10-09</t>
  </si>
  <si>
    <t>Indicateurs financiers clés pour les trois plus grandes banques du système</t>
  </si>
  <si>
    <t>Sogebank</t>
  </si>
  <si>
    <t>Unibank</t>
  </si>
  <si>
    <t xml:space="preserve">  Actif…………………………………………………………</t>
  </si>
  <si>
    <t xml:space="preserve">  Bons BRH ……………………………………………….</t>
  </si>
  <si>
    <t xml:space="preserve">  Prêts nets…………………………………………………</t>
  </si>
  <si>
    <t xml:space="preserve">  Dépôts…………………………………………………………</t>
  </si>
  <si>
    <t xml:space="preserve">  Avoir des actionnaires……………………………</t>
  </si>
  <si>
    <t xml:space="preserve">  Revenus nets d’intérêt…………………………………………………</t>
  </si>
  <si>
    <t xml:space="preserve">  Autres revenus ……………………………………………………………</t>
  </si>
  <si>
    <t xml:space="preserve">  Frais d’exploitation …………………………………………………</t>
  </si>
  <si>
    <t xml:space="preserve">  Bénéfice net (perte nette) ……………………………………..</t>
  </si>
  <si>
    <t xml:space="preserve">  Dotation à la Provision pour Créances douteuses …………</t>
  </si>
  <si>
    <t>Sept. 11</t>
  </si>
  <si>
    <t>2011</t>
  </si>
  <si>
    <t>CBNA (Citibank N.A.)</t>
  </si>
  <si>
    <t>SCOTIA (Scotia Bank)</t>
  </si>
  <si>
    <t>SOGEBK (Société Générale Haïtienne de Banque)</t>
  </si>
  <si>
    <t>SOGEBL (Société Générale Haïtienne de Banque d'Epargne et de Logement)</t>
  </si>
  <si>
    <t>UNIBK (Unibank)</t>
  </si>
  <si>
    <t>Déc. 2010</t>
  </si>
  <si>
    <t>40</t>
  </si>
  <si>
    <t>49</t>
  </si>
  <si>
    <t xml:space="preserve">              AVOIR DES ACTION.</t>
  </si>
  <si>
    <t xml:space="preserve">PROMOBK </t>
  </si>
  <si>
    <t>20</t>
  </si>
  <si>
    <t>23</t>
  </si>
  <si>
    <t>25</t>
  </si>
  <si>
    <t>24</t>
  </si>
  <si>
    <t>26</t>
  </si>
  <si>
    <t>16</t>
  </si>
  <si>
    <t>277</t>
  </si>
  <si>
    <t>290</t>
  </si>
  <si>
    <t>302</t>
  </si>
  <si>
    <t>315</t>
  </si>
  <si>
    <t>326</t>
  </si>
  <si>
    <t>321</t>
  </si>
  <si>
    <t>329</t>
  </si>
  <si>
    <t>350</t>
  </si>
  <si>
    <t>375</t>
  </si>
  <si>
    <t>358</t>
  </si>
  <si>
    <t>362</t>
  </si>
  <si>
    <t>360</t>
  </si>
  <si>
    <t>367</t>
  </si>
  <si>
    <t>392</t>
  </si>
  <si>
    <t>404</t>
  </si>
  <si>
    <t>378</t>
  </si>
  <si>
    <t>589</t>
  </si>
  <si>
    <t>498</t>
  </si>
  <si>
    <t>454</t>
  </si>
  <si>
    <t>428</t>
  </si>
  <si>
    <t>413</t>
  </si>
  <si>
    <t>424</t>
  </si>
  <si>
    <t>AU 30 SEPTEMBRE 2011</t>
  </si>
  <si>
    <t>Bilan au 30 septembre 2011</t>
  </si>
  <si>
    <t>Sept. 12</t>
  </si>
  <si>
    <t>2012</t>
  </si>
  <si>
    <t xml:space="preserve">            TRIM 1 2012      (octobre - décembre 2011)</t>
  </si>
  <si>
    <t>Mars 2011</t>
  </si>
  <si>
    <t>Juin 2011</t>
  </si>
  <si>
    <t>Sept. 2011</t>
  </si>
  <si>
    <t>Déc. 2011</t>
  </si>
  <si>
    <t>52</t>
  </si>
  <si>
    <t>39</t>
  </si>
  <si>
    <t>85</t>
  </si>
  <si>
    <t>82</t>
  </si>
  <si>
    <t>50</t>
  </si>
  <si>
    <t>TABLEAU RÉCAPITULATIF DES DIFFERENTS TYPES DE DÉPOTS PAR BANQUE</t>
  </si>
  <si>
    <t>Mars 2012</t>
  </si>
  <si>
    <t xml:space="preserve">            TRIM 2 2012      (janvier - mars 2012)</t>
  </si>
  <si>
    <t xml:space="preserve">            CUMUL 2012    (octobre 2011  - mars 2012)</t>
  </si>
  <si>
    <t xml:space="preserve">        Delmas 56</t>
  </si>
  <si>
    <t>55</t>
  </si>
  <si>
    <t>.</t>
  </si>
  <si>
    <t>Juin 2012</t>
  </si>
  <si>
    <t xml:space="preserve">            TRIM 3 2012      (avril - juin 2012)</t>
  </si>
  <si>
    <t xml:space="preserve">            CUMUL 2012    (octobre 2011  - juin 2012)</t>
  </si>
  <si>
    <t>Sous réserve de l'article 18 de la Loi du 28 août 1984 portant sur la création et le fonctionnement des banques d'épargne et de logement,</t>
  </si>
  <si>
    <t>l'ensemble des risques de crédit à l'égard des secteurs d'activité définis dans la circulaire ne peut excéder 25% de l'ensemble des risques</t>
  </si>
  <si>
    <t>de crédit de l'établissement bancaire.</t>
  </si>
  <si>
    <t xml:space="preserve">Par exception, la limite de 25 % s’applique à chacune des activités comprises dans les secteurs d'activité "commerce de gros" et "commerce  </t>
  </si>
  <si>
    <t>de détail"</t>
  </si>
  <si>
    <t>Sept. 2012</t>
  </si>
  <si>
    <t>AU 30 SEPTEMBRE 2012</t>
  </si>
  <si>
    <t xml:space="preserve">              Au 30 septembre 2012</t>
  </si>
  <si>
    <t xml:space="preserve">            TRIM 4 2012      (juillet - septembre 2012)</t>
  </si>
  <si>
    <t xml:space="preserve">            CUMUL 2012    (octobre 2011  - septembre 2012)</t>
  </si>
  <si>
    <t>57</t>
  </si>
  <si>
    <t>Bilan au 30 septembre 2012</t>
  </si>
  <si>
    <t>Sept. 13</t>
  </si>
  <si>
    <t>2013</t>
  </si>
  <si>
    <t>AU 31 DÉCEMBRE 2012</t>
  </si>
  <si>
    <t xml:space="preserve">              Au 31 décembre 2012</t>
  </si>
  <si>
    <t xml:space="preserve">            TRIM 1 2013      (octobre - décembre 2012)</t>
  </si>
  <si>
    <t xml:space="preserve">            CUMUL 2013    (octobre 2012  - décembre 2012)</t>
  </si>
  <si>
    <t xml:space="preserve">            CUMUL 2012    (octobre 2011  - décembre 2011)</t>
  </si>
  <si>
    <t>Déc. 2012</t>
  </si>
  <si>
    <t>92</t>
  </si>
  <si>
    <t>(Données trimestrielles annualisées et cumulées)</t>
  </si>
  <si>
    <t>Avenue Christophe</t>
  </si>
  <si>
    <t>Ratios financiers clés décembre 2012</t>
  </si>
  <si>
    <t>Bilan au 31 décembre 2012</t>
  </si>
  <si>
    <t xml:space="preserve">UNIBK </t>
  </si>
  <si>
    <t>Ratios financiers clés mars 2013</t>
  </si>
  <si>
    <t>Bilan au 31 mars 2013</t>
  </si>
  <si>
    <t>Mars 2013</t>
  </si>
  <si>
    <t>AU 31 MARS 2013</t>
  </si>
  <si>
    <r>
      <t>POUR LE QUATRI</t>
    </r>
    <r>
      <rPr>
        <b/>
        <sz val="12"/>
        <rFont val="Calibri"/>
        <family val="2"/>
      </rPr>
      <t>È</t>
    </r>
    <r>
      <rPr>
        <b/>
        <sz val="12"/>
        <rFont val="CG Times"/>
      </rPr>
      <t>ME TRIMESTRE DE L'EXERCICE 2011- 2012</t>
    </r>
  </si>
  <si>
    <t xml:space="preserve">              Au 31 mars 2013</t>
  </si>
  <si>
    <t xml:space="preserve">            TRIM 2 2013      (janvier - mars 2013)</t>
  </si>
  <si>
    <t xml:space="preserve">            CUMUL 2013    (octobre 2012  - mars 2013)</t>
  </si>
  <si>
    <t>PORT-AU-PRINCE ET SES ENVIRONS</t>
  </si>
  <si>
    <t>(EN MILLIERS DE GOURDES)</t>
  </si>
  <si>
    <t>Immobilier résidentiel / Avance Hypothécaire</t>
  </si>
  <si>
    <t>LIMITE SECTORIELLE EN NOMBRE DES RISQUES DE CRÉDIT TOTAUX</t>
  </si>
  <si>
    <t>Juin 2013</t>
  </si>
  <si>
    <t>AU 30 JUIN 2013</t>
  </si>
  <si>
    <t xml:space="preserve">            TRIM 3 2013      (avril - juin 2013)</t>
  </si>
  <si>
    <t xml:space="preserve">            CUMUL 2013    (octobre 2012  - juin 2013)</t>
  </si>
  <si>
    <t>Bilan au 30 juin 2013</t>
  </si>
  <si>
    <t>Ratios financiers clés juin 2013</t>
  </si>
  <si>
    <t>37</t>
  </si>
  <si>
    <t xml:space="preserve">              Au 30 juin 2013</t>
  </si>
  <si>
    <t>Ratios financiers clés septembre 2013</t>
  </si>
  <si>
    <t>Bilan au 30 septembre 2013</t>
  </si>
  <si>
    <t>Sept. 2013</t>
  </si>
  <si>
    <t>AU 30 SEPTEMBRE 2013</t>
  </si>
  <si>
    <t xml:space="preserve">POUR LE QUATRIÈME TRIMESTRE DE L'EXERCICE 2012-2013 </t>
  </si>
  <si>
    <t xml:space="preserve">              Au 30 septembre 2013</t>
  </si>
  <si>
    <t xml:space="preserve">            TRIM 4 2013      (juillet - septembre 2013)</t>
  </si>
  <si>
    <t xml:space="preserve">            CUMUL 2013    (octobre 2012  - septembre 2013)</t>
  </si>
  <si>
    <t>Ratios financiers clés décembre 2013</t>
  </si>
  <si>
    <t>Bilan au 31 décembre 2013</t>
  </si>
  <si>
    <t>Sept. 14</t>
  </si>
  <si>
    <t>2014</t>
  </si>
  <si>
    <t>(juil. - sept. 14)</t>
  </si>
  <si>
    <t>(avril - juin 14)</t>
  </si>
  <si>
    <t>(janv. - mars 14)</t>
  </si>
  <si>
    <t>(oct. - déc. 13)</t>
  </si>
  <si>
    <t>AU 30 DÉCEMBRE 2013</t>
  </si>
  <si>
    <t>TRIM 1 14</t>
  </si>
  <si>
    <t>TRIM 2 14</t>
  </si>
  <si>
    <t>TRIM 3 14</t>
  </si>
  <si>
    <t>TRIM 4 14</t>
  </si>
  <si>
    <t>CUMUL 14</t>
  </si>
  <si>
    <t xml:space="preserve"> 2014</t>
  </si>
  <si>
    <t>Sept.13</t>
  </si>
  <si>
    <t>Déc. 2013</t>
  </si>
  <si>
    <t>AU 31 DÉCEMBRE 2013</t>
  </si>
  <si>
    <t xml:space="preserve">              Au 31 décembre 2013</t>
  </si>
  <si>
    <t xml:space="preserve">            TRIM 1 2014      (octobre - décembre 2013)</t>
  </si>
  <si>
    <t xml:space="preserve">            CUMUL 2014    (octobre   - décembre 2013)</t>
  </si>
  <si>
    <t xml:space="preserve">            CUMUL 2013    (octobre   - décembre 2012)</t>
  </si>
  <si>
    <t xml:space="preserve">   Bons du Trésor / M.E.F.</t>
  </si>
  <si>
    <t>65</t>
  </si>
  <si>
    <t xml:space="preserve">POUR LE PREMIER TRIMESTRE DE L'EXERCICE 2013-2014 </t>
  </si>
  <si>
    <t>Mars 2014</t>
  </si>
  <si>
    <t>AU 31 MARS 2014</t>
  </si>
  <si>
    <t xml:space="preserve">              Au 31 mars 2014</t>
  </si>
  <si>
    <t xml:space="preserve">            TRIM 2 2014      (janvier - mars 2014)</t>
  </si>
  <si>
    <t xml:space="preserve">            CUMUL 2014    (octobre 2013  - mars 2014)</t>
  </si>
  <si>
    <t xml:space="preserve">            CUMUL 2013    (octobre 2013  - mars 2013)</t>
  </si>
  <si>
    <t>Ratios financiers clés mars 2014</t>
  </si>
  <si>
    <t>Bilan au 31 mars 2014</t>
  </si>
  <si>
    <t>66</t>
  </si>
  <si>
    <t xml:space="preserve">        Delmas 53</t>
  </si>
  <si>
    <t xml:space="preserve">Regroupement des Secteurs d'activités </t>
  </si>
  <si>
    <t>Commerce de Gros et Détail (700 ; 800 )</t>
  </si>
  <si>
    <t>Services et Autres ( 1500 à 1550 ; 900 ; 1000 )</t>
  </si>
  <si>
    <t>Industries Manufacturières ( 200 à 290 )</t>
  </si>
  <si>
    <t>Prêts aux Particuliers ( 1560 )</t>
  </si>
  <si>
    <t>Immobilier Résidentiel et Commercial ( 1200 ; 1300 )</t>
  </si>
  <si>
    <t>Transport, Entrepôt et Communication ( 1100 ; 1400 )</t>
  </si>
  <si>
    <t>Bâtiments et Travaux Publics ( 600 )</t>
  </si>
  <si>
    <t>Électricité, Gaz et Eau ( 300 à 500 )</t>
  </si>
  <si>
    <t>Agriculture, Sylviculture et Pêche ( 100 )</t>
  </si>
  <si>
    <t>Juin 2014</t>
  </si>
  <si>
    <t>AU 30 JUIN 2014</t>
  </si>
  <si>
    <t xml:space="preserve">              Au 30 juin 2014</t>
  </si>
  <si>
    <t xml:space="preserve">            TRIM 3 2014      (avril - juin 2014)</t>
  </si>
  <si>
    <t xml:space="preserve">            CUMUL 2014    (octobre 2013  - juin 2014)</t>
  </si>
  <si>
    <t xml:space="preserve">            CUMUL 2013    (octobre 2013  - juin 2013)</t>
  </si>
  <si>
    <t>67</t>
  </si>
  <si>
    <t>Résultats (Trim. 4 2014 / Trim. 4 2013)</t>
  </si>
  <si>
    <t>Résultats (Cumul oct. 2013 - sept. 2014 / Cumul oct. 2012 - sept. 2013)</t>
  </si>
  <si>
    <t>Sept. 2014</t>
  </si>
  <si>
    <t>AU 30 SEPTEMBRE 2014</t>
  </si>
  <si>
    <t>TRIM 4 2014</t>
  </si>
  <si>
    <t>Septembre 14</t>
  </si>
  <si>
    <t xml:space="preserve">              Au 30 septembre 2014</t>
  </si>
  <si>
    <t xml:space="preserve">            TRIM 4 2014      (juillet - septembre 2014)</t>
  </si>
  <si>
    <t xml:space="preserve">            CUMUL 2014    (octobre 2013  - septembre 2014)</t>
  </si>
  <si>
    <t xml:space="preserve">            CUMUL 2013    (octobre 2013  - septembre 2013)</t>
  </si>
  <si>
    <t xml:space="preserve">* converties au taux de 45,5577 Gdes </t>
  </si>
  <si>
    <t>Bilan au 30 juin 2014</t>
  </si>
  <si>
    <t>Bilan au 30 septembre 2014</t>
  </si>
  <si>
    <t>Ratios financiers clés juin 2014</t>
  </si>
  <si>
    <t>Ratios financiers clés septembre 2014</t>
  </si>
  <si>
    <t xml:space="preserve"> Trim 4 2014</t>
  </si>
  <si>
    <r>
      <t xml:space="preserve">Juillet </t>
    </r>
    <r>
      <rPr>
        <b/>
        <vertAlign val="superscript"/>
        <sz val="10"/>
        <rFont val="CG Times"/>
        <family val="1"/>
      </rPr>
      <t>1</t>
    </r>
  </si>
  <si>
    <r>
      <t xml:space="preserve">Août </t>
    </r>
    <r>
      <rPr>
        <b/>
        <vertAlign val="superscript"/>
        <sz val="10"/>
        <rFont val="CG Times"/>
        <family val="1"/>
      </rPr>
      <t>1</t>
    </r>
  </si>
  <si>
    <r>
      <t xml:space="preserve">Septembre </t>
    </r>
    <r>
      <rPr>
        <b/>
        <vertAlign val="superscript"/>
        <sz val="10"/>
        <rFont val="CG Times"/>
        <family val="1"/>
      </rPr>
      <t>1</t>
    </r>
  </si>
  <si>
    <t>TRIM 4 2013</t>
  </si>
  <si>
    <t>Déc. 14</t>
  </si>
  <si>
    <t>Mars 15</t>
  </si>
  <si>
    <t>Juin 15</t>
  </si>
  <si>
    <t>Sept. 15</t>
  </si>
  <si>
    <t>2015</t>
  </si>
  <si>
    <t>(oct. - déc. 14)</t>
  </si>
  <si>
    <t>(janv. - mars 15)</t>
  </si>
  <si>
    <t>(avril - juin 15)</t>
  </si>
  <si>
    <t>(juil. - sept. 15)</t>
  </si>
  <si>
    <t>AU 31 DÉCEMBRE 2014</t>
  </si>
  <si>
    <t>VARIATION Déc. 14 /Sept. 14</t>
  </si>
  <si>
    <t>TRIM 1 2015 (octobre - décembre 14)</t>
  </si>
  <si>
    <t>TRIM 1 2014 (octobre - décembre 13)</t>
  </si>
  <si>
    <t>VARIATION TRIM 1 15 / TRIM 1 14</t>
  </si>
  <si>
    <t>CUMUL 2015 (octobre   - décembre 14)</t>
  </si>
  <si>
    <t>CUMUL 2014 (octobre   - décembre 13)</t>
  </si>
  <si>
    <t>VARIATION CUMUL 15/ CUMUL 14</t>
  </si>
  <si>
    <t xml:space="preserve">              Au 31 décembre 2014</t>
  </si>
  <si>
    <t xml:space="preserve">            TRIM 1 2015      (octobre - décembre 2014)</t>
  </si>
  <si>
    <t xml:space="preserve">            CUMUL 2015    (octobre   - décembre 2014)</t>
  </si>
  <si>
    <t>Var. déc. 14</t>
  </si>
  <si>
    <t>/sept. 14</t>
  </si>
  <si>
    <t>Décembre 14</t>
  </si>
  <si>
    <t xml:space="preserve"> 2015</t>
  </si>
  <si>
    <t xml:space="preserve"> 2014 (oct.-déc. 14)</t>
  </si>
  <si>
    <t xml:space="preserve"> 2013 (oct. -déc. 13)</t>
  </si>
  <si>
    <t>Déc. 2014</t>
  </si>
  <si>
    <t xml:space="preserve">     TRIM 1 2015</t>
  </si>
  <si>
    <t xml:space="preserve">                         (1er octobre au 30 décembre 2014)</t>
  </si>
  <si>
    <t xml:space="preserve">* converties au taux de 46,7477 Gdes </t>
  </si>
  <si>
    <t>32</t>
  </si>
  <si>
    <t>68</t>
  </si>
  <si>
    <t>TRIM 1 2015</t>
  </si>
  <si>
    <t xml:space="preserve">     CUMUL (Octobre - Décembre )</t>
  </si>
  <si>
    <t>TRIM 1 15</t>
  </si>
  <si>
    <t>TRIM 2 15</t>
  </si>
  <si>
    <t>TRIM 3 15</t>
  </si>
  <si>
    <t>TRIM 4 15</t>
  </si>
  <si>
    <t>CUMUL 15</t>
  </si>
  <si>
    <t>Sept.14</t>
  </si>
  <si>
    <t>Au 31 DÉCEMBRE 2014</t>
  </si>
  <si>
    <t xml:space="preserve"> Trim 1 2015</t>
  </si>
  <si>
    <r>
      <t xml:space="preserve">Octobre </t>
    </r>
    <r>
      <rPr>
        <b/>
        <vertAlign val="superscript"/>
        <sz val="10"/>
        <rFont val="CG Times"/>
        <family val="1"/>
      </rPr>
      <t>1</t>
    </r>
  </si>
  <si>
    <r>
      <t xml:space="preserve">Novembre </t>
    </r>
    <r>
      <rPr>
        <b/>
        <vertAlign val="superscript"/>
        <sz val="10"/>
        <rFont val="CG Times"/>
        <family val="1"/>
      </rPr>
      <t>1</t>
    </r>
  </si>
  <si>
    <r>
      <t xml:space="preserve">Décembre </t>
    </r>
    <r>
      <rPr>
        <b/>
        <vertAlign val="superscript"/>
        <sz val="10"/>
        <rFont val="CG Times"/>
        <family val="1"/>
      </rPr>
      <t>1</t>
    </r>
  </si>
  <si>
    <t>Les périodes TRIM 1 2015 et TRIM 1 2014 doivent être lues comme premier trimestre de l'exercice fiscal 2014-2015</t>
  </si>
  <si>
    <t>(1er octobre au 31 décembre 2014) et premier trimestre de l'exercice fiscal 2013-2014 (1er octobre au 31 décembre 2013).</t>
  </si>
  <si>
    <t>Les périodes CUMUL 2015 et CUMUL 2014 doivent être lues respectivement comme période cumulative allant du</t>
  </si>
  <si>
    <t>1er octobre 2014 au 31 décembre 2014 et période cumulative allant du 1er octobre 2013 au 31 décembre 2013.</t>
  </si>
  <si>
    <t xml:space="preserve">                                                                      SUFFISANCE DES FONDS PROPRES</t>
  </si>
  <si>
    <t>Bilan au 31 décembre 2014</t>
  </si>
  <si>
    <t>Ratios financiers clés décembre 2014</t>
  </si>
</sst>
</file>

<file path=xl/styles.xml><?xml version="1.0" encoding="utf-8"?>
<styleSheet xmlns="http://schemas.openxmlformats.org/spreadsheetml/2006/main">
  <numFmts count="9">
    <numFmt numFmtId="43" formatCode="_(* #,##0.00_);_(* \(#,##0.00\);_(* &quot;-&quot;??_);_(@_)"/>
    <numFmt numFmtId="164" formatCode="_(* #,##0.0_);_(* \(#,##0.0\);_(* &quot;-&quot;??_);_(@_)"/>
    <numFmt numFmtId="165" formatCode="0.0%"/>
    <numFmt numFmtId="166" formatCode="_(* #,##0.000_);_(* \(#,##0.000\);_(* &quot;-&quot;??_);_(@_)"/>
    <numFmt numFmtId="167" formatCode="_(* #,##0_);_(* \(#,##0\);_(* &quot;-&quot;??_);_(@_)"/>
    <numFmt numFmtId="168" formatCode="_(* #,##0.00000_);_(* \(#,##0.00000\);_(* &quot;-&quot;??_);_(@_)"/>
    <numFmt numFmtId="169" formatCode="0.0000%"/>
    <numFmt numFmtId="170" formatCode="_(* #,##0.0_);_(* \(#,##0.0\);_(* &quot;-&quot;?_);_(@_)"/>
    <numFmt numFmtId="171" formatCode="_ * #,##0.0_)\ _$_ ;_ * \(#,##0.0\)\ _$_ ;_ * &quot;-&quot;?_)\ _$_ ;_ @_ "/>
  </numFmts>
  <fonts count="82">
    <font>
      <sz val="12"/>
      <name val="CG Times"/>
    </font>
    <font>
      <b/>
      <sz val="12"/>
      <name val="CG Times"/>
    </font>
    <font>
      <b/>
      <i/>
      <sz val="12"/>
      <name val="CG Times"/>
    </font>
    <font>
      <sz val="12"/>
      <name val="CG Times"/>
    </font>
    <font>
      <sz val="10"/>
      <name val="CG Times"/>
      <family val="1"/>
    </font>
    <font>
      <u val="singleAccounting"/>
      <sz val="12"/>
      <name val="CG Times"/>
      <family val="1"/>
    </font>
    <font>
      <sz val="9"/>
      <name val="CG Times"/>
      <family val="1"/>
    </font>
    <font>
      <u val="singleAccounting"/>
      <sz val="10"/>
      <name val="CG Times"/>
      <family val="1"/>
    </font>
    <font>
      <b/>
      <sz val="10"/>
      <name val="CG Times"/>
      <family val="1"/>
    </font>
    <font>
      <b/>
      <sz val="10"/>
      <name val="CG Times"/>
    </font>
    <font>
      <sz val="12"/>
      <name val="CG Times"/>
      <family val="1"/>
    </font>
    <font>
      <b/>
      <sz val="12"/>
      <name val="CG Times"/>
      <family val="1"/>
    </font>
    <font>
      <sz val="11"/>
      <name val="CG Times"/>
      <family val="1"/>
    </font>
    <font>
      <b/>
      <u val="singleAccounting"/>
      <sz val="12"/>
      <name val="CG Times"/>
      <family val="1"/>
    </font>
    <font>
      <b/>
      <vertAlign val="superscript"/>
      <sz val="12"/>
      <name val="CG Times"/>
    </font>
    <font>
      <b/>
      <sz val="11"/>
      <name val="CG Times"/>
      <family val="1"/>
    </font>
    <font>
      <b/>
      <sz val="14"/>
      <name val="CG Times"/>
      <family val="1"/>
    </font>
    <font>
      <sz val="14"/>
      <name val="CG Times"/>
      <family val="1"/>
    </font>
    <font>
      <b/>
      <sz val="14"/>
      <name val="CG Times"/>
    </font>
    <font>
      <b/>
      <sz val="16"/>
      <name val="CG Times"/>
    </font>
    <font>
      <b/>
      <vertAlign val="superscript"/>
      <sz val="8"/>
      <name val="CG Times"/>
      <family val="1"/>
    </font>
    <font>
      <b/>
      <sz val="16"/>
      <name val="CG Times"/>
      <family val="1"/>
    </font>
    <font>
      <sz val="14"/>
      <name val="CG Times"/>
    </font>
    <font>
      <b/>
      <sz val="11"/>
      <color indexed="9"/>
      <name val="CG Times"/>
      <family val="1"/>
    </font>
    <font>
      <b/>
      <u/>
      <sz val="12"/>
      <name val="CG Times"/>
      <family val="1"/>
    </font>
    <font>
      <b/>
      <sz val="18"/>
      <name val="CG Times"/>
      <family val="1"/>
    </font>
    <font>
      <b/>
      <sz val="9"/>
      <name val="CG Times"/>
    </font>
    <font>
      <b/>
      <sz val="16"/>
      <color indexed="9"/>
      <name val="CG Times"/>
      <family val="1"/>
    </font>
    <font>
      <b/>
      <sz val="22"/>
      <color indexed="9"/>
      <name val="CG Times"/>
      <family val="1"/>
    </font>
    <font>
      <b/>
      <sz val="20"/>
      <color indexed="9"/>
      <name val="CG Times"/>
      <family val="1"/>
    </font>
    <font>
      <vertAlign val="superscript"/>
      <sz val="12"/>
      <name val="CG Times"/>
      <family val="1"/>
    </font>
    <font>
      <u/>
      <sz val="12"/>
      <name val="CG Times"/>
      <family val="1"/>
    </font>
    <font>
      <b/>
      <sz val="18"/>
      <color indexed="9"/>
      <name val="CG Times"/>
      <family val="1"/>
    </font>
    <font>
      <sz val="18"/>
      <name val="CG Times"/>
      <family val="1"/>
    </font>
    <font>
      <sz val="12"/>
      <color indexed="22"/>
      <name val="CG Times"/>
    </font>
    <font>
      <sz val="10"/>
      <name val="CG Times"/>
    </font>
    <font>
      <b/>
      <sz val="22"/>
      <name val="CG Times"/>
    </font>
    <font>
      <b/>
      <sz val="11"/>
      <name val="CG Times"/>
    </font>
    <font>
      <b/>
      <sz val="8"/>
      <name val="CG Times"/>
    </font>
    <font>
      <b/>
      <sz val="20"/>
      <name val="CG Times"/>
    </font>
    <font>
      <b/>
      <vertAlign val="superscript"/>
      <sz val="10"/>
      <name val="CG Times"/>
      <family val="1"/>
    </font>
    <font>
      <sz val="10"/>
      <name val="Arial"/>
      <family val="2"/>
    </font>
    <font>
      <sz val="14"/>
      <name val="Arial"/>
      <family val="2"/>
    </font>
    <font>
      <b/>
      <sz val="24"/>
      <name val="Arial"/>
      <family val="2"/>
    </font>
    <font>
      <sz val="24"/>
      <name val="Arial"/>
      <family val="2"/>
    </font>
    <font>
      <b/>
      <sz val="24"/>
      <name val="Arial"/>
      <family val="2"/>
    </font>
    <font>
      <b/>
      <sz val="14"/>
      <name val="Arial"/>
      <family val="2"/>
    </font>
    <font>
      <b/>
      <sz val="12"/>
      <name val="Arial"/>
      <family val="2"/>
    </font>
    <font>
      <b/>
      <u/>
      <sz val="12"/>
      <name val="Arial"/>
      <family val="2"/>
    </font>
    <font>
      <sz val="8"/>
      <name val="Arial"/>
      <family val="2"/>
    </font>
    <font>
      <sz val="12"/>
      <name val="Arial"/>
      <family val="2"/>
    </font>
    <font>
      <b/>
      <sz val="11"/>
      <name val="Arial"/>
      <family val="2"/>
    </font>
    <font>
      <b/>
      <vertAlign val="superscript"/>
      <sz val="16"/>
      <name val="Arial"/>
      <family val="2"/>
    </font>
    <font>
      <sz val="11"/>
      <name val="Arial"/>
      <family val="2"/>
    </font>
    <font>
      <b/>
      <sz val="8"/>
      <name val="Arial"/>
      <family val="2"/>
    </font>
    <font>
      <b/>
      <sz val="10"/>
      <name val="Arial"/>
      <family val="2"/>
    </font>
    <font>
      <sz val="13"/>
      <name val="Arial"/>
      <family val="2"/>
    </font>
    <font>
      <b/>
      <sz val="16"/>
      <name val="Arial"/>
      <family val="2"/>
    </font>
    <font>
      <b/>
      <sz val="18"/>
      <name val="Arial"/>
      <family val="2"/>
    </font>
    <font>
      <b/>
      <sz val="18"/>
      <name val="CG Times"/>
    </font>
    <font>
      <sz val="20"/>
      <name val="CG Times"/>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8"/>
      <name val="CG Times"/>
    </font>
    <font>
      <sz val="48"/>
      <name val="CG Times"/>
    </font>
    <font>
      <b/>
      <sz val="7.5"/>
      <name val="Arial"/>
      <family val="2"/>
    </font>
    <font>
      <sz val="7.5"/>
      <name val="Arial"/>
      <family val="2"/>
    </font>
    <font>
      <vertAlign val="superscript"/>
      <sz val="7.5"/>
      <name val="Arial"/>
      <family val="2"/>
    </font>
    <font>
      <vertAlign val="subscript"/>
      <sz val="7.5"/>
      <name val="Arial"/>
      <family val="2"/>
    </font>
    <font>
      <b/>
      <sz val="12"/>
      <name val="Calibri"/>
      <family val="2"/>
    </font>
    <font>
      <sz val="11"/>
      <name val="CG Times"/>
    </font>
    <font>
      <b/>
      <sz val="48"/>
      <name val="CG Times"/>
    </font>
  </fonts>
  <fills count="21">
    <fill>
      <patternFill patternType="none"/>
    </fill>
    <fill>
      <patternFill patternType="gray125"/>
    </fill>
    <fill>
      <patternFill patternType="solid">
        <fgColor indexed="27"/>
      </patternFill>
    </fill>
    <fill>
      <patternFill patternType="solid">
        <fgColor indexed="43"/>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8"/>
        <bgColor indexed="64"/>
      </patternFill>
    </fill>
    <fill>
      <patternFill patternType="solid">
        <fgColor indexed="22"/>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63"/>
        <bgColor indexed="64"/>
      </patternFill>
    </fill>
    <fill>
      <patternFill patternType="solid">
        <fgColor indexed="13"/>
        <bgColor indexed="64"/>
      </patternFill>
    </fill>
    <fill>
      <patternFill patternType="solid">
        <fgColor theme="0"/>
        <bgColor indexed="64"/>
      </patternFill>
    </fill>
  </fills>
  <borders count="145">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thin">
        <color indexed="64"/>
      </bottom>
      <diagonal/>
    </border>
    <border>
      <left/>
      <right style="thick">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right/>
      <top style="thick">
        <color indexed="64"/>
      </top>
      <bottom/>
      <diagonal/>
    </border>
    <border>
      <left/>
      <right style="thick">
        <color indexed="64"/>
      </right>
      <top style="thick">
        <color indexed="64"/>
      </top>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thick">
        <color indexed="64"/>
      </top>
      <bottom/>
      <diagonal/>
    </border>
    <border>
      <left/>
      <right style="thick">
        <color indexed="64"/>
      </right>
      <top/>
      <bottom style="medium">
        <color indexed="64"/>
      </bottom>
      <diagonal/>
    </border>
    <border>
      <left style="thick">
        <color indexed="64"/>
      </left>
      <right style="thick">
        <color indexed="64"/>
      </right>
      <top/>
      <bottom style="thin">
        <color indexed="64"/>
      </bottom>
      <diagonal/>
    </border>
    <border>
      <left style="thick">
        <color indexed="64"/>
      </left>
      <right/>
      <top style="thick">
        <color indexed="64"/>
      </top>
      <bottom/>
      <diagonal/>
    </border>
    <border>
      <left style="medium">
        <color indexed="64"/>
      </left>
      <right style="medium">
        <color indexed="64"/>
      </right>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double">
        <color indexed="64"/>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ck">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double">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thin">
        <color indexed="64"/>
      </top>
      <bottom/>
      <diagonal/>
    </border>
    <border>
      <left style="thick">
        <color indexed="64"/>
      </left>
      <right style="medium">
        <color indexed="64"/>
      </right>
      <top/>
      <bottom style="medium">
        <color indexed="64"/>
      </bottom>
      <diagonal/>
    </border>
    <border>
      <left style="thick">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style="thin">
        <color indexed="64"/>
      </top>
      <bottom/>
      <diagonal/>
    </border>
    <border>
      <left style="thick">
        <color indexed="64"/>
      </left>
      <right/>
      <top/>
      <bottom style="thin">
        <color indexed="64"/>
      </bottom>
      <diagonal/>
    </border>
    <border>
      <left style="thick">
        <color indexed="64"/>
      </left>
      <right/>
      <top/>
      <bottom style="medium">
        <color indexed="64"/>
      </bottom>
      <diagonal/>
    </border>
    <border>
      <left style="double">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hair">
        <color indexed="64"/>
      </right>
      <top/>
      <bottom/>
      <diagonal/>
    </border>
    <border>
      <left/>
      <right style="hair">
        <color indexed="64"/>
      </right>
      <top/>
      <bottom style="medium">
        <color indexed="64"/>
      </bottom>
      <diagonal/>
    </border>
    <border>
      <left/>
      <right style="hair">
        <color indexed="64"/>
      </right>
      <top/>
      <bottom style="hair">
        <color indexed="64"/>
      </bottom>
      <diagonal/>
    </border>
    <border>
      <left/>
      <right style="medium">
        <color indexed="64"/>
      </right>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thick">
        <color indexed="64"/>
      </left>
      <right style="thick">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ck">
        <color indexed="64"/>
      </left>
      <right/>
      <top style="thin">
        <color indexed="64"/>
      </top>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ck">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ck">
        <color indexed="64"/>
      </bottom>
      <diagonal/>
    </border>
    <border>
      <left/>
      <right/>
      <top style="thick">
        <color indexed="64"/>
      </top>
      <bottom style="thick">
        <color indexed="64"/>
      </bottom>
      <diagonal/>
    </border>
    <border>
      <left/>
      <right style="medium">
        <color indexed="64"/>
      </right>
      <top style="thick">
        <color indexed="64"/>
      </top>
      <bottom/>
      <diagonal/>
    </border>
    <border>
      <left/>
      <right style="medium">
        <color indexed="64"/>
      </right>
      <top style="thick">
        <color indexed="64"/>
      </top>
      <bottom style="medium">
        <color indexed="64"/>
      </bottom>
      <diagonal/>
    </border>
    <border>
      <left/>
      <right style="thick">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thick">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top style="thin">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thick">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s>
  <cellStyleXfs count="28">
    <xf numFmtId="0" fontId="0" fillId="0" borderId="0"/>
    <xf numFmtId="0" fontId="61" fillId="6" borderId="0" applyNumberFormat="0" applyBorder="0" applyAlignment="0" applyProtection="0"/>
    <xf numFmtId="0" fontId="61" fillId="4" borderId="0" applyNumberFormat="0" applyBorder="0" applyAlignment="0" applyProtection="0"/>
    <xf numFmtId="0" fontId="61" fillId="5" borderId="0" applyNumberFormat="0" applyBorder="0" applyAlignment="0" applyProtection="0"/>
    <xf numFmtId="0" fontId="61" fillId="7" borderId="0" applyNumberFormat="0" applyBorder="0" applyAlignment="0" applyProtection="0"/>
    <xf numFmtId="0" fontId="61" fillId="8" borderId="0" applyNumberFormat="0" applyBorder="0" applyAlignment="0" applyProtection="0"/>
    <xf numFmtId="0" fontId="61" fillId="9" borderId="0" applyNumberFormat="0" applyBorder="0" applyAlignment="0" applyProtection="0"/>
    <xf numFmtId="0" fontId="62" fillId="10" borderId="0" applyNumberFormat="0" applyBorder="0" applyAlignment="0" applyProtection="0"/>
    <xf numFmtId="0" fontId="63" fillId="12" borderId="1" applyNumberFormat="0" applyAlignment="0" applyProtection="0"/>
    <xf numFmtId="43" fontId="3" fillId="0" borderId="0" applyFont="0" applyFill="0" applyBorder="0" applyAlignment="0" applyProtection="0"/>
    <xf numFmtId="0" fontId="64" fillId="0" borderId="0" applyNumberFormat="0" applyFill="0" applyBorder="0" applyAlignment="0" applyProtection="0"/>
    <xf numFmtId="0" fontId="65" fillId="2" borderId="0" applyNumberFormat="0" applyBorder="0" applyAlignment="0" applyProtection="0"/>
    <xf numFmtId="0" fontId="66" fillId="0" borderId="2" applyNumberFormat="0" applyFill="0" applyAlignment="0" applyProtection="0"/>
    <xf numFmtId="0" fontId="67" fillId="0" borderId="3" applyNumberFormat="0" applyFill="0" applyAlignment="0" applyProtection="0"/>
    <xf numFmtId="0" fontId="68" fillId="0" borderId="4" applyNumberFormat="0" applyFill="0" applyAlignment="0" applyProtection="0"/>
    <xf numFmtId="0" fontId="68" fillId="0" borderId="0" applyNumberFormat="0" applyFill="0" applyBorder="0" applyAlignment="0" applyProtection="0"/>
    <xf numFmtId="43" fontId="3" fillId="0" borderId="0" applyFont="0" applyFill="0" applyBorder="0" applyAlignment="0" applyProtection="0"/>
    <xf numFmtId="0" fontId="69" fillId="3" borderId="0" applyNumberFormat="0" applyBorder="0" applyAlignment="0" applyProtection="0"/>
    <xf numFmtId="0" fontId="3" fillId="0" borderId="0"/>
    <xf numFmtId="0" fontId="41" fillId="0" borderId="0"/>
    <xf numFmtId="0" fontId="3" fillId="0" borderId="0"/>
    <xf numFmtId="0" fontId="41" fillId="0" borderId="0"/>
    <xf numFmtId="0" fontId="41" fillId="0" borderId="0"/>
    <xf numFmtId="0" fontId="70" fillId="11" borderId="5"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71" fillId="0" borderId="0" applyNumberFormat="0" applyFill="0" applyBorder="0" applyAlignment="0" applyProtection="0"/>
    <xf numFmtId="0" fontId="72" fillId="0" borderId="6" applyNumberFormat="0" applyFill="0" applyAlignment="0" applyProtection="0"/>
  </cellStyleXfs>
  <cellXfs count="1572">
    <xf numFmtId="0" fontId="0" fillId="0" borderId="0" xfId="0"/>
    <xf numFmtId="0" fontId="1" fillId="0" borderId="7" xfId="0" applyFont="1" applyBorder="1" applyAlignment="1">
      <alignment horizontal="center"/>
    </xf>
    <xf numFmtId="164" fontId="1" fillId="0" borderId="0" xfId="16" applyNumberFormat="1" applyFont="1" applyAlignment="1">
      <alignment horizontal="center"/>
    </xf>
    <xf numFmtId="0" fontId="1" fillId="0" borderId="0" xfId="0" applyFont="1" applyAlignment="1">
      <alignment horizontal="center"/>
    </xf>
    <xf numFmtId="0" fontId="11" fillId="0" borderId="0" xfId="0" applyFont="1" applyAlignment="1">
      <alignment horizontal="center"/>
    </xf>
    <xf numFmtId="0" fontId="59" fillId="0" borderId="0" xfId="0" applyFont="1" applyAlignment="1">
      <alignment horizontal="center"/>
    </xf>
    <xf numFmtId="167" fontId="0" fillId="0" borderId="8" xfId="16" quotePrefix="1" applyNumberFormat="1" applyFont="1" applyBorder="1" applyAlignment="1">
      <alignment horizontal="center"/>
    </xf>
    <xf numFmtId="167" fontId="0" fillId="0" borderId="9" xfId="16" quotePrefix="1" applyNumberFormat="1" applyFont="1" applyBorder="1" applyAlignment="1">
      <alignment horizontal="center"/>
    </xf>
    <xf numFmtId="167" fontId="0" fillId="0" borderId="8" xfId="16" quotePrefix="1" applyNumberFormat="1" applyFont="1" applyFill="1" applyBorder="1" applyAlignment="1">
      <alignment horizontal="center"/>
    </xf>
    <xf numFmtId="167" fontId="3" fillId="0" borderId="8" xfId="16" quotePrefix="1" applyNumberFormat="1" applyFont="1" applyFill="1" applyBorder="1" applyAlignment="1">
      <alignment horizontal="center"/>
    </xf>
    <xf numFmtId="0" fontId="4" fillId="0" borderId="0" xfId="0" applyFont="1"/>
    <xf numFmtId="0" fontId="1" fillId="0" borderId="0" xfId="0" applyFont="1"/>
    <xf numFmtId="164" fontId="0" fillId="0" borderId="0" xfId="16" applyNumberFormat="1" applyFont="1"/>
    <xf numFmtId="164" fontId="1" fillId="0" borderId="0" xfId="16" applyNumberFormat="1" applyFont="1"/>
    <xf numFmtId="164" fontId="5" fillId="0" borderId="0" xfId="16" applyNumberFormat="1" applyFont="1"/>
    <xf numFmtId="0" fontId="5" fillId="0" borderId="0" xfId="0" applyFont="1"/>
    <xf numFmtId="164" fontId="0" fillId="0" borderId="0" xfId="16" applyNumberFormat="1" applyFont="1" applyAlignment="1">
      <alignment horizontal="center"/>
    </xf>
    <xf numFmtId="0" fontId="0" fillId="0" borderId="0" xfId="0" applyAlignment="1">
      <alignment horizontal="center"/>
    </xf>
    <xf numFmtId="9" fontId="0" fillId="0" borderId="0" xfId="25" applyFont="1"/>
    <xf numFmtId="9" fontId="1" fillId="0" borderId="0" xfId="25" applyFont="1"/>
    <xf numFmtId="164" fontId="3" fillId="0" borderId="0" xfId="16" applyNumberFormat="1"/>
    <xf numFmtId="9" fontId="3" fillId="0" borderId="0" xfId="25"/>
    <xf numFmtId="164" fontId="3" fillId="0" borderId="0" xfId="16" applyNumberFormat="1" applyAlignment="1">
      <alignment horizontal="center"/>
    </xf>
    <xf numFmtId="10" fontId="3" fillId="0" borderId="0" xfId="25" applyNumberFormat="1" applyFont="1"/>
    <xf numFmtId="164" fontId="3" fillId="0" borderId="0" xfId="16" applyNumberFormat="1" applyFont="1"/>
    <xf numFmtId="0" fontId="0" fillId="0" borderId="7" xfId="0" applyBorder="1"/>
    <xf numFmtId="0" fontId="0" fillId="0" borderId="0" xfId="0" applyBorder="1"/>
    <xf numFmtId="166" fontId="0" fillId="0" borderId="0" xfId="16" applyNumberFormat="1" applyFont="1"/>
    <xf numFmtId="166" fontId="1" fillId="0" borderId="0" xfId="16" applyNumberFormat="1" applyFont="1" applyAlignment="1">
      <alignment horizontal="center"/>
    </xf>
    <xf numFmtId="166" fontId="0" fillId="0" borderId="0" xfId="16" applyNumberFormat="1" applyFont="1" applyAlignment="1">
      <alignment horizontal="center"/>
    </xf>
    <xf numFmtId="166" fontId="0" fillId="0" borderId="7" xfId="16" applyNumberFormat="1" applyFont="1" applyBorder="1"/>
    <xf numFmtId="166" fontId="0" fillId="0" borderId="0" xfId="16" applyNumberFormat="1" applyFont="1" applyBorder="1"/>
    <xf numFmtId="166" fontId="1" fillId="0" borderId="0" xfId="16" applyNumberFormat="1" applyFont="1" applyAlignment="1">
      <alignment horizontal="center" wrapText="1"/>
    </xf>
    <xf numFmtId="166" fontId="3" fillId="0" borderId="0" xfId="16" applyNumberFormat="1"/>
    <xf numFmtId="166" fontId="3" fillId="0" borderId="0" xfId="16" applyNumberFormat="1" applyAlignment="1">
      <alignment horizontal="center"/>
    </xf>
    <xf numFmtId="166" fontId="3" fillId="0" borderId="0" xfId="16" applyNumberFormat="1" applyFont="1"/>
    <xf numFmtId="166" fontId="3" fillId="0" borderId="7" xfId="16" applyNumberFormat="1" applyBorder="1"/>
    <xf numFmtId="166" fontId="3" fillId="0" borderId="7" xfId="16" applyNumberFormat="1" applyFont="1" applyBorder="1"/>
    <xf numFmtId="166" fontId="3" fillId="0" borderId="0" xfId="16" applyNumberFormat="1" applyBorder="1"/>
    <xf numFmtId="0" fontId="0" fillId="0" borderId="0" xfId="0" applyAlignment="1">
      <alignment horizontal="centerContinuous"/>
    </xf>
    <xf numFmtId="164" fontId="0" fillId="0" borderId="0" xfId="16" applyNumberFormat="1" applyFont="1" applyAlignment="1">
      <alignment horizontal="centerContinuous"/>
    </xf>
    <xf numFmtId="9" fontId="0" fillId="0" borderId="0" xfId="25" applyFont="1" applyAlignment="1">
      <alignment horizontal="centerContinuous"/>
    </xf>
    <xf numFmtId="164" fontId="3" fillId="0" borderId="0" xfId="16" applyNumberFormat="1" applyAlignment="1">
      <alignment horizontal="centerContinuous"/>
    </xf>
    <xf numFmtId="9" fontId="3" fillId="0" borderId="0" xfId="25" applyAlignment="1">
      <alignment horizontal="centerContinuous"/>
    </xf>
    <xf numFmtId="166" fontId="0" fillId="0" borderId="0" xfId="16" applyNumberFormat="1" applyFont="1" applyAlignment="1">
      <alignment horizontal="centerContinuous"/>
    </xf>
    <xf numFmtId="166" fontId="3" fillId="0" borderId="0" xfId="16" applyNumberFormat="1" applyAlignment="1">
      <alignment horizontal="centerContinuous"/>
    </xf>
    <xf numFmtId="43" fontId="0" fillId="0" borderId="0" xfId="16" applyFont="1"/>
    <xf numFmtId="43" fontId="1" fillId="0" borderId="0" xfId="16" applyFont="1"/>
    <xf numFmtId="43" fontId="3" fillId="0" borderId="0" xfId="16"/>
    <xf numFmtId="43" fontId="3" fillId="0" borderId="0" xfId="16" applyFont="1"/>
    <xf numFmtId="165" fontId="0" fillId="0" borderId="0" xfId="25" applyNumberFormat="1" applyFont="1"/>
    <xf numFmtId="165" fontId="3" fillId="0" borderId="0" xfId="25" applyNumberFormat="1"/>
    <xf numFmtId="165" fontId="3" fillId="0" borderId="0" xfId="25" applyNumberFormat="1" applyFont="1"/>
    <xf numFmtId="0" fontId="1" fillId="0" borderId="0" xfId="0" quotePrefix="1" applyFont="1" applyAlignment="1">
      <alignment horizontal="center"/>
    </xf>
    <xf numFmtId="43" fontId="0" fillId="0" borderId="0" xfId="16" applyFont="1" applyAlignment="1">
      <alignment horizontal="center"/>
    </xf>
    <xf numFmtId="43" fontId="1" fillId="0" borderId="0" xfId="16" applyFont="1" applyAlignment="1">
      <alignment horizontal="center"/>
    </xf>
    <xf numFmtId="43" fontId="1" fillId="0" borderId="0" xfId="16" quotePrefix="1" applyFont="1" applyAlignment="1">
      <alignment horizontal="center"/>
    </xf>
    <xf numFmtId="43" fontId="0" fillId="0" borderId="0" xfId="16" applyNumberFormat="1" applyFont="1"/>
    <xf numFmtId="43" fontId="0" fillId="0" borderId="7" xfId="16" applyNumberFormat="1" applyFont="1" applyBorder="1"/>
    <xf numFmtId="43" fontId="0" fillId="0" borderId="0" xfId="16" applyNumberFormat="1" applyFont="1" applyBorder="1"/>
    <xf numFmtId="10" fontId="0" fillId="0" borderId="0" xfId="25" applyNumberFormat="1" applyFont="1" applyAlignment="1">
      <alignment horizontal="center"/>
    </xf>
    <xf numFmtId="43" fontId="3" fillId="0" borderId="0" xfId="16" applyAlignment="1">
      <alignment horizontal="center"/>
    </xf>
    <xf numFmtId="10" fontId="3" fillId="0" borderId="0" xfId="25" applyNumberFormat="1" applyFont="1" applyAlignment="1">
      <alignment horizontal="center"/>
    </xf>
    <xf numFmtId="10" fontId="3" fillId="0" borderId="0" xfId="25" applyNumberFormat="1" applyAlignment="1">
      <alignment horizontal="center"/>
    </xf>
    <xf numFmtId="164" fontId="4" fillId="0" borderId="0" xfId="16" applyNumberFormat="1" applyFont="1"/>
    <xf numFmtId="9" fontId="4" fillId="0" borderId="0" xfId="25" applyFont="1"/>
    <xf numFmtId="164" fontId="4" fillId="0" borderId="0" xfId="16" applyNumberFormat="1" applyFont="1" applyAlignment="1">
      <alignment horizontal="center"/>
    </xf>
    <xf numFmtId="0" fontId="4" fillId="0" borderId="0" xfId="0" applyFont="1" applyAlignment="1">
      <alignment horizontal="center"/>
    </xf>
    <xf numFmtId="164" fontId="7" fillId="0" borderId="0" xfId="16" applyNumberFormat="1" applyFont="1"/>
    <xf numFmtId="164" fontId="8" fillId="0" borderId="0" xfId="16" applyNumberFormat="1" applyFont="1"/>
    <xf numFmtId="0" fontId="7" fillId="0" borderId="0" xfId="0" applyFont="1"/>
    <xf numFmtId="9" fontId="8" fillId="0" borderId="0" xfId="25" applyFont="1"/>
    <xf numFmtId="164" fontId="9" fillId="0" borderId="0" xfId="16" applyNumberFormat="1" applyFont="1"/>
    <xf numFmtId="166" fontId="4" fillId="0" borderId="0" xfId="16" applyNumberFormat="1" applyFont="1"/>
    <xf numFmtId="0" fontId="4" fillId="0" borderId="7" xfId="0" applyFont="1" applyBorder="1"/>
    <xf numFmtId="166" fontId="4" fillId="0" borderId="7" xfId="16" applyNumberFormat="1" applyFont="1" applyBorder="1"/>
    <xf numFmtId="0" fontId="4" fillId="0" borderId="0" xfId="0" applyFont="1" applyBorder="1"/>
    <xf numFmtId="166" fontId="4" fillId="0" borderId="0" xfId="16" applyNumberFormat="1" applyFont="1" applyBorder="1"/>
    <xf numFmtId="164" fontId="4" fillId="0" borderId="7" xfId="16" applyNumberFormat="1" applyFont="1" applyBorder="1"/>
    <xf numFmtId="164" fontId="3" fillId="0" borderId="7" xfId="16" applyNumberFormat="1" applyBorder="1"/>
    <xf numFmtId="164" fontId="3" fillId="0" borderId="7" xfId="16" applyNumberFormat="1" applyFont="1" applyBorder="1"/>
    <xf numFmtId="164" fontId="3" fillId="0" borderId="0" xfId="16" applyNumberFormat="1" applyBorder="1"/>
    <xf numFmtId="164" fontId="1" fillId="0" borderId="0" xfId="16" quotePrefix="1" applyNumberFormat="1" applyFont="1" applyAlignment="1">
      <alignment horizontal="center"/>
    </xf>
    <xf numFmtId="164" fontId="0" fillId="0" borderId="0" xfId="25" applyNumberFormat="1" applyFont="1"/>
    <xf numFmtId="164" fontId="4" fillId="0" borderId="10" xfId="16" applyNumberFormat="1" applyFont="1" applyFill="1" applyBorder="1"/>
    <xf numFmtId="164" fontId="4" fillId="0" borderId="0" xfId="16" applyNumberFormat="1" applyFont="1" applyFill="1" applyBorder="1"/>
    <xf numFmtId="0" fontId="9" fillId="0" borderId="0" xfId="0" applyFont="1"/>
    <xf numFmtId="164" fontId="10" fillId="0" borderId="0" xfId="16" applyNumberFormat="1" applyFont="1"/>
    <xf numFmtId="43" fontId="10" fillId="0" borderId="0" xfId="16" applyFont="1"/>
    <xf numFmtId="164" fontId="11" fillId="0" borderId="10" xfId="16" applyNumberFormat="1" applyFont="1" applyFill="1" applyBorder="1"/>
    <xf numFmtId="164" fontId="11" fillId="0" borderId="0" xfId="16" applyNumberFormat="1" applyFont="1"/>
    <xf numFmtId="164" fontId="10" fillId="0" borderId="0" xfId="16" applyNumberFormat="1" applyFont="1" applyBorder="1"/>
    <xf numFmtId="43" fontId="10" fillId="0" borderId="0" xfId="16" applyFont="1" applyBorder="1"/>
    <xf numFmtId="164" fontId="11" fillId="0" borderId="0" xfId="16" applyNumberFormat="1" applyFont="1" applyFill="1" applyBorder="1"/>
    <xf numFmtId="164" fontId="11" fillId="0" borderId="0" xfId="16" applyNumberFormat="1" applyFont="1" applyBorder="1"/>
    <xf numFmtId="164" fontId="11" fillId="0" borderId="7" xfId="16" applyNumberFormat="1" applyFont="1" applyBorder="1"/>
    <xf numFmtId="164" fontId="11" fillId="0" borderId="11" xfId="16" applyNumberFormat="1" applyFont="1" applyFill="1" applyBorder="1"/>
    <xf numFmtId="164" fontId="10" fillId="0" borderId="7" xfId="16" applyNumberFormat="1" applyFont="1" applyBorder="1"/>
    <xf numFmtId="10" fontId="10" fillId="0" borderId="0" xfId="25" applyNumberFormat="1" applyFont="1"/>
    <xf numFmtId="9" fontId="10" fillId="0" borderId="0" xfId="25" applyFont="1"/>
    <xf numFmtId="0" fontId="10" fillId="0" borderId="0" xfId="0" applyFont="1"/>
    <xf numFmtId="9" fontId="11" fillId="0" borderId="0" xfId="25" applyFont="1"/>
    <xf numFmtId="165" fontId="10" fillId="0" borderId="0" xfId="25" applyNumberFormat="1" applyFont="1"/>
    <xf numFmtId="166" fontId="10" fillId="0" borderId="0" xfId="16" applyNumberFormat="1" applyFont="1"/>
    <xf numFmtId="165" fontId="11" fillId="0" borderId="0" xfId="25" applyNumberFormat="1" applyFont="1"/>
    <xf numFmtId="166" fontId="11" fillId="0" borderId="0" xfId="16" applyNumberFormat="1" applyFont="1"/>
    <xf numFmtId="164" fontId="11" fillId="0" borderId="0" xfId="16" applyNumberFormat="1" applyFont="1" applyAlignment="1"/>
    <xf numFmtId="167" fontId="10" fillId="0" borderId="0" xfId="16" applyNumberFormat="1" applyFont="1"/>
    <xf numFmtId="0" fontId="10" fillId="0" borderId="0" xfId="0" applyFont="1" applyBorder="1"/>
    <xf numFmtId="165" fontId="1" fillId="0" borderId="0" xfId="25" applyNumberFormat="1" applyFont="1"/>
    <xf numFmtId="165" fontId="12" fillId="0" borderId="0" xfId="25" applyNumberFormat="1" applyFont="1"/>
    <xf numFmtId="0" fontId="1" fillId="0" borderId="0" xfId="0" applyFont="1" applyAlignment="1">
      <alignment horizontal="centerContinuous"/>
    </xf>
    <xf numFmtId="9" fontId="3" fillId="0" borderId="0" xfId="25" applyFont="1"/>
    <xf numFmtId="164" fontId="1" fillId="0" borderId="10" xfId="16" applyNumberFormat="1" applyFont="1" applyFill="1" applyBorder="1"/>
    <xf numFmtId="164" fontId="1" fillId="0" borderId="0" xfId="16" applyNumberFormat="1" applyFont="1" applyFill="1" applyBorder="1"/>
    <xf numFmtId="164" fontId="1" fillId="0" borderId="11" xfId="16" applyNumberFormat="1" applyFont="1" applyFill="1" applyBorder="1"/>
    <xf numFmtId="164" fontId="0" fillId="0" borderId="0" xfId="0" applyNumberFormat="1"/>
    <xf numFmtId="0" fontId="14" fillId="0" borderId="0" xfId="0" applyFont="1"/>
    <xf numFmtId="164" fontId="1" fillId="0" borderId="0" xfId="16" applyNumberFormat="1" applyFont="1" applyAlignment="1">
      <alignment horizontal="centerContinuous"/>
    </xf>
    <xf numFmtId="9" fontId="3" fillId="0" borderId="0" xfId="25" applyFont="1" applyBorder="1" applyAlignment="1">
      <alignment horizontal="center"/>
    </xf>
    <xf numFmtId="164" fontId="3" fillId="0" borderId="0" xfId="16" applyNumberFormat="1" applyFont="1" applyBorder="1" applyAlignment="1">
      <alignment horizontal="center"/>
    </xf>
    <xf numFmtId="0" fontId="0" fillId="0" borderId="12" xfId="0" applyBorder="1"/>
    <xf numFmtId="9" fontId="3" fillId="0" borderId="0" xfId="25" applyBorder="1"/>
    <xf numFmtId="164" fontId="3" fillId="0" borderId="13" xfId="16" applyNumberFormat="1" applyBorder="1"/>
    <xf numFmtId="164" fontId="10" fillId="0" borderId="12" xfId="16" applyNumberFormat="1" applyFont="1" applyBorder="1"/>
    <xf numFmtId="164" fontId="11" fillId="0" borderId="12" xfId="16" applyNumberFormat="1" applyFont="1" applyBorder="1"/>
    <xf numFmtId="164" fontId="11" fillId="0" borderId="14" xfId="16" applyNumberFormat="1" applyFont="1" applyBorder="1"/>
    <xf numFmtId="164" fontId="11" fillId="0" borderId="15" xfId="16" applyNumberFormat="1" applyFont="1" applyBorder="1"/>
    <xf numFmtId="164" fontId="3" fillId="0" borderId="12" xfId="16" applyNumberFormat="1" applyBorder="1"/>
    <xf numFmtId="43" fontId="10" fillId="0" borderId="13" xfId="16" applyFont="1" applyBorder="1"/>
    <xf numFmtId="43" fontId="3" fillId="0" borderId="12" xfId="16" applyBorder="1"/>
    <xf numFmtId="164" fontId="3" fillId="0" borderId="12" xfId="16" applyNumberFormat="1" applyFont="1" applyBorder="1"/>
    <xf numFmtId="164" fontId="3" fillId="0" borderId="0" xfId="16" applyNumberFormat="1" applyFont="1" applyBorder="1"/>
    <xf numFmtId="10" fontId="0" fillId="0" borderId="0" xfId="25" applyNumberFormat="1" applyFont="1"/>
    <xf numFmtId="164" fontId="3" fillId="0" borderId="0" xfId="16" applyNumberFormat="1" applyFont="1" applyFill="1"/>
    <xf numFmtId="164" fontId="2" fillId="0" borderId="0" xfId="16" applyNumberFormat="1" applyFont="1"/>
    <xf numFmtId="165" fontId="2" fillId="0" borderId="0" xfId="25" applyNumberFormat="1" applyFont="1"/>
    <xf numFmtId="166" fontId="1" fillId="0" borderId="0" xfId="16" applyNumberFormat="1" applyFont="1"/>
    <xf numFmtId="166" fontId="2" fillId="0" borderId="0" xfId="16" applyNumberFormat="1" applyFont="1"/>
    <xf numFmtId="10" fontId="3" fillId="0" borderId="0" xfId="25" applyNumberFormat="1"/>
    <xf numFmtId="164" fontId="9" fillId="0" borderId="7" xfId="16" applyNumberFormat="1" applyFont="1" applyBorder="1" applyAlignment="1">
      <alignment horizontal="center"/>
    </xf>
    <xf numFmtId="9" fontId="9" fillId="0" borderId="7" xfId="25" applyFont="1" applyBorder="1" applyAlignment="1">
      <alignment horizontal="center"/>
    </xf>
    <xf numFmtId="0" fontId="4" fillId="0" borderId="16" xfId="0" applyFont="1" applyFill="1" applyBorder="1"/>
    <xf numFmtId="165" fontId="11" fillId="0" borderId="16" xfId="25" applyNumberFormat="1" applyFont="1" applyFill="1" applyBorder="1"/>
    <xf numFmtId="165" fontId="10" fillId="0" borderId="16" xfId="25" applyNumberFormat="1" applyFont="1" applyFill="1" applyBorder="1"/>
    <xf numFmtId="164" fontId="4" fillId="0" borderId="0" xfId="16" applyNumberFormat="1" applyFont="1" applyBorder="1"/>
    <xf numFmtId="9" fontId="9" fillId="0" borderId="17" xfId="25" applyFont="1" applyFill="1" applyBorder="1" applyAlignment="1">
      <alignment horizontal="center"/>
    </xf>
    <xf numFmtId="164" fontId="9" fillId="0" borderId="17" xfId="16" applyNumberFormat="1" applyFont="1" applyFill="1" applyBorder="1" applyAlignment="1">
      <alignment horizontal="center"/>
    </xf>
    <xf numFmtId="10" fontId="11" fillId="0" borderId="16" xfId="25" applyNumberFormat="1" applyFont="1" applyFill="1" applyBorder="1" applyAlignment="1">
      <alignment horizontal="right"/>
    </xf>
    <xf numFmtId="10" fontId="1" fillId="0" borderId="16" xfId="25" applyNumberFormat="1" applyFont="1" applyFill="1" applyBorder="1" applyAlignment="1">
      <alignment horizontal="right"/>
    </xf>
    <xf numFmtId="10" fontId="11" fillId="0" borderId="16" xfId="25" applyNumberFormat="1" applyFont="1" applyBorder="1" applyAlignment="1">
      <alignment horizontal="right"/>
    </xf>
    <xf numFmtId="10" fontId="11" fillId="0" borderId="17" xfId="25" applyNumberFormat="1" applyFont="1" applyFill="1" applyBorder="1" applyAlignment="1">
      <alignment horizontal="right"/>
    </xf>
    <xf numFmtId="10" fontId="1" fillId="0" borderId="17" xfId="25" applyNumberFormat="1" applyFont="1" applyFill="1" applyBorder="1" applyAlignment="1">
      <alignment horizontal="right"/>
    </xf>
    <xf numFmtId="10" fontId="1" fillId="0" borderId="16" xfId="25" applyNumberFormat="1" applyFont="1" applyBorder="1" applyAlignment="1">
      <alignment horizontal="right"/>
    </xf>
    <xf numFmtId="10" fontId="10" fillId="0" borderId="16" xfId="25" applyNumberFormat="1" applyFont="1" applyBorder="1" applyAlignment="1">
      <alignment horizontal="right"/>
    </xf>
    <xf numFmtId="0" fontId="1" fillId="0" borderId="7" xfId="0" quotePrefix="1" applyFont="1" applyBorder="1" applyAlignment="1">
      <alignment horizontal="center"/>
    </xf>
    <xf numFmtId="0" fontId="1" fillId="0" borderId="7" xfId="0" applyFont="1" applyBorder="1" applyAlignment="1">
      <alignment horizontal="centerContinuous"/>
    </xf>
    <xf numFmtId="0" fontId="0" fillId="0" borderId="7" xfId="0" applyBorder="1" applyAlignment="1">
      <alignment horizontal="centerContinuous"/>
    </xf>
    <xf numFmtId="17" fontId="1" fillId="0" borderId="7" xfId="0" quotePrefix="1" applyNumberFormat="1" applyFont="1" applyBorder="1" applyAlignment="1">
      <alignment horizontal="center"/>
    </xf>
    <xf numFmtId="43" fontId="13" fillId="0" borderId="7" xfId="16" applyFont="1" applyBorder="1" applyAlignment="1">
      <alignment horizontal="center"/>
    </xf>
    <xf numFmtId="43" fontId="11" fillId="0" borderId="7" xfId="16" applyFont="1" applyBorder="1" applyAlignment="1">
      <alignment horizontal="center"/>
    </xf>
    <xf numFmtId="43" fontId="11" fillId="0" borderId="0" xfId="16" applyFont="1" applyAlignment="1">
      <alignment horizontal="center"/>
    </xf>
    <xf numFmtId="43" fontId="8" fillId="0" borderId="7" xfId="16" applyFont="1" applyBorder="1" applyAlignment="1">
      <alignment horizontal="center"/>
    </xf>
    <xf numFmtId="43" fontId="1" fillId="0" borderId="18" xfId="16" quotePrefix="1" applyFont="1" applyBorder="1" applyAlignment="1">
      <alignment horizontal="center"/>
    </xf>
    <xf numFmtId="0" fontId="11" fillId="0" borderId="0" xfId="0" applyFont="1"/>
    <xf numFmtId="0" fontId="11" fillId="0" borderId="0" xfId="0" applyFont="1" applyAlignment="1">
      <alignment horizontal="left"/>
    </xf>
    <xf numFmtId="0" fontId="1" fillId="0" borderId="0" xfId="0" applyFont="1" applyAlignment="1">
      <alignment horizontal="left"/>
    </xf>
    <xf numFmtId="0" fontId="8" fillId="0" borderId="0" xfId="0" applyFont="1" applyAlignment="1">
      <alignment horizontal="left"/>
    </xf>
    <xf numFmtId="43" fontId="3" fillId="0" borderId="7" xfId="16" applyBorder="1"/>
    <xf numFmtId="0" fontId="0" fillId="0" borderId="7" xfId="0" applyBorder="1" applyAlignment="1">
      <alignment horizontal="center"/>
    </xf>
    <xf numFmtId="10" fontId="0" fillId="0" borderId="7" xfId="25" applyNumberFormat="1" applyFont="1" applyBorder="1" applyAlignment="1">
      <alignment horizontal="center"/>
    </xf>
    <xf numFmtId="164" fontId="4" fillId="0" borderId="16" xfId="16" applyNumberFormat="1" applyFont="1" applyFill="1" applyBorder="1"/>
    <xf numFmtId="164" fontId="11" fillId="0" borderId="16" xfId="16" applyNumberFormat="1" applyFont="1" applyFill="1" applyBorder="1"/>
    <xf numFmtId="164" fontId="11" fillId="0" borderId="17" xfId="16" applyNumberFormat="1" applyFont="1" applyFill="1" applyBorder="1"/>
    <xf numFmtId="10" fontId="1" fillId="0" borderId="16" xfId="25" applyNumberFormat="1" applyFont="1" applyBorder="1"/>
    <xf numFmtId="165" fontId="1" fillId="0" borderId="16" xfId="25" applyNumberFormat="1" applyFont="1" applyBorder="1"/>
    <xf numFmtId="0" fontId="10" fillId="0" borderId="16" xfId="0" applyFont="1" applyBorder="1"/>
    <xf numFmtId="9" fontId="4" fillId="0" borderId="16" xfId="25" applyFont="1" applyFill="1" applyBorder="1"/>
    <xf numFmtId="164" fontId="1" fillId="0" borderId="16" xfId="16" applyNumberFormat="1" applyFont="1" applyFill="1" applyBorder="1"/>
    <xf numFmtId="164" fontId="1" fillId="0" borderId="17" xfId="16" applyNumberFormat="1" applyFont="1" applyFill="1" applyBorder="1"/>
    <xf numFmtId="164" fontId="1" fillId="0" borderId="16" xfId="16" applyNumberFormat="1" applyFont="1" applyBorder="1"/>
    <xf numFmtId="164" fontId="10" fillId="0" borderId="16" xfId="16" applyNumberFormat="1" applyFont="1" applyFill="1" applyBorder="1"/>
    <xf numFmtId="164" fontId="4" fillId="0" borderId="16" xfId="16" applyNumberFormat="1" applyFont="1" applyFill="1" applyBorder="1" applyAlignment="1">
      <alignment horizontal="center"/>
    </xf>
    <xf numFmtId="43" fontId="1" fillId="0" borderId="16" xfId="16" applyFont="1" applyFill="1" applyBorder="1"/>
    <xf numFmtId="166" fontId="4" fillId="0" borderId="16" xfId="16" applyNumberFormat="1" applyFont="1" applyFill="1" applyBorder="1"/>
    <xf numFmtId="166" fontId="8" fillId="0" borderId="16" xfId="16" applyNumberFormat="1" applyFont="1" applyFill="1" applyBorder="1"/>
    <xf numFmtId="43" fontId="12" fillId="0" borderId="0" xfId="16" applyFont="1"/>
    <xf numFmtId="0" fontId="3" fillId="0" borderId="0" xfId="0" applyFont="1"/>
    <xf numFmtId="43" fontId="3" fillId="0" borderId="0" xfId="16" applyBorder="1"/>
    <xf numFmtId="0" fontId="10" fillId="0" borderId="0" xfId="0" applyFont="1" applyAlignment="1">
      <alignment horizontal="center"/>
    </xf>
    <xf numFmtId="43" fontId="0" fillId="0" borderId="7" xfId="16" applyFont="1" applyBorder="1"/>
    <xf numFmtId="43" fontId="0" fillId="0" borderId="0" xfId="16" applyFont="1" applyBorder="1"/>
    <xf numFmtId="0" fontId="1" fillId="0" borderId="7" xfId="0" applyFont="1" applyBorder="1" applyAlignment="1">
      <alignment horizontal="right"/>
    </xf>
    <xf numFmtId="9" fontId="3" fillId="0" borderId="0" xfId="25" applyFill="1" applyAlignment="1">
      <alignment horizontal="centerContinuous"/>
    </xf>
    <xf numFmtId="164" fontId="3" fillId="0" borderId="0" xfId="16" applyNumberFormat="1" applyFill="1" applyAlignment="1">
      <alignment horizontal="centerContinuous"/>
    </xf>
    <xf numFmtId="9" fontId="3" fillId="0" borderId="0" xfId="25" applyFill="1" applyBorder="1" applyAlignment="1">
      <alignment horizontal="centerContinuous"/>
    </xf>
    <xf numFmtId="164" fontId="3" fillId="0" borderId="0" xfId="16" applyNumberFormat="1" applyFill="1" applyBorder="1" applyAlignment="1">
      <alignment horizontal="centerContinuous"/>
    </xf>
    <xf numFmtId="164" fontId="3" fillId="0" borderId="0" xfId="16" quotePrefix="1" applyNumberFormat="1" applyFont="1" applyBorder="1" applyAlignment="1">
      <alignment horizontal="center"/>
    </xf>
    <xf numFmtId="0" fontId="0" fillId="0" borderId="0" xfId="0" applyBorder="1" applyAlignment="1">
      <alignment horizontal="center"/>
    </xf>
    <xf numFmtId="164" fontId="10" fillId="0" borderId="19" xfId="16" applyNumberFormat="1" applyFont="1" applyBorder="1"/>
    <xf numFmtId="164" fontId="1" fillId="0" borderId="7" xfId="16" applyNumberFormat="1" applyFont="1" applyBorder="1" applyAlignment="1">
      <alignment horizontal="center"/>
    </xf>
    <xf numFmtId="9" fontId="1" fillId="0" borderId="7" xfId="25" applyFont="1" applyBorder="1" applyAlignment="1">
      <alignment horizontal="center"/>
    </xf>
    <xf numFmtId="164" fontId="1" fillId="0" borderId="7" xfId="16" quotePrefix="1" applyNumberFormat="1" applyFont="1" applyBorder="1" applyAlignment="1">
      <alignment horizontal="center"/>
    </xf>
    <xf numFmtId="0" fontId="1" fillId="0" borderId="18" xfId="0" applyFont="1" applyBorder="1" applyAlignment="1">
      <alignment horizontal="center"/>
    </xf>
    <xf numFmtId="9" fontId="1" fillId="0" borderId="18" xfId="25" applyFont="1" applyBorder="1" applyAlignment="1">
      <alignment horizontal="center"/>
    </xf>
    <xf numFmtId="164" fontId="1" fillId="0" borderId="18" xfId="16" quotePrefix="1" applyNumberFormat="1" applyFont="1" applyBorder="1" applyAlignment="1">
      <alignment horizontal="center"/>
    </xf>
    <xf numFmtId="9" fontId="15" fillId="0" borderId="7" xfId="25" applyFont="1" applyBorder="1" applyAlignment="1">
      <alignment horizontal="center"/>
    </xf>
    <xf numFmtId="9" fontId="1" fillId="0" borderId="0" xfId="25" applyFont="1" applyAlignment="1">
      <alignment horizontal="centerContinuous"/>
    </xf>
    <xf numFmtId="165" fontId="3" fillId="0" borderId="7" xfId="25" applyNumberFormat="1" applyFont="1" applyBorder="1"/>
    <xf numFmtId="43" fontId="3" fillId="0" borderId="7" xfId="16" applyFont="1" applyBorder="1"/>
    <xf numFmtId="164" fontId="1" fillId="0" borderId="0" xfId="16" applyNumberFormat="1" applyFont="1" applyBorder="1" applyAlignment="1">
      <alignment horizontal="center"/>
    </xf>
    <xf numFmtId="9" fontId="1" fillId="0" borderId="0" xfId="25" applyFont="1" applyBorder="1" applyAlignment="1">
      <alignment horizontal="center"/>
    </xf>
    <xf numFmtId="164" fontId="1" fillId="0" borderId="0" xfId="16" quotePrefix="1" applyNumberFormat="1" applyFont="1" applyBorder="1" applyAlignment="1">
      <alignment horizontal="center"/>
    </xf>
    <xf numFmtId="165" fontId="3" fillId="0" borderId="19" xfId="25" applyNumberFormat="1" applyFont="1" applyBorder="1"/>
    <xf numFmtId="166" fontId="1" fillId="0" borderId="18" xfId="16" applyNumberFormat="1" applyFont="1" applyBorder="1" applyAlignment="1">
      <alignment horizontal="center"/>
    </xf>
    <xf numFmtId="164" fontId="3" fillId="0" borderId="0" xfId="16" applyNumberFormat="1" applyFont="1" applyFill="1" applyAlignment="1">
      <alignment horizontal="centerContinuous"/>
    </xf>
    <xf numFmtId="164" fontId="3" fillId="0" borderId="0" xfId="16" applyNumberFormat="1" applyFont="1" applyFill="1" applyBorder="1" applyAlignment="1">
      <alignment horizontal="centerContinuous"/>
    </xf>
    <xf numFmtId="164" fontId="3" fillId="0" borderId="19" xfId="16" applyNumberFormat="1" applyBorder="1"/>
    <xf numFmtId="166" fontId="1" fillId="0" borderId="0" xfId="16" quotePrefix="1" applyNumberFormat="1" applyFont="1" applyAlignment="1">
      <alignment horizontal="center"/>
    </xf>
    <xf numFmtId="164" fontId="1" fillId="0" borderId="0" xfId="16" quotePrefix="1" applyNumberFormat="1" applyFont="1" applyFill="1" applyBorder="1" applyAlignment="1">
      <alignment horizontal="centerContinuous"/>
    </xf>
    <xf numFmtId="166" fontId="1" fillId="0" borderId="7" xfId="16" applyNumberFormat="1" applyFont="1" applyBorder="1" applyAlignment="1">
      <alignment horizontal="center" wrapText="1"/>
    </xf>
    <xf numFmtId="166" fontId="3" fillId="0" borderId="7" xfId="16" applyNumberFormat="1" applyFont="1" applyBorder="1" applyAlignment="1">
      <alignment horizontal="center"/>
    </xf>
    <xf numFmtId="166" fontId="1" fillId="0" borderId="7" xfId="16" applyNumberFormat="1" applyFont="1" applyBorder="1" applyAlignment="1">
      <alignment horizontal="center"/>
    </xf>
    <xf numFmtId="0" fontId="1" fillId="0" borderId="18" xfId="0" quotePrefix="1" applyFont="1" applyBorder="1" applyAlignment="1">
      <alignment horizontal="center"/>
    </xf>
    <xf numFmtId="164" fontId="3" fillId="0" borderId="19" xfId="16" applyNumberFormat="1" applyFont="1" applyBorder="1"/>
    <xf numFmtId="164" fontId="1" fillId="0" borderId="19" xfId="16" applyNumberFormat="1" applyFont="1" applyBorder="1"/>
    <xf numFmtId="9" fontId="4" fillId="0" borderId="0" xfId="25" applyFont="1" applyBorder="1"/>
    <xf numFmtId="164" fontId="4" fillId="0" borderId="20" xfId="16" applyNumberFormat="1" applyFont="1" applyBorder="1"/>
    <xf numFmtId="0" fontId="4" fillId="0" borderId="21" xfId="0" applyFont="1" applyBorder="1"/>
    <xf numFmtId="164" fontId="11" fillId="0" borderId="20" xfId="16" applyNumberFormat="1" applyFont="1" applyBorder="1"/>
    <xf numFmtId="10" fontId="10" fillId="0" borderId="0" xfId="25" applyNumberFormat="1" applyFont="1" applyBorder="1"/>
    <xf numFmtId="10" fontId="1" fillId="0" borderId="20" xfId="25" applyNumberFormat="1" applyFont="1" applyBorder="1"/>
    <xf numFmtId="0" fontId="4" fillId="0" borderId="22" xfId="0" applyFont="1" applyBorder="1"/>
    <xf numFmtId="10" fontId="10" fillId="0" borderId="23" xfId="25" applyNumberFormat="1" applyFont="1" applyBorder="1"/>
    <xf numFmtId="10" fontId="1" fillId="0" borderId="24" xfId="25" applyNumberFormat="1" applyFont="1" applyBorder="1"/>
    <xf numFmtId="10" fontId="1" fillId="0" borderId="25" xfId="25" applyNumberFormat="1" applyFont="1" applyBorder="1"/>
    <xf numFmtId="0" fontId="11" fillId="0" borderId="21" xfId="0" applyFont="1" applyBorder="1"/>
    <xf numFmtId="10" fontId="1" fillId="0" borderId="0" xfId="25" applyNumberFormat="1" applyFont="1" applyBorder="1"/>
    <xf numFmtId="165" fontId="10" fillId="0" borderId="0" xfId="25" applyNumberFormat="1" applyFont="1" applyBorder="1"/>
    <xf numFmtId="164" fontId="10" fillId="0" borderId="26" xfId="16" applyNumberFormat="1" applyFont="1" applyBorder="1"/>
    <xf numFmtId="43" fontId="10" fillId="0" borderId="26" xfId="16" applyFont="1" applyBorder="1"/>
    <xf numFmtId="164" fontId="11" fillId="0" borderId="27" xfId="16" applyNumberFormat="1" applyFont="1" applyBorder="1"/>
    <xf numFmtId="165" fontId="1" fillId="0" borderId="20" xfId="25" applyNumberFormat="1" applyFont="1" applyBorder="1"/>
    <xf numFmtId="165" fontId="10" fillId="0" borderId="23" xfId="25" applyNumberFormat="1" applyFont="1" applyBorder="1"/>
    <xf numFmtId="165" fontId="1" fillId="0" borderId="25" xfId="25" applyNumberFormat="1" applyFont="1" applyBorder="1"/>
    <xf numFmtId="164" fontId="11" fillId="0" borderId="28" xfId="16" applyNumberFormat="1" applyFont="1" applyBorder="1"/>
    <xf numFmtId="164" fontId="11" fillId="0" borderId="29" xfId="16" applyNumberFormat="1" applyFont="1" applyBorder="1"/>
    <xf numFmtId="165" fontId="1" fillId="0" borderId="29" xfId="25" applyNumberFormat="1" applyFont="1" applyBorder="1"/>
    <xf numFmtId="165" fontId="1" fillId="0" borderId="30" xfId="25" applyNumberFormat="1" applyFont="1" applyBorder="1"/>
    <xf numFmtId="164" fontId="11" fillId="0" borderId="31" xfId="16" applyNumberFormat="1" applyFont="1" applyFill="1" applyBorder="1"/>
    <xf numFmtId="165" fontId="1" fillId="0" borderId="24" xfId="25" applyNumberFormat="1" applyFont="1" applyBorder="1"/>
    <xf numFmtId="164" fontId="9" fillId="0" borderId="32" xfId="16" applyNumberFormat="1" applyFont="1" applyBorder="1" applyAlignment="1">
      <alignment horizontal="center"/>
    </xf>
    <xf numFmtId="164" fontId="9" fillId="0" borderId="0" xfId="16" applyNumberFormat="1" applyFont="1" applyBorder="1" applyAlignment="1">
      <alignment horizontal="center"/>
    </xf>
    <xf numFmtId="9" fontId="9" fillId="0" borderId="0" xfId="25" applyFont="1" applyBorder="1" applyAlignment="1">
      <alignment horizontal="center"/>
    </xf>
    <xf numFmtId="0" fontId="4" fillId="0" borderId="26" xfId="0" applyFont="1" applyBorder="1"/>
    <xf numFmtId="0" fontId="4" fillId="0" borderId="31" xfId="0" applyFont="1" applyFill="1" applyBorder="1"/>
    <xf numFmtId="164" fontId="4" fillId="0" borderId="27" xfId="16" applyNumberFormat="1" applyFont="1" applyBorder="1" applyAlignment="1">
      <alignment horizontal="center"/>
    </xf>
    <xf numFmtId="164" fontId="1" fillId="0" borderId="31" xfId="16" applyNumberFormat="1" applyFont="1" applyFill="1" applyBorder="1"/>
    <xf numFmtId="0" fontId="0" fillId="0" borderId="21" xfId="0" applyBorder="1"/>
    <xf numFmtId="164" fontId="10" fillId="0" borderId="20" xfId="16" applyNumberFormat="1" applyFont="1" applyBorder="1"/>
    <xf numFmtId="0" fontId="15" fillId="0" borderId="21" xfId="0" applyFont="1" applyBorder="1"/>
    <xf numFmtId="164" fontId="9" fillId="0" borderId="0" xfId="16" applyNumberFormat="1" applyFont="1" applyFill="1" applyBorder="1" applyAlignment="1">
      <alignment horizontal="center"/>
    </xf>
    <xf numFmtId="164" fontId="11" fillId="0" borderId="33" xfId="16" applyNumberFormat="1" applyFont="1" applyFill="1" applyBorder="1"/>
    <xf numFmtId="164" fontId="11" fillId="0" borderId="19" xfId="16" applyNumberFormat="1" applyFont="1" applyBorder="1"/>
    <xf numFmtId="0" fontId="16" fillId="0" borderId="34" xfId="0" applyFont="1" applyBorder="1"/>
    <xf numFmtId="43" fontId="4" fillId="0" borderId="21" xfId="16" applyFont="1" applyBorder="1"/>
    <xf numFmtId="43" fontId="3" fillId="0" borderId="0" xfId="16" applyFont="1" applyBorder="1"/>
    <xf numFmtId="43" fontId="4" fillId="0" borderId="0" xfId="16" applyFont="1"/>
    <xf numFmtId="164" fontId="9" fillId="0" borderId="11" xfId="16" applyNumberFormat="1" applyFont="1" applyFill="1" applyBorder="1" applyAlignment="1">
      <alignment horizontal="center"/>
    </xf>
    <xf numFmtId="164" fontId="1" fillId="0" borderId="0" xfId="25" applyNumberFormat="1" applyFont="1" applyFill="1" applyBorder="1"/>
    <xf numFmtId="164" fontId="11" fillId="0" borderId="35" xfId="16" applyNumberFormat="1" applyFont="1" applyFill="1" applyBorder="1"/>
    <xf numFmtId="164" fontId="10" fillId="0" borderId="0" xfId="16" applyNumberFormat="1" applyFont="1" applyFill="1" applyBorder="1"/>
    <xf numFmtId="165" fontId="3" fillId="0" borderId="0" xfId="25" applyNumberFormat="1" applyFont="1" applyBorder="1"/>
    <xf numFmtId="164" fontId="9" fillId="0" borderId="19" xfId="16" applyNumberFormat="1" applyFont="1" applyBorder="1" applyAlignment="1">
      <alignment horizontal="center"/>
    </xf>
    <xf numFmtId="9" fontId="9" fillId="0" borderId="19" xfId="25" applyFont="1" applyBorder="1" applyAlignment="1">
      <alignment horizontal="center"/>
    </xf>
    <xf numFmtId="164" fontId="9" fillId="0" borderId="35" xfId="16" applyNumberFormat="1" applyFont="1" applyFill="1" applyBorder="1" applyAlignment="1">
      <alignment horizontal="center"/>
    </xf>
    <xf numFmtId="164" fontId="1" fillId="0" borderId="35" xfId="16" applyNumberFormat="1" applyFont="1" applyFill="1" applyBorder="1"/>
    <xf numFmtId="164" fontId="10" fillId="0" borderId="0" xfId="25" applyNumberFormat="1" applyFont="1" applyFill="1" applyBorder="1"/>
    <xf numFmtId="0" fontId="0" fillId="0" borderId="0" xfId="0" applyFill="1" applyBorder="1"/>
    <xf numFmtId="164" fontId="9" fillId="0" borderId="0" xfId="16" applyNumberFormat="1" applyFont="1" applyFill="1" applyBorder="1"/>
    <xf numFmtId="9" fontId="9" fillId="0" borderId="0" xfId="25" applyFont="1" applyFill="1" applyBorder="1"/>
    <xf numFmtId="164" fontId="8" fillId="0" borderId="0" xfId="16" applyNumberFormat="1" applyFont="1" applyBorder="1" applyAlignment="1">
      <alignment horizontal="center"/>
    </xf>
    <xf numFmtId="9" fontId="8" fillId="0" borderId="0" xfId="25" applyFont="1" applyBorder="1" applyAlignment="1">
      <alignment horizontal="center"/>
    </xf>
    <xf numFmtId="164" fontId="8" fillId="0" borderId="16" xfId="16" applyNumberFormat="1" applyFont="1" applyFill="1" applyBorder="1" applyAlignment="1">
      <alignment horizontal="center"/>
    </xf>
    <xf numFmtId="9" fontId="8" fillId="0" borderId="16" xfId="25" applyFont="1" applyFill="1" applyBorder="1" applyAlignment="1">
      <alignment horizontal="center"/>
    </xf>
    <xf numFmtId="0" fontId="12" fillId="0" borderId="0" xfId="0" applyFont="1"/>
    <xf numFmtId="166" fontId="3" fillId="0" borderId="0" xfId="16" applyNumberFormat="1" applyAlignment="1"/>
    <xf numFmtId="164" fontId="0" fillId="0" borderId="0" xfId="16" applyNumberFormat="1" applyFont="1" applyBorder="1" applyAlignment="1">
      <alignment horizontal="center"/>
    </xf>
    <xf numFmtId="9" fontId="0" fillId="0" borderId="0" xfId="25" applyFont="1" applyBorder="1" applyAlignment="1">
      <alignment horizontal="center"/>
    </xf>
    <xf numFmtId="164" fontId="0" fillId="0" borderId="0" xfId="16" quotePrefix="1" applyNumberFormat="1" applyFont="1" applyBorder="1" applyAlignment="1">
      <alignment horizontal="center"/>
    </xf>
    <xf numFmtId="164" fontId="0" fillId="0" borderId="7" xfId="16" applyNumberFormat="1" applyFont="1" applyBorder="1"/>
    <xf numFmtId="43" fontId="1" fillId="0" borderId="7" xfId="16" applyFont="1" applyBorder="1" applyAlignment="1">
      <alignment horizontal="center"/>
    </xf>
    <xf numFmtId="43" fontId="15" fillId="0" borderId="7" xfId="16" applyFont="1" applyBorder="1" applyAlignment="1">
      <alignment horizontal="center"/>
    </xf>
    <xf numFmtId="164" fontId="15" fillId="0" borderId="7" xfId="16" applyNumberFormat="1" applyFont="1" applyBorder="1" applyAlignment="1">
      <alignment horizontal="center"/>
    </xf>
    <xf numFmtId="165" fontId="10" fillId="0" borderId="19" xfId="25" applyNumberFormat="1" applyFont="1" applyBorder="1"/>
    <xf numFmtId="165" fontId="10" fillId="0" borderId="7" xfId="25" applyNumberFormat="1" applyFont="1" applyBorder="1"/>
    <xf numFmtId="164" fontId="0" fillId="0" borderId="7" xfId="16" applyNumberFormat="1" applyFont="1" applyBorder="1" applyAlignment="1">
      <alignment horizontal="centerContinuous"/>
    </xf>
    <xf numFmtId="9" fontId="0" fillId="0" borderId="7" xfId="25" applyFont="1" applyBorder="1" applyAlignment="1">
      <alignment horizontal="centerContinuous"/>
    </xf>
    <xf numFmtId="9" fontId="3" fillId="0" borderId="0" xfId="25" applyFont="1" applyFill="1" applyAlignment="1">
      <alignment horizontal="centerContinuous"/>
    </xf>
    <xf numFmtId="166" fontId="1" fillId="0" borderId="0" xfId="16" quotePrefix="1" applyNumberFormat="1" applyFont="1" applyFill="1" applyAlignment="1">
      <alignment horizontal="centerContinuous"/>
    </xf>
    <xf numFmtId="166" fontId="10" fillId="0" borderId="19" xfId="16" applyNumberFormat="1" applyFont="1" applyBorder="1"/>
    <xf numFmtId="43" fontId="1" fillId="0" borderId="7" xfId="16" applyNumberFormat="1" applyFont="1" applyBorder="1" applyAlignment="1">
      <alignment horizontal="center" wrapText="1"/>
    </xf>
    <xf numFmtId="164" fontId="3" fillId="0" borderId="0" xfId="16" applyNumberFormat="1" applyFont="1" applyAlignment="1"/>
    <xf numFmtId="164" fontId="3" fillId="0" borderId="19" xfId="16" applyNumberFormat="1" applyFont="1" applyBorder="1" applyAlignment="1"/>
    <xf numFmtId="164" fontId="17" fillId="0" borderId="0" xfId="16" applyNumberFormat="1" applyFont="1"/>
    <xf numFmtId="164" fontId="16" fillId="0" borderId="16" xfId="16" applyNumberFormat="1" applyFont="1" applyFill="1" applyBorder="1"/>
    <xf numFmtId="164" fontId="17" fillId="0" borderId="19" xfId="16" applyNumberFormat="1" applyFont="1" applyBorder="1"/>
    <xf numFmtId="164" fontId="16" fillId="0" borderId="35" xfId="16" applyNumberFormat="1" applyFont="1" applyFill="1" applyBorder="1"/>
    <xf numFmtId="164" fontId="16" fillId="0" borderId="0" xfId="16" applyNumberFormat="1" applyFont="1"/>
    <xf numFmtId="164" fontId="17" fillId="0" borderId="0" xfId="16" applyNumberFormat="1" applyFont="1" applyBorder="1"/>
    <xf numFmtId="164" fontId="17" fillId="0" borderId="7" xfId="16" applyNumberFormat="1" applyFont="1" applyBorder="1"/>
    <xf numFmtId="164" fontId="16" fillId="0" borderId="17" xfId="16" applyNumberFormat="1" applyFont="1" applyFill="1" applyBorder="1"/>
    <xf numFmtId="164" fontId="15" fillId="0" borderId="17" xfId="16" applyNumberFormat="1" applyFont="1" applyFill="1" applyBorder="1" applyAlignment="1">
      <alignment horizontal="center"/>
    </xf>
    <xf numFmtId="9" fontId="15" fillId="0" borderId="17" xfId="25" applyFont="1" applyFill="1" applyBorder="1" applyAlignment="1">
      <alignment horizontal="center"/>
    </xf>
    <xf numFmtId="10" fontId="3" fillId="0" borderId="0" xfId="25" applyNumberFormat="1" applyAlignment="1">
      <alignment horizontal="right"/>
    </xf>
    <xf numFmtId="43" fontId="15" fillId="0" borderId="0" xfId="16" applyFont="1" applyBorder="1" applyAlignment="1">
      <alignment horizontal="center"/>
    </xf>
    <xf numFmtId="43" fontId="1" fillId="0" borderId="0" xfId="16" quotePrefix="1" applyFont="1" applyBorder="1" applyAlignment="1">
      <alignment horizontal="center"/>
    </xf>
    <xf numFmtId="10" fontId="3" fillId="0" borderId="0" xfId="16" applyNumberFormat="1" applyAlignment="1">
      <alignment horizontal="center"/>
    </xf>
    <xf numFmtId="10" fontId="12" fillId="0" borderId="0" xfId="25" applyNumberFormat="1" applyFont="1" applyAlignment="1">
      <alignment horizontal="center"/>
    </xf>
    <xf numFmtId="165" fontId="3" fillId="0" borderId="7" xfId="25" applyNumberFormat="1" applyBorder="1"/>
    <xf numFmtId="10" fontId="3" fillId="0" borderId="0" xfId="16" applyNumberFormat="1" applyFont="1" applyAlignment="1">
      <alignment horizontal="center"/>
    </xf>
    <xf numFmtId="43" fontId="3" fillId="0" borderId="0" xfId="16" applyFont="1" applyAlignment="1">
      <alignment horizontal="center"/>
    </xf>
    <xf numFmtId="164" fontId="3" fillId="0" borderId="36" xfId="16" applyNumberFormat="1" applyBorder="1"/>
    <xf numFmtId="164" fontId="10" fillId="0" borderId="36" xfId="16" applyNumberFormat="1" applyFont="1" applyBorder="1"/>
    <xf numFmtId="164" fontId="1" fillId="0" borderId="36" xfId="16" applyNumberFormat="1" applyFont="1" applyBorder="1"/>
    <xf numFmtId="164" fontId="1" fillId="0" borderId="37" xfId="16" applyNumberFormat="1" applyFont="1" applyBorder="1"/>
    <xf numFmtId="43" fontId="3" fillId="0" borderId="36" xfId="16" applyFont="1" applyBorder="1"/>
    <xf numFmtId="43" fontId="10" fillId="0" borderId="36" xfId="16" applyFont="1" applyBorder="1"/>
    <xf numFmtId="9" fontId="3" fillId="0" borderId="13" xfId="25" applyFont="1" applyBorder="1"/>
    <xf numFmtId="10" fontId="10" fillId="0" borderId="13" xfId="25" applyNumberFormat="1" applyFont="1" applyBorder="1"/>
    <xf numFmtId="10" fontId="3" fillId="0" borderId="13" xfId="25" applyNumberFormat="1" applyBorder="1"/>
    <xf numFmtId="43" fontId="3" fillId="0" borderId="13" xfId="16" applyBorder="1"/>
    <xf numFmtId="164" fontId="1" fillId="0" borderId="0" xfId="16" quotePrefix="1" applyNumberFormat="1" applyFont="1" applyFill="1" applyAlignment="1">
      <alignment horizontal="centerContinuous"/>
    </xf>
    <xf numFmtId="166" fontId="3" fillId="0" borderId="0" xfId="16" applyNumberFormat="1" applyFill="1"/>
    <xf numFmtId="166" fontId="3" fillId="0" borderId="19" xfId="16" applyNumberFormat="1" applyBorder="1"/>
    <xf numFmtId="165" fontId="3" fillId="0" borderId="0" xfId="25" applyNumberFormat="1" applyBorder="1"/>
    <xf numFmtId="9" fontId="3" fillId="0" borderId="38" xfId="25" applyFont="1" applyBorder="1"/>
    <xf numFmtId="10" fontId="10" fillId="0" borderId="38" xfId="25" applyNumberFormat="1" applyFont="1" applyBorder="1"/>
    <xf numFmtId="43" fontId="10" fillId="0" borderId="38" xfId="16" applyFont="1" applyBorder="1"/>
    <xf numFmtId="164" fontId="1" fillId="0" borderId="0" xfId="16" applyNumberFormat="1" applyFont="1" applyBorder="1"/>
    <xf numFmtId="164" fontId="1" fillId="0" borderId="15" xfId="16" applyNumberFormat="1" applyFont="1" applyBorder="1"/>
    <xf numFmtId="9" fontId="3" fillId="0" borderId="0" xfId="25" quotePrefix="1" applyFont="1" applyBorder="1" applyAlignment="1">
      <alignment horizontal="center"/>
    </xf>
    <xf numFmtId="10" fontId="10" fillId="0" borderId="19" xfId="25" applyNumberFormat="1" applyFont="1" applyBorder="1"/>
    <xf numFmtId="10" fontId="3" fillId="0" borderId="7" xfId="25" applyNumberFormat="1" applyFont="1" applyBorder="1"/>
    <xf numFmtId="164" fontId="1" fillId="0" borderId="7" xfId="16" applyNumberFormat="1" applyFont="1" applyBorder="1" applyAlignment="1">
      <alignment horizontal="center" wrapText="1"/>
    </xf>
    <xf numFmtId="9" fontId="1" fillId="0" borderId="0" xfId="25" applyFont="1" applyFill="1" applyAlignment="1">
      <alignment horizontal="centerContinuous"/>
    </xf>
    <xf numFmtId="164" fontId="1" fillId="0" borderId="0" xfId="16" applyNumberFormat="1" applyFont="1" applyFill="1" applyAlignment="1">
      <alignment horizontal="centerContinuous"/>
    </xf>
    <xf numFmtId="166" fontId="1" fillId="0" borderId="0" xfId="16" applyNumberFormat="1" applyFont="1" applyFill="1"/>
    <xf numFmtId="164" fontId="1" fillId="0" borderId="39" xfId="16" applyNumberFormat="1" applyFont="1" applyBorder="1" applyAlignment="1">
      <alignment horizontal="center"/>
    </xf>
    <xf numFmtId="9" fontId="1" fillId="0" borderId="40" xfId="25" applyFont="1" applyBorder="1" applyAlignment="1">
      <alignment horizontal="center"/>
    </xf>
    <xf numFmtId="164" fontId="1" fillId="0" borderId="40" xfId="16" applyNumberFormat="1" applyFont="1" applyBorder="1" applyAlignment="1">
      <alignment horizontal="center"/>
    </xf>
    <xf numFmtId="9" fontId="1" fillId="0" borderId="41" xfId="25" quotePrefix="1" applyFont="1" applyBorder="1" applyAlignment="1">
      <alignment horizontal="center"/>
    </xf>
    <xf numFmtId="9" fontId="1" fillId="0" borderId="42" xfId="25" applyFont="1" applyBorder="1" applyAlignment="1">
      <alignment horizontal="center"/>
    </xf>
    <xf numFmtId="9" fontId="1" fillId="0" borderId="43" xfId="25" quotePrefix="1" applyFont="1" applyBorder="1" applyAlignment="1">
      <alignment horizontal="center"/>
    </xf>
    <xf numFmtId="164" fontId="1" fillId="0" borderId="42" xfId="16" applyNumberFormat="1" applyFont="1" applyBorder="1" applyAlignment="1">
      <alignment horizontal="center"/>
    </xf>
    <xf numFmtId="9" fontId="3" fillId="0" borderId="15" xfId="25" applyFont="1" applyBorder="1" applyAlignment="1">
      <alignment horizontal="centerContinuous"/>
    </xf>
    <xf numFmtId="0" fontId="9" fillId="0" borderId="0" xfId="0" applyFont="1" applyAlignment="1"/>
    <xf numFmtId="166" fontId="1" fillId="0" borderId="0" xfId="16" applyNumberFormat="1" applyFont="1" applyFill="1" applyAlignment="1">
      <alignment horizontal="centerContinuous"/>
    </xf>
    <xf numFmtId="164" fontId="1" fillId="0" borderId="18" xfId="16" applyNumberFormat="1" applyFont="1" applyBorder="1" applyAlignment="1">
      <alignment horizontal="center"/>
    </xf>
    <xf numFmtId="164" fontId="3" fillId="0" borderId="36" xfId="16" applyNumberFormat="1" applyFont="1" applyBorder="1"/>
    <xf numFmtId="43" fontId="1" fillId="0" borderId="0" xfId="16" quotePrefix="1" applyNumberFormat="1" applyFont="1" applyAlignment="1">
      <alignment horizontal="center"/>
    </xf>
    <xf numFmtId="164" fontId="1" fillId="0" borderId="43" xfId="16" quotePrefix="1" applyNumberFormat="1" applyFont="1" applyBorder="1" applyAlignment="1">
      <alignment horizontal="center"/>
    </xf>
    <xf numFmtId="10" fontId="3" fillId="0" borderId="7" xfId="25" applyNumberFormat="1" applyBorder="1" applyAlignment="1">
      <alignment horizontal="right"/>
    </xf>
    <xf numFmtId="10" fontId="3" fillId="0" borderId="0" xfId="25" applyNumberFormat="1" applyBorder="1" applyAlignment="1">
      <alignment horizontal="right"/>
    </xf>
    <xf numFmtId="10" fontId="3" fillId="0" borderId="0" xfId="25" applyNumberFormat="1" applyFont="1" applyBorder="1" applyAlignment="1">
      <alignment horizontal="right"/>
    </xf>
    <xf numFmtId="164" fontId="18" fillId="0" borderId="16" xfId="16" applyNumberFormat="1" applyFont="1" applyFill="1" applyBorder="1"/>
    <xf numFmtId="10" fontId="10" fillId="0" borderId="7" xfId="25" applyNumberFormat="1" applyFont="1" applyBorder="1"/>
    <xf numFmtId="164" fontId="1" fillId="0" borderId="0" xfId="16" quotePrefix="1" applyNumberFormat="1" applyFont="1" applyAlignment="1">
      <alignment horizontal="centerContinuous"/>
    </xf>
    <xf numFmtId="10" fontId="1" fillId="0" borderId="44" xfId="25" applyNumberFormat="1" applyFont="1" applyBorder="1"/>
    <xf numFmtId="10" fontId="1" fillId="0" borderId="13" xfId="25" applyNumberFormat="1" applyFont="1" applyBorder="1"/>
    <xf numFmtId="10" fontId="1" fillId="0" borderId="38" xfId="25" applyNumberFormat="1" applyFont="1" applyBorder="1"/>
    <xf numFmtId="10" fontId="1" fillId="0" borderId="45" xfId="25" applyNumberFormat="1" applyFont="1" applyBorder="1"/>
    <xf numFmtId="10" fontId="11" fillId="0" borderId="0" xfId="25" applyNumberFormat="1" applyFont="1" applyFill="1" applyBorder="1" applyAlignment="1">
      <alignment horizontal="right"/>
    </xf>
    <xf numFmtId="10" fontId="1" fillId="0" borderId="0" xfId="25" applyNumberFormat="1" applyFont="1" applyFill="1" applyBorder="1" applyAlignment="1">
      <alignment horizontal="right"/>
    </xf>
    <xf numFmtId="43" fontId="3" fillId="0" borderId="0" xfId="25" applyNumberFormat="1" applyBorder="1" applyAlignment="1">
      <alignment horizontal="right"/>
    </xf>
    <xf numFmtId="43" fontId="3" fillId="0" borderId="7" xfId="25" applyNumberFormat="1" applyBorder="1" applyAlignment="1">
      <alignment horizontal="right"/>
    </xf>
    <xf numFmtId="9" fontId="8" fillId="0" borderId="7" xfId="25" quotePrefix="1" applyFont="1" applyBorder="1" applyAlignment="1">
      <alignment horizontal="center"/>
    </xf>
    <xf numFmtId="43" fontId="0" fillId="0" borderId="0" xfId="16" applyFont="1" applyAlignment="1">
      <alignment vertical="center" wrapText="1"/>
    </xf>
    <xf numFmtId="164" fontId="3" fillId="0" borderId="0" xfId="16" applyNumberFormat="1" applyAlignment="1"/>
    <xf numFmtId="43" fontId="1" fillId="0" borderId="16" xfId="16" applyFont="1" applyFill="1" applyBorder="1" applyAlignment="1">
      <alignment horizontal="right"/>
    </xf>
    <xf numFmtId="0" fontId="1" fillId="0" borderId="46" xfId="0" applyFont="1" applyBorder="1"/>
    <xf numFmtId="0" fontId="1" fillId="0" borderId="47" xfId="0" applyFont="1" applyBorder="1"/>
    <xf numFmtId="0" fontId="1" fillId="0" borderId="48" xfId="0" applyFont="1" applyBorder="1"/>
    <xf numFmtId="0" fontId="1" fillId="0" borderId="0" xfId="0" applyFont="1" applyBorder="1"/>
    <xf numFmtId="0" fontId="1" fillId="0" borderId="0" xfId="0" applyFont="1" applyBorder="1" applyAlignment="1">
      <alignment horizontal="center"/>
    </xf>
    <xf numFmtId="0" fontId="1" fillId="0" borderId="49" xfId="0" applyFont="1" applyBorder="1"/>
    <xf numFmtId="0" fontId="1" fillId="0" borderId="36" xfId="0" applyFont="1" applyBorder="1" applyAlignment="1">
      <alignment horizontal="center"/>
    </xf>
    <xf numFmtId="0" fontId="0" fillId="0" borderId="36" xfId="0" applyBorder="1"/>
    <xf numFmtId="0" fontId="1" fillId="0" borderId="20" xfId="0" applyFont="1" applyBorder="1" applyAlignment="1">
      <alignment horizontal="center"/>
    </xf>
    <xf numFmtId="0" fontId="0" fillId="0" borderId="20" xfId="0" applyBorder="1"/>
    <xf numFmtId="0" fontId="1" fillId="0" borderId="50" xfId="0" applyFont="1" applyBorder="1" applyAlignment="1">
      <alignment horizontal="center"/>
    </xf>
    <xf numFmtId="0" fontId="0" fillId="0" borderId="50" xfId="0" applyBorder="1"/>
    <xf numFmtId="0" fontId="11" fillId="0" borderId="48" xfId="0" applyFont="1" applyBorder="1" applyAlignment="1">
      <alignment horizontal="centerContinuous"/>
    </xf>
    <xf numFmtId="0" fontId="0" fillId="0" borderId="0" xfId="0" applyBorder="1" applyAlignment="1">
      <alignment horizontal="centerContinuous"/>
    </xf>
    <xf numFmtId="17" fontId="11" fillId="0" borderId="48" xfId="0" quotePrefix="1" applyNumberFormat="1" applyFont="1" applyBorder="1" applyAlignment="1">
      <alignment horizontal="centerContinuous"/>
    </xf>
    <xf numFmtId="0" fontId="1" fillId="0" borderId="51" xfId="0" applyFont="1" applyBorder="1" applyAlignment="1">
      <alignment horizontal="centerContinuous"/>
    </xf>
    <xf numFmtId="0" fontId="1" fillId="0" borderId="52" xfId="0" applyFont="1" applyBorder="1" applyAlignment="1">
      <alignment horizontal="centerContinuous"/>
    </xf>
    <xf numFmtId="0" fontId="1" fillId="0" borderId="53" xfId="0" applyFont="1" applyBorder="1" applyAlignment="1">
      <alignment horizontal="center"/>
    </xf>
    <xf numFmtId="0" fontId="0" fillId="0" borderId="54" xfId="0" applyBorder="1" applyAlignment="1">
      <alignment horizontal="centerContinuous"/>
    </xf>
    <xf numFmtId="0" fontId="21" fillId="0" borderId="0" xfId="0" applyFont="1" applyAlignment="1">
      <alignment horizontal="centerContinuous"/>
    </xf>
    <xf numFmtId="167" fontId="1" fillId="0" borderId="55" xfId="16" applyNumberFormat="1" applyFont="1" applyBorder="1"/>
    <xf numFmtId="0" fontId="0" fillId="0" borderId="0" xfId="0" applyFill="1"/>
    <xf numFmtId="9" fontId="8" fillId="0" borderId="0" xfId="25" applyFont="1" applyAlignment="1">
      <alignment horizontal="center"/>
    </xf>
    <xf numFmtId="164" fontId="1" fillId="0" borderId="7" xfId="16" applyNumberFormat="1" applyFont="1" applyBorder="1" applyAlignment="1">
      <alignment horizontal="centerContinuous"/>
    </xf>
    <xf numFmtId="9" fontId="1" fillId="0" borderId="7" xfId="25" applyFont="1" applyBorder="1" applyAlignment="1">
      <alignment horizontal="centerContinuous"/>
    </xf>
    <xf numFmtId="164" fontId="22" fillId="0" borderId="0" xfId="16" applyNumberFormat="1" applyFont="1"/>
    <xf numFmtId="164" fontId="23" fillId="0" borderId="0" xfId="16" applyNumberFormat="1" applyFont="1" applyBorder="1" applyAlignment="1">
      <alignment horizontal="center"/>
    </xf>
    <xf numFmtId="0" fontId="0" fillId="0" borderId="36" xfId="0" applyBorder="1" applyAlignment="1">
      <alignment horizontal="centerContinuous"/>
    </xf>
    <xf numFmtId="0" fontId="0" fillId="0" borderId="20" xfId="0" applyBorder="1" applyAlignment="1">
      <alignment horizontal="center"/>
    </xf>
    <xf numFmtId="167" fontId="1" fillId="0" borderId="49" xfId="16" applyNumberFormat="1" applyFont="1" applyBorder="1"/>
    <xf numFmtId="0" fontId="0" fillId="0" borderId="8" xfId="0" applyBorder="1" applyAlignment="1">
      <alignment horizontal="centerContinuous"/>
    </xf>
    <xf numFmtId="0" fontId="0" fillId="0" borderId="50" xfId="0" applyBorder="1" applyAlignment="1">
      <alignment horizontal="centerContinuous"/>
    </xf>
    <xf numFmtId="0" fontId="0" fillId="0" borderId="8" xfId="0" applyBorder="1" applyAlignment="1"/>
    <xf numFmtId="0" fontId="0" fillId="0" borderId="19" xfId="0" applyBorder="1" applyAlignment="1"/>
    <xf numFmtId="43" fontId="0" fillId="0" borderId="0" xfId="16" applyNumberFormat="1" applyFont="1" applyAlignment="1">
      <alignment horizontal="center"/>
    </xf>
    <xf numFmtId="0" fontId="0" fillId="0" borderId="0" xfId="0" applyBorder="1" applyAlignment="1"/>
    <xf numFmtId="0" fontId="0" fillId="0" borderId="8" xfId="0" applyBorder="1"/>
    <xf numFmtId="0" fontId="1" fillId="0" borderId="0" xfId="20" applyFont="1" applyAlignment="1">
      <alignment horizontal="centerContinuous"/>
    </xf>
    <xf numFmtId="0" fontId="3" fillId="0" borderId="0" xfId="20"/>
    <xf numFmtId="0" fontId="4" fillId="0" borderId="0" xfId="20" applyFont="1"/>
    <xf numFmtId="0" fontId="9" fillId="0" borderId="0" xfId="20" applyFont="1"/>
    <xf numFmtId="0" fontId="1" fillId="0" borderId="0" xfId="20" applyFont="1"/>
    <xf numFmtId="0" fontId="4" fillId="0" borderId="10" xfId="20" applyFont="1" applyFill="1" applyBorder="1"/>
    <xf numFmtId="0" fontId="4" fillId="0" borderId="0" xfId="20" applyFont="1" applyAlignment="1">
      <alignment horizontal="center"/>
    </xf>
    <xf numFmtId="0" fontId="7" fillId="0" borderId="0" xfId="20" applyFont="1"/>
    <xf numFmtId="0" fontId="11" fillId="0" borderId="0" xfId="20" applyFont="1"/>
    <xf numFmtId="0" fontId="1" fillId="0" borderId="0" xfId="20" applyFont="1" applyAlignment="1">
      <alignment horizontal="left"/>
    </xf>
    <xf numFmtId="0" fontId="10" fillId="0" borderId="0" xfId="20" applyFont="1"/>
    <xf numFmtId="166" fontId="3" fillId="0" borderId="0" xfId="16" quotePrefix="1" applyNumberFormat="1" applyFont="1" applyAlignment="1">
      <alignment horizontal="center"/>
    </xf>
    <xf numFmtId="0" fontId="3" fillId="0" borderId="0" xfId="20" applyAlignment="1">
      <alignment horizontal="centerContinuous"/>
    </xf>
    <xf numFmtId="166" fontId="1" fillId="0" borderId="0" xfId="16" applyNumberFormat="1" applyFont="1" applyAlignment="1">
      <alignment horizontal="centerContinuous"/>
    </xf>
    <xf numFmtId="10" fontId="3" fillId="0" borderId="0" xfId="25" applyNumberFormat="1" applyFont="1" applyAlignment="1">
      <alignment horizontal="right"/>
    </xf>
    <xf numFmtId="0" fontId="1" fillId="0" borderId="56" xfId="0" applyFont="1" applyBorder="1"/>
    <xf numFmtId="0" fontId="0" fillId="0" borderId="0" xfId="0" applyAlignment="1"/>
    <xf numFmtId="0" fontId="0" fillId="0" borderId="0" xfId="0" quotePrefix="1" applyAlignment="1">
      <alignment horizontal="center"/>
    </xf>
    <xf numFmtId="0" fontId="0" fillId="13" borderId="0" xfId="0" applyFill="1" applyAlignment="1">
      <alignment horizontal="centerContinuous"/>
    </xf>
    <xf numFmtId="0" fontId="27" fillId="13" borderId="0" xfId="0" applyFont="1" applyFill="1" applyAlignment="1">
      <alignment horizontal="centerContinuous"/>
    </xf>
    <xf numFmtId="0" fontId="0" fillId="0" borderId="0" xfId="0" applyProtection="1"/>
    <xf numFmtId="0" fontId="8" fillId="0" borderId="0" xfId="0" applyFont="1"/>
    <xf numFmtId="49" fontId="0" fillId="0" borderId="0" xfId="0" applyNumberFormat="1"/>
    <xf numFmtId="0" fontId="28" fillId="13" borderId="0" xfId="0" applyFont="1" applyFill="1" applyAlignment="1">
      <alignment horizontal="centerContinuous"/>
    </xf>
    <xf numFmtId="0" fontId="29" fillId="13" borderId="0" xfId="0" applyFont="1" applyFill="1" applyAlignment="1">
      <alignment horizontal="centerContinuous"/>
    </xf>
    <xf numFmtId="0" fontId="24" fillId="0" borderId="0" xfId="0" applyFont="1"/>
    <xf numFmtId="0" fontId="31" fillId="0" borderId="0" xfId="0" applyFont="1"/>
    <xf numFmtId="0" fontId="0" fillId="0" borderId="19" xfId="0" applyBorder="1"/>
    <xf numFmtId="0" fontId="32" fillId="13" borderId="48" xfId="0" applyFont="1" applyFill="1" applyBorder="1" applyAlignment="1">
      <alignment horizontal="centerContinuous"/>
    </xf>
    <xf numFmtId="0" fontId="0" fillId="13" borderId="0" xfId="0" applyFill="1" applyBorder="1" applyAlignment="1">
      <alignment horizontal="centerContinuous"/>
    </xf>
    <xf numFmtId="0" fontId="0" fillId="13" borderId="49" xfId="0" applyFill="1" applyBorder="1" applyAlignment="1">
      <alignment horizontal="centerContinuous"/>
    </xf>
    <xf numFmtId="0" fontId="0" fillId="14" borderId="46" xfId="0" applyFill="1" applyBorder="1"/>
    <xf numFmtId="0" fontId="0" fillId="14" borderId="47" xfId="0" applyFill="1" applyBorder="1"/>
    <xf numFmtId="0" fontId="0" fillId="14" borderId="57" xfId="0" applyFill="1" applyBorder="1"/>
    <xf numFmtId="0" fontId="0" fillId="14" borderId="48" xfId="0" applyFill="1" applyBorder="1"/>
    <xf numFmtId="0" fontId="0" fillId="14" borderId="0" xfId="0" applyFill="1" applyBorder="1"/>
    <xf numFmtId="0" fontId="0" fillId="14" borderId="49" xfId="0" applyFill="1" applyBorder="1"/>
    <xf numFmtId="0" fontId="0" fillId="14" borderId="48" xfId="0" applyFill="1" applyBorder="1" applyAlignment="1">
      <alignment horizontal="centerContinuous"/>
    </xf>
    <xf numFmtId="0" fontId="0" fillId="14" borderId="0" xfId="0" applyFill="1" applyBorder="1" applyAlignment="1">
      <alignment horizontal="centerContinuous"/>
    </xf>
    <xf numFmtId="0" fontId="0" fillId="14" borderId="49" xfId="0" applyFill="1" applyBorder="1" applyAlignment="1">
      <alignment horizontal="centerContinuous"/>
    </xf>
    <xf numFmtId="0" fontId="1" fillId="14" borderId="48" xfId="0" applyFont="1" applyFill="1" applyBorder="1" applyAlignment="1">
      <alignment horizontal="centerContinuous"/>
    </xf>
    <xf numFmtId="0" fontId="1" fillId="14" borderId="0" xfId="0" applyFont="1" applyFill="1" applyBorder="1" applyAlignment="1">
      <alignment horizontal="centerContinuous"/>
    </xf>
    <xf numFmtId="0" fontId="1" fillId="14" borderId="49" xfId="0" applyFont="1" applyFill="1" applyBorder="1" applyAlignment="1">
      <alignment horizontal="centerContinuous"/>
    </xf>
    <xf numFmtId="0" fontId="21" fillId="14" borderId="0" xfId="0" applyFont="1" applyFill="1" applyBorder="1" applyAlignment="1"/>
    <xf numFmtId="0" fontId="0" fillId="14" borderId="58" xfId="0" applyFill="1" applyBorder="1"/>
    <xf numFmtId="0" fontId="0" fillId="14" borderId="7" xfId="0" applyFill="1" applyBorder="1"/>
    <xf numFmtId="0" fontId="1" fillId="14" borderId="7" xfId="0" applyFont="1" applyFill="1" applyBorder="1" applyAlignment="1"/>
    <xf numFmtId="0" fontId="0" fillId="14" borderId="59" xfId="0" applyFill="1" applyBorder="1"/>
    <xf numFmtId="0" fontId="0" fillId="0" borderId="0" xfId="0" applyFill="1" applyBorder="1" applyAlignment="1">
      <alignment horizontal="centerContinuous"/>
    </xf>
    <xf numFmtId="0" fontId="0" fillId="14" borderId="0" xfId="0" applyFill="1"/>
    <xf numFmtId="0" fontId="0" fillId="14" borderId="0" xfId="0" applyFill="1" applyAlignment="1">
      <alignment horizontal="centerContinuous"/>
    </xf>
    <xf numFmtId="0" fontId="21" fillId="14" borderId="0" xfId="0" applyFont="1" applyFill="1" applyAlignment="1">
      <alignment horizontal="centerContinuous"/>
    </xf>
    <xf numFmtId="0" fontId="0" fillId="0" borderId="0" xfId="0" applyAlignment="1">
      <alignment horizontal="right"/>
    </xf>
    <xf numFmtId="0" fontId="16" fillId="14" borderId="48" xfId="0" applyFont="1" applyFill="1" applyBorder="1" applyAlignment="1">
      <alignment horizontal="centerContinuous"/>
    </xf>
    <xf numFmtId="0" fontId="1" fillId="0" borderId="48" xfId="0" applyFont="1" applyBorder="1" applyAlignment="1">
      <alignment horizontal="centerContinuous"/>
    </xf>
    <xf numFmtId="0" fontId="0" fillId="0" borderId="36" xfId="0" applyBorder="1" applyAlignment="1">
      <alignment horizontal="center"/>
    </xf>
    <xf numFmtId="167" fontId="0" fillId="0" borderId="0" xfId="16" applyNumberFormat="1" applyFont="1"/>
    <xf numFmtId="0" fontId="0" fillId="0" borderId="60" xfId="0" applyBorder="1" applyAlignment="1">
      <alignment horizontal="centerContinuous"/>
    </xf>
    <xf numFmtId="0" fontId="0" fillId="0" borderId="61" xfId="0" applyBorder="1" applyAlignment="1">
      <alignment horizontal="centerContinuous"/>
    </xf>
    <xf numFmtId="0" fontId="0" fillId="0" borderId="62" xfId="0" applyBorder="1" applyAlignment="1">
      <alignment horizontal="centerContinuous"/>
    </xf>
    <xf numFmtId="0" fontId="0" fillId="0" borderId="63" xfId="0" applyBorder="1" applyAlignment="1">
      <alignment horizontal="center"/>
    </xf>
    <xf numFmtId="0" fontId="0" fillId="0" borderId="61" xfId="0" applyBorder="1" applyAlignment="1"/>
    <xf numFmtId="0" fontId="0" fillId="0" borderId="20" xfId="0" applyBorder="1" applyAlignment="1">
      <alignment horizontal="centerContinuous"/>
    </xf>
    <xf numFmtId="167" fontId="0" fillId="0" borderId="8" xfId="16" applyNumberFormat="1" applyFont="1" applyBorder="1" applyAlignment="1">
      <alignment horizontal="centerContinuous"/>
    </xf>
    <xf numFmtId="0" fontId="10" fillId="0" borderId="58" xfId="0" applyFont="1" applyBorder="1" applyAlignment="1">
      <alignment horizontal="center"/>
    </xf>
    <xf numFmtId="0" fontId="0" fillId="0" borderId="64" xfId="0" applyBorder="1"/>
    <xf numFmtId="0" fontId="0" fillId="0" borderId="65" xfId="0" applyBorder="1"/>
    <xf numFmtId="0" fontId="0" fillId="0" borderId="32" xfId="0" applyBorder="1"/>
    <xf numFmtId="0" fontId="1" fillId="0" borderId="59" xfId="0" applyFont="1" applyBorder="1"/>
    <xf numFmtId="0" fontId="0" fillId="0" borderId="19" xfId="0" applyBorder="1" applyAlignment="1">
      <alignment horizontal="centerContinuous"/>
    </xf>
    <xf numFmtId="167" fontId="0" fillId="0" borderId="19" xfId="16" applyNumberFormat="1" applyFont="1" applyBorder="1" applyAlignment="1">
      <alignment horizontal="center"/>
    </xf>
    <xf numFmtId="167" fontId="1" fillId="0" borderId="66" xfId="16" applyNumberFormat="1" applyFont="1" applyBorder="1"/>
    <xf numFmtId="0" fontId="3" fillId="0" borderId="0" xfId="20" applyFont="1"/>
    <xf numFmtId="167" fontId="0" fillId="0" borderId="36" xfId="16" applyNumberFormat="1" applyFont="1" applyBorder="1" applyAlignment="1">
      <alignment horizontal="centerContinuous"/>
    </xf>
    <xf numFmtId="167" fontId="0" fillId="0" borderId="62" xfId="16" applyNumberFormat="1" applyFont="1" applyBorder="1" applyAlignment="1"/>
    <xf numFmtId="167" fontId="0" fillId="0" borderId="62" xfId="16" quotePrefix="1" applyNumberFormat="1" applyFont="1" applyBorder="1" applyAlignment="1"/>
    <xf numFmtId="0" fontId="0" fillId="0" borderId="67" xfId="0" applyBorder="1" applyAlignment="1">
      <alignment horizontal="center"/>
    </xf>
    <xf numFmtId="0" fontId="0" fillId="0" borderId="9" xfId="0" applyBorder="1" applyAlignment="1">
      <alignment horizontal="centerContinuous"/>
    </xf>
    <xf numFmtId="167" fontId="0" fillId="0" borderId="9" xfId="16" applyNumberFormat="1" applyFont="1" applyBorder="1" applyAlignment="1"/>
    <xf numFmtId="167" fontId="0" fillId="0" borderId="9" xfId="16" quotePrefix="1" applyNumberFormat="1" applyFont="1" applyBorder="1" applyAlignment="1"/>
    <xf numFmtId="167" fontId="0" fillId="0" borderId="19" xfId="16" applyNumberFormat="1" applyFont="1" applyBorder="1" applyAlignment="1"/>
    <xf numFmtId="167" fontId="0" fillId="0" borderId="68" xfId="16" applyNumberFormat="1" applyFont="1" applyBorder="1" applyAlignment="1"/>
    <xf numFmtId="167" fontId="0" fillId="0" borderId="8" xfId="16" applyNumberFormat="1" applyFont="1" applyBorder="1" applyAlignment="1">
      <alignment horizontal="center"/>
    </xf>
    <xf numFmtId="0" fontId="0" fillId="0" borderId="19" xfId="0" applyBorder="1" applyAlignment="1">
      <alignment horizontal="center"/>
    </xf>
    <xf numFmtId="0" fontId="10" fillId="0" borderId="19" xfId="0" applyFont="1" applyBorder="1"/>
    <xf numFmtId="167" fontId="0" fillId="0" borderId="0" xfId="16" applyNumberFormat="1" applyFont="1" applyBorder="1" applyAlignment="1"/>
    <xf numFmtId="0" fontId="0" fillId="0" borderId="50" xfId="0" applyBorder="1" applyAlignment="1">
      <alignment horizontal="center"/>
    </xf>
    <xf numFmtId="167" fontId="0" fillId="0" borderId="36" xfId="16" applyNumberFormat="1" applyFont="1" applyBorder="1" applyAlignment="1">
      <alignment horizontal="center"/>
    </xf>
    <xf numFmtId="167" fontId="0" fillId="0" borderId="0" xfId="16" applyNumberFormat="1" applyFont="1" applyBorder="1" applyAlignment="1">
      <alignment horizontal="center"/>
    </xf>
    <xf numFmtId="167" fontId="0" fillId="0" borderId="20" xfId="16" applyNumberFormat="1" applyFont="1" applyBorder="1" applyAlignment="1"/>
    <xf numFmtId="164" fontId="10" fillId="0" borderId="69" xfId="16" applyNumberFormat="1" applyFont="1" applyBorder="1"/>
    <xf numFmtId="167" fontId="0" fillId="0" borderId="0" xfId="16" quotePrefix="1" applyNumberFormat="1" applyFont="1" applyAlignment="1">
      <alignment horizontal="center"/>
    </xf>
    <xf numFmtId="2" fontId="0" fillId="0" borderId="0" xfId="0" applyNumberFormat="1"/>
    <xf numFmtId="0" fontId="30" fillId="0" borderId="0" xfId="0" applyFont="1"/>
    <xf numFmtId="43" fontId="0" fillId="0" borderId="0" xfId="16" quotePrefix="1" applyFont="1" applyAlignment="1">
      <alignment horizontal="center"/>
    </xf>
    <xf numFmtId="164" fontId="10" fillId="0" borderId="8" xfId="16" applyNumberFormat="1" applyFont="1" applyBorder="1"/>
    <xf numFmtId="0" fontId="0" fillId="0" borderId="70" xfId="0" applyBorder="1" applyAlignment="1">
      <alignment horizontal="center"/>
    </xf>
    <xf numFmtId="43" fontId="0" fillId="0" borderId="7" xfId="16" applyFont="1" applyBorder="1" applyAlignment="1">
      <alignment horizontal="center"/>
    </xf>
    <xf numFmtId="43" fontId="3" fillId="0" borderId="7" xfId="16" applyNumberFormat="1" applyFont="1" applyBorder="1" applyAlignment="1">
      <alignment horizontal="center"/>
    </xf>
    <xf numFmtId="43" fontId="3" fillId="0" borderId="7" xfId="16" applyBorder="1" applyAlignment="1">
      <alignment horizontal="center"/>
    </xf>
    <xf numFmtId="10" fontId="0" fillId="0" borderId="0" xfId="25" applyNumberFormat="1" applyFont="1" applyBorder="1"/>
    <xf numFmtId="43" fontId="0" fillId="0" borderId="0" xfId="16" applyFont="1" applyBorder="1" applyAlignment="1">
      <alignment horizontal="center"/>
    </xf>
    <xf numFmtId="10" fontId="0" fillId="0" borderId="0" xfId="25" applyNumberFormat="1" applyFont="1" applyBorder="1" applyAlignment="1">
      <alignment horizontal="center"/>
    </xf>
    <xf numFmtId="43" fontId="3" fillId="0" borderId="0" xfId="16" applyNumberFormat="1" applyFont="1" applyBorder="1" applyAlignment="1">
      <alignment horizontal="center"/>
    </xf>
    <xf numFmtId="43" fontId="3" fillId="0" borderId="0" xfId="16" applyBorder="1" applyAlignment="1">
      <alignment horizontal="center"/>
    </xf>
    <xf numFmtId="0" fontId="17" fillId="0" borderId="0" xfId="0" applyFont="1"/>
    <xf numFmtId="0" fontId="0" fillId="0" borderId="0" xfId="0" quotePrefix="1"/>
    <xf numFmtId="0" fontId="11" fillId="0" borderId="0" xfId="0" applyFont="1" applyAlignment="1">
      <alignment horizontal="centerContinuous"/>
    </xf>
    <xf numFmtId="0" fontId="10" fillId="0" borderId="0" xfId="0" applyFont="1" applyAlignment="1">
      <alignment horizontal="centerContinuous"/>
    </xf>
    <xf numFmtId="0" fontId="11" fillId="0" borderId="53" xfId="0" applyFont="1" applyBorder="1" applyAlignment="1">
      <alignment horizontal="center"/>
    </xf>
    <xf numFmtId="167" fontId="10" fillId="0" borderId="61" xfId="16" applyNumberFormat="1" applyFont="1" applyBorder="1" applyAlignment="1">
      <alignment horizontal="center"/>
    </xf>
    <xf numFmtId="167" fontId="10" fillId="0" borderId="61" xfId="16" applyNumberFormat="1" applyFont="1" applyBorder="1" applyAlignment="1"/>
    <xf numFmtId="167" fontId="10" fillId="0" borderId="61" xfId="16" applyNumberFormat="1" applyFont="1" applyBorder="1" applyAlignment="1">
      <alignment horizontal="centerContinuous"/>
    </xf>
    <xf numFmtId="167" fontId="11" fillId="0" borderId="71" xfId="16" applyNumberFormat="1" applyFont="1" applyBorder="1" applyAlignment="1">
      <alignment horizontal="center"/>
    </xf>
    <xf numFmtId="164" fontId="10" fillId="0" borderId="50" xfId="16" applyNumberFormat="1" applyFont="1" applyBorder="1"/>
    <xf numFmtId="167" fontId="11" fillId="0" borderId="72" xfId="16" applyNumberFormat="1" applyFont="1" applyBorder="1"/>
    <xf numFmtId="164" fontId="10" fillId="0" borderId="9" xfId="16" applyNumberFormat="1" applyFont="1" applyBorder="1"/>
    <xf numFmtId="164" fontId="11" fillId="0" borderId="64" xfId="16" applyNumberFormat="1" applyFont="1" applyBorder="1"/>
    <xf numFmtId="164" fontId="11" fillId="0" borderId="71" xfId="16" applyNumberFormat="1" applyFont="1" applyBorder="1"/>
    <xf numFmtId="0" fontId="10" fillId="0" borderId="7" xfId="0" applyFont="1" applyBorder="1" applyAlignment="1">
      <alignment horizontal="center"/>
    </xf>
    <xf numFmtId="166" fontId="8" fillId="0" borderId="0" xfId="16" quotePrefix="1" applyNumberFormat="1" applyFont="1" applyAlignment="1">
      <alignment horizontal="center"/>
    </xf>
    <xf numFmtId="43" fontId="3" fillId="0" borderId="0" xfId="25" applyNumberFormat="1" applyAlignment="1">
      <alignment horizontal="center"/>
    </xf>
    <xf numFmtId="167" fontId="0" fillId="0" borderId="19" xfId="16" quotePrefix="1" applyNumberFormat="1" applyFont="1" applyBorder="1" applyAlignment="1"/>
    <xf numFmtId="0" fontId="0" fillId="0" borderId="68" xfId="0" applyBorder="1" applyAlignment="1">
      <alignment horizontal="center"/>
    </xf>
    <xf numFmtId="167" fontId="1" fillId="0" borderId="56" xfId="16" applyNumberFormat="1" applyFont="1" applyBorder="1"/>
    <xf numFmtId="43" fontId="0" fillId="0" borderId="9" xfId="16" applyFont="1" applyBorder="1" applyAlignment="1">
      <alignment horizontal="center"/>
    </xf>
    <xf numFmtId="167" fontId="10" fillId="0" borderId="54" xfId="16" applyNumberFormat="1" applyFont="1" applyBorder="1" applyAlignment="1">
      <alignment horizontal="center"/>
    </xf>
    <xf numFmtId="167" fontId="10" fillId="0" borderId="54" xfId="16" applyNumberFormat="1" applyFont="1" applyBorder="1" applyAlignment="1"/>
    <xf numFmtId="167" fontId="10" fillId="0" borderId="54" xfId="16" applyNumberFormat="1" applyFont="1" applyBorder="1" applyAlignment="1">
      <alignment horizontal="centerContinuous"/>
    </xf>
    <xf numFmtId="167" fontId="11" fillId="0" borderId="73" xfId="16" applyNumberFormat="1" applyFont="1" applyBorder="1"/>
    <xf numFmtId="164" fontId="10" fillId="0" borderId="56" xfId="16" applyNumberFormat="1" applyFont="1" applyBorder="1"/>
    <xf numFmtId="164" fontId="1" fillId="0" borderId="74" xfId="16" applyNumberFormat="1" applyFont="1" applyBorder="1"/>
    <xf numFmtId="167" fontId="11" fillId="0" borderId="17" xfId="16" applyNumberFormat="1" applyFont="1" applyBorder="1" applyAlignment="1">
      <alignment horizontal="center"/>
    </xf>
    <xf numFmtId="0" fontId="11" fillId="0" borderId="75" xfId="0" applyFont="1" applyBorder="1" applyAlignment="1">
      <alignment horizontal="center"/>
    </xf>
    <xf numFmtId="167" fontId="10" fillId="0" borderId="76" xfId="16" applyNumberFormat="1" applyFont="1" applyBorder="1" applyAlignment="1"/>
    <xf numFmtId="167" fontId="10" fillId="0" borderId="76" xfId="16" applyNumberFormat="1" applyFont="1" applyBorder="1" applyAlignment="1">
      <alignment horizontal="center"/>
    </xf>
    <xf numFmtId="167" fontId="10" fillId="0" borderId="55" xfId="16" applyNumberFormat="1" applyFont="1" applyBorder="1" applyAlignment="1">
      <alignment horizontal="center"/>
    </xf>
    <xf numFmtId="164" fontId="3" fillId="0" borderId="0" xfId="16" applyNumberFormat="1" applyFont="1" applyFill="1" applyBorder="1"/>
    <xf numFmtId="167" fontId="10" fillId="0" borderId="0" xfId="0" applyNumberFormat="1" applyFont="1"/>
    <xf numFmtId="167" fontId="0" fillId="0" borderId="0" xfId="16" quotePrefix="1" applyNumberFormat="1" applyFont="1" applyBorder="1" applyAlignment="1"/>
    <xf numFmtId="0" fontId="0" fillId="0" borderId="36" xfId="0" applyBorder="1" applyAlignment="1"/>
    <xf numFmtId="0" fontId="0" fillId="0" borderId="77" xfId="0" applyBorder="1"/>
    <xf numFmtId="43" fontId="0" fillId="0" borderId="50" xfId="16" applyFont="1" applyBorder="1" applyAlignment="1">
      <alignment horizontal="center"/>
    </xf>
    <xf numFmtId="167" fontId="0" fillId="0" borderId="19" xfId="16" applyNumberFormat="1" applyFont="1" applyBorder="1" applyAlignment="1">
      <alignment horizontal="centerContinuous"/>
    </xf>
    <xf numFmtId="10" fontId="1" fillId="0" borderId="0" xfId="25" applyNumberFormat="1" applyFont="1" applyFill="1" applyBorder="1"/>
    <xf numFmtId="165" fontId="1" fillId="0" borderId="16" xfId="25" applyNumberFormat="1" applyFont="1" applyFill="1" applyBorder="1"/>
    <xf numFmtId="165" fontId="1" fillId="0" borderId="24" xfId="25" applyNumberFormat="1" applyFont="1" applyFill="1" applyBorder="1"/>
    <xf numFmtId="0" fontId="1" fillId="0" borderId="16" xfId="0" applyFont="1" applyFill="1" applyBorder="1"/>
    <xf numFmtId="164" fontId="1" fillId="0" borderId="0" xfId="16" applyNumberFormat="1" applyFont="1" applyFill="1"/>
    <xf numFmtId="164" fontId="9" fillId="0" borderId="0" xfId="16" applyNumberFormat="1" applyFont="1" applyFill="1"/>
    <xf numFmtId="0" fontId="1" fillId="0" borderId="0" xfId="20" applyFont="1" applyFill="1"/>
    <xf numFmtId="0" fontId="9" fillId="0" borderId="16" xfId="0" applyFont="1" applyFill="1" applyBorder="1"/>
    <xf numFmtId="0" fontId="0" fillId="0" borderId="16" xfId="0" applyFill="1" applyBorder="1"/>
    <xf numFmtId="164" fontId="1" fillId="0" borderId="16" xfId="0" applyNumberFormat="1" applyFont="1" applyFill="1" applyBorder="1"/>
    <xf numFmtId="0" fontId="1" fillId="0" borderId="0" xfId="0" applyFont="1" applyFill="1" applyBorder="1"/>
    <xf numFmtId="164" fontId="1" fillId="0" borderId="35" xfId="0" applyNumberFormat="1" applyFont="1" applyFill="1" applyBorder="1"/>
    <xf numFmtId="17" fontId="11" fillId="0" borderId="48" xfId="0" applyNumberFormat="1" applyFont="1" applyBorder="1" applyAlignment="1">
      <alignment horizontal="centerContinuous"/>
    </xf>
    <xf numFmtId="0" fontId="0" fillId="0" borderId="58" xfId="0" applyBorder="1"/>
    <xf numFmtId="167" fontId="0" fillId="0" borderId="0" xfId="16" applyNumberFormat="1" applyFont="1" applyBorder="1" applyAlignment="1">
      <alignment horizontal="centerContinuous"/>
    </xf>
    <xf numFmtId="167" fontId="1" fillId="0" borderId="78" xfId="16" applyNumberFormat="1" applyFont="1" applyBorder="1"/>
    <xf numFmtId="167" fontId="0" fillId="0" borderId="50" xfId="16" applyNumberFormat="1" applyFont="1" applyBorder="1" applyAlignment="1">
      <alignment horizontal="center"/>
    </xf>
    <xf numFmtId="164" fontId="10" fillId="0" borderId="68" xfId="16" applyNumberFormat="1" applyFont="1" applyBorder="1"/>
    <xf numFmtId="164" fontId="10" fillId="0" borderId="32" xfId="16" applyNumberFormat="1" applyFont="1" applyBorder="1"/>
    <xf numFmtId="164" fontId="15" fillId="0" borderId="7" xfId="16" applyNumberFormat="1" applyFont="1" applyFill="1" applyBorder="1" applyAlignment="1">
      <alignment horizontal="center"/>
    </xf>
    <xf numFmtId="164" fontId="8" fillId="0" borderId="0" xfId="16" applyNumberFormat="1" applyFont="1" applyFill="1" applyBorder="1" applyAlignment="1">
      <alignment horizontal="center"/>
    </xf>
    <xf numFmtId="164" fontId="11" fillId="0" borderId="16" xfId="16" applyNumberFormat="1" applyFont="1" applyBorder="1"/>
    <xf numFmtId="164" fontId="11" fillId="0" borderId="79" xfId="16" applyNumberFormat="1" applyFont="1" applyBorder="1"/>
    <xf numFmtId="164" fontId="11" fillId="0" borderId="80" xfId="16" applyNumberFormat="1" applyFont="1" applyBorder="1"/>
    <xf numFmtId="164" fontId="10" fillId="0" borderId="81" xfId="16" applyNumberFormat="1" applyFont="1" applyBorder="1"/>
    <xf numFmtId="164" fontId="11" fillId="0" borderId="81" xfId="16" applyNumberFormat="1" applyFont="1" applyBorder="1"/>
    <xf numFmtId="164" fontId="11" fillId="0" borderId="82" xfId="16" applyNumberFormat="1" applyFont="1" applyBorder="1"/>
    <xf numFmtId="164" fontId="11" fillId="0" borderId="83" xfId="16" applyNumberFormat="1" applyFont="1" applyBorder="1"/>
    <xf numFmtId="10" fontId="11" fillId="0" borderId="16" xfId="25" applyNumberFormat="1" applyFont="1" applyBorder="1"/>
    <xf numFmtId="164" fontId="10" fillId="0" borderId="84" xfId="16" applyNumberFormat="1" applyFont="1" applyBorder="1"/>
    <xf numFmtId="164" fontId="3" fillId="0" borderId="0" xfId="20" applyNumberFormat="1" applyFont="1"/>
    <xf numFmtId="0" fontId="11" fillId="0" borderId="0" xfId="20" applyFont="1" applyAlignment="1">
      <alignment horizontal="centerContinuous"/>
    </xf>
    <xf numFmtId="0" fontId="1" fillId="0" borderId="85" xfId="0" applyFont="1" applyBorder="1" applyAlignment="1">
      <alignment horizontal="center"/>
    </xf>
    <xf numFmtId="0" fontId="0" fillId="0" borderId="85" xfId="0" applyBorder="1" applyAlignment="1">
      <alignment horizontal="centerContinuous"/>
    </xf>
    <xf numFmtId="0" fontId="0" fillId="0" borderId="71" xfId="0" applyBorder="1"/>
    <xf numFmtId="43" fontId="0" fillId="0" borderId="86" xfId="16" applyFont="1" applyBorder="1" applyAlignment="1">
      <alignment horizontal="center"/>
    </xf>
    <xf numFmtId="43" fontId="0" fillId="0" borderId="85" xfId="16" applyFont="1" applyBorder="1"/>
    <xf numFmtId="43" fontId="0" fillId="0" borderId="85" xfId="16" applyFont="1" applyBorder="1" applyAlignment="1">
      <alignment horizontal="center"/>
    </xf>
    <xf numFmtId="43" fontId="0" fillId="0" borderId="67" xfId="16" applyFont="1" applyBorder="1" applyAlignment="1">
      <alignment horizontal="centerContinuous"/>
    </xf>
    <xf numFmtId="43" fontId="0" fillId="0" borderId="67" xfId="16" applyFont="1" applyBorder="1" applyAlignment="1">
      <alignment horizontal="center"/>
    </xf>
    <xf numFmtId="43" fontId="0" fillId="0" borderId="85" xfId="16" applyFont="1" applyBorder="1" applyAlignment="1">
      <alignment horizontal="centerContinuous"/>
    </xf>
    <xf numFmtId="10" fontId="11" fillId="0" borderId="44" xfId="25" applyNumberFormat="1" applyFont="1" applyBorder="1"/>
    <xf numFmtId="164" fontId="10" fillId="0" borderId="61" xfId="16" applyNumberFormat="1" applyFont="1" applyBorder="1"/>
    <xf numFmtId="164" fontId="17" fillId="0" borderId="87" xfId="16" applyNumberFormat="1" applyFont="1" applyBorder="1"/>
    <xf numFmtId="164" fontId="10" fillId="0" borderId="87" xfId="16" applyNumberFormat="1" applyFont="1" applyBorder="1"/>
    <xf numFmtId="10" fontId="11" fillId="0" borderId="17" xfId="25" applyNumberFormat="1" applyFont="1" applyBorder="1"/>
    <xf numFmtId="0" fontId="0" fillId="0" borderId="85" xfId="0" applyBorder="1" applyAlignment="1">
      <alignment horizontal="center"/>
    </xf>
    <xf numFmtId="167" fontId="0" fillId="0" borderId="36" xfId="16" applyNumberFormat="1" applyFont="1" applyBorder="1" applyAlignment="1"/>
    <xf numFmtId="167" fontId="0" fillId="0" borderId="8" xfId="16" applyNumberFormat="1" applyFont="1" applyBorder="1" applyAlignment="1"/>
    <xf numFmtId="10" fontId="10" fillId="0" borderId="13" xfId="16" applyNumberFormat="1" applyFont="1" applyBorder="1"/>
    <xf numFmtId="0" fontId="11" fillId="0" borderId="0" xfId="0" quotePrefix="1" applyFont="1"/>
    <xf numFmtId="164" fontId="11" fillId="0" borderId="0" xfId="0" applyNumberFormat="1" applyFont="1"/>
    <xf numFmtId="164" fontId="11" fillId="0" borderId="76" xfId="16" applyNumberFormat="1" applyFont="1" applyBorder="1"/>
    <xf numFmtId="164" fontId="11" fillId="0" borderId="55" xfId="16" applyNumberFormat="1" applyFont="1" applyBorder="1"/>
    <xf numFmtId="164" fontId="11" fillId="0" borderId="17" xfId="16" applyNumberFormat="1" applyFont="1" applyBorder="1" applyAlignment="1">
      <alignment horizontal="center"/>
    </xf>
    <xf numFmtId="164" fontId="10" fillId="0" borderId="0" xfId="0" applyNumberFormat="1" applyFont="1"/>
    <xf numFmtId="167" fontId="0" fillId="0" borderId="50" xfId="16" applyNumberFormat="1" applyFont="1" applyBorder="1" applyAlignment="1">
      <alignment horizontal="centerContinuous"/>
    </xf>
    <xf numFmtId="167" fontId="0" fillId="0" borderId="85" xfId="16" applyNumberFormat="1" applyFont="1" applyBorder="1" applyAlignment="1">
      <alignment horizontal="center"/>
    </xf>
    <xf numFmtId="167" fontId="0" fillId="0" borderId="88" xfId="16" applyNumberFormat="1" applyFont="1" applyBorder="1" applyAlignment="1">
      <alignment horizontal="center"/>
    </xf>
    <xf numFmtId="167" fontId="1" fillId="0" borderId="74" xfId="16" applyNumberFormat="1" applyFont="1" applyBorder="1" applyAlignment="1">
      <alignment horizontal="center"/>
    </xf>
    <xf numFmtId="0" fontId="0" fillId="0" borderId="70" xfId="0" applyBorder="1" applyAlignment="1">
      <alignment horizontal="centerContinuous"/>
    </xf>
    <xf numFmtId="167" fontId="0" fillId="0" borderId="9" xfId="16" quotePrefix="1" applyNumberFormat="1" applyFont="1" applyBorder="1" applyAlignment="1">
      <alignment horizontal="centerContinuous"/>
    </xf>
    <xf numFmtId="167" fontId="0" fillId="0" borderId="8" xfId="16" quotePrefix="1" applyNumberFormat="1" applyFont="1" applyBorder="1" applyAlignment="1">
      <alignment horizontal="centerContinuous"/>
    </xf>
    <xf numFmtId="167" fontId="0" fillId="0" borderId="70" xfId="16" quotePrefix="1" applyNumberFormat="1" applyFont="1" applyBorder="1" applyAlignment="1">
      <alignment horizontal="centerContinuous"/>
    </xf>
    <xf numFmtId="167" fontId="0" fillId="0" borderId="54" xfId="16" quotePrefix="1" applyNumberFormat="1" applyFont="1" applyBorder="1" applyAlignment="1">
      <alignment horizontal="centerContinuous"/>
    </xf>
    <xf numFmtId="43" fontId="0" fillId="0" borderId="9" xfId="16" quotePrefix="1" applyFont="1" applyBorder="1" applyAlignment="1">
      <alignment horizontal="centerContinuous"/>
    </xf>
    <xf numFmtId="43" fontId="0" fillId="0" borderId="8" xfId="16" quotePrefix="1" applyFont="1" applyBorder="1" applyAlignment="1">
      <alignment horizontal="centerContinuous"/>
    </xf>
    <xf numFmtId="167" fontId="0" fillId="0" borderId="60" xfId="16" quotePrefix="1" applyNumberFormat="1" applyFont="1" applyBorder="1" applyAlignment="1">
      <alignment horizontal="centerContinuous"/>
    </xf>
    <xf numFmtId="167" fontId="0" fillId="0" borderId="61" xfId="16" quotePrefix="1" applyNumberFormat="1" applyFont="1" applyBorder="1" applyAlignment="1">
      <alignment horizontal="centerContinuous"/>
    </xf>
    <xf numFmtId="167" fontId="0" fillId="0" borderId="67" xfId="16" quotePrefix="1" applyNumberFormat="1" applyFont="1" applyBorder="1" applyAlignment="1">
      <alignment horizontal="center"/>
    </xf>
    <xf numFmtId="167" fontId="0" fillId="0" borderId="89" xfId="16" quotePrefix="1" applyNumberFormat="1" applyFont="1" applyBorder="1" applyAlignment="1">
      <alignment horizontal="center"/>
    </xf>
    <xf numFmtId="10" fontId="4" fillId="0" borderId="16" xfId="25" applyNumberFormat="1" applyFont="1" applyFill="1" applyBorder="1"/>
    <xf numFmtId="167" fontId="0" fillId="0" borderId="50" xfId="16" quotePrefix="1" applyNumberFormat="1" applyFont="1" applyBorder="1" applyAlignment="1">
      <alignment horizontal="centerContinuous"/>
    </xf>
    <xf numFmtId="167" fontId="0" fillId="0" borderId="36" xfId="16" quotePrefix="1" applyNumberFormat="1" applyFont="1" applyBorder="1" applyAlignment="1">
      <alignment horizontal="centerContinuous"/>
    </xf>
    <xf numFmtId="167" fontId="0" fillId="0" borderId="0" xfId="16" quotePrefix="1" applyNumberFormat="1" applyFont="1" applyBorder="1" applyAlignment="1">
      <alignment horizontal="centerContinuous"/>
    </xf>
    <xf numFmtId="167" fontId="0" fillId="0" borderId="85" xfId="16" quotePrefix="1" applyNumberFormat="1" applyFont="1" applyBorder="1" applyAlignment="1">
      <alignment horizontal="center"/>
    </xf>
    <xf numFmtId="167" fontId="0" fillId="0" borderId="0" xfId="16" quotePrefix="1" applyNumberFormat="1" applyFont="1" applyBorder="1" applyAlignment="1">
      <alignment horizontal="center"/>
    </xf>
    <xf numFmtId="167" fontId="0" fillId="0" borderId="19" xfId="16" quotePrefix="1" applyNumberFormat="1" applyFont="1" applyBorder="1" applyAlignment="1">
      <alignment horizontal="center"/>
    </xf>
    <xf numFmtId="10" fontId="11" fillId="0" borderId="0" xfId="0" applyNumberFormat="1" applyFont="1"/>
    <xf numFmtId="10" fontId="11" fillId="0" borderId="0" xfId="25" applyNumberFormat="1" applyFont="1"/>
    <xf numFmtId="167" fontId="0" fillId="0" borderId="50" xfId="16" quotePrefix="1" applyNumberFormat="1" applyFont="1" applyBorder="1" applyAlignment="1">
      <alignment horizontal="center"/>
    </xf>
    <xf numFmtId="0" fontId="34" fillId="14" borderId="7" xfId="0" applyFont="1" applyFill="1" applyBorder="1"/>
    <xf numFmtId="0" fontId="0" fillId="13" borderId="0" xfId="0" applyFill="1"/>
    <xf numFmtId="0" fontId="1" fillId="0" borderId="0" xfId="0" quotePrefix="1" applyFont="1"/>
    <xf numFmtId="164" fontId="17" fillId="0" borderId="19" xfId="16" applyNumberFormat="1" applyFont="1" applyFill="1" applyBorder="1"/>
    <xf numFmtId="43" fontId="1" fillId="0" borderId="17" xfId="25" applyNumberFormat="1" applyFont="1" applyBorder="1" applyAlignment="1">
      <alignment horizontal="right"/>
    </xf>
    <xf numFmtId="10" fontId="1" fillId="0" borderId="0" xfId="25" applyNumberFormat="1" applyFont="1"/>
    <xf numFmtId="10" fontId="10" fillId="0" borderId="0" xfId="25" applyNumberFormat="1" applyFont="1" applyAlignment="1">
      <alignment horizontal="center"/>
    </xf>
    <xf numFmtId="164" fontId="35" fillId="0" borderId="0" xfId="16" applyNumberFormat="1" applyFont="1"/>
    <xf numFmtId="165" fontId="3" fillId="0" borderId="0" xfId="25" applyNumberFormat="1" applyAlignment="1">
      <alignment horizontal="center"/>
    </xf>
    <xf numFmtId="0" fontId="4" fillId="0" borderId="0" xfId="20" applyFont="1" applyBorder="1"/>
    <xf numFmtId="43" fontId="1" fillId="0" borderId="85" xfId="16" applyFont="1" applyBorder="1" applyAlignment="1">
      <alignment horizontal="center"/>
    </xf>
    <xf numFmtId="167" fontId="1" fillId="0" borderId="85" xfId="16" applyNumberFormat="1" applyFont="1" applyBorder="1" applyAlignment="1">
      <alignment horizontal="center"/>
    </xf>
    <xf numFmtId="0" fontId="11" fillId="0" borderId="0" xfId="0" applyFont="1" applyFill="1" applyBorder="1" applyAlignment="1">
      <alignment horizontal="left"/>
    </xf>
    <xf numFmtId="0" fontId="3" fillId="0" borderId="0" xfId="25" applyNumberFormat="1" applyFont="1"/>
    <xf numFmtId="167" fontId="0" fillId="0" borderId="19" xfId="16" quotePrefix="1" applyNumberFormat="1" applyFont="1" applyBorder="1" applyAlignment="1">
      <alignment horizontal="centerContinuous"/>
    </xf>
    <xf numFmtId="167" fontId="0" fillId="0" borderId="36" xfId="16" quotePrefix="1" applyNumberFormat="1" applyFont="1" applyBorder="1" applyAlignment="1">
      <alignment horizontal="center"/>
    </xf>
    <xf numFmtId="43" fontId="0" fillId="0" borderId="19" xfId="16" applyFont="1" applyBorder="1" applyAlignment="1">
      <alignment horizontal="center"/>
    </xf>
    <xf numFmtId="43" fontId="0" fillId="0" borderId="62" xfId="16" applyFont="1" applyBorder="1" applyAlignment="1">
      <alignment horizontal="center"/>
    </xf>
    <xf numFmtId="164" fontId="10" fillId="0" borderId="83" xfId="16" applyNumberFormat="1" applyFont="1" applyBorder="1"/>
    <xf numFmtId="164" fontId="3" fillId="0" borderId="0" xfId="25" applyNumberFormat="1" applyFont="1"/>
    <xf numFmtId="43" fontId="3" fillId="0" borderId="0" xfId="16" applyNumberFormat="1" applyAlignment="1">
      <alignment horizontal="center"/>
    </xf>
    <xf numFmtId="43" fontId="3" fillId="0" borderId="0" xfId="16" applyNumberFormat="1" applyFont="1" applyAlignment="1">
      <alignment horizontal="center"/>
    </xf>
    <xf numFmtId="164" fontId="10" fillId="0" borderId="21" xfId="16" applyNumberFormat="1" applyFont="1" applyBorder="1"/>
    <xf numFmtId="164" fontId="11" fillId="0" borderId="21" xfId="16" applyNumberFormat="1" applyFont="1" applyBorder="1"/>
    <xf numFmtId="0" fontId="21" fillId="0" borderId="0" xfId="0" applyFont="1" applyAlignment="1">
      <alignment horizontal="justify" vertical="justify" wrapText="1"/>
    </xf>
    <xf numFmtId="0" fontId="0" fillId="0" borderId="0" xfId="0" applyFill="1" applyAlignment="1">
      <alignment horizontal="center"/>
    </xf>
    <xf numFmtId="164" fontId="0" fillId="0" borderId="0" xfId="16" applyNumberFormat="1" applyFont="1" applyFill="1"/>
    <xf numFmtId="0" fontId="10" fillId="0" borderId="0" xfId="0" applyFont="1" applyFill="1" applyAlignment="1">
      <alignment horizontal="center"/>
    </xf>
    <xf numFmtId="0" fontId="3" fillId="0" borderId="0" xfId="20" applyFont="1" applyFill="1" applyAlignment="1">
      <alignment horizontal="center"/>
    </xf>
    <xf numFmtId="164" fontId="3" fillId="0" borderId="0" xfId="20" applyNumberFormat="1" applyFill="1"/>
    <xf numFmtId="164" fontId="3" fillId="0" borderId="0" xfId="16" applyNumberFormat="1" applyFill="1"/>
    <xf numFmtId="166" fontId="3" fillId="0" borderId="0" xfId="16" applyNumberFormat="1" applyFont="1" applyFill="1" applyAlignment="1">
      <alignment horizontal="center"/>
    </xf>
    <xf numFmtId="10" fontId="3" fillId="0" borderId="0" xfId="25" applyNumberFormat="1" applyFill="1"/>
    <xf numFmtId="166" fontId="10" fillId="0" borderId="0" xfId="16" applyNumberFormat="1" applyFont="1" applyFill="1" applyAlignment="1">
      <alignment horizontal="center"/>
    </xf>
    <xf numFmtId="9" fontId="15" fillId="0" borderId="7" xfId="25" applyFont="1" applyFill="1" applyBorder="1" applyAlignment="1">
      <alignment horizontal="center"/>
    </xf>
    <xf numFmtId="9" fontId="8" fillId="0" borderId="0" xfId="25" applyFont="1" applyFill="1" applyBorder="1" applyAlignment="1">
      <alignment horizontal="center"/>
    </xf>
    <xf numFmtId="166" fontId="4" fillId="0" borderId="0" xfId="16" applyNumberFormat="1" applyFont="1" applyFill="1"/>
    <xf numFmtId="164" fontId="4" fillId="0" borderId="0" xfId="16" applyNumberFormat="1" applyFont="1" applyFill="1"/>
    <xf numFmtId="164" fontId="17" fillId="0" borderId="0" xfId="16" applyNumberFormat="1" applyFont="1" applyFill="1"/>
    <xf numFmtId="164" fontId="17" fillId="0" borderId="7" xfId="16" applyNumberFormat="1" applyFont="1" applyFill="1" applyBorder="1"/>
    <xf numFmtId="164" fontId="16" fillId="0" borderId="0" xfId="16" applyNumberFormat="1" applyFont="1" applyFill="1"/>
    <xf numFmtId="164" fontId="16" fillId="0" borderId="90" xfId="16" applyNumberFormat="1" applyFont="1" applyFill="1" applyBorder="1"/>
    <xf numFmtId="164" fontId="3" fillId="0" borderId="8" xfId="16" applyNumberFormat="1" applyFont="1" applyBorder="1"/>
    <xf numFmtId="164" fontId="3" fillId="0" borderId="69" xfId="16" applyNumberFormat="1" applyFont="1" applyBorder="1"/>
    <xf numFmtId="0" fontId="9" fillId="0" borderId="0" xfId="0" applyFont="1" applyFill="1" applyBorder="1"/>
    <xf numFmtId="164" fontId="35" fillId="0" borderId="16" xfId="16" applyNumberFormat="1" applyFont="1" applyFill="1" applyBorder="1"/>
    <xf numFmtId="0" fontId="0" fillId="0" borderId="7" xfId="0" applyFill="1" applyBorder="1"/>
    <xf numFmtId="0" fontId="1" fillId="0" borderId="7" xfId="0" applyFont="1" applyFill="1" applyBorder="1" applyAlignment="1">
      <alignment horizontal="center"/>
    </xf>
    <xf numFmtId="0" fontId="1" fillId="0" borderId="0" xfId="0" applyFont="1" applyFill="1" applyAlignment="1">
      <alignment horizontal="center"/>
    </xf>
    <xf numFmtId="0" fontId="11" fillId="0" borderId="0" xfId="0" applyFont="1" applyFill="1" applyAlignment="1">
      <alignment horizontal="center"/>
    </xf>
    <xf numFmtId="164" fontId="11" fillId="0" borderId="0" xfId="0" applyNumberFormat="1" applyFont="1" applyFill="1"/>
    <xf numFmtId="166" fontId="0" fillId="0" borderId="0" xfId="16" applyNumberFormat="1" applyFont="1" applyFill="1"/>
    <xf numFmtId="43" fontId="0" fillId="0" borderId="7" xfId="16" applyFont="1" applyFill="1" applyBorder="1"/>
    <xf numFmtId="43" fontId="0" fillId="0" borderId="0" xfId="16" applyFont="1" applyFill="1" applyBorder="1"/>
    <xf numFmtId="0" fontId="1" fillId="0" borderId="0" xfId="0" applyFont="1" applyFill="1"/>
    <xf numFmtId="164" fontId="0" fillId="0" borderId="0" xfId="0" applyNumberFormat="1" applyFill="1"/>
    <xf numFmtId="0" fontId="1" fillId="0" borderId="0" xfId="0" applyFont="1" applyBorder="1" applyAlignment="1">
      <alignment horizontal="right"/>
    </xf>
    <xf numFmtId="0" fontId="1" fillId="0" borderId="0" xfId="0" applyFont="1" applyFill="1" applyBorder="1" applyAlignment="1">
      <alignment horizontal="center"/>
    </xf>
    <xf numFmtId="0" fontId="9" fillId="0" borderId="7" xfId="0" applyFont="1" applyFill="1" applyBorder="1" applyAlignment="1">
      <alignment horizontal="center"/>
    </xf>
    <xf numFmtId="0" fontId="1" fillId="0" borderId="7" xfId="0" applyFont="1" applyFill="1" applyBorder="1" applyAlignment="1">
      <alignment horizontal="centerContinuous"/>
    </xf>
    <xf numFmtId="10" fontId="0" fillId="0" borderId="0" xfId="25" applyNumberFormat="1" applyFont="1" applyFill="1" applyAlignment="1">
      <alignment horizontal="center"/>
    </xf>
    <xf numFmtId="167" fontId="1" fillId="0" borderId="0" xfId="16" applyNumberFormat="1" applyFont="1" applyFill="1" applyAlignment="1">
      <alignment horizontal="center"/>
    </xf>
    <xf numFmtId="10" fontId="0" fillId="0" borderId="0" xfId="25" applyNumberFormat="1" applyFont="1" applyFill="1"/>
    <xf numFmtId="43" fontId="0" fillId="0" borderId="0" xfId="16" applyFont="1" applyFill="1"/>
    <xf numFmtId="43" fontId="0" fillId="0" borderId="0" xfId="16" applyNumberFormat="1" applyFont="1" applyFill="1"/>
    <xf numFmtId="164" fontId="3" fillId="0" borderId="0" xfId="16" applyNumberFormat="1" applyFill="1" applyAlignment="1">
      <alignment horizontal="center"/>
    </xf>
    <xf numFmtId="0" fontId="37" fillId="0" borderId="7" xfId="0" applyFont="1" applyBorder="1" applyAlignment="1">
      <alignment horizontal="center"/>
    </xf>
    <xf numFmtId="167" fontId="0" fillId="0" borderId="67" xfId="16" applyNumberFormat="1" applyFont="1" applyBorder="1" applyAlignment="1">
      <alignment horizontal="centerContinuous"/>
    </xf>
    <xf numFmtId="167" fontId="0" fillId="0" borderId="9" xfId="16" applyNumberFormat="1" applyFont="1" applyBorder="1" applyAlignment="1">
      <alignment horizontal="center"/>
    </xf>
    <xf numFmtId="167" fontId="1" fillId="0" borderId="67" xfId="16" applyNumberFormat="1" applyFont="1" applyBorder="1" applyAlignment="1">
      <alignment horizontal="center"/>
    </xf>
    <xf numFmtId="164" fontId="10" fillId="0" borderId="0" xfId="16" applyNumberFormat="1" applyFont="1" applyFill="1"/>
    <xf numFmtId="0" fontId="10" fillId="0" borderId="87" xfId="0" applyFont="1" applyBorder="1" applyAlignment="1">
      <alignment horizontal="center"/>
    </xf>
    <xf numFmtId="17" fontId="11" fillId="0" borderId="9" xfId="0" quotePrefix="1" applyNumberFormat="1" applyFont="1" applyBorder="1" applyAlignment="1">
      <alignment horizontal="centerContinuous"/>
    </xf>
    <xf numFmtId="17" fontId="11" fillId="0" borderId="87" xfId="0" quotePrefix="1" applyNumberFormat="1" applyFont="1" applyBorder="1" applyAlignment="1">
      <alignment horizontal="centerContinuous"/>
    </xf>
    <xf numFmtId="17" fontId="11" fillId="0" borderId="87" xfId="0" applyNumberFormat="1" applyFont="1" applyBorder="1" applyAlignment="1">
      <alignment horizontal="centerContinuous"/>
    </xf>
    <xf numFmtId="17" fontId="11" fillId="0" borderId="0" xfId="0" applyNumberFormat="1" applyFont="1" applyBorder="1" applyAlignment="1">
      <alignment horizontal="centerContinuous"/>
    </xf>
    <xf numFmtId="17" fontId="11" fillId="0" borderId="91" xfId="0" applyNumberFormat="1" applyFont="1" applyBorder="1" applyAlignment="1">
      <alignment horizontal="centerContinuous"/>
    </xf>
    <xf numFmtId="0" fontId="0" fillId="0" borderId="54" xfId="0" applyBorder="1" applyAlignment="1"/>
    <xf numFmtId="164" fontId="10" fillId="0" borderId="36" xfId="16" applyNumberFormat="1" applyFont="1" applyFill="1" applyBorder="1"/>
    <xf numFmtId="43" fontId="3" fillId="0" borderId="0" xfId="16" applyAlignment="1">
      <alignment horizontal="centerContinuous"/>
    </xf>
    <xf numFmtId="164" fontId="10" fillId="0" borderId="82" xfId="16" applyNumberFormat="1" applyFont="1" applyBorder="1"/>
    <xf numFmtId="43" fontId="11" fillId="0" borderId="16" xfId="16" applyFont="1" applyBorder="1"/>
    <xf numFmtId="0" fontId="11" fillId="0" borderId="0" xfId="0" applyFont="1" applyBorder="1" applyAlignment="1">
      <alignment horizontal="center"/>
    </xf>
    <xf numFmtId="167" fontId="11" fillId="0" borderId="0" xfId="16" applyNumberFormat="1" applyFont="1" applyBorder="1"/>
    <xf numFmtId="169" fontId="10" fillId="0" borderId="0" xfId="25" applyNumberFormat="1" applyFont="1"/>
    <xf numFmtId="168" fontId="3" fillId="0" borderId="0" xfId="16" applyNumberFormat="1" applyFont="1"/>
    <xf numFmtId="10" fontId="4" fillId="0" borderId="0" xfId="25" applyNumberFormat="1" applyFont="1"/>
    <xf numFmtId="164" fontId="11" fillId="0" borderId="10" xfId="16" applyNumberFormat="1" applyFont="1" applyBorder="1"/>
    <xf numFmtId="164" fontId="17" fillId="0" borderId="56" xfId="16" applyNumberFormat="1" applyFont="1" applyBorder="1"/>
    <xf numFmtId="167" fontId="0" fillId="0" borderId="0" xfId="0" applyNumberFormat="1"/>
    <xf numFmtId="167" fontId="0" fillId="0" borderId="68" xfId="16" quotePrefix="1" applyNumberFormat="1" applyFont="1" applyBorder="1" applyAlignment="1">
      <alignment horizontal="center"/>
    </xf>
    <xf numFmtId="0" fontId="1" fillId="14" borderId="0" xfId="0" applyFont="1" applyFill="1" applyAlignment="1"/>
    <xf numFmtId="0" fontId="0" fillId="14" borderId="0" xfId="0" applyFill="1" applyAlignment="1"/>
    <xf numFmtId="0" fontId="25" fillId="0" borderId="0" xfId="0" applyFont="1" applyAlignment="1">
      <alignment horizontal="centerContinuous"/>
    </xf>
    <xf numFmtId="0" fontId="1" fillId="0" borderId="7" xfId="0" quotePrefix="1" applyFont="1" applyBorder="1" applyAlignment="1">
      <alignment horizontal="centerContinuous"/>
    </xf>
    <xf numFmtId="0" fontId="1" fillId="0" borderId="0" xfId="0" applyFont="1" applyBorder="1" applyAlignment="1">
      <alignment horizontal="centerContinuous"/>
    </xf>
    <xf numFmtId="0" fontId="26" fillId="0" borderId="36" xfId="0" applyFont="1" applyBorder="1" applyAlignment="1">
      <alignment horizontal="center" wrapText="1"/>
    </xf>
    <xf numFmtId="0" fontId="1" fillId="0" borderId="36" xfId="0" quotePrefix="1" applyFont="1" applyBorder="1" applyAlignment="1">
      <alignment horizontal="center"/>
    </xf>
    <xf numFmtId="167" fontId="1" fillId="0" borderId="36" xfId="16" applyNumberFormat="1" applyFont="1" applyBorder="1"/>
    <xf numFmtId="165" fontId="0" fillId="0" borderId="0" xfId="0" applyNumberFormat="1"/>
    <xf numFmtId="165" fontId="20" fillId="0" borderId="0" xfId="0" applyNumberFormat="1" applyFont="1"/>
    <xf numFmtId="0" fontId="40" fillId="0" borderId="0" xfId="0" applyFont="1"/>
    <xf numFmtId="0" fontId="20" fillId="0" borderId="0" xfId="0" applyFont="1"/>
    <xf numFmtId="0" fontId="42" fillId="0" borderId="0" xfId="19" applyFont="1"/>
    <xf numFmtId="0" fontId="41" fillId="0" borderId="0" xfId="19"/>
    <xf numFmtId="0" fontId="43" fillId="0" borderId="0" xfId="19" applyFont="1" applyAlignment="1">
      <alignment horizontal="centerContinuous"/>
    </xf>
    <xf numFmtId="0" fontId="42" fillId="0" borderId="0" xfId="19" applyFont="1" applyAlignment="1">
      <alignment horizontal="centerContinuous"/>
    </xf>
    <xf numFmtId="0" fontId="41" fillId="0" borderId="0" xfId="19" applyAlignment="1">
      <alignment horizontal="centerContinuous"/>
    </xf>
    <xf numFmtId="0" fontId="44" fillId="0" borderId="0" xfId="19" applyFont="1" applyAlignment="1">
      <alignment horizontal="centerContinuous"/>
    </xf>
    <xf numFmtId="0" fontId="46" fillId="0" borderId="0" xfId="19" applyFont="1" applyAlignment="1">
      <alignment horizontal="centerContinuous"/>
    </xf>
    <xf numFmtId="0" fontId="47" fillId="0" borderId="0" xfId="19" applyFont="1" applyAlignment="1">
      <alignment horizontal="centerContinuous"/>
    </xf>
    <xf numFmtId="0" fontId="46" fillId="0" borderId="46" xfId="19" applyFont="1" applyBorder="1" applyAlignment="1">
      <alignment horizontal="centerContinuous"/>
    </xf>
    <xf numFmtId="0" fontId="42" fillId="0" borderId="47" xfId="19" applyFont="1" applyBorder="1" applyAlignment="1">
      <alignment horizontal="centerContinuous"/>
    </xf>
    <xf numFmtId="0" fontId="42" fillId="0" borderId="57" xfId="19" applyFont="1" applyBorder="1" applyAlignment="1">
      <alignment horizontal="centerContinuous"/>
    </xf>
    <xf numFmtId="0" fontId="48" fillId="0" borderId="48" xfId="19" applyFont="1" applyBorder="1"/>
    <xf numFmtId="0" fontId="49" fillId="0" borderId="0" xfId="19" applyFont="1" applyBorder="1"/>
    <xf numFmtId="0" fontId="49" fillId="0" borderId="49" xfId="19" applyFont="1" applyBorder="1"/>
    <xf numFmtId="0" fontId="50" fillId="0" borderId="48" xfId="19" applyFont="1" applyBorder="1"/>
    <xf numFmtId="0" fontId="50" fillId="0" borderId="58" xfId="19" applyFont="1" applyBorder="1"/>
    <xf numFmtId="0" fontId="50" fillId="0" borderId="7" xfId="19" applyFont="1" applyBorder="1"/>
    <xf numFmtId="0" fontId="49" fillId="0" borderId="7" xfId="19" applyFont="1" applyBorder="1"/>
    <xf numFmtId="0" fontId="49" fillId="0" borderId="59" xfId="19" applyFont="1" applyBorder="1"/>
    <xf numFmtId="0" fontId="50" fillId="0" borderId="47" xfId="19" applyFont="1" applyBorder="1"/>
    <xf numFmtId="0" fontId="49" fillId="0" borderId="47" xfId="19" applyFont="1" applyBorder="1"/>
    <xf numFmtId="0" fontId="50" fillId="0" borderId="0" xfId="19" applyFont="1" applyBorder="1"/>
    <xf numFmtId="0" fontId="46" fillId="0" borderId="0" xfId="19" applyFont="1" applyAlignment="1">
      <alignment horizontal="left"/>
    </xf>
    <xf numFmtId="0" fontId="42" fillId="0" borderId="49" xfId="19" applyFont="1" applyBorder="1"/>
    <xf numFmtId="0" fontId="46" fillId="0" borderId="19" xfId="19" applyFont="1" applyBorder="1" applyAlignment="1">
      <alignment horizontal="centerContinuous"/>
    </xf>
    <xf numFmtId="0" fontId="42" fillId="0" borderId="56" xfId="19" applyFont="1" applyBorder="1" applyAlignment="1">
      <alignment horizontal="centerContinuous"/>
    </xf>
    <xf numFmtId="0" fontId="46" fillId="0" borderId="19" xfId="19" quotePrefix="1" applyFont="1" applyBorder="1" applyAlignment="1">
      <alignment horizontal="centerContinuous"/>
    </xf>
    <xf numFmtId="0" fontId="42" fillId="0" borderId="19" xfId="19" applyFont="1" applyBorder="1" applyAlignment="1">
      <alignment horizontal="centerContinuous"/>
    </xf>
    <xf numFmtId="0" fontId="41" fillId="0" borderId="19" xfId="19" applyBorder="1" applyAlignment="1">
      <alignment horizontal="centerContinuous"/>
    </xf>
    <xf numFmtId="0" fontId="50" fillId="0" borderId="49" xfId="19" applyFont="1" applyBorder="1"/>
    <xf numFmtId="0" fontId="47" fillId="0" borderId="92" xfId="19" applyFont="1" applyBorder="1" applyAlignment="1">
      <alignment horizontal="center"/>
    </xf>
    <xf numFmtId="0" fontId="47" fillId="0" borderId="49" xfId="19" applyFont="1" applyBorder="1" applyAlignment="1">
      <alignment horizontal="center"/>
    </xf>
    <xf numFmtId="0" fontId="47" fillId="0" borderId="0" xfId="19" applyFont="1" applyAlignment="1">
      <alignment horizontal="center"/>
    </xf>
    <xf numFmtId="0" fontId="51" fillId="0" borderId="92" xfId="19" applyFont="1" applyBorder="1" applyAlignment="1">
      <alignment horizontal="center"/>
    </xf>
    <xf numFmtId="0" fontId="50" fillId="0" borderId="0" xfId="19" applyFont="1"/>
    <xf numFmtId="0" fontId="53" fillId="0" borderId="49" xfId="19" applyFont="1" applyBorder="1"/>
    <xf numFmtId="0" fontId="51" fillId="0" borderId="49" xfId="19" applyFont="1" applyBorder="1" applyAlignment="1">
      <alignment horizontal="center"/>
    </xf>
    <xf numFmtId="0" fontId="51" fillId="0" borderId="0" xfId="19" applyFont="1" applyBorder="1" applyAlignment="1">
      <alignment horizontal="center"/>
    </xf>
    <xf numFmtId="0" fontId="54" fillId="0" borderId="0" xfId="19" applyFont="1" applyAlignment="1">
      <alignment horizontal="center"/>
    </xf>
    <xf numFmtId="0" fontId="55" fillId="0" borderId="92" xfId="19" quotePrefix="1" applyFont="1" applyBorder="1" applyAlignment="1">
      <alignment horizontal="center"/>
    </xf>
    <xf numFmtId="0" fontId="49" fillId="0" borderId="93" xfId="19" applyFont="1" applyBorder="1" applyAlignment="1">
      <alignment horizontal="center"/>
    </xf>
    <xf numFmtId="0" fontId="49" fillId="0" borderId="93" xfId="19" applyFont="1" applyBorder="1"/>
    <xf numFmtId="0" fontId="41" fillId="0" borderId="93" xfId="19" applyBorder="1"/>
    <xf numFmtId="0" fontId="41" fillId="0" borderId="7" xfId="19" applyBorder="1"/>
    <xf numFmtId="0" fontId="46" fillId="0" borderId="49" xfId="19" applyFont="1" applyBorder="1"/>
    <xf numFmtId="167" fontId="56" fillId="0" borderId="94" xfId="16" applyNumberFormat="1" applyFont="1" applyBorder="1"/>
    <xf numFmtId="43" fontId="56" fillId="0" borderId="95" xfId="16" applyFont="1" applyBorder="1"/>
    <xf numFmtId="43" fontId="56" fillId="0" borderId="94" xfId="16" applyFont="1" applyBorder="1"/>
    <xf numFmtId="43" fontId="56" fillId="0" borderId="96" xfId="16" applyFont="1" applyBorder="1"/>
    <xf numFmtId="0" fontId="56" fillId="0" borderId="0" xfId="19" applyFont="1"/>
    <xf numFmtId="0" fontId="41" fillId="0" borderId="0" xfId="19" applyFont="1"/>
    <xf numFmtId="167" fontId="56" fillId="0" borderId="95" xfId="16" applyNumberFormat="1" applyFont="1" applyBorder="1"/>
    <xf numFmtId="167" fontId="56" fillId="0" borderId="96" xfId="16" applyNumberFormat="1" applyFont="1" applyBorder="1"/>
    <xf numFmtId="165" fontId="56" fillId="0" borderId="94" xfId="19" applyNumberFormat="1" applyFont="1" applyBorder="1"/>
    <xf numFmtId="165" fontId="50" fillId="0" borderId="96" xfId="19" applyNumberFormat="1" applyFont="1" applyBorder="1"/>
    <xf numFmtId="165" fontId="56" fillId="0" borderId="94" xfId="25" applyNumberFormat="1" applyFont="1" applyBorder="1"/>
    <xf numFmtId="3" fontId="56" fillId="0" borderId="94" xfId="19" applyNumberFormat="1" applyFont="1" applyBorder="1"/>
    <xf numFmtId="3" fontId="56" fillId="0" borderId="0" xfId="19" applyNumberFormat="1" applyFont="1" applyBorder="1"/>
    <xf numFmtId="165" fontId="56" fillId="0" borderId="97" xfId="19" applyNumberFormat="1" applyFont="1" applyBorder="1"/>
    <xf numFmtId="165" fontId="56" fillId="0" borderId="98" xfId="25" applyNumberFormat="1" applyFont="1" applyBorder="1"/>
    <xf numFmtId="165" fontId="50" fillId="0" borderId="99" xfId="19" applyNumberFormat="1" applyFont="1" applyBorder="1"/>
    <xf numFmtId="0" fontId="46" fillId="0" borderId="0" xfId="19" applyFont="1" applyBorder="1"/>
    <xf numFmtId="167" fontId="56" fillId="0" borderId="100" xfId="16" applyNumberFormat="1" applyFont="1" applyBorder="1"/>
    <xf numFmtId="167" fontId="56" fillId="0" borderId="101" xfId="16" applyNumberFormat="1" applyFont="1" applyBorder="1"/>
    <xf numFmtId="43" fontId="56" fillId="0" borderId="100" xfId="16" applyFont="1" applyBorder="1"/>
    <xf numFmtId="43" fontId="56" fillId="0" borderId="101" xfId="16" applyFont="1" applyBorder="1"/>
    <xf numFmtId="43" fontId="56" fillId="0" borderId="98" xfId="16" applyFont="1" applyBorder="1"/>
    <xf numFmtId="165" fontId="50" fillId="0" borderId="99" xfId="25" applyNumberFormat="1" applyFont="1" applyBorder="1"/>
    <xf numFmtId="43" fontId="56" fillId="0" borderId="97" xfId="16" applyFont="1" applyBorder="1"/>
    <xf numFmtId="43" fontId="50" fillId="0" borderId="99" xfId="16" applyFont="1" applyBorder="1"/>
    <xf numFmtId="3" fontId="41" fillId="0" borderId="0" xfId="19" applyNumberFormat="1" applyFont="1"/>
    <xf numFmtId="0" fontId="41" fillId="0" borderId="49" xfId="19" applyBorder="1"/>
    <xf numFmtId="0" fontId="47" fillId="0" borderId="0" xfId="19" applyFont="1" applyBorder="1" applyAlignment="1">
      <alignment horizontal="center"/>
    </xf>
    <xf numFmtId="0" fontId="50" fillId="0" borderId="92" xfId="19" applyFont="1" applyBorder="1" applyAlignment="1">
      <alignment horizontal="center"/>
    </xf>
    <xf numFmtId="0" fontId="50" fillId="0" borderId="93" xfId="19" applyFont="1" applyBorder="1" applyAlignment="1">
      <alignment horizontal="center"/>
    </xf>
    <xf numFmtId="0" fontId="50" fillId="0" borderId="7" xfId="19" applyFont="1" applyBorder="1" applyAlignment="1">
      <alignment horizontal="center"/>
    </xf>
    <xf numFmtId="43" fontId="50" fillId="0" borderId="94" xfId="16" applyFont="1" applyBorder="1"/>
    <xf numFmtId="167" fontId="50" fillId="0" borderId="94" xfId="16" applyNumberFormat="1" applyFont="1" applyBorder="1"/>
    <xf numFmtId="165" fontId="50" fillId="0" borderId="102" xfId="19" applyNumberFormat="1" applyFont="1" applyBorder="1"/>
    <xf numFmtId="167" fontId="50" fillId="0" borderId="98" xfId="16" applyNumberFormat="1" applyFont="1" applyBorder="1"/>
    <xf numFmtId="43" fontId="50" fillId="0" borderId="100" xfId="16" applyFont="1" applyBorder="1"/>
    <xf numFmtId="43" fontId="50" fillId="0" borderId="98" xfId="16" applyFont="1" applyBorder="1"/>
    <xf numFmtId="3" fontId="41" fillId="0" borderId="0" xfId="19" applyNumberFormat="1"/>
    <xf numFmtId="0" fontId="47" fillId="0" borderId="0" xfId="19" applyFont="1"/>
    <xf numFmtId="0" fontId="42" fillId="0" borderId="0" xfId="21" applyFont="1"/>
    <xf numFmtId="0" fontId="41" fillId="0" borderId="0" xfId="21"/>
    <xf numFmtId="0" fontId="43" fillId="0" borderId="0" xfId="21" applyFont="1" applyAlignment="1">
      <alignment horizontal="centerContinuous"/>
    </xf>
    <xf numFmtId="0" fontId="41" fillId="0" borderId="0" xfId="21" applyAlignment="1">
      <alignment horizontal="centerContinuous"/>
    </xf>
    <xf numFmtId="0" fontId="42" fillId="0" borderId="0" xfId="21" applyFont="1" applyAlignment="1">
      <alignment horizontal="centerContinuous"/>
    </xf>
    <xf numFmtId="0" fontId="44" fillId="0" borderId="0" xfId="21" applyFont="1" applyAlignment="1">
      <alignment horizontal="left"/>
    </xf>
    <xf numFmtId="0" fontId="46" fillId="0" borderId="0" xfId="21" applyFont="1" applyAlignment="1">
      <alignment horizontal="centerContinuous"/>
    </xf>
    <xf numFmtId="0" fontId="47" fillId="0" borderId="0" xfId="21" applyFont="1" applyAlignment="1">
      <alignment horizontal="centerContinuous"/>
    </xf>
    <xf numFmtId="0" fontId="46" fillId="0" borderId="46" xfId="21" applyFont="1" applyBorder="1" applyAlignment="1">
      <alignment horizontal="centerContinuous"/>
    </xf>
    <xf numFmtId="0" fontId="41" fillId="0" borderId="47" xfId="21" applyBorder="1"/>
    <xf numFmtId="0" fontId="42" fillId="0" borderId="47" xfId="21" applyFont="1" applyBorder="1" applyAlignment="1">
      <alignment horizontal="centerContinuous"/>
    </xf>
    <xf numFmtId="0" fontId="42" fillId="0" borderId="0" xfId="21" applyFont="1" applyBorder="1" applyAlignment="1">
      <alignment horizontal="centerContinuous"/>
    </xf>
    <xf numFmtId="0" fontId="48" fillId="0" borderId="48" xfId="21" applyFont="1" applyBorder="1"/>
    <xf numFmtId="0" fontId="49" fillId="0" borderId="0" xfId="21" applyFont="1" applyBorder="1"/>
    <xf numFmtId="0" fontId="50" fillId="0" borderId="48" xfId="21" applyFont="1" applyBorder="1"/>
    <xf numFmtId="0" fontId="50" fillId="0" borderId="58" xfId="21" applyFont="1" applyBorder="1"/>
    <xf numFmtId="0" fontId="49" fillId="0" borderId="7" xfId="21" applyFont="1" applyBorder="1"/>
    <xf numFmtId="0" fontId="50" fillId="0" borderId="0" xfId="21" applyFont="1" applyBorder="1"/>
    <xf numFmtId="0" fontId="46" fillId="0" borderId="0" xfId="21" applyFont="1" applyAlignment="1">
      <alignment horizontal="left"/>
    </xf>
    <xf numFmtId="0" fontId="42" fillId="0" borderId="49" xfId="21" applyFont="1" applyBorder="1"/>
    <xf numFmtId="0" fontId="46" fillId="0" borderId="19" xfId="21" applyFont="1" applyBorder="1" applyAlignment="1">
      <alignment horizontal="centerContinuous"/>
    </xf>
    <xf numFmtId="0" fontId="42" fillId="0" borderId="56" xfId="21" applyFont="1" applyBorder="1" applyAlignment="1">
      <alignment horizontal="centerContinuous"/>
    </xf>
    <xf numFmtId="0" fontId="46" fillId="0" borderId="19" xfId="21" quotePrefix="1" applyFont="1" applyBorder="1" applyAlignment="1">
      <alignment horizontal="centerContinuous"/>
    </xf>
    <xf numFmtId="0" fontId="42" fillId="0" borderId="19" xfId="21" applyFont="1" applyBorder="1" applyAlignment="1">
      <alignment horizontal="centerContinuous"/>
    </xf>
    <xf numFmtId="0" fontId="41" fillId="0" borderId="19" xfId="21" applyBorder="1" applyAlignment="1">
      <alignment horizontal="centerContinuous"/>
    </xf>
    <xf numFmtId="0" fontId="50" fillId="0" borderId="49" xfId="21" applyFont="1" applyBorder="1"/>
    <xf numFmtId="0" fontId="47" fillId="0" borderId="92" xfId="21" applyFont="1" applyBorder="1" applyAlignment="1">
      <alignment horizontal="center"/>
    </xf>
    <xf numFmtId="0" fontId="47" fillId="0" borderId="49" xfId="21" applyFont="1" applyBorder="1" applyAlignment="1">
      <alignment horizontal="center"/>
    </xf>
    <xf numFmtId="0" fontId="47" fillId="0" borderId="0" xfId="21" applyFont="1" applyAlignment="1">
      <alignment horizontal="center"/>
    </xf>
    <xf numFmtId="0" fontId="51" fillId="0" borderId="92" xfId="21" applyFont="1" applyBorder="1" applyAlignment="1">
      <alignment horizontal="center"/>
    </xf>
    <xf numFmtId="0" fontId="50" fillId="0" borderId="0" xfId="21" applyFont="1"/>
    <xf numFmtId="0" fontId="53" fillId="0" borderId="49" xfId="21" applyFont="1" applyBorder="1"/>
    <xf numFmtId="0" fontId="51" fillId="0" borderId="49" xfId="21" applyFont="1" applyBorder="1" applyAlignment="1">
      <alignment horizontal="center"/>
    </xf>
    <xf numFmtId="0" fontId="51" fillId="0" borderId="0" xfId="21" applyFont="1" applyBorder="1" applyAlignment="1">
      <alignment horizontal="center"/>
    </xf>
    <xf numFmtId="0" fontId="54" fillId="0" borderId="0" xfId="21" applyFont="1" applyAlignment="1">
      <alignment horizontal="center"/>
    </xf>
    <xf numFmtId="0" fontId="51" fillId="0" borderId="92" xfId="21" quotePrefix="1" applyFont="1" applyBorder="1" applyAlignment="1">
      <alignment horizontal="center"/>
    </xf>
    <xf numFmtId="0" fontId="49" fillId="0" borderId="49" xfId="21" applyFont="1" applyBorder="1"/>
    <xf numFmtId="0" fontId="49" fillId="0" borderId="93" xfId="21" applyFont="1" applyBorder="1" applyAlignment="1">
      <alignment horizontal="center"/>
    </xf>
    <xf numFmtId="0" fontId="49" fillId="0" borderId="93" xfId="21" applyFont="1" applyBorder="1"/>
    <xf numFmtId="0" fontId="41" fillId="0" borderId="93" xfId="21" applyBorder="1"/>
    <xf numFmtId="0" fontId="41" fillId="0" borderId="7" xfId="21" applyBorder="1"/>
    <xf numFmtId="0" fontId="46" fillId="0" borderId="49" xfId="21" applyFont="1" applyBorder="1"/>
    <xf numFmtId="3" fontId="56" fillId="0" borderId="94" xfId="21" applyNumberFormat="1" applyFont="1" applyBorder="1"/>
    <xf numFmtId="0" fontId="56" fillId="0" borderId="0" xfId="21" applyFont="1"/>
    <xf numFmtId="165" fontId="50" fillId="0" borderId="96" xfId="21" applyNumberFormat="1" applyFont="1" applyBorder="1"/>
    <xf numFmtId="165" fontId="41" fillId="0" borderId="0" xfId="21" applyNumberFormat="1" applyFont="1"/>
    <xf numFmtId="0" fontId="41" fillId="0" borderId="0" xfId="21" applyFont="1"/>
    <xf numFmtId="165" fontId="56" fillId="0" borderId="94" xfId="21" applyNumberFormat="1" applyFont="1" applyBorder="1"/>
    <xf numFmtId="3" fontId="56" fillId="0" borderId="0" xfId="21" applyNumberFormat="1" applyFont="1" applyBorder="1"/>
    <xf numFmtId="10" fontId="56" fillId="0" borderId="94" xfId="25" applyNumberFormat="1" applyFont="1" applyBorder="1"/>
    <xf numFmtId="165" fontId="56" fillId="0" borderId="97" xfId="21" applyNumberFormat="1" applyFont="1" applyBorder="1"/>
    <xf numFmtId="165" fontId="50" fillId="0" borderId="98" xfId="21" applyNumberFormat="1" applyFont="1" applyBorder="1"/>
    <xf numFmtId="0" fontId="46" fillId="0" borderId="0" xfId="21" applyFont="1" applyBorder="1"/>
    <xf numFmtId="10" fontId="56" fillId="0" borderId="98" xfId="25" applyNumberFormat="1" applyFont="1" applyBorder="1"/>
    <xf numFmtId="3" fontId="41" fillId="0" borderId="0" xfId="21" applyNumberFormat="1" applyFont="1"/>
    <xf numFmtId="3" fontId="50" fillId="0" borderId="0" xfId="21" applyNumberFormat="1" applyFont="1" applyBorder="1"/>
    <xf numFmtId="165" fontId="50" fillId="0" borderId="0" xfId="21" applyNumberFormat="1" applyFont="1" applyBorder="1"/>
    <xf numFmtId="0" fontId="41" fillId="0" borderId="0" xfId="21" applyBorder="1"/>
    <xf numFmtId="3" fontId="41" fillId="0" borderId="0" xfId="21" applyNumberFormat="1"/>
    <xf numFmtId="0" fontId="42" fillId="0" borderId="0" xfId="22" applyFont="1"/>
    <xf numFmtId="0" fontId="41" fillId="0" borderId="0" xfId="22"/>
    <xf numFmtId="0" fontId="43" fillId="0" borderId="0" xfId="22" applyFont="1" applyAlignment="1">
      <alignment horizontal="centerContinuous"/>
    </xf>
    <xf numFmtId="0" fontId="46" fillId="0" borderId="0" xfId="22" applyFont="1" applyAlignment="1">
      <alignment horizontal="centerContinuous"/>
    </xf>
    <xf numFmtId="0" fontId="42" fillId="0" borderId="0" xfId="22" applyFont="1" applyAlignment="1">
      <alignment horizontal="centerContinuous"/>
    </xf>
    <xf numFmtId="0" fontId="41" fillId="0" borderId="0" xfId="22" applyAlignment="1">
      <alignment horizontal="centerContinuous"/>
    </xf>
    <xf numFmtId="0" fontId="44" fillId="0" borderId="0" xfId="22" applyFont="1" applyAlignment="1">
      <alignment horizontal="centerContinuous"/>
    </xf>
    <xf numFmtId="0" fontId="47" fillId="0" borderId="0" xfId="22" applyFont="1" applyAlignment="1">
      <alignment horizontal="centerContinuous"/>
    </xf>
    <xf numFmtId="0" fontId="42" fillId="0" borderId="47" xfId="22" applyFont="1" applyBorder="1" applyAlignment="1">
      <alignment horizontal="centerContinuous"/>
    </xf>
    <xf numFmtId="0" fontId="41" fillId="0" borderId="47" xfId="22" applyBorder="1"/>
    <xf numFmtId="0" fontId="41" fillId="0" borderId="57" xfId="22" applyBorder="1"/>
    <xf numFmtId="0" fontId="49" fillId="0" borderId="0" xfId="22" applyFont="1" applyBorder="1"/>
    <xf numFmtId="0" fontId="42" fillId="0" borderId="0" xfId="22" applyFont="1" applyBorder="1" applyAlignment="1">
      <alignment horizontal="centerContinuous"/>
    </xf>
    <xf numFmtId="0" fontId="41" fillId="0" borderId="0" xfId="22" applyBorder="1"/>
    <xf numFmtId="0" fontId="41" fillId="0" borderId="49" xfId="22" applyBorder="1"/>
    <xf numFmtId="0" fontId="49" fillId="0" borderId="7" xfId="22" applyFont="1" applyBorder="1"/>
    <xf numFmtId="0" fontId="42" fillId="0" borderId="7" xfId="22" applyFont="1" applyBorder="1" applyAlignment="1">
      <alignment horizontal="centerContinuous"/>
    </xf>
    <xf numFmtId="0" fontId="41" fillId="0" borderId="7" xfId="22" applyBorder="1"/>
    <xf numFmtId="0" fontId="41" fillId="0" borderId="59" xfId="22" applyBorder="1"/>
    <xf numFmtId="0" fontId="50" fillId="0" borderId="0" xfId="22" applyFont="1" applyBorder="1"/>
    <xf numFmtId="0" fontId="46" fillId="0" borderId="0" xfId="22" applyFont="1" applyAlignment="1">
      <alignment horizontal="left"/>
    </xf>
    <xf numFmtId="0" fontId="42" fillId="0" borderId="0" xfId="22" applyFont="1" applyBorder="1"/>
    <xf numFmtId="0" fontId="47" fillId="0" borderId="65" xfId="22" applyFont="1" applyBorder="1"/>
    <xf numFmtId="0" fontId="47" fillId="0" borderId="7" xfId="22" applyFont="1" applyBorder="1" applyAlignment="1">
      <alignment horizontal="center"/>
    </xf>
    <xf numFmtId="0" fontId="50" fillId="0" borderId="65" xfId="22" applyFont="1" applyBorder="1" applyAlignment="1">
      <alignment horizontal="centerContinuous"/>
    </xf>
    <xf numFmtId="0" fontId="47" fillId="0" borderId="65" xfId="22" applyFont="1" applyBorder="1" applyAlignment="1">
      <alignment horizontal="center"/>
    </xf>
    <xf numFmtId="0" fontId="50" fillId="0" borderId="103" xfId="22" applyFont="1" applyBorder="1" applyAlignment="1">
      <alignment horizontal="center"/>
    </xf>
    <xf numFmtId="0" fontId="50" fillId="0" borderId="96" xfId="22" applyFont="1" applyBorder="1"/>
    <xf numFmtId="0" fontId="47" fillId="0" borderId="103" xfId="22" applyFont="1" applyBorder="1" applyAlignment="1">
      <alignment horizontal="center"/>
    </xf>
    <xf numFmtId="10" fontId="50" fillId="0" borderId="103" xfId="25" quotePrefix="1" applyNumberFormat="1" applyFont="1" applyBorder="1" applyAlignment="1">
      <alignment horizontal="center"/>
    </xf>
    <xf numFmtId="43" fontId="50" fillId="0" borderId="103" xfId="16" quotePrefix="1" applyFont="1" applyBorder="1" applyAlignment="1">
      <alignment horizontal="center"/>
    </xf>
    <xf numFmtId="0" fontId="50" fillId="0" borderId="0" xfId="22" applyFont="1" applyBorder="1" applyAlignment="1">
      <alignment horizontal="right"/>
    </xf>
    <xf numFmtId="3" fontId="50" fillId="0" borderId="103" xfId="22" applyNumberFormat="1" applyFont="1" applyBorder="1"/>
    <xf numFmtId="0" fontId="41" fillId="0" borderId="0" xfId="22" applyFont="1" applyBorder="1"/>
    <xf numFmtId="10" fontId="50" fillId="0" borderId="0" xfId="22" applyNumberFormat="1" applyFont="1" applyBorder="1" applyAlignment="1">
      <alignment horizontal="right"/>
    </xf>
    <xf numFmtId="10" fontId="50" fillId="0" borderId="0" xfId="22" applyNumberFormat="1" applyFont="1" applyBorder="1"/>
    <xf numFmtId="10" fontId="41" fillId="0" borderId="0" xfId="22" applyNumberFormat="1" applyFont="1" applyBorder="1"/>
    <xf numFmtId="10" fontId="41" fillId="0" borderId="0" xfId="22" applyNumberFormat="1" applyBorder="1"/>
    <xf numFmtId="0" fontId="50" fillId="0" borderId="103" xfId="22" applyFont="1" applyBorder="1"/>
    <xf numFmtId="0" fontId="50" fillId="0" borderId="103" xfId="22" applyFont="1" applyBorder="1" applyAlignment="1">
      <alignment horizontal="centerContinuous"/>
    </xf>
    <xf numFmtId="0" fontId="50" fillId="0" borderId="65" xfId="22" applyFont="1" applyBorder="1" applyAlignment="1">
      <alignment horizontal="center"/>
    </xf>
    <xf numFmtId="0" fontId="50" fillId="0" borderId="7" xfId="22" applyFont="1" applyBorder="1"/>
    <xf numFmtId="3" fontId="50" fillId="0" borderId="65" xfId="22" applyNumberFormat="1" applyFont="1" applyBorder="1"/>
    <xf numFmtId="10" fontId="50" fillId="0" borderId="65" xfId="25" quotePrefix="1" applyNumberFormat="1" applyFont="1" applyBorder="1" applyAlignment="1">
      <alignment horizontal="center"/>
    </xf>
    <xf numFmtId="0" fontId="50" fillId="0" borderId="36" xfId="22" applyFont="1" applyBorder="1"/>
    <xf numFmtId="10" fontId="47" fillId="0" borderId="36" xfId="22" applyNumberFormat="1" applyFont="1" applyBorder="1"/>
    <xf numFmtId="10" fontId="47" fillId="0" borderId="36" xfId="22" applyNumberFormat="1" applyFont="1" applyBorder="1" applyAlignment="1">
      <alignment horizontal="right"/>
    </xf>
    <xf numFmtId="10" fontId="47" fillId="0" borderId="36" xfId="25" applyNumberFormat="1" applyFont="1" applyBorder="1" applyAlignment="1">
      <alignment horizontal="right"/>
    </xf>
    <xf numFmtId="0" fontId="50" fillId="0" borderId="0" xfId="22" applyFont="1"/>
    <xf numFmtId="3" fontId="50" fillId="0" borderId="0" xfId="22" applyNumberFormat="1" applyFont="1" applyBorder="1"/>
    <xf numFmtId="0" fontId="50" fillId="0" borderId="0" xfId="22" applyFont="1" applyAlignment="1">
      <alignment horizontal="right"/>
    </xf>
    <xf numFmtId="43" fontId="50" fillId="0" borderId="0" xfId="16" applyFont="1" applyAlignment="1">
      <alignment horizontal="right"/>
    </xf>
    <xf numFmtId="3" fontId="50" fillId="0" borderId="7" xfId="22" applyNumberFormat="1" applyFont="1" applyBorder="1"/>
    <xf numFmtId="0" fontId="50" fillId="0" borderId="7" xfId="22" applyFont="1" applyBorder="1" applyAlignment="1">
      <alignment horizontal="right"/>
    </xf>
    <xf numFmtId="43" fontId="50" fillId="0" borderId="7" xfId="16" applyFont="1" applyBorder="1" applyAlignment="1">
      <alignment horizontal="right"/>
    </xf>
    <xf numFmtId="3" fontId="50" fillId="0" borderId="36" xfId="22" applyNumberFormat="1" applyFont="1" applyBorder="1"/>
    <xf numFmtId="10" fontId="50" fillId="0" borderId="36" xfId="25" quotePrefix="1" applyNumberFormat="1" applyFont="1" applyBorder="1" applyAlignment="1">
      <alignment horizontal="center"/>
    </xf>
    <xf numFmtId="43" fontId="50" fillId="0" borderId="36" xfId="16" quotePrefix="1" applyFont="1" applyBorder="1" applyAlignment="1">
      <alignment horizontal="center"/>
    </xf>
    <xf numFmtId="0" fontId="50" fillId="0" borderId="65" xfId="22" applyFont="1" applyBorder="1"/>
    <xf numFmtId="10" fontId="50" fillId="0" borderId="0" xfId="25" quotePrefix="1" applyNumberFormat="1" applyFont="1" applyBorder="1" applyAlignment="1">
      <alignment horizontal="center"/>
    </xf>
    <xf numFmtId="10" fontId="50" fillId="0" borderId="0" xfId="22" applyNumberFormat="1" applyFont="1"/>
    <xf numFmtId="0" fontId="45" fillId="0" borderId="0" xfId="0" applyFont="1" applyAlignment="1">
      <alignment horizontal="centerContinuous"/>
    </xf>
    <xf numFmtId="0" fontId="58" fillId="0" borderId="0" xfId="0" applyFont="1" applyAlignment="1">
      <alignment horizontal="centerContinuous"/>
    </xf>
    <xf numFmtId="164" fontId="9" fillId="0" borderId="7" xfId="16" applyNumberFormat="1" applyFont="1" applyFill="1" applyBorder="1" applyAlignment="1">
      <alignment horizontal="center"/>
    </xf>
    <xf numFmtId="0" fontId="4" fillId="0" borderId="0" xfId="0" applyFont="1" applyFill="1"/>
    <xf numFmtId="164" fontId="1" fillId="0" borderId="16" xfId="16" applyNumberFormat="1" applyFont="1" applyFill="1" applyBorder="1" applyAlignment="1">
      <alignment horizontal="center"/>
    </xf>
    <xf numFmtId="164" fontId="8" fillId="0" borderId="16" xfId="16" applyNumberFormat="1" applyFont="1" applyFill="1" applyBorder="1"/>
    <xf numFmtId="9" fontId="4" fillId="0" borderId="0" xfId="25" applyFont="1" applyFill="1"/>
    <xf numFmtId="0" fontId="9" fillId="0" borderId="0" xfId="0" applyFont="1" applyAlignment="1">
      <alignment horizontal="center"/>
    </xf>
    <xf numFmtId="2" fontId="11" fillId="0" borderId="16" xfId="16" quotePrefix="1" applyNumberFormat="1" applyFont="1" applyBorder="1" applyAlignment="1">
      <alignment horizontal="center"/>
    </xf>
    <xf numFmtId="2" fontId="10" fillId="0" borderId="0" xfId="16" quotePrefix="1" applyNumberFormat="1" applyFont="1" applyFill="1" applyAlignment="1">
      <alignment horizontal="center"/>
    </xf>
    <xf numFmtId="2" fontId="11" fillId="0" borderId="16" xfId="16" quotePrefix="1" applyNumberFormat="1" applyFont="1" applyFill="1" applyBorder="1" applyAlignment="1">
      <alignment horizontal="center"/>
    </xf>
    <xf numFmtId="164" fontId="10" fillId="0" borderId="0" xfId="16" applyNumberFormat="1" applyFont="1" applyAlignment="1">
      <alignment horizontal="center"/>
    </xf>
    <xf numFmtId="164" fontId="11" fillId="0" borderId="16" xfId="16" applyNumberFormat="1" applyFont="1" applyFill="1" applyBorder="1" applyAlignment="1">
      <alignment horizontal="center"/>
    </xf>
    <xf numFmtId="164" fontId="10" fillId="0" borderId="0" xfId="16" applyNumberFormat="1" applyFont="1" applyFill="1" applyAlignment="1">
      <alignment horizontal="center"/>
    </xf>
    <xf numFmtId="164" fontId="1" fillId="0" borderId="16" xfId="25" applyNumberFormat="1" applyFont="1" applyFill="1" applyBorder="1" applyAlignment="1">
      <alignment horizontal="center"/>
    </xf>
    <xf numFmtId="10" fontId="11" fillId="0" borderId="16" xfId="25" applyNumberFormat="1" applyFont="1" applyBorder="1" applyAlignment="1">
      <alignment horizontal="center"/>
    </xf>
    <xf numFmtId="10" fontId="10" fillId="0" borderId="0" xfId="25" applyNumberFormat="1" applyFont="1" applyFill="1" applyBorder="1" applyAlignment="1">
      <alignment horizontal="center"/>
    </xf>
    <xf numFmtId="10" fontId="11" fillId="0" borderId="16" xfId="25" applyNumberFormat="1" applyFont="1" applyFill="1" applyBorder="1" applyAlignment="1">
      <alignment horizontal="center"/>
    </xf>
    <xf numFmtId="10" fontId="50" fillId="0" borderId="103" xfId="25" applyNumberFormat="1" applyFont="1" applyBorder="1" applyAlignment="1">
      <alignment horizontal="center"/>
    </xf>
    <xf numFmtId="10" fontId="50" fillId="0" borderId="65" xfId="25" applyNumberFormat="1" applyFont="1" applyBorder="1" applyAlignment="1">
      <alignment horizontal="center"/>
    </xf>
    <xf numFmtId="10" fontId="50" fillId="0" borderId="36" xfId="25" applyNumberFormat="1" applyFont="1" applyBorder="1" applyAlignment="1">
      <alignment horizontal="center"/>
    </xf>
    <xf numFmtId="10" fontId="10" fillId="0" borderId="16" xfId="25" applyNumberFormat="1" applyFont="1" applyFill="1" applyBorder="1" applyAlignment="1">
      <alignment horizontal="right"/>
    </xf>
    <xf numFmtId="43" fontId="1" fillId="0" borderId="16" xfId="25" applyNumberFormat="1" applyFont="1" applyFill="1" applyBorder="1" applyAlignment="1">
      <alignment horizontal="right"/>
    </xf>
    <xf numFmtId="43" fontId="9" fillId="0" borderId="7" xfId="16" applyFont="1" applyBorder="1" applyAlignment="1">
      <alignment horizontal="center"/>
    </xf>
    <xf numFmtId="0" fontId="11" fillId="0" borderId="48" xfId="0" quotePrefix="1" applyFont="1" applyBorder="1" applyAlignment="1">
      <alignment horizontal="centerContinuous"/>
    </xf>
    <xf numFmtId="0" fontId="18" fillId="0" borderId="0" xfId="0" applyFont="1"/>
    <xf numFmtId="0" fontId="10" fillId="0" borderId="0" xfId="0" applyFont="1" applyFill="1"/>
    <xf numFmtId="43" fontId="8" fillId="0" borderId="0" xfId="16" applyFont="1" applyBorder="1" applyAlignment="1">
      <alignment horizontal="center"/>
    </xf>
    <xf numFmtId="164" fontId="10" fillId="0" borderId="16" xfId="16" applyNumberFormat="1" applyFont="1" applyBorder="1"/>
    <xf numFmtId="167" fontId="50" fillId="0" borderId="100" xfId="16" applyNumberFormat="1" applyFont="1" applyBorder="1"/>
    <xf numFmtId="167" fontId="56" fillId="0" borderId="94" xfId="16" applyNumberFormat="1" applyFont="1" applyBorder="1" applyAlignment="1">
      <alignment horizontal="left" indent="2"/>
    </xf>
    <xf numFmtId="167" fontId="50" fillId="0" borderId="97" xfId="16" applyNumberFormat="1" applyFont="1" applyBorder="1"/>
    <xf numFmtId="164" fontId="3" fillId="0" borderId="0" xfId="20" applyNumberFormat="1" applyFont="1" applyFill="1"/>
    <xf numFmtId="164" fontId="3" fillId="0" borderId="0" xfId="16" applyNumberFormat="1" applyFont="1" applyAlignment="1">
      <alignment horizontal="center"/>
    </xf>
    <xf numFmtId="0" fontId="59" fillId="0" borderId="0" xfId="0" applyFont="1"/>
    <xf numFmtId="10" fontId="0" fillId="0" borderId="0" xfId="0" applyNumberFormat="1" applyAlignment="1">
      <alignment horizontal="center"/>
    </xf>
    <xf numFmtId="0" fontId="41" fillId="0" borderId="16" xfId="22" applyBorder="1"/>
    <xf numFmtId="0" fontId="9" fillId="0" borderId="0" xfId="0" applyFont="1" applyAlignment="1">
      <alignment horizontal="left"/>
    </xf>
    <xf numFmtId="43" fontId="3" fillId="0" borderId="0" xfId="16" applyFont="1" applyFill="1"/>
    <xf numFmtId="10" fontId="3" fillId="0" borderId="0" xfId="25" applyNumberFormat="1" applyFont="1" applyFill="1"/>
    <xf numFmtId="167" fontId="1" fillId="0" borderId="0" xfId="0" applyNumberFormat="1" applyFont="1"/>
    <xf numFmtId="167" fontId="1" fillId="0" borderId="0" xfId="16" applyNumberFormat="1" applyFont="1"/>
    <xf numFmtId="167" fontId="1" fillId="0" borderId="8" xfId="16" applyNumberFormat="1" applyFont="1" applyBorder="1" applyAlignment="1">
      <alignment horizontal="center"/>
    </xf>
    <xf numFmtId="167" fontId="1" fillId="0" borderId="9" xfId="16" applyNumberFormat="1" applyFont="1" applyBorder="1" applyAlignment="1">
      <alignment horizontal="center"/>
    </xf>
    <xf numFmtId="164" fontId="10" fillId="0" borderId="33" xfId="16" applyNumberFormat="1" applyFont="1" applyBorder="1"/>
    <xf numFmtId="164" fontId="10" fillId="0" borderId="11" xfId="16" applyNumberFormat="1" applyFont="1" applyBorder="1"/>
    <xf numFmtId="164" fontId="17" fillId="0" borderId="35" xfId="16" applyNumberFormat="1" applyFont="1" applyBorder="1"/>
    <xf numFmtId="167" fontId="1" fillId="0" borderId="0" xfId="16" applyNumberFormat="1" applyFont="1" applyBorder="1" applyAlignment="1">
      <alignment horizontal="center"/>
    </xf>
    <xf numFmtId="167" fontId="1" fillId="0" borderId="36" xfId="16" applyNumberFormat="1" applyFont="1" applyBorder="1" applyAlignment="1">
      <alignment horizontal="center"/>
    </xf>
    <xf numFmtId="167" fontId="11" fillId="0" borderId="0" xfId="16" applyNumberFormat="1" applyFont="1" applyBorder="1" applyAlignment="1">
      <alignment horizontal="center"/>
    </xf>
    <xf numFmtId="165" fontId="3" fillId="0" borderId="0" xfId="25" applyNumberFormat="1" applyFont="1" applyAlignment="1">
      <alignment horizontal="center"/>
    </xf>
    <xf numFmtId="9" fontId="3" fillId="0" borderId="0" xfId="25" applyAlignment="1">
      <alignment horizontal="center"/>
    </xf>
    <xf numFmtId="165" fontId="1" fillId="0" borderId="0" xfId="25" applyNumberFormat="1" applyFont="1" applyAlignment="1">
      <alignment horizontal="center"/>
    </xf>
    <xf numFmtId="165" fontId="3" fillId="0" borderId="19" xfId="25" applyNumberFormat="1" applyFont="1" applyBorder="1" applyAlignment="1">
      <alignment horizontal="center"/>
    </xf>
    <xf numFmtId="165" fontId="3" fillId="0" borderId="7" xfId="25" applyNumberFormat="1" applyFont="1" applyBorder="1" applyAlignment="1">
      <alignment horizontal="center"/>
    </xf>
    <xf numFmtId="10" fontId="10" fillId="0" borderId="13" xfId="25" applyNumberFormat="1" applyFont="1" applyBorder="1" applyAlignment="1">
      <alignment horizontal="center"/>
    </xf>
    <xf numFmtId="43" fontId="10" fillId="0" borderId="13" xfId="16" applyFont="1" applyBorder="1" applyAlignment="1">
      <alignment horizontal="center"/>
    </xf>
    <xf numFmtId="10" fontId="1" fillId="0" borderId="13" xfId="25" applyNumberFormat="1" applyFont="1" applyBorder="1" applyAlignment="1">
      <alignment horizontal="center"/>
    </xf>
    <xf numFmtId="10" fontId="1" fillId="0" borderId="44" xfId="25" applyNumberFormat="1" applyFont="1" applyBorder="1" applyAlignment="1">
      <alignment horizontal="center"/>
    </xf>
    <xf numFmtId="10" fontId="10" fillId="0" borderId="38" xfId="25" applyNumberFormat="1" applyFont="1" applyBorder="1" applyAlignment="1">
      <alignment horizontal="center"/>
    </xf>
    <xf numFmtId="164" fontId="3" fillId="0" borderId="8" xfId="16" applyNumberFormat="1" applyFont="1" applyFill="1" applyBorder="1"/>
    <xf numFmtId="0" fontId="46" fillId="0" borderId="0" xfId="21" applyFont="1"/>
    <xf numFmtId="43" fontId="10" fillId="0" borderId="0" xfId="0" applyNumberFormat="1" applyFont="1"/>
    <xf numFmtId="10" fontId="3" fillId="0" borderId="0" xfId="25" applyNumberFormat="1" applyFill="1" applyAlignment="1">
      <alignment horizontal="right"/>
    </xf>
    <xf numFmtId="10" fontId="50" fillId="0" borderId="104" xfId="25" quotePrefix="1" applyNumberFormat="1" applyFont="1" applyBorder="1" applyAlignment="1">
      <alignment horizontal="center"/>
    </xf>
    <xf numFmtId="164" fontId="11" fillId="0" borderId="105" xfId="16" applyNumberFormat="1" applyFont="1" applyBorder="1"/>
    <xf numFmtId="164" fontId="17" fillId="0" borderId="35" xfId="16" applyNumberFormat="1" applyFont="1" applyFill="1" applyBorder="1"/>
    <xf numFmtId="164" fontId="17" fillId="0" borderId="87" xfId="16" applyNumberFormat="1" applyFont="1" applyFill="1" applyBorder="1"/>
    <xf numFmtId="164" fontId="17" fillId="0" borderId="56" xfId="16" applyNumberFormat="1" applyFont="1" applyFill="1" applyBorder="1"/>
    <xf numFmtId="43" fontId="1" fillId="0" borderId="7" xfId="16" quotePrefix="1" applyFont="1" applyBorder="1" applyAlignment="1">
      <alignment horizontal="center"/>
    </xf>
    <xf numFmtId="9" fontId="8" fillId="0" borderId="7" xfId="25" applyFont="1" applyBorder="1" applyAlignment="1">
      <alignment horizontal="center"/>
    </xf>
    <xf numFmtId="1" fontId="1" fillId="0" borderId="18" xfId="16" quotePrefix="1" applyNumberFormat="1" applyFont="1" applyBorder="1" applyAlignment="1">
      <alignment horizontal="center"/>
    </xf>
    <xf numFmtId="166" fontId="9" fillId="0" borderId="0" xfId="16" quotePrefix="1" applyNumberFormat="1" applyFont="1" applyAlignment="1">
      <alignment horizontal="center"/>
    </xf>
    <xf numFmtId="1" fontId="1" fillId="0" borderId="0" xfId="16" quotePrefix="1" applyNumberFormat="1" applyFont="1" applyFill="1" applyAlignment="1">
      <alignment horizontal="centerContinuous"/>
    </xf>
    <xf numFmtId="1" fontId="1" fillId="0" borderId="7" xfId="16" quotePrefix="1" applyNumberFormat="1" applyFont="1" applyBorder="1" applyAlignment="1">
      <alignment horizontal="center"/>
    </xf>
    <xf numFmtId="43" fontId="9" fillId="0" borderId="0" xfId="16" quotePrefix="1" applyNumberFormat="1" applyFont="1" applyAlignment="1">
      <alignment horizontal="center"/>
    </xf>
    <xf numFmtId="1" fontId="9" fillId="0" borderId="0" xfId="16" quotePrefix="1" applyNumberFormat="1" applyFont="1" applyFill="1" applyAlignment="1">
      <alignment horizontal="centerContinuous"/>
    </xf>
    <xf numFmtId="164" fontId="9" fillId="0" borderId="0" xfId="16" quotePrefix="1" applyNumberFormat="1" applyFont="1" applyFill="1" applyAlignment="1">
      <alignment horizontal="centerContinuous"/>
    </xf>
    <xf numFmtId="10" fontId="3" fillId="0" borderId="0" xfId="25" applyNumberFormat="1" applyFill="1" applyAlignment="1">
      <alignment horizontal="center"/>
    </xf>
    <xf numFmtId="10" fontId="3" fillId="0" borderId="0" xfId="25" applyNumberFormat="1" applyFont="1" applyFill="1" applyAlignment="1">
      <alignment horizontal="center"/>
    </xf>
    <xf numFmtId="43" fontId="10" fillId="0" borderId="0" xfId="16" applyFont="1" applyFill="1"/>
    <xf numFmtId="43" fontId="1" fillId="0" borderId="17" xfId="25" applyNumberFormat="1" applyFont="1" applyFill="1" applyBorder="1" applyAlignment="1">
      <alignment horizontal="right"/>
    </xf>
    <xf numFmtId="164" fontId="3" fillId="0" borderId="82" xfId="16" applyNumberFormat="1" applyFont="1" applyBorder="1"/>
    <xf numFmtId="43" fontId="3" fillId="0" borderId="0" xfId="25" applyNumberFormat="1" applyFill="1" applyBorder="1" applyAlignment="1">
      <alignment horizontal="right"/>
    </xf>
    <xf numFmtId="167" fontId="0" fillId="0" borderId="19" xfId="16" applyNumberFormat="1" applyFont="1" applyFill="1" applyBorder="1" applyAlignment="1"/>
    <xf numFmtId="0" fontId="0" fillId="0" borderId="8" xfId="0" applyFill="1" applyBorder="1" applyAlignment="1">
      <alignment horizontal="centerContinuous"/>
    </xf>
    <xf numFmtId="167" fontId="0" fillId="0" borderId="19" xfId="16" applyNumberFormat="1" applyFont="1" applyFill="1" applyBorder="1" applyAlignment="1">
      <alignment horizontal="center"/>
    </xf>
    <xf numFmtId="167" fontId="0" fillId="0" borderId="8" xfId="16" quotePrefix="1" applyNumberFormat="1" applyFont="1" applyFill="1" applyBorder="1" applyAlignment="1">
      <alignment horizontal="centerContinuous"/>
    </xf>
    <xf numFmtId="167" fontId="0" fillId="0" borderId="19" xfId="16" applyNumberFormat="1" applyFont="1" applyFill="1" applyBorder="1" applyAlignment="1">
      <alignment horizontal="centerContinuous"/>
    </xf>
    <xf numFmtId="167" fontId="0" fillId="0" borderId="9" xfId="16" applyNumberFormat="1" applyFont="1" applyFill="1" applyBorder="1" applyAlignment="1">
      <alignment horizontal="center"/>
    </xf>
    <xf numFmtId="167" fontId="0" fillId="0" borderId="8" xfId="16" applyNumberFormat="1" applyFont="1" applyFill="1" applyBorder="1" applyAlignment="1">
      <alignment horizontal="center"/>
    </xf>
    <xf numFmtId="167" fontId="1" fillId="0" borderId="9" xfId="16" applyNumberFormat="1" applyFont="1" applyFill="1" applyBorder="1" applyAlignment="1">
      <alignment horizontal="center"/>
    </xf>
    <xf numFmtId="167" fontId="1" fillId="0" borderId="8" xfId="16" applyNumberFormat="1" applyFont="1" applyFill="1" applyBorder="1" applyAlignment="1">
      <alignment horizontal="center"/>
    </xf>
    <xf numFmtId="167" fontId="1" fillId="0" borderId="67" xfId="16" applyNumberFormat="1" applyFont="1" applyFill="1" applyBorder="1" applyAlignment="1">
      <alignment horizontal="center"/>
    </xf>
    <xf numFmtId="167" fontId="0" fillId="0" borderId="67" xfId="16" applyNumberFormat="1" applyFont="1" applyFill="1" applyBorder="1" applyAlignment="1">
      <alignment horizontal="centerContinuous"/>
    </xf>
    <xf numFmtId="167" fontId="0" fillId="0" borderId="8" xfId="16" applyNumberFormat="1" applyFont="1" applyFill="1" applyBorder="1" applyAlignment="1">
      <alignment horizontal="centerContinuous"/>
    </xf>
    <xf numFmtId="167" fontId="0" fillId="0" borderId="8" xfId="16" applyNumberFormat="1" applyFont="1" applyFill="1" applyBorder="1" applyAlignment="1"/>
    <xf numFmtId="167" fontId="0" fillId="0" borderId="19" xfId="16" quotePrefix="1" applyNumberFormat="1" applyFont="1" applyFill="1" applyBorder="1" applyAlignment="1">
      <alignment horizontal="centerContinuous"/>
    </xf>
    <xf numFmtId="167" fontId="0" fillId="0" borderId="19" xfId="16" quotePrefix="1" applyNumberFormat="1" applyFont="1" applyFill="1" applyBorder="1" applyAlignment="1">
      <alignment horizontal="center"/>
    </xf>
    <xf numFmtId="167" fontId="0" fillId="0" borderId="68" xfId="16" applyNumberFormat="1" applyFont="1" applyFill="1" applyBorder="1" applyAlignment="1"/>
    <xf numFmtId="167" fontId="0" fillId="0" borderId="9" xfId="16" applyNumberFormat="1" applyFont="1" applyFill="1" applyBorder="1" applyAlignment="1"/>
    <xf numFmtId="43" fontId="3" fillId="0" borderId="0" xfId="25" applyNumberFormat="1" applyFont="1" applyFill="1" applyBorder="1" applyAlignment="1">
      <alignment horizontal="right"/>
    </xf>
    <xf numFmtId="164" fontId="11" fillId="0" borderId="0" xfId="16" applyNumberFormat="1" applyFont="1" applyFill="1"/>
    <xf numFmtId="167" fontId="0" fillId="0" borderId="67" xfId="16" quotePrefix="1" applyNumberFormat="1" applyFont="1" applyFill="1" applyBorder="1" applyAlignment="1">
      <alignment horizontal="center"/>
    </xf>
    <xf numFmtId="43" fontId="3" fillId="0" borderId="48" xfId="25" applyNumberFormat="1" applyFill="1" applyBorder="1" applyAlignment="1">
      <alignment horizontal="right"/>
    </xf>
    <xf numFmtId="167" fontId="0" fillId="0" borderId="19" xfId="16" quotePrefix="1" applyNumberFormat="1" applyFont="1" applyFill="1" applyBorder="1" applyAlignment="1"/>
    <xf numFmtId="0" fontId="11" fillId="0" borderId="52" xfId="0" applyFont="1" applyFill="1" applyBorder="1" applyAlignment="1">
      <alignment horizontal="centerContinuous"/>
    </xf>
    <xf numFmtId="0" fontId="11" fillId="0" borderId="52" xfId="0" applyFont="1" applyFill="1" applyBorder="1" applyAlignment="1">
      <alignment horizontal="center"/>
    </xf>
    <xf numFmtId="0" fontId="11" fillId="0" borderId="53" xfId="0" applyFont="1" applyFill="1" applyBorder="1" applyAlignment="1">
      <alignment horizontal="center"/>
    </xf>
    <xf numFmtId="16" fontId="1" fillId="0" borderId="0" xfId="0" quotePrefix="1" applyNumberFormat="1" applyFont="1" applyFill="1" applyAlignment="1">
      <alignment horizontal="center"/>
    </xf>
    <xf numFmtId="9" fontId="1" fillId="0" borderId="0" xfId="25" applyFont="1" applyFill="1" applyAlignment="1">
      <alignment horizontal="center"/>
    </xf>
    <xf numFmtId="9" fontId="3" fillId="0" borderId="0" xfId="25" applyFill="1"/>
    <xf numFmtId="164" fontId="3" fillId="0" borderId="0" xfId="25" applyNumberFormat="1" applyFill="1"/>
    <xf numFmtId="0" fontId="55" fillId="0" borderId="0" xfId="19" applyFont="1" applyAlignment="1">
      <alignment horizontal="center"/>
    </xf>
    <xf numFmtId="0" fontId="54" fillId="0" borderId="59" xfId="19" applyFont="1" applyBorder="1" applyAlignment="1">
      <alignment horizontal="center"/>
    </xf>
    <xf numFmtId="0" fontId="54" fillId="0" borderId="7" xfId="19" applyFont="1" applyBorder="1" applyAlignment="1">
      <alignment horizontal="center"/>
    </xf>
    <xf numFmtId="0" fontId="54" fillId="0" borderId="93" xfId="19" applyFont="1" applyBorder="1" applyAlignment="1">
      <alignment horizontal="center"/>
    </xf>
    <xf numFmtId="0" fontId="55" fillId="0" borderId="0" xfId="21" applyFont="1" applyAlignment="1">
      <alignment horizontal="center"/>
    </xf>
    <xf numFmtId="0" fontId="54" fillId="0" borderId="59" xfId="21" applyFont="1" applyBorder="1" applyAlignment="1">
      <alignment horizontal="center"/>
    </xf>
    <xf numFmtId="0" fontId="54" fillId="0" borderId="7" xfId="21" applyFont="1" applyBorder="1" applyAlignment="1">
      <alignment horizontal="center"/>
    </xf>
    <xf numFmtId="0" fontId="54" fillId="0" borderId="93" xfId="21" applyFont="1" applyBorder="1" applyAlignment="1">
      <alignment horizontal="center"/>
    </xf>
    <xf numFmtId="0" fontId="47" fillId="0" borderId="0" xfId="21" applyFont="1"/>
    <xf numFmtId="10" fontId="47" fillId="0" borderId="96" xfId="25" quotePrefix="1" applyNumberFormat="1" applyFont="1" applyBorder="1" applyAlignment="1">
      <alignment horizontal="right"/>
    </xf>
    <xf numFmtId="10" fontId="47" fillId="0" borderId="96" xfId="25" applyNumberFormat="1" applyFont="1" applyBorder="1" applyAlignment="1">
      <alignment horizontal="right"/>
    </xf>
    <xf numFmtId="10" fontId="47" fillId="0" borderId="7" xfId="25" quotePrefix="1" applyNumberFormat="1" applyFont="1" applyBorder="1" applyAlignment="1">
      <alignment horizontal="right"/>
    </xf>
    <xf numFmtId="0" fontId="47" fillId="0" borderId="0" xfId="22" applyFont="1" applyAlignment="1">
      <alignment horizontal="right"/>
    </xf>
    <xf numFmtId="0" fontId="47" fillId="0" borderId="7" xfId="22" applyFont="1" applyBorder="1"/>
    <xf numFmtId="10" fontId="47" fillId="0" borderId="0" xfId="25" quotePrefix="1" applyNumberFormat="1" applyFont="1" applyAlignment="1">
      <alignment horizontal="right"/>
    </xf>
    <xf numFmtId="10" fontId="47" fillId="0" borderId="0" xfId="25" applyNumberFormat="1" applyFont="1" applyAlignment="1">
      <alignment horizontal="right"/>
    </xf>
    <xf numFmtId="10" fontId="47" fillId="0" borderId="7" xfId="25" applyNumberFormat="1" applyFont="1" applyBorder="1" applyAlignment="1">
      <alignment horizontal="right"/>
    </xf>
    <xf numFmtId="10" fontId="47" fillId="0" borderId="0" xfId="22" applyNumberFormat="1" applyFont="1" applyAlignment="1">
      <alignment horizontal="right"/>
    </xf>
    <xf numFmtId="10" fontId="47" fillId="0" borderId="0" xfId="22" applyNumberFormat="1" applyFont="1" applyBorder="1" applyAlignment="1">
      <alignment horizontal="right"/>
    </xf>
    <xf numFmtId="43" fontId="47" fillId="0" borderId="0" xfId="16" applyFont="1" applyBorder="1" applyAlignment="1">
      <alignment horizontal="right"/>
    </xf>
    <xf numFmtId="0" fontId="11" fillId="0" borderId="106" xfId="0" applyFont="1" applyBorder="1" applyAlignment="1">
      <alignment horizontal="centerContinuous"/>
    </xf>
    <xf numFmtId="0" fontId="1" fillId="0" borderId="107" xfId="0" applyFont="1" applyBorder="1"/>
    <xf numFmtId="0" fontId="1" fillId="0" borderId="106" xfId="0" applyFont="1" applyBorder="1"/>
    <xf numFmtId="0" fontId="11" fillId="0" borderId="108" xfId="0" applyFont="1" applyBorder="1" applyAlignment="1">
      <alignment horizontal="centerContinuous"/>
    </xf>
    <xf numFmtId="0" fontId="11" fillId="0" borderId="106" xfId="0" quotePrefix="1" applyFont="1" applyBorder="1" applyAlignment="1">
      <alignment horizontal="centerContinuous"/>
    </xf>
    <xf numFmtId="164" fontId="10" fillId="0" borderId="56" xfId="16" applyNumberFormat="1" applyFont="1" applyFill="1" applyBorder="1"/>
    <xf numFmtId="167" fontId="0" fillId="0" borderId="50" xfId="16" applyNumberFormat="1" applyFont="1" applyFill="1" applyBorder="1" applyAlignment="1"/>
    <xf numFmtId="0" fontId="0" fillId="0" borderId="36" xfId="0" applyFill="1" applyBorder="1" applyAlignment="1">
      <alignment horizontal="centerContinuous"/>
    </xf>
    <xf numFmtId="167" fontId="0" fillId="0" borderId="0" xfId="16" applyNumberFormat="1" applyFont="1" applyFill="1" applyBorder="1" applyAlignment="1"/>
    <xf numFmtId="167" fontId="0" fillId="0" borderId="0" xfId="16" applyNumberFormat="1" applyFont="1" applyFill="1" applyBorder="1" applyAlignment="1">
      <alignment horizontal="center"/>
    </xf>
    <xf numFmtId="167" fontId="0" fillId="0" borderId="0" xfId="16" applyNumberFormat="1" applyFont="1" applyFill="1" applyBorder="1" applyAlignment="1">
      <alignment horizontal="centerContinuous"/>
    </xf>
    <xf numFmtId="167" fontId="0" fillId="0" borderId="36" xfId="16" applyNumberFormat="1" applyFont="1" applyFill="1" applyBorder="1" applyAlignment="1">
      <alignment horizontal="centerContinuous"/>
    </xf>
    <xf numFmtId="167" fontId="0" fillId="0" borderId="36" xfId="16" applyNumberFormat="1" applyFont="1" applyFill="1" applyBorder="1" applyAlignment="1"/>
    <xf numFmtId="167" fontId="0" fillId="0" borderId="0" xfId="16" quotePrefix="1" applyNumberFormat="1" applyFont="1" applyFill="1" applyBorder="1" applyAlignment="1">
      <alignment horizontal="centerContinuous"/>
    </xf>
    <xf numFmtId="167" fontId="0" fillId="0" borderId="0" xfId="16" quotePrefix="1" applyNumberFormat="1" applyFont="1" applyFill="1" applyBorder="1" applyAlignment="1">
      <alignment horizontal="center"/>
    </xf>
    <xf numFmtId="167" fontId="0" fillId="0" borderId="60" xfId="16" applyNumberFormat="1" applyFont="1" applyFill="1" applyBorder="1" applyAlignment="1"/>
    <xf numFmtId="167" fontId="0" fillId="0" borderId="60" xfId="16" applyNumberFormat="1" applyFont="1" applyFill="1" applyBorder="1" applyAlignment="1">
      <alignment horizontal="center"/>
    </xf>
    <xf numFmtId="167" fontId="0" fillId="0" borderId="60" xfId="16" applyNumberFormat="1" applyFont="1" applyFill="1" applyBorder="1" applyAlignment="1">
      <alignment horizontal="centerContinuous"/>
    </xf>
    <xf numFmtId="167" fontId="0" fillId="0" borderId="60" xfId="16" quotePrefix="1" applyNumberFormat="1" applyFont="1" applyFill="1" applyBorder="1" applyAlignment="1"/>
    <xf numFmtId="167" fontId="0" fillId="0" borderId="60" xfId="16" quotePrefix="1" applyNumberFormat="1" applyFont="1" applyFill="1" applyBorder="1" applyAlignment="1">
      <alignment horizontal="centerContinuous"/>
    </xf>
    <xf numFmtId="167" fontId="0" fillId="0" borderId="60" xfId="16" quotePrefix="1" applyNumberFormat="1" applyFont="1" applyFill="1" applyBorder="1" applyAlignment="1">
      <alignment horizontal="center"/>
    </xf>
    <xf numFmtId="167" fontId="1" fillId="0" borderId="109" xfId="16" applyNumberFormat="1" applyFont="1" applyBorder="1"/>
    <xf numFmtId="0" fontId="0" fillId="0" borderId="48" xfId="0" applyBorder="1"/>
    <xf numFmtId="167" fontId="0" fillId="0" borderId="50" xfId="16" applyNumberFormat="1" applyFont="1" applyFill="1" applyBorder="1" applyAlignment="1">
      <alignment horizontal="center"/>
    </xf>
    <xf numFmtId="167" fontId="0" fillId="0" borderId="36" xfId="16" applyNumberFormat="1" applyFont="1" applyFill="1" applyBorder="1" applyAlignment="1">
      <alignment horizontal="center"/>
    </xf>
    <xf numFmtId="167" fontId="1" fillId="0" borderId="50" xfId="16" applyNumberFormat="1" applyFont="1" applyFill="1" applyBorder="1" applyAlignment="1">
      <alignment horizontal="center"/>
    </xf>
    <xf numFmtId="167" fontId="1" fillId="0" borderId="36" xfId="16" applyNumberFormat="1" applyFont="1" applyFill="1" applyBorder="1" applyAlignment="1">
      <alignment horizontal="center"/>
    </xf>
    <xf numFmtId="167" fontId="1" fillId="0" borderId="85" xfId="16" applyNumberFormat="1" applyFont="1" applyFill="1" applyBorder="1" applyAlignment="1">
      <alignment horizontal="center"/>
    </xf>
    <xf numFmtId="167" fontId="0" fillId="0" borderId="85" xfId="16" applyNumberFormat="1" applyFont="1" applyFill="1" applyBorder="1" applyAlignment="1">
      <alignment horizontal="centerContinuous"/>
    </xf>
    <xf numFmtId="167" fontId="0" fillId="0" borderId="20" xfId="16" applyNumberFormat="1" applyFont="1" applyFill="1" applyBorder="1" applyAlignment="1"/>
    <xf numFmtId="0" fontId="1" fillId="0" borderId="110" xfId="0" applyFont="1" applyFill="1" applyBorder="1" applyAlignment="1">
      <alignment horizontal="centerContinuous"/>
    </xf>
    <xf numFmtId="0" fontId="1" fillId="0" borderId="52" xfId="0" applyFont="1" applyFill="1" applyBorder="1" applyAlignment="1">
      <alignment horizontal="centerContinuous"/>
    </xf>
    <xf numFmtId="0" fontId="1" fillId="0" borderId="111" xfId="0" applyFont="1" applyFill="1" applyBorder="1" applyAlignment="1">
      <alignment horizontal="center"/>
    </xf>
    <xf numFmtId="0" fontId="16" fillId="0" borderId="0" xfId="18" applyFont="1" applyAlignment="1">
      <alignment horizontal="centerContinuous"/>
    </xf>
    <xf numFmtId="0" fontId="10" fillId="0" borderId="0" xfId="18" applyFont="1" applyAlignment="1">
      <alignment horizontal="centerContinuous"/>
    </xf>
    <xf numFmtId="0" fontId="10" fillId="0" borderId="0" xfId="18" applyFont="1" applyAlignment="1">
      <alignment horizontal="center"/>
    </xf>
    <xf numFmtId="0" fontId="10" fillId="0" borderId="0" xfId="18" applyFont="1"/>
    <xf numFmtId="0" fontId="11" fillId="0" borderId="0" xfId="18" applyFont="1" applyAlignment="1">
      <alignment horizontal="centerContinuous"/>
    </xf>
    <xf numFmtId="0" fontId="21" fillId="0" borderId="0" xfId="18" applyFont="1" applyAlignment="1">
      <alignment horizontal="center"/>
    </xf>
    <xf numFmtId="0" fontId="3" fillId="0" borderId="0" xfId="18"/>
    <xf numFmtId="0" fontId="21" fillId="0" borderId="0" xfId="18" applyFont="1"/>
    <xf numFmtId="0" fontId="11" fillId="0" borderId="112" xfId="18" applyFont="1" applyBorder="1"/>
    <xf numFmtId="0" fontId="16" fillId="0" borderId="75" xfId="18" applyFont="1" applyBorder="1" applyAlignment="1">
      <alignment horizontal="center"/>
    </xf>
    <xf numFmtId="0" fontId="11" fillId="0" borderId="48" xfId="18" applyFont="1" applyBorder="1"/>
    <xf numFmtId="0" fontId="11" fillId="0" borderId="36" xfId="18" applyFont="1" applyBorder="1" applyAlignment="1">
      <alignment horizontal="centerContinuous"/>
    </xf>
    <xf numFmtId="0" fontId="11" fillId="0" borderId="36" xfId="18" applyFont="1" applyBorder="1" applyAlignment="1">
      <alignment horizontal="center"/>
    </xf>
    <xf numFmtId="0" fontId="11" fillId="0" borderId="49" xfId="18" applyFont="1" applyBorder="1" applyAlignment="1">
      <alignment horizontal="center"/>
    </xf>
    <xf numFmtId="0" fontId="11" fillId="0" borderId="16" xfId="18" applyFont="1" applyBorder="1" applyAlignment="1">
      <alignment horizontal="center"/>
    </xf>
    <xf numFmtId="0" fontId="36" fillId="0" borderId="87" xfId="18" applyFont="1" applyBorder="1" applyAlignment="1">
      <alignment horizontal="left"/>
    </xf>
    <xf numFmtId="164" fontId="60" fillId="0" borderId="61" xfId="9" applyNumberFormat="1" applyFont="1" applyBorder="1" applyAlignment="1"/>
    <xf numFmtId="164" fontId="60" fillId="0" borderId="61" xfId="9" applyNumberFormat="1" applyFont="1" applyBorder="1" applyAlignment="1">
      <alignment horizontal="centerContinuous"/>
    </xf>
    <xf numFmtId="164" fontId="60" fillId="0" borderId="61" xfId="9" applyNumberFormat="1" applyFont="1" applyBorder="1" applyAlignment="1">
      <alignment horizontal="center"/>
    </xf>
    <xf numFmtId="164" fontId="60" fillId="0" borderId="61" xfId="9" applyNumberFormat="1" applyFont="1" applyFill="1" applyBorder="1" applyAlignment="1">
      <alignment horizontal="center"/>
    </xf>
    <xf numFmtId="164" fontId="60" fillId="0" borderId="76" xfId="9" applyNumberFormat="1" applyFont="1" applyBorder="1" applyAlignment="1"/>
    <xf numFmtId="164" fontId="39" fillId="0" borderId="72" xfId="9" applyNumberFormat="1" applyFont="1" applyBorder="1"/>
    <xf numFmtId="164" fontId="60" fillId="0" borderId="76" xfId="9" applyNumberFormat="1" applyFont="1" applyBorder="1" applyAlignment="1">
      <alignment horizontal="center"/>
    </xf>
    <xf numFmtId="164" fontId="39" fillId="0" borderId="54" xfId="9" applyNumberFormat="1" applyFont="1" applyBorder="1" applyAlignment="1"/>
    <xf numFmtId="164" fontId="39" fillId="0" borderId="54" xfId="9" applyNumberFormat="1" applyFont="1" applyBorder="1" applyAlignment="1">
      <alignment horizontal="center"/>
    </xf>
    <xf numFmtId="164" fontId="39" fillId="0" borderId="54" xfId="9" applyNumberFormat="1" applyFont="1" applyBorder="1" applyAlignment="1">
      <alignment horizontal="centerContinuous"/>
    </xf>
    <xf numFmtId="164" fontId="39" fillId="0" borderId="54" xfId="9" applyNumberFormat="1" applyFont="1" applyFill="1" applyBorder="1" applyAlignment="1">
      <alignment horizontal="center"/>
    </xf>
    <xf numFmtId="164" fontId="39" fillId="0" borderId="55" xfId="9" applyNumberFormat="1" applyFont="1" applyBorder="1" applyAlignment="1">
      <alignment horizontal="center"/>
    </xf>
    <xf numFmtId="164" fontId="39" fillId="0" borderId="73" xfId="9" applyNumberFormat="1" applyFont="1" applyBorder="1"/>
    <xf numFmtId="164" fontId="60" fillId="15" borderId="54" xfId="9" applyNumberFormat="1" applyFont="1" applyFill="1" applyBorder="1" applyAlignment="1"/>
    <xf numFmtId="164" fontId="60" fillId="15" borderId="54" xfId="9" applyNumberFormat="1" applyFont="1" applyFill="1" applyBorder="1" applyAlignment="1">
      <alignment horizontal="center"/>
    </xf>
    <xf numFmtId="164" fontId="60" fillId="15" borderId="54" xfId="9" applyNumberFormat="1" applyFont="1" applyFill="1" applyBorder="1" applyAlignment="1">
      <alignment horizontal="centerContinuous"/>
    </xf>
    <xf numFmtId="164" fontId="60" fillId="15" borderId="55" xfId="9" applyNumberFormat="1" applyFont="1" applyFill="1" applyBorder="1" applyAlignment="1">
      <alignment horizontal="center"/>
    </xf>
    <xf numFmtId="164" fontId="39" fillId="15" borderId="73" xfId="9" applyNumberFormat="1" applyFont="1" applyFill="1" applyBorder="1"/>
    <xf numFmtId="0" fontId="36" fillId="0" borderId="91" xfId="18" applyFont="1" applyBorder="1" applyAlignment="1">
      <alignment horizontal="left"/>
    </xf>
    <xf numFmtId="164" fontId="39" fillId="0" borderId="113" xfId="9" applyNumberFormat="1" applyFont="1" applyBorder="1" applyAlignment="1">
      <alignment horizontal="center"/>
    </xf>
    <xf numFmtId="164" fontId="39" fillId="16" borderId="113" xfId="9" applyNumberFormat="1" applyFont="1" applyFill="1" applyBorder="1" applyAlignment="1">
      <alignment horizontal="center"/>
    </xf>
    <xf numFmtId="164" fontId="39" fillId="16" borderId="114" xfId="9" applyNumberFormat="1" applyFont="1" applyFill="1" applyBorder="1" applyAlignment="1">
      <alignment horizontal="center"/>
    </xf>
    <xf numFmtId="164" fontId="60" fillId="0" borderId="54" xfId="9" applyNumberFormat="1" applyFont="1" applyBorder="1" applyAlignment="1"/>
    <xf numFmtId="164" fontId="60" fillId="0" borderId="54" xfId="9" applyNumberFormat="1" applyFont="1" applyBorder="1" applyAlignment="1">
      <alignment horizontal="center"/>
    </xf>
    <xf numFmtId="164" fontId="60" fillId="0" borderId="54" xfId="9" applyNumberFormat="1" applyFont="1" applyBorder="1" applyAlignment="1">
      <alignment horizontal="centerContinuous"/>
    </xf>
    <xf numFmtId="164" fontId="60" fillId="0" borderId="54" xfId="9" applyNumberFormat="1" applyFont="1" applyFill="1" applyBorder="1" applyAlignment="1">
      <alignment horizontal="center"/>
    </xf>
    <xf numFmtId="164" fontId="60" fillId="0" borderId="55" xfId="9" applyNumberFormat="1" applyFont="1" applyBorder="1" applyAlignment="1">
      <alignment horizontal="center"/>
    </xf>
    <xf numFmtId="10" fontId="10" fillId="0" borderId="0" xfId="24" applyNumberFormat="1" applyFont="1"/>
    <xf numFmtId="0" fontId="36" fillId="0" borderId="115" xfId="18" applyFont="1" applyBorder="1"/>
    <xf numFmtId="164" fontId="60" fillId="0" borderId="113" xfId="9" applyNumberFormat="1" applyFont="1" applyBorder="1"/>
    <xf numFmtId="164" fontId="60" fillId="0" borderId="113" xfId="9" applyNumberFormat="1" applyFont="1" applyFill="1" applyBorder="1"/>
    <xf numFmtId="164" fontId="60" fillId="0" borderId="55" xfId="9" applyNumberFormat="1" applyFont="1" applyBorder="1"/>
    <xf numFmtId="0" fontId="36" fillId="0" borderId="115" xfId="18" applyFont="1" applyBorder="1" applyAlignment="1">
      <alignment horizontal="left"/>
    </xf>
    <xf numFmtId="164" fontId="60" fillId="0" borderId="115" xfId="9" applyNumberFormat="1" applyFont="1" applyBorder="1"/>
    <xf numFmtId="164" fontId="60" fillId="0" borderId="71" xfId="9" applyNumberFormat="1" applyFont="1" applyBorder="1" applyAlignment="1">
      <alignment horizontal="center"/>
    </xf>
    <xf numFmtId="164" fontId="60" fillId="0" borderId="71" xfId="9" applyNumberFormat="1" applyFont="1" applyFill="1" applyBorder="1" applyAlignment="1">
      <alignment horizontal="center"/>
    </xf>
    <xf numFmtId="164" fontId="60" fillId="0" borderId="7" xfId="9" applyNumberFormat="1" applyFont="1" applyBorder="1" applyAlignment="1">
      <alignment horizontal="center"/>
    </xf>
    <xf numFmtId="164" fontId="39" fillId="0" borderId="16" xfId="9" applyNumberFormat="1" applyFont="1" applyBorder="1"/>
    <xf numFmtId="0" fontId="36" fillId="0" borderId="7" xfId="18" applyFont="1" applyBorder="1" applyAlignment="1">
      <alignment horizontal="center"/>
    </xf>
    <xf numFmtId="164" fontId="39" fillId="0" borderId="116" xfId="9" applyNumberFormat="1" applyFont="1" applyBorder="1" applyAlignment="1">
      <alignment horizontal="center"/>
    </xf>
    <xf numFmtId="164" fontId="39" fillId="0" borderId="117" xfId="9" applyNumberFormat="1" applyFont="1" applyBorder="1"/>
    <xf numFmtId="0" fontId="17" fillId="0" borderId="0" xfId="18" applyFont="1" applyAlignment="1">
      <alignment horizontal="centerContinuous"/>
    </xf>
    <xf numFmtId="0" fontId="17" fillId="0" borderId="0" xfId="18" applyFont="1"/>
    <xf numFmtId="0" fontId="36" fillId="17" borderId="0" xfId="18" applyFont="1" applyFill="1" applyAlignment="1">
      <alignment horizontal="left"/>
    </xf>
    <xf numFmtId="0" fontId="33" fillId="17" borderId="0" xfId="18" applyFont="1" applyFill="1" applyBorder="1" applyAlignment="1">
      <alignment horizontal="centerContinuous"/>
    </xf>
    <xf numFmtId="0" fontId="33" fillId="17" borderId="0" xfId="18" applyFont="1" applyFill="1" applyAlignment="1">
      <alignment horizontal="centerContinuous"/>
    </xf>
    <xf numFmtId="0" fontId="36" fillId="0" borderId="0" xfId="18" applyFont="1" applyBorder="1" applyAlignment="1">
      <alignment horizontal="center"/>
    </xf>
    <xf numFmtId="0" fontId="33" fillId="0" borderId="0" xfId="18" applyFont="1"/>
    <xf numFmtId="0" fontId="25" fillId="0" borderId="0" xfId="18" applyFont="1"/>
    <xf numFmtId="0" fontId="11" fillId="0" borderId="0" xfId="18" applyFont="1"/>
    <xf numFmtId="0" fontId="36" fillId="0" borderId="113" xfId="18" applyFont="1" applyBorder="1"/>
    <xf numFmtId="164" fontId="60" fillId="0" borderId="70" xfId="9" applyNumberFormat="1" applyFont="1" applyBorder="1"/>
    <xf numFmtId="164" fontId="39" fillId="0" borderId="113" xfId="9" applyNumberFormat="1" applyFont="1" applyBorder="1"/>
    <xf numFmtId="164" fontId="39" fillId="0" borderId="70" xfId="9" applyNumberFormat="1" applyFont="1" applyBorder="1"/>
    <xf numFmtId="164" fontId="60" fillId="15" borderId="113" xfId="9" applyNumberFormat="1" applyFont="1" applyFill="1" applyBorder="1"/>
    <xf numFmtId="164" fontId="60" fillId="15" borderId="70" xfId="9" applyNumberFormat="1" applyFont="1" applyFill="1" applyBorder="1"/>
    <xf numFmtId="164" fontId="60" fillId="0" borderId="86" xfId="9" applyNumberFormat="1" applyFont="1" applyBorder="1"/>
    <xf numFmtId="164" fontId="60" fillId="0" borderId="0" xfId="9" applyNumberFormat="1" applyFont="1"/>
    <xf numFmtId="0" fontId="16" fillId="0" borderId="0" xfId="18" applyFont="1" applyAlignment="1">
      <alignment horizontal="center"/>
    </xf>
    <xf numFmtId="164" fontId="39" fillId="0" borderId="18" xfId="9" applyNumberFormat="1" applyFont="1" applyBorder="1"/>
    <xf numFmtId="164" fontId="39" fillId="0" borderId="79" xfId="9" applyNumberFormat="1" applyFont="1" applyBorder="1"/>
    <xf numFmtId="0" fontId="60" fillId="0" borderId="0" xfId="18" applyFont="1"/>
    <xf numFmtId="164" fontId="10" fillId="0" borderId="50" xfId="9" applyNumberFormat="1" applyFont="1" applyBorder="1"/>
    <xf numFmtId="167" fontId="60" fillId="0" borderId="0" xfId="9" applyNumberFormat="1" applyFont="1"/>
    <xf numFmtId="0" fontId="16" fillId="0" borderId="118" xfId="18" applyFont="1" applyBorder="1"/>
    <xf numFmtId="164" fontId="39" fillId="0" borderId="18" xfId="18" applyNumberFormat="1" applyFont="1" applyBorder="1"/>
    <xf numFmtId="164" fontId="39" fillId="0" borderId="119" xfId="18" applyNumberFormat="1" applyFont="1" applyBorder="1"/>
    <xf numFmtId="164" fontId="10" fillId="0" borderId="0" xfId="18" applyNumberFormat="1" applyFont="1"/>
    <xf numFmtId="164" fontId="39" fillId="0" borderId="113" xfId="9" applyNumberFormat="1" applyFont="1" applyFill="1" applyBorder="1" applyAlignment="1">
      <alignment horizontal="center"/>
    </xf>
    <xf numFmtId="164" fontId="39" fillId="0" borderId="114" xfId="9" applyNumberFormat="1" applyFont="1" applyBorder="1" applyAlignment="1">
      <alignment horizontal="center"/>
    </xf>
    <xf numFmtId="0" fontId="36" fillId="0" borderId="70" xfId="18" applyFont="1" applyBorder="1"/>
    <xf numFmtId="0" fontId="36" fillId="0" borderId="70" xfId="18" applyFont="1" applyBorder="1" applyAlignment="1">
      <alignment horizontal="left"/>
    </xf>
    <xf numFmtId="0" fontId="39" fillId="0" borderId="120" xfId="18" applyFont="1" applyBorder="1" applyAlignment="1">
      <alignment horizontal="left"/>
    </xf>
    <xf numFmtId="0" fontId="36" fillId="0" borderId="64" xfId="18" applyFont="1" applyBorder="1" applyAlignment="1">
      <alignment horizontal="center"/>
    </xf>
    <xf numFmtId="0" fontId="36" fillId="17" borderId="50" xfId="18" applyFont="1" applyFill="1" applyBorder="1" applyAlignment="1">
      <alignment horizontal="left"/>
    </xf>
    <xf numFmtId="0" fontId="36" fillId="0" borderId="9" xfId="18" applyFont="1" applyBorder="1" applyAlignment="1">
      <alignment horizontal="center"/>
    </xf>
    <xf numFmtId="0" fontId="36" fillId="0" borderId="0" xfId="18" applyFont="1" applyAlignment="1">
      <alignment horizontal="center"/>
    </xf>
    <xf numFmtId="0" fontId="47" fillId="0" borderId="65" xfId="22" applyFont="1" applyFill="1" applyBorder="1" applyAlignment="1">
      <alignment horizontal="center"/>
    </xf>
    <xf numFmtId="0" fontId="74" fillId="14" borderId="0" xfId="0" applyFont="1" applyFill="1" applyBorder="1"/>
    <xf numFmtId="0" fontId="0" fillId="0" borderId="61" xfId="0" applyFill="1" applyBorder="1" applyAlignment="1">
      <alignment horizontal="centerContinuous"/>
    </xf>
    <xf numFmtId="167" fontId="0" fillId="0" borderId="61" xfId="16" quotePrefix="1" applyNumberFormat="1" applyFont="1" applyFill="1" applyBorder="1" applyAlignment="1">
      <alignment horizontal="centerContinuous"/>
    </xf>
    <xf numFmtId="167" fontId="0" fillId="0" borderId="36" xfId="16" quotePrefix="1" applyNumberFormat="1" applyFont="1" applyFill="1" applyBorder="1" applyAlignment="1">
      <alignment horizontal="centerContinuous"/>
    </xf>
    <xf numFmtId="167" fontId="0" fillId="0" borderId="61" xfId="16" quotePrefix="1" applyNumberFormat="1" applyFont="1" applyFill="1" applyBorder="1" applyAlignment="1">
      <alignment horizontal="center"/>
    </xf>
    <xf numFmtId="167" fontId="0" fillId="0" borderId="61" xfId="16" applyNumberFormat="1" applyFont="1" applyFill="1" applyBorder="1" applyAlignment="1">
      <alignment horizontal="centerContinuous"/>
    </xf>
    <xf numFmtId="167" fontId="0" fillId="0" borderId="61" xfId="16" applyNumberFormat="1" applyFont="1" applyFill="1" applyBorder="1" applyAlignment="1"/>
    <xf numFmtId="167" fontId="0" fillId="0" borderId="86" xfId="16" quotePrefix="1" applyNumberFormat="1" applyFont="1" applyFill="1" applyBorder="1" applyAlignment="1">
      <alignment horizontal="center"/>
    </xf>
    <xf numFmtId="167" fontId="0" fillId="0" borderId="89" xfId="16" quotePrefix="1" applyNumberFormat="1" applyFont="1" applyFill="1" applyBorder="1" applyAlignment="1">
      <alignment horizontal="center"/>
    </xf>
    <xf numFmtId="167" fontId="1" fillId="0" borderId="121" xfId="16" applyNumberFormat="1" applyFont="1" applyBorder="1"/>
    <xf numFmtId="17" fontId="11" fillId="0" borderId="122" xfId="0" applyNumberFormat="1" applyFont="1" applyBorder="1" applyAlignment="1">
      <alignment horizontal="centerContinuous"/>
    </xf>
    <xf numFmtId="167" fontId="0" fillId="0" borderId="9" xfId="16" applyNumberFormat="1" applyFont="1" applyFill="1" applyBorder="1" applyAlignment="1">
      <alignment horizontal="centerContinuous"/>
    </xf>
    <xf numFmtId="167" fontId="0" fillId="0" borderId="0" xfId="16" quotePrefix="1" applyNumberFormat="1" applyFont="1" applyFill="1" applyBorder="1" applyAlignment="1"/>
    <xf numFmtId="167" fontId="0" fillId="0" borderId="9" xfId="16" quotePrefix="1" applyNumberFormat="1" applyFont="1" applyFill="1" applyBorder="1" applyAlignment="1"/>
    <xf numFmtId="167" fontId="0" fillId="0" borderId="86" xfId="16" quotePrefix="1" applyNumberFormat="1" applyFont="1" applyFill="1" applyBorder="1" applyAlignment="1">
      <alignment horizontal="centerContinuous"/>
    </xf>
    <xf numFmtId="167" fontId="1" fillId="0" borderId="0" xfId="16" applyNumberFormat="1" applyFont="1" applyFill="1" applyBorder="1" applyAlignment="1">
      <alignment horizontal="center"/>
    </xf>
    <xf numFmtId="0" fontId="76" fillId="0" borderId="49" xfId="0" applyFont="1" applyBorder="1" applyAlignment="1">
      <alignment horizontal="right" vertical="top" wrapText="1"/>
    </xf>
    <xf numFmtId="0" fontId="76" fillId="0" borderId="49" xfId="0" applyFont="1" applyBorder="1" applyAlignment="1">
      <alignment horizontal="right" wrapText="1"/>
    </xf>
    <xf numFmtId="0" fontId="76" fillId="0" borderId="49" xfId="0" applyFont="1" applyBorder="1" applyAlignment="1">
      <alignment wrapText="1"/>
    </xf>
    <xf numFmtId="0" fontId="0" fillId="0" borderId="123" xfId="0" applyBorder="1" applyAlignment="1">
      <alignment wrapText="1"/>
    </xf>
    <xf numFmtId="0" fontId="76" fillId="0" borderId="124" xfId="0" applyFont="1" applyBorder="1" applyAlignment="1">
      <alignment horizontal="right" vertical="top" wrapText="1"/>
    </xf>
    <xf numFmtId="0" fontId="76" fillId="0" borderId="23" xfId="0" applyFont="1" applyBorder="1" applyAlignment="1">
      <alignment horizontal="right" wrapText="1"/>
    </xf>
    <xf numFmtId="0" fontId="76" fillId="0" borderId="59" xfId="0" applyFont="1" applyBorder="1" applyAlignment="1">
      <alignment horizontal="right" vertical="top" wrapText="1"/>
    </xf>
    <xf numFmtId="0" fontId="0" fillId="0" borderId="59" xfId="0" applyBorder="1" applyAlignment="1">
      <alignment wrapText="1"/>
    </xf>
    <xf numFmtId="0" fontId="76" fillId="0" borderId="123" xfId="0" applyFont="1" applyBorder="1" applyAlignment="1">
      <alignment horizontal="right" wrapText="1"/>
    </xf>
    <xf numFmtId="0" fontId="75" fillId="0" borderId="57" xfId="0" applyFont="1" applyBorder="1" applyAlignment="1">
      <alignment wrapText="1"/>
    </xf>
    <xf numFmtId="0" fontId="0" fillId="0" borderId="46" xfId="0" applyBorder="1"/>
    <xf numFmtId="0" fontId="75" fillId="0" borderId="125" xfId="0" applyFont="1" applyBorder="1" applyAlignment="1">
      <alignment wrapText="1"/>
    </xf>
    <xf numFmtId="0" fontId="75" fillId="0" borderId="126" xfId="0" applyFont="1" applyBorder="1" applyAlignment="1">
      <alignment horizontal="right" wrapText="1"/>
    </xf>
    <xf numFmtId="0" fontId="76" fillId="0" borderId="49" xfId="0" applyFont="1" applyBorder="1" applyAlignment="1"/>
    <xf numFmtId="0" fontId="75" fillId="0" borderId="49" xfId="0" applyFont="1" applyBorder="1" applyAlignment="1"/>
    <xf numFmtId="0" fontId="75" fillId="0" borderId="123" xfId="0" applyFont="1" applyBorder="1" applyAlignment="1">
      <alignment vertical="top"/>
    </xf>
    <xf numFmtId="0" fontId="75" fillId="0" borderId="49" xfId="0" applyFont="1" applyBorder="1" applyAlignment="1">
      <alignment vertical="top"/>
    </xf>
    <xf numFmtId="0" fontId="0" fillId="0" borderId="59" xfId="0" applyBorder="1" applyAlignment="1"/>
    <xf numFmtId="0" fontId="76" fillId="0" borderId="123" xfId="0" applyFont="1" applyBorder="1" applyAlignment="1"/>
    <xf numFmtId="0" fontId="75" fillId="0" borderId="23" xfId="0" applyFont="1" applyBorder="1" applyAlignment="1">
      <alignment vertical="center"/>
    </xf>
    <xf numFmtId="4" fontId="76" fillId="0" borderId="49" xfId="0" applyNumberFormat="1" applyFont="1" applyBorder="1" applyAlignment="1">
      <alignment horizontal="right" wrapText="1"/>
    </xf>
    <xf numFmtId="10" fontId="76" fillId="0" borderId="49" xfId="0" applyNumberFormat="1" applyFont="1" applyBorder="1" applyAlignment="1">
      <alignment horizontal="right" wrapText="1"/>
    </xf>
    <xf numFmtId="10" fontId="76" fillId="0" borderId="49" xfId="25" applyNumberFormat="1" applyFont="1" applyBorder="1" applyAlignment="1">
      <alignment horizontal="right" wrapText="1"/>
    </xf>
    <xf numFmtId="43" fontId="76" fillId="0" borderId="49" xfId="0" applyNumberFormat="1" applyFont="1" applyBorder="1" applyAlignment="1">
      <alignment horizontal="right" wrapText="1"/>
    </xf>
    <xf numFmtId="0" fontId="1" fillId="0" borderId="36" xfId="0" applyFont="1" applyFill="1" applyBorder="1" applyAlignment="1">
      <alignment horizontal="center"/>
    </xf>
    <xf numFmtId="0" fontId="1" fillId="0" borderId="85" xfId="0" applyFont="1" applyFill="1" applyBorder="1" applyAlignment="1">
      <alignment horizontal="center"/>
    </xf>
    <xf numFmtId="0" fontId="1" fillId="0" borderId="20" xfId="0" applyFont="1" applyFill="1" applyBorder="1" applyAlignment="1">
      <alignment horizontal="center"/>
    </xf>
    <xf numFmtId="167" fontId="0" fillId="0" borderId="115" xfId="16" applyNumberFormat="1" applyFont="1" applyFill="1" applyBorder="1" applyAlignment="1"/>
    <xf numFmtId="0" fontId="0" fillId="0" borderId="54" xfId="0" applyFill="1" applyBorder="1" applyAlignment="1">
      <alignment horizontal="centerContinuous"/>
    </xf>
    <xf numFmtId="167" fontId="0" fillId="0" borderId="115" xfId="16" applyNumberFormat="1" applyFont="1" applyFill="1" applyBorder="1" applyAlignment="1">
      <alignment horizontal="center"/>
    </xf>
    <xf numFmtId="167" fontId="0" fillId="0" borderId="54" xfId="16" applyNumberFormat="1" applyFont="1" applyFill="1" applyBorder="1" applyAlignment="1">
      <alignment horizontal="center"/>
    </xf>
    <xf numFmtId="0" fontId="0" fillId="0" borderId="70" xfId="0" applyFill="1" applyBorder="1"/>
    <xf numFmtId="0" fontId="0" fillId="0" borderId="54" xfId="0" applyFill="1" applyBorder="1"/>
    <xf numFmtId="43" fontId="0" fillId="0" borderId="115" xfId="16" applyFont="1" applyFill="1" applyBorder="1"/>
    <xf numFmtId="0" fontId="0" fillId="0" borderId="115" xfId="0" applyFill="1" applyBorder="1" applyAlignment="1"/>
    <xf numFmtId="0" fontId="0" fillId="0" borderId="115" xfId="0" applyFill="1" applyBorder="1" applyAlignment="1">
      <alignment horizontal="right"/>
    </xf>
    <xf numFmtId="43" fontId="0" fillId="0" borderId="113" xfId="16" applyFont="1" applyFill="1" applyBorder="1" applyAlignment="1">
      <alignment horizontal="center"/>
    </xf>
    <xf numFmtId="167" fontId="0" fillId="0" borderId="127" xfId="16" applyNumberFormat="1" applyFont="1" applyFill="1" applyBorder="1" applyAlignment="1"/>
    <xf numFmtId="0" fontId="0" fillId="0" borderId="0" xfId="0" applyFill="1" applyBorder="1" applyAlignment="1">
      <alignment horizontal="center"/>
    </xf>
    <xf numFmtId="0" fontId="0" fillId="0" borderId="85" xfId="0" applyFill="1" applyBorder="1" applyAlignment="1">
      <alignment horizontal="centerContinuous"/>
    </xf>
    <xf numFmtId="43" fontId="0" fillId="0" borderId="19" xfId="16" applyFont="1" applyFill="1" applyBorder="1" applyAlignment="1">
      <alignment horizontal="centerContinuous"/>
    </xf>
    <xf numFmtId="0" fontId="0" fillId="0" borderId="8" xfId="0" applyFill="1" applyBorder="1" applyAlignment="1">
      <alignment horizontal="center"/>
    </xf>
    <xf numFmtId="0" fontId="0" fillId="0" borderId="19" xfId="0" applyFill="1" applyBorder="1" applyAlignment="1"/>
    <xf numFmtId="0" fontId="0" fillId="0" borderId="8" xfId="0" applyFill="1" applyBorder="1" applyAlignment="1"/>
    <xf numFmtId="167" fontId="0" fillId="0" borderId="67" xfId="16" applyNumberFormat="1" applyFont="1" applyFill="1" applyBorder="1" applyAlignment="1">
      <alignment horizontal="center"/>
    </xf>
    <xf numFmtId="0" fontId="0" fillId="0" borderId="36" xfId="0" applyFill="1" applyBorder="1" applyAlignment="1"/>
    <xf numFmtId="167" fontId="0" fillId="0" borderId="85" xfId="16" applyNumberFormat="1" applyFont="1" applyFill="1" applyBorder="1" applyAlignment="1"/>
    <xf numFmtId="167" fontId="0" fillId="0" borderId="67" xfId="16" applyNumberFormat="1" applyFont="1" applyFill="1" applyBorder="1" applyAlignment="1"/>
    <xf numFmtId="164" fontId="0" fillId="0" borderId="8" xfId="16" applyNumberFormat="1" applyFont="1" applyFill="1" applyBorder="1" applyAlignment="1">
      <alignment horizontal="centerContinuous"/>
    </xf>
    <xf numFmtId="167" fontId="0" fillId="0" borderId="19" xfId="16" applyNumberFormat="1" applyFont="1" applyFill="1" applyBorder="1" applyAlignment="1">
      <alignment horizontal="right"/>
    </xf>
    <xf numFmtId="0" fontId="75" fillId="0" borderId="117" xfId="0" applyFont="1" applyBorder="1" applyAlignment="1">
      <alignment horizontal="right" wrapText="1"/>
    </xf>
    <xf numFmtId="0" fontId="0" fillId="0" borderId="16" xfId="0" applyBorder="1"/>
    <xf numFmtId="10" fontId="76" fillId="0" borderId="16" xfId="25" applyNumberFormat="1" applyFont="1" applyBorder="1" applyAlignment="1">
      <alignment horizontal="right" wrapText="1"/>
    </xf>
    <xf numFmtId="0" fontId="0" fillId="0" borderId="17" xfId="0" applyBorder="1"/>
    <xf numFmtId="0" fontId="75" fillId="0" borderId="90" xfId="0" applyFont="1" applyBorder="1" applyAlignment="1">
      <alignment horizontal="right" wrapText="1"/>
    </xf>
    <xf numFmtId="4" fontId="76" fillId="0" borderId="85" xfId="0" applyNumberFormat="1" applyFont="1" applyBorder="1" applyAlignment="1">
      <alignment horizontal="right" wrapText="1"/>
    </xf>
    <xf numFmtId="0" fontId="76" fillId="0" borderId="85" xfId="0" applyFont="1" applyBorder="1" applyAlignment="1">
      <alignment horizontal="right" wrapText="1"/>
    </xf>
    <xf numFmtId="0" fontId="76" fillId="0" borderId="107" xfId="0" applyFont="1" applyBorder="1" applyAlignment="1">
      <alignment horizontal="right" wrapText="1"/>
    </xf>
    <xf numFmtId="0" fontId="0" fillId="0" borderId="128" xfId="0" applyBorder="1"/>
    <xf numFmtId="0" fontId="0" fillId="0" borderId="129" xfId="0" applyBorder="1"/>
    <xf numFmtId="4" fontId="76" fillId="0" borderId="106" xfId="0" applyNumberFormat="1" applyFont="1" applyBorder="1" applyAlignment="1">
      <alignment horizontal="right" wrapText="1"/>
    </xf>
    <xf numFmtId="4" fontId="76" fillId="0" borderId="130" xfId="0" applyNumberFormat="1" applyFont="1" applyBorder="1" applyAlignment="1">
      <alignment horizontal="right" wrapText="1"/>
    </xf>
    <xf numFmtId="0" fontId="76" fillId="0" borderId="106" xfId="0" applyFont="1" applyBorder="1" applyAlignment="1">
      <alignment horizontal="right" wrapText="1"/>
    </xf>
    <xf numFmtId="0" fontId="76" fillId="0" borderId="130" xfId="0" applyFont="1" applyBorder="1" applyAlignment="1">
      <alignment horizontal="right" wrapText="1"/>
    </xf>
    <xf numFmtId="0" fontId="76" fillId="0" borderId="131" xfId="0" applyFont="1" applyBorder="1" applyAlignment="1">
      <alignment horizontal="right" vertical="top" wrapText="1"/>
    </xf>
    <xf numFmtId="0" fontId="0" fillId="0" borderId="71" xfId="0" applyBorder="1" applyAlignment="1">
      <alignment wrapText="1"/>
    </xf>
    <xf numFmtId="0" fontId="0" fillId="0" borderId="74" xfId="0" applyBorder="1" applyAlignment="1">
      <alignment wrapText="1"/>
    </xf>
    <xf numFmtId="0" fontId="0" fillId="0" borderId="107" xfId="0" applyBorder="1"/>
    <xf numFmtId="0" fontId="0" fillId="0" borderId="131" xfId="0" applyBorder="1" applyAlignment="1">
      <alignment wrapText="1"/>
    </xf>
    <xf numFmtId="0" fontId="76" fillId="0" borderId="16" xfId="0" applyFont="1" applyBorder="1" applyAlignment="1"/>
    <xf numFmtId="0" fontId="75" fillId="0" borderId="16" xfId="0" applyFont="1" applyBorder="1" applyAlignment="1"/>
    <xf numFmtId="0" fontId="75" fillId="0" borderId="17" xfId="0" applyFont="1" applyBorder="1" applyAlignment="1">
      <alignment vertical="top"/>
    </xf>
    <xf numFmtId="0" fontId="75" fillId="0" borderId="90" xfId="0" applyFont="1" applyBorder="1" applyAlignment="1"/>
    <xf numFmtId="0" fontId="75" fillId="0" borderId="17" xfId="0" applyFont="1" applyBorder="1" applyAlignment="1"/>
    <xf numFmtId="10" fontId="76" fillId="0" borderId="106" xfId="25" applyNumberFormat="1" applyFont="1" applyBorder="1" applyAlignment="1">
      <alignment horizontal="right" wrapText="1"/>
    </xf>
    <xf numFmtId="10" fontId="76" fillId="0" borderId="85" xfId="25" applyNumberFormat="1" applyFont="1" applyBorder="1" applyAlignment="1">
      <alignment horizontal="right" wrapText="1"/>
    </xf>
    <xf numFmtId="10" fontId="76" fillId="0" borderId="130" xfId="25" applyNumberFormat="1" applyFont="1" applyBorder="1" applyAlignment="1">
      <alignment horizontal="right" wrapText="1"/>
    </xf>
    <xf numFmtId="9" fontId="9" fillId="0" borderId="7" xfId="25" applyFont="1" applyFill="1" applyBorder="1" applyAlignment="1">
      <alignment horizontal="center"/>
    </xf>
    <xf numFmtId="10" fontId="0" fillId="0" borderId="0" xfId="0" applyNumberFormat="1"/>
    <xf numFmtId="43" fontId="10" fillId="0" borderId="0" xfId="16" applyFont="1" applyFill="1" applyAlignment="1">
      <alignment horizontal="center"/>
    </xf>
    <xf numFmtId="0" fontId="18" fillId="0" borderId="0" xfId="0" applyFont="1" applyFill="1"/>
    <xf numFmtId="43" fontId="3" fillId="0" borderId="59" xfId="25" applyNumberFormat="1" applyBorder="1" applyAlignment="1">
      <alignment horizontal="right"/>
    </xf>
    <xf numFmtId="43" fontId="3" fillId="0" borderId="17" xfId="25" applyNumberFormat="1" applyBorder="1" applyAlignment="1">
      <alignment horizontal="right"/>
    </xf>
    <xf numFmtId="43" fontId="10" fillId="0" borderId="0" xfId="16" applyNumberFormat="1" applyFont="1" applyAlignment="1">
      <alignment horizontal="center"/>
    </xf>
    <xf numFmtId="167" fontId="0" fillId="0" borderId="36" xfId="16" quotePrefix="1" applyNumberFormat="1" applyFont="1" applyFill="1" applyBorder="1" applyAlignment="1">
      <alignment horizontal="center"/>
    </xf>
    <xf numFmtId="167" fontId="0" fillId="0" borderId="85" xfId="16" quotePrefix="1" applyNumberFormat="1" applyFont="1" applyFill="1" applyBorder="1" applyAlignment="1">
      <alignment horizontal="center"/>
    </xf>
    <xf numFmtId="43" fontId="3" fillId="0" borderId="0" xfId="16" applyFont="1" applyFill="1" applyAlignment="1">
      <alignment horizontal="center"/>
    </xf>
    <xf numFmtId="171" fontId="39" fillId="0" borderId="117" xfId="9" applyNumberFormat="1" applyFont="1" applyBorder="1" applyAlignment="1"/>
    <xf numFmtId="0" fontId="1" fillId="0" borderId="51" xfId="0" applyFont="1" applyFill="1" applyBorder="1" applyAlignment="1">
      <alignment horizontal="centerContinuous"/>
    </xf>
    <xf numFmtId="0" fontId="1" fillId="0" borderId="132" xfId="0" applyFont="1" applyFill="1" applyBorder="1" applyAlignment="1">
      <alignment horizontal="center"/>
    </xf>
    <xf numFmtId="0" fontId="11" fillId="0" borderId="111" xfId="0" applyFont="1" applyFill="1" applyBorder="1" applyAlignment="1">
      <alignment horizontal="centerContinuous"/>
    </xf>
    <xf numFmtId="0" fontId="11" fillId="0" borderId="110" xfId="0" applyFont="1" applyFill="1" applyBorder="1" applyAlignment="1">
      <alignment horizontal="centerContinuous"/>
    </xf>
    <xf numFmtId="0" fontId="11" fillId="0" borderId="51" xfId="0" applyFont="1" applyFill="1" applyBorder="1" applyAlignment="1">
      <alignment horizontal="centerContinuous"/>
    </xf>
    <xf numFmtId="0" fontId="16" fillId="0" borderId="52" xfId="18" applyFont="1" applyFill="1" applyBorder="1" applyAlignment="1">
      <alignment horizontal="centerContinuous"/>
    </xf>
    <xf numFmtId="0" fontId="16" fillId="0" borderId="52" xfId="18" applyFont="1" applyFill="1" applyBorder="1" applyAlignment="1">
      <alignment horizontal="center"/>
    </xf>
    <xf numFmtId="0" fontId="16" fillId="0" borderId="53" xfId="18" applyFont="1" applyFill="1" applyBorder="1" applyAlignment="1">
      <alignment horizontal="center"/>
    </xf>
    <xf numFmtId="164" fontId="4" fillId="0" borderId="0" xfId="20" applyNumberFormat="1" applyFont="1"/>
    <xf numFmtId="167" fontId="11" fillId="0" borderId="65" xfId="16" applyNumberFormat="1" applyFont="1" applyBorder="1" applyAlignment="1">
      <alignment horizontal="center"/>
    </xf>
    <xf numFmtId="0" fontId="11" fillId="0" borderId="75" xfId="0" applyFont="1" applyBorder="1"/>
    <xf numFmtId="0" fontId="11" fillId="0" borderId="35" xfId="0" applyFont="1" applyBorder="1" applyAlignment="1">
      <alignment horizontal="centerContinuous"/>
    </xf>
    <xf numFmtId="0" fontId="11" fillId="0" borderId="17" xfId="0" applyFont="1" applyBorder="1" applyAlignment="1">
      <alignment horizontal="centerContinuous"/>
    </xf>
    <xf numFmtId="0" fontId="11" fillId="0" borderId="133" xfId="0" applyFont="1" applyBorder="1"/>
    <xf numFmtId="0" fontId="11" fillId="0" borderId="134" xfId="0" applyFont="1" applyBorder="1" applyAlignment="1">
      <alignment horizontal="center"/>
    </xf>
    <xf numFmtId="0" fontId="11" fillId="0" borderId="74" xfId="0" applyFont="1" applyBorder="1" applyAlignment="1">
      <alignment horizontal="center"/>
    </xf>
    <xf numFmtId="164" fontId="1" fillId="0" borderId="59" xfId="16" applyNumberFormat="1" applyFont="1" applyBorder="1"/>
    <xf numFmtId="0" fontId="4" fillId="0" borderId="36" xfId="0" applyFont="1" applyBorder="1"/>
    <xf numFmtId="0" fontId="9" fillId="0" borderId="135" xfId="0" applyFont="1" applyBorder="1"/>
    <xf numFmtId="0" fontId="9" fillId="0" borderId="36" xfId="0" applyFont="1" applyBorder="1"/>
    <xf numFmtId="0" fontId="4" fillId="0" borderId="65" xfId="0" applyFont="1" applyBorder="1"/>
    <xf numFmtId="0" fontId="9" fillId="0" borderId="65" xfId="0" applyFont="1" applyBorder="1"/>
    <xf numFmtId="0" fontId="9" fillId="0" borderId="36" xfId="0" applyFont="1" applyFill="1" applyBorder="1"/>
    <xf numFmtId="167" fontId="3" fillId="0" borderId="9" xfId="16" applyNumberFormat="1" applyFont="1" applyFill="1" applyBorder="1" applyAlignment="1"/>
    <xf numFmtId="167" fontId="3" fillId="0" borderId="0" xfId="16" applyNumberFormat="1" applyFont="1" applyFill="1" applyBorder="1" applyAlignment="1"/>
    <xf numFmtId="167" fontId="3" fillId="0" borderId="8" xfId="16" applyNumberFormat="1" applyFont="1" applyFill="1" applyBorder="1" applyAlignment="1">
      <alignment horizontal="centerContinuous"/>
    </xf>
    <xf numFmtId="167" fontId="3" fillId="0" borderId="19" xfId="16" applyNumberFormat="1" applyFont="1" applyFill="1" applyBorder="1" applyAlignment="1"/>
    <xf numFmtId="167" fontId="3" fillId="0" borderId="8" xfId="16" applyNumberFormat="1" applyFont="1" applyFill="1" applyBorder="1" applyAlignment="1"/>
    <xf numFmtId="167" fontId="3" fillId="0" borderId="68" xfId="16" applyNumberFormat="1" applyFont="1" applyFill="1" applyBorder="1" applyAlignment="1"/>
    <xf numFmtId="167" fontId="3" fillId="0" borderId="19" xfId="16" applyNumberFormat="1" applyFont="1" applyFill="1" applyBorder="1" applyAlignment="1">
      <alignment horizontal="center"/>
    </xf>
    <xf numFmtId="167" fontId="3" fillId="0" borderId="9" xfId="16" quotePrefix="1" applyNumberFormat="1" applyFont="1" applyFill="1" applyBorder="1" applyAlignment="1"/>
    <xf numFmtId="167" fontId="3" fillId="0" borderId="67" xfId="16" applyNumberFormat="1" applyFont="1" applyFill="1" applyBorder="1" applyAlignment="1">
      <alignment horizontal="centerContinuous"/>
    </xf>
    <xf numFmtId="16" fontId="0" fillId="0" borderId="0" xfId="0" applyNumberFormat="1"/>
    <xf numFmtId="10" fontId="3" fillId="0" borderId="0" xfId="16" applyNumberFormat="1"/>
    <xf numFmtId="170" fontId="3" fillId="0" borderId="0" xfId="25" applyNumberFormat="1"/>
    <xf numFmtId="170" fontId="3" fillId="0" borderId="0" xfId="25" applyNumberFormat="1" applyFont="1"/>
    <xf numFmtId="167" fontId="0" fillId="0" borderId="89" xfId="16" quotePrefix="1" applyNumberFormat="1" applyFont="1" applyFill="1" applyBorder="1" applyAlignment="1">
      <alignment horizontal="center" vertical="center"/>
    </xf>
    <xf numFmtId="164" fontId="10" fillId="0" borderId="136" xfId="16" applyNumberFormat="1" applyFont="1" applyFill="1" applyBorder="1"/>
    <xf numFmtId="164" fontId="10" fillId="0" borderId="9" xfId="16" applyNumberFormat="1" applyFont="1" applyFill="1" applyBorder="1"/>
    <xf numFmtId="43" fontId="10" fillId="0" borderId="134" xfId="16" applyFont="1" applyFill="1" applyBorder="1" applyAlignment="1">
      <alignment horizontal="center"/>
    </xf>
    <xf numFmtId="164" fontId="10" fillId="0" borderId="19" xfId="16" applyNumberFormat="1" applyFont="1" applyFill="1" applyBorder="1"/>
    <xf numFmtId="170" fontId="10" fillId="0" borderId="0" xfId="18" applyNumberFormat="1" applyFont="1"/>
    <xf numFmtId="43" fontId="10" fillId="0" borderId="0" xfId="18" applyNumberFormat="1" applyFont="1"/>
    <xf numFmtId="164" fontId="11" fillId="0" borderId="73" xfId="16" applyNumberFormat="1" applyFont="1" applyFill="1" applyBorder="1"/>
    <xf numFmtId="164" fontId="11" fillId="0" borderId="76" xfId="16" applyNumberFormat="1" applyFont="1" applyFill="1" applyBorder="1"/>
    <xf numFmtId="164" fontId="11" fillId="0" borderId="55" xfId="16" applyNumberFormat="1" applyFont="1" applyFill="1" applyBorder="1"/>
    <xf numFmtId="43" fontId="3" fillId="0" borderId="0" xfId="16" applyNumberFormat="1"/>
    <xf numFmtId="43" fontId="10" fillId="0" borderId="0" xfId="25" applyNumberFormat="1" applyFont="1" applyBorder="1"/>
    <xf numFmtId="165" fontId="10" fillId="0" borderId="0" xfId="16" applyNumberFormat="1" applyFont="1" applyBorder="1"/>
    <xf numFmtId="43" fontId="0" fillId="0" borderId="0" xfId="0" applyNumberFormat="1"/>
    <xf numFmtId="43" fontId="3" fillId="0" borderId="0" xfId="25" applyNumberFormat="1" applyFont="1" applyAlignment="1">
      <alignment horizontal="center"/>
    </xf>
    <xf numFmtId="10" fontId="56" fillId="0" borderId="94" xfId="16" applyNumberFormat="1" applyFont="1" applyBorder="1"/>
    <xf numFmtId="43" fontId="3" fillId="0" borderId="19" xfId="16" applyNumberFormat="1" applyBorder="1"/>
    <xf numFmtId="0" fontId="0" fillId="18" borderId="7" xfId="0" applyFill="1" applyBorder="1"/>
    <xf numFmtId="0" fontId="0" fillId="18" borderId="0" xfId="0" applyFill="1" applyBorder="1"/>
    <xf numFmtId="0" fontId="0" fillId="18" borderId="0" xfId="0" applyFill="1"/>
    <xf numFmtId="0" fontId="1" fillId="18" borderId="0" xfId="0" applyFont="1" applyFill="1" applyAlignment="1">
      <alignment horizontal="centerContinuous"/>
    </xf>
    <xf numFmtId="0" fontId="1" fillId="18" borderId="0" xfId="0" applyFont="1" applyFill="1" applyBorder="1" applyAlignment="1">
      <alignment horizontal="center"/>
    </xf>
    <xf numFmtId="0" fontId="1" fillId="18" borderId="0" xfId="0" applyFont="1" applyFill="1" applyAlignment="1">
      <alignment horizontal="center"/>
    </xf>
    <xf numFmtId="170" fontId="56" fillId="0" borderId="94" xfId="25" applyNumberFormat="1" applyFont="1" applyBorder="1"/>
    <xf numFmtId="165" fontId="50" fillId="0" borderId="96" xfId="16" applyNumberFormat="1" applyFont="1" applyBorder="1"/>
    <xf numFmtId="170" fontId="56" fillId="0" borderId="94" xfId="21" applyNumberFormat="1" applyFont="1" applyBorder="1"/>
    <xf numFmtId="170" fontId="50" fillId="0" borderId="96" xfId="21" applyNumberFormat="1" applyFont="1" applyBorder="1"/>
    <xf numFmtId="167" fontId="3" fillId="0" borderId="0" xfId="16" applyNumberFormat="1" applyFont="1" applyFill="1" applyBorder="1" applyAlignment="1">
      <alignment horizontal="center"/>
    </xf>
    <xf numFmtId="167" fontId="3" fillId="0" borderId="36" xfId="16" applyNumberFormat="1" applyFont="1" applyFill="1" applyBorder="1" applyAlignment="1">
      <alignment horizontal="centerContinuous"/>
    </xf>
    <xf numFmtId="167" fontId="3" fillId="0" borderId="0" xfId="16" quotePrefix="1" applyNumberFormat="1" applyFont="1" applyFill="1" applyBorder="1" applyAlignment="1"/>
    <xf numFmtId="167" fontId="3" fillId="0" borderId="36" xfId="16" applyNumberFormat="1" applyFont="1" applyFill="1" applyBorder="1" applyAlignment="1"/>
    <xf numFmtId="167" fontId="3" fillId="0" borderId="0" xfId="16" quotePrefix="1" applyNumberFormat="1" applyFont="1" applyFill="1" applyBorder="1" applyAlignment="1">
      <alignment horizontal="center"/>
    </xf>
    <xf numFmtId="167" fontId="3" fillId="0" borderId="36" xfId="16" quotePrefix="1" applyNumberFormat="1" applyFont="1" applyFill="1" applyBorder="1" applyAlignment="1">
      <alignment horizontal="center"/>
    </xf>
    <xf numFmtId="167" fontId="0" fillId="0" borderId="0" xfId="16" quotePrefix="1" applyNumberFormat="1" applyFont="1" applyFill="1" applyBorder="1" applyAlignment="1">
      <alignment horizontal="center" vertical="center"/>
    </xf>
    <xf numFmtId="167" fontId="3" fillId="0" borderId="19" xfId="16" quotePrefix="1" applyNumberFormat="1" applyFont="1" applyFill="1" applyBorder="1" applyAlignment="1"/>
    <xf numFmtId="167" fontId="0" fillId="0" borderId="19" xfId="16" quotePrefix="1" applyNumberFormat="1" applyFont="1" applyFill="1" applyBorder="1" applyAlignment="1">
      <alignment horizontal="center" vertical="center"/>
    </xf>
    <xf numFmtId="167" fontId="3" fillId="0" borderId="20" xfId="16" applyNumberFormat="1" applyFont="1" applyFill="1" applyBorder="1" applyAlignment="1"/>
    <xf numFmtId="167" fontId="3" fillId="0" borderId="9" xfId="16" applyNumberFormat="1" applyFont="1" applyFill="1" applyBorder="1" applyAlignment="1">
      <alignment horizontal="center"/>
    </xf>
    <xf numFmtId="167" fontId="0" fillId="0" borderId="68" xfId="16" quotePrefix="1" applyNumberFormat="1" applyFont="1" applyFill="1" applyBorder="1" applyAlignment="1">
      <alignment horizontal="center" vertical="center"/>
    </xf>
    <xf numFmtId="164" fontId="0" fillId="0" borderId="19" xfId="16" applyNumberFormat="1" applyFont="1" applyBorder="1"/>
    <xf numFmtId="164" fontId="3" fillId="20" borderId="0" xfId="16" applyNumberFormat="1" applyFill="1" applyBorder="1"/>
    <xf numFmtId="164" fontId="1" fillId="20" borderId="74" xfId="16" applyNumberFormat="1" applyFont="1" applyFill="1" applyBorder="1"/>
    <xf numFmtId="164" fontId="10" fillId="20" borderId="73" xfId="16" applyNumberFormat="1" applyFont="1" applyFill="1" applyBorder="1"/>
    <xf numFmtId="164" fontId="39" fillId="20" borderId="117" xfId="9" applyNumberFormat="1" applyFont="1" applyFill="1" applyBorder="1"/>
    <xf numFmtId="0" fontId="48" fillId="0" borderId="48" xfId="22" applyFont="1" applyBorder="1"/>
    <xf numFmtId="0" fontId="50" fillId="0" borderId="48" xfId="22" applyFont="1" applyBorder="1"/>
    <xf numFmtId="0" fontId="49" fillId="0" borderId="58" xfId="22" applyFont="1" applyBorder="1"/>
    <xf numFmtId="0" fontId="42" fillId="0" borderId="46" xfId="22" applyFont="1" applyBorder="1" applyAlignment="1">
      <alignment horizontal="centerContinuous"/>
    </xf>
    <xf numFmtId="10" fontId="0" fillId="0" borderId="0" xfId="25" quotePrefix="1" applyNumberFormat="1" applyFont="1" applyBorder="1" applyAlignment="1">
      <alignment horizontal="right"/>
    </xf>
    <xf numFmtId="164" fontId="39" fillId="20" borderId="116" xfId="9" applyNumberFormat="1" applyFont="1" applyFill="1" applyBorder="1" applyAlignment="1">
      <alignment horizontal="center"/>
    </xf>
    <xf numFmtId="164" fontId="25" fillId="0" borderId="0" xfId="18" applyNumberFormat="1" applyFont="1"/>
    <xf numFmtId="165" fontId="56" fillId="0" borderId="94" xfId="19" quotePrefix="1" applyNumberFormat="1" applyFont="1" applyBorder="1" applyAlignment="1">
      <alignment horizontal="center"/>
    </xf>
    <xf numFmtId="10" fontId="56" fillId="0" borderId="94" xfId="25" quotePrefix="1" applyNumberFormat="1" applyFont="1" applyBorder="1" applyAlignment="1">
      <alignment horizontal="center"/>
    </xf>
    <xf numFmtId="10" fontId="56" fillId="0" borderId="94" xfId="16" quotePrefix="1" applyNumberFormat="1" applyFont="1" applyBorder="1" applyAlignment="1">
      <alignment horizontal="center"/>
    </xf>
    <xf numFmtId="165" fontId="26" fillId="0" borderId="0" xfId="25" applyNumberFormat="1" applyFont="1"/>
    <xf numFmtId="164" fontId="10" fillId="0" borderId="0" xfId="0" applyNumberFormat="1" applyFont="1" applyAlignment="1">
      <alignment horizontal="centerContinuous"/>
    </xf>
    <xf numFmtId="0" fontId="36" fillId="0" borderId="60" xfId="18" applyFont="1" applyBorder="1"/>
    <xf numFmtId="10" fontId="50" fillId="0" borderId="67" xfId="25" quotePrefix="1" applyNumberFormat="1" applyFont="1" applyBorder="1" applyAlignment="1">
      <alignment horizontal="center"/>
    </xf>
    <xf numFmtId="165" fontId="56" fillId="0" borderId="94" xfId="25" quotePrefix="1" applyNumberFormat="1" applyFont="1" applyBorder="1" applyAlignment="1">
      <alignment horizontal="center" vertical="center"/>
    </xf>
    <xf numFmtId="165" fontId="11" fillId="0" borderId="0" xfId="25" applyNumberFormat="1" applyFont="1" applyFill="1" applyBorder="1"/>
    <xf numFmtId="164" fontId="56" fillId="0" borderId="95" xfId="16" applyNumberFormat="1" applyFont="1" applyBorder="1"/>
    <xf numFmtId="0" fontId="36" fillId="0" borderId="54" xfId="18" applyFont="1" applyBorder="1"/>
    <xf numFmtId="0" fontId="39" fillId="0" borderId="137" xfId="18" applyFont="1" applyBorder="1" applyAlignment="1">
      <alignment horizontal="left"/>
    </xf>
    <xf numFmtId="0" fontId="39" fillId="0" borderId="65" xfId="18" applyFont="1" applyBorder="1" applyAlignment="1">
      <alignment horizontal="left"/>
    </xf>
    <xf numFmtId="43" fontId="10" fillId="0" borderId="13" xfId="16" quotePrefix="1" applyFont="1" applyBorder="1"/>
    <xf numFmtId="43" fontId="3" fillId="0" borderId="0" xfId="16" applyBorder="1" applyAlignment="1">
      <alignment horizontal="right"/>
    </xf>
    <xf numFmtId="43" fontId="0" fillId="0" borderId="0" xfId="16" quotePrefix="1" applyFont="1" applyBorder="1" applyAlignment="1">
      <alignment horizontal="right"/>
    </xf>
    <xf numFmtId="10" fontId="50" fillId="0" borderId="138" xfId="25" quotePrefix="1" applyNumberFormat="1" applyFont="1" applyBorder="1" applyAlignment="1">
      <alignment horizontal="center"/>
    </xf>
    <xf numFmtId="10" fontId="50" fillId="0" borderId="104" xfId="25" applyNumberFormat="1" applyFont="1" applyBorder="1" applyAlignment="1">
      <alignment horizontal="center"/>
    </xf>
    <xf numFmtId="10" fontId="47" fillId="0" borderId="139" xfId="25" quotePrefix="1" applyNumberFormat="1" applyFont="1" applyBorder="1" applyAlignment="1">
      <alignment horizontal="right"/>
    </xf>
    <xf numFmtId="10" fontId="47" fillId="0" borderId="36" xfId="25" quotePrefix="1" applyNumberFormat="1" applyFont="1" applyBorder="1" applyAlignment="1">
      <alignment horizontal="right"/>
    </xf>
    <xf numFmtId="10" fontId="50" fillId="0" borderId="71" xfId="25" quotePrefix="1" applyNumberFormat="1" applyFont="1" applyBorder="1" applyAlignment="1">
      <alignment horizontal="center"/>
    </xf>
    <xf numFmtId="10" fontId="47" fillId="0" borderId="65" xfId="25" quotePrefix="1" applyNumberFormat="1" applyFont="1" applyBorder="1" applyAlignment="1">
      <alignment horizontal="right"/>
    </xf>
    <xf numFmtId="164" fontId="50" fillId="0" borderId="103" xfId="16" quotePrefix="1" applyNumberFormat="1" applyFont="1" applyBorder="1" applyAlignment="1">
      <alignment horizontal="center"/>
    </xf>
    <xf numFmtId="164" fontId="50" fillId="0" borderId="103" xfId="16" applyNumberFormat="1" applyFont="1" applyBorder="1" applyAlignment="1">
      <alignment horizontal="center"/>
    </xf>
    <xf numFmtId="164" fontId="50" fillId="0" borderId="65" xfId="16" quotePrefix="1" applyNumberFormat="1" applyFont="1" applyBorder="1" applyAlignment="1">
      <alignment horizontal="center"/>
    </xf>
    <xf numFmtId="164" fontId="47" fillId="0" borderId="36" xfId="16" applyNumberFormat="1" applyFont="1" applyBorder="1"/>
    <xf numFmtId="164" fontId="50" fillId="0" borderId="36" xfId="16" quotePrefix="1" applyNumberFormat="1" applyFont="1" applyBorder="1" applyAlignment="1">
      <alignment horizontal="center"/>
    </xf>
    <xf numFmtId="164" fontId="50" fillId="0" borderId="36" xfId="16" applyNumberFormat="1" applyFont="1" applyBorder="1" applyAlignment="1">
      <alignment horizontal="center"/>
    </xf>
    <xf numFmtId="164" fontId="47" fillId="0" borderId="36" xfId="16" applyNumberFormat="1" applyFont="1" applyBorder="1" applyAlignment="1">
      <alignment horizontal="right"/>
    </xf>
    <xf numFmtId="164" fontId="50" fillId="0" borderId="0" xfId="25" quotePrefix="1" applyNumberFormat="1" applyFont="1" applyBorder="1" applyAlignment="1">
      <alignment horizontal="center"/>
    </xf>
    <xf numFmtId="164" fontId="50" fillId="0" borderId="0" xfId="22" applyNumberFormat="1" applyFont="1"/>
    <xf numFmtId="164" fontId="50" fillId="0" borderId="7" xfId="22" applyNumberFormat="1" applyFont="1" applyBorder="1"/>
    <xf numFmtId="164" fontId="47" fillId="0" borderId="96" xfId="16" quotePrefix="1" applyNumberFormat="1" applyFont="1" applyBorder="1" applyAlignment="1">
      <alignment horizontal="right"/>
    </xf>
    <xf numFmtId="164" fontId="50" fillId="0" borderId="65" xfId="16" applyNumberFormat="1" applyFont="1" applyBorder="1" applyAlignment="1">
      <alignment horizontal="center"/>
    </xf>
    <xf numFmtId="164" fontId="50" fillId="0" borderId="104" xfId="16" quotePrefix="1" applyNumberFormat="1" applyFont="1" applyBorder="1" applyAlignment="1">
      <alignment horizontal="center"/>
    </xf>
    <xf numFmtId="164" fontId="47" fillId="0" borderId="141" xfId="16" quotePrefix="1" applyNumberFormat="1" applyFont="1" applyBorder="1" applyAlignment="1">
      <alignment horizontal="right"/>
    </xf>
    <xf numFmtId="164" fontId="50" fillId="0" borderId="0" xfId="22" applyNumberFormat="1" applyFont="1" applyAlignment="1">
      <alignment horizontal="right"/>
    </xf>
    <xf numFmtId="164" fontId="50" fillId="0" borderId="0" xfId="16" applyNumberFormat="1" applyFont="1" applyAlignment="1">
      <alignment horizontal="right"/>
    </xf>
    <xf numFmtId="164" fontId="50" fillId="0" borderId="7" xfId="22" applyNumberFormat="1" applyFont="1" applyBorder="1" applyAlignment="1">
      <alignment horizontal="right"/>
    </xf>
    <xf numFmtId="164" fontId="50" fillId="0" borderId="7" xfId="16" applyNumberFormat="1" applyFont="1" applyBorder="1" applyAlignment="1">
      <alignment horizontal="right"/>
    </xf>
    <xf numFmtId="164" fontId="47" fillId="0" borderId="0" xfId="16" quotePrefix="1" applyNumberFormat="1" applyFont="1" applyAlignment="1">
      <alignment horizontal="right"/>
    </xf>
    <xf numFmtId="164" fontId="50" fillId="0" borderId="67" xfId="16" quotePrefix="1" applyNumberFormat="1" applyFont="1" applyBorder="1" applyAlignment="1">
      <alignment horizontal="center"/>
    </xf>
    <xf numFmtId="164" fontId="47" fillId="0" borderId="64" xfId="16" quotePrefix="1" applyNumberFormat="1" applyFont="1" applyBorder="1" applyAlignment="1">
      <alignment horizontal="right"/>
    </xf>
    <xf numFmtId="164" fontId="47" fillId="0" borderId="0" xfId="16" applyNumberFormat="1" applyFont="1" applyAlignment="1">
      <alignment horizontal="right"/>
    </xf>
    <xf numFmtId="164" fontId="47" fillId="0" borderId="0" xfId="22" applyNumberFormat="1" applyFont="1" applyBorder="1" applyAlignment="1">
      <alignment horizontal="right"/>
    </xf>
    <xf numFmtId="164" fontId="47" fillId="0" borderId="0" xfId="16" applyNumberFormat="1" applyFont="1" applyBorder="1" applyAlignment="1">
      <alignment horizontal="right"/>
    </xf>
    <xf numFmtId="164" fontId="47" fillId="0" borderId="0" xfId="22" applyNumberFormat="1" applyFont="1" applyAlignment="1">
      <alignment horizontal="right"/>
    </xf>
    <xf numFmtId="164" fontId="47" fillId="0" borderId="64" xfId="16" applyNumberFormat="1" applyFont="1" applyBorder="1" applyAlignment="1">
      <alignment horizontal="right"/>
    </xf>
    <xf numFmtId="10" fontId="47" fillId="0" borderId="36" xfId="25" quotePrefix="1" applyNumberFormat="1" applyFont="1" applyBorder="1" applyAlignment="1">
      <alignment horizontal="center"/>
    </xf>
    <xf numFmtId="43" fontId="0" fillId="0" borderId="0" xfId="16" quotePrefix="1" applyFont="1" applyBorder="1" applyAlignment="1">
      <alignment horizontal="center"/>
    </xf>
    <xf numFmtId="43" fontId="50" fillId="0" borderId="96" xfId="16" applyFont="1" applyBorder="1"/>
    <xf numFmtId="164" fontId="50" fillId="0" borderId="71" xfId="16" quotePrefix="1" applyNumberFormat="1" applyFont="1" applyBorder="1" applyAlignment="1">
      <alignment horizontal="center"/>
    </xf>
    <xf numFmtId="43" fontId="33" fillId="0" borderId="0" xfId="18" applyNumberFormat="1" applyFont="1"/>
    <xf numFmtId="164" fontId="39" fillId="0" borderId="73" xfId="9" applyNumberFormat="1" applyFont="1" applyFill="1" applyBorder="1"/>
    <xf numFmtId="164" fontId="33" fillId="0" borderId="0" xfId="18" applyNumberFormat="1" applyFont="1"/>
    <xf numFmtId="164" fontId="33" fillId="17" borderId="0" xfId="18" applyNumberFormat="1" applyFont="1" applyFill="1" applyBorder="1" applyAlignment="1">
      <alignment horizontal="centerContinuous"/>
    </xf>
    <xf numFmtId="43" fontId="50" fillId="0" borderId="103" xfId="16" applyFont="1" applyBorder="1" applyAlignment="1">
      <alignment horizontal="center"/>
    </xf>
    <xf numFmtId="165" fontId="50" fillId="0" borderId="96" xfId="25" applyNumberFormat="1" applyFont="1" applyBorder="1"/>
    <xf numFmtId="165" fontId="56" fillId="0" borderId="94" xfId="16" applyNumberFormat="1" applyFont="1" applyBorder="1"/>
    <xf numFmtId="43" fontId="50" fillId="0" borderId="102" xfId="16" applyFont="1" applyBorder="1"/>
    <xf numFmtId="164" fontId="0" fillId="0" borderId="0" xfId="20" applyNumberFormat="1" applyFont="1"/>
    <xf numFmtId="170" fontId="0" fillId="0" borderId="0" xfId="20" applyNumberFormat="1" applyFont="1"/>
    <xf numFmtId="167" fontId="0" fillId="0" borderId="9" xfId="16" quotePrefix="1" applyNumberFormat="1" applyFont="1" applyBorder="1" applyAlignment="1">
      <alignment horizontal="center"/>
    </xf>
    <xf numFmtId="167" fontId="3" fillId="0" borderId="8" xfId="16" quotePrefix="1" applyNumberFormat="1" applyFont="1" applyFill="1" applyBorder="1" applyAlignment="1">
      <alignment horizontal="center"/>
    </xf>
    <xf numFmtId="167" fontId="0" fillId="0" borderId="8" xfId="16" quotePrefix="1" applyNumberFormat="1" applyFont="1" applyFill="1" applyBorder="1" applyAlignment="1">
      <alignment horizontal="center"/>
    </xf>
    <xf numFmtId="0" fontId="0" fillId="0" borderId="0" xfId="20" applyFont="1" applyAlignment="1">
      <alignment horizontal="centerContinuous"/>
    </xf>
    <xf numFmtId="10" fontId="47" fillId="0" borderId="103" xfId="25" quotePrefix="1" applyNumberFormat="1" applyFont="1" applyBorder="1" applyAlignment="1">
      <alignment horizontal="right"/>
    </xf>
    <xf numFmtId="10" fontId="47" fillId="0" borderId="104" xfId="25" quotePrefix="1" applyNumberFormat="1" applyFont="1" applyBorder="1" applyAlignment="1">
      <alignment horizontal="right"/>
    </xf>
    <xf numFmtId="164" fontId="3" fillId="0" borderId="21" xfId="16" applyNumberFormat="1" applyFont="1" applyBorder="1"/>
    <xf numFmtId="164" fontId="3" fillId="0" borderId="82" xfId="16" applyNumberFormat="1" applyBorder="1"/>
    <xf numFmtId="10" fontId="0" fillId="0" borderId="0" xfId="25" quotePrefix="1" applyNumberFormat="1" applyFont="1" applyAlignment="1">
      <alignment horizontal="center"/>
    </xf>
    <xf numFmtId="43" fontId="47" fillId="0" borderId="103" xfId="16" quotePrefix="1" applyFont="1" applyBorder="1" applyAlignment="1">
      <alignment horizontal="right"/>
    </xf>
    <xf numFmtId="164" fontId="3" fillId="0" borderId="0" xfId="16" applyNumberFormat="1" applyFill="1" applyBorder="1"/>
    <xf numFmtId="164" fontId="50" fillId="0" borderId="138" xfId="16" quotePrefix="1" applyNumberFormat="1" applyFont="1" applyBorder="1" applyAlignment="1">
      <alignment horizontal="center"/>
    </xf>
    <xf numFmtId="167" fontId="3" fillId="0" borderId="8" xfId="16" quotePrefix="1" applyNumberFormat="1" applyFont="1" applyFill="1" applyBorder="1" applyAlignment="1">
      <alignment horizontal="center"/>
    </xf>
    <xf numFmtId="167" fontId="0" fillId="0" borderId="8" xfId="16" quotePrefix="1" applyNumberFormat="1" applyFont="1" applyFill="1" applyBorder="1" applyAlignment="1">
      <alignment horizontal="center"/>
    </xf>
    <xf numFmtId="167" fontId="0" fillId="0" borderId="9" xfId="16" quotePrefix="1" applyNumberFormat="1" applyFont="1" applyBorder="1" applyAlignment="1">
      <alignment horizontal="center"/>
    </xf>
    <xf numFmtId="10" fontId="0" fillId="0" borderId="0" xfId="25" applyNumberFormat="1" applyFont="1" applyAlignment="1">
      <alignment horizontal="right"/>
    </xf>
    <xf numFmtId="164" fontId="50" fillId="0" borderId="103" xfId="16" applyNumberFormat="1" applyFont="1" applyFill="1" applyBorder="1" applyAlignment="1">
      <alignment horizontal="center"/>
    </xf>
    <xf numFmtId="164" fontId="50" fillId="0" borderId="36" xfId="16" applyNumberFormat="1" applyFont="1" applyFill="1" applyBorder="1" applyAlignment="1">
      <alignment horizontal="center"/>
    </xf>
    <xf numFmtId="164" fontId="50" fillId="0" borderId="36" xfId="16" quotePrefix="1" applyNumberFormat="1" applyFont="1" applyFill="1" applyBorder="1" applyAlignment="1">
      <alignment horizontal="center"/>
    </xf>
    <xf numFmtId="164" fontId="50" fillId="0" borderId="65" xfId="16" applyNumberFormat="1" applyFont="1" applyFill="1" applyBorder="1" applyAlignment="1">
      <alignment horizontal="center"/>
    </xf>
    <xf numFmtId="10" fontId="47" fillId="0" borderId="103" xfId="25" quotePrefix="1" applyNumberFormat="1" applyFont="1" applyBorder="1" applyAlignment="1">
      <alignment horizontal="center"/>
    </xf>
    <xf numFmtId="10" fontId="47" fillId="0" borderId="104" xfId="25" quotePrefix="1" applyNumberFormat="1" applyFont="1" applyBorder="1" applyAlignment="1">
      <alignment horizontal="center"/>
    </xf>
    <xf numFmtId="43" fontId="47" fillId="0" borderId="103" xfId="16" quotePrefix="1" applyFont="1" applyBorder="1" applyAlignment="1">
      <alignment horizontal="center"/>
    </xf>
    <xf numFmtId="43" fontId="50" fillId="0" borderId="65" xfId="16" quotePrefix="1" applyFont="1" applyBorder="1" applyAlignment="1">
      <alignment horizontal="center"/>
    </xf>
    <xf numFmtId="10" fontId="47" fillId="0" borderId="65" xfId="25" quotePrefix="1" applyNumberFormat="1" applyFont="1" applyBorder="1" applyAlignment="1">
      <alignment horizontal="center"/>
    </xf>
    <xf numFmtId="10" fontId="50" fillId="0" borderId="0" xfId="25" applyNumberFormat="1" applyFont="1" applyBorder="1" applyAlignment="1">
      <alignment horizontal="center"/>
    </xf>
    <xf numFmtId="0" fontId="47" fillId="0" borderId="0" xfId="22" applyFont="1" applyBorder="1"/>
    <xf numFmtId="0" fontId="46" fillId="0" borderId="0" xfId="22" applyFont="1"/>
    <xf numFmtId="0" fontId="46" fillId="0" borderId="7" xfId="22" applyFont="1" applyBorder="1"/>
    <xf numFmtId="164" fontId="47" fillId="0" borderId="103" xfId="16" quotePrefix="1" applyNumberFormat="1" applyFont="1" applyBorder="1" applyAlignment="1">
      <alignment horizontal="center"/>
    </xf>
    <xf numFmtId="164" fontId="47" fillId="0" borderId="138" xfId="16" quotePrefix="1" applyNumberFormat="1" applyFont="1" applyBorder="1" applyAlignment="1">
      <alignment horizontal="center"/>
    </xf>
    <xf numFmtId="43" fontId="50" fillId="0" borderId="71" xfId="16" quotePrefix="1" applyFont="1" applyBorder="1" applyAlignment="1">
      <alignment horizontal="center"/>
    </xf>
    <xf numFmtId="10" fontId="47" fillId="0" borderId="36" xfId="22" applyNumberFormat="1" applyFont="1" applyBorder="1" applyAlignment="1">
      <alignment horizontal="center"/>
    </xf>
    <xf numFmtId="10" fontId="47" fillId="0" borderId="36" xfId="25" applyNumberFormat="1" applyFont="1" applyBorder="1" applyAlignment="1">
      <alignment horizontal="center"/>
    </xf>
    <xf numFmtId="10" fontId="47" fillId="0" borderId="0" xfId="22" applyNumberFormat="1" applyFont="1" applyAlignment="1">
      <alignment horizontal="center"/>
    </xf>
    <xf numFmtId="0" fontId="18" fillId="0" borderId="0" xfId="0" applyFont="1" applyAlignment="1">
      <alignment horizontal="left"/>
    </xf>
    <xf numFmtId="43" fontId="50" fillId="0" borderId="143" xfId="16" quotePrefix="1" applyFont="1" applyBorder="1" applyAlignment="1">
      <alignment horizontal="center"/>
    </xf>
    <xf numFmtId="43" fontId="50" fillId="0" borderId="144" xfId="16" quotePrefix="1" applyFont="1" applyBorder="1" applyAlignment="1">
      <alignment horizontal="center"/>
    </xf>
    <xf numFmtId="10" fontId="50" fillId="0" borderId="144" xfId="25" quotePrefix="1" applyNumberFormat="1" applyFont="1" applyBorder="1" applyAlignment="1">
      <alignment horizontal="center"/>
    </xf>
    <xf numFmtId="10" fontId="50" fillId="0" borderId="103" xfId="25" quotePrefix="1" applyNumberFormat="1" applyFont="1" applyFill="1" applyBorder="1" applyAlignment="1">
      <alignment horizontal="center"/>
    </xf>
    <xf numFmtId="43" fontId="50" fillId="0" borderId="103" xfId="16" quotePrefix="1" applyFont="1" applyFill="1" applyBorder="1" applyAlignment="1">
      <alignment horizontal="center"/>
    </xf>
    <xf numFmtId="10" fontId="50" fillId="0" borderId="104" xfId="25" quotePrefix="1" applyNumberFormat="1" applyFont="1" applyFill="1" applyBorder="1" applyAlignment="1">
      <alignment horizontal="center"/>
    </xf>
    <xf numFmtId="167" fontId="0" fillId="0" borderId="9" xfId="16" quotePrefix="1" applyNumberFormat="1" applyFont="1" applyBorder="1" applyAlignment="1">
      <alignment horizontal="center"/>
    </xf>
    <xf numFmtId="167" fontId="3" fillId="0" borderId="8" xfId="16" quotePrefix="1" applyNumberFormat="1" applyFont="1" applyFill="1" applyBorder="1" applyAlignment="1">
      <alignment horizontal="center"/>
    </xf>
    <xf numFmtId="167" fontId="0" fillId="0" borderId="8" xfId="16" quotePrefix="1" applyNumberFormat="1" applyFont="1" applyFill="1" applyBorder="1" applyAlignment="1">
      <alignment horizontal="center"/>
    </xf>
    <xf numFmtId="43" fontId="3" fillId="0" borderId="64" xfId="25" applyNumberFormat="1" applyFill="1" applyBorder="1" applyAlignment="1">
      <alignment horizontal="right"/>
    </xf>
    <xf numFmtId="43" fontId="3" fillId="0" borderId="7" xfId="25" applyNumberFormat="1" applyFill="1" applyBorder="1" applyAlignment="1">
      <alignment horizontal="right"/>
    </xf>
    <xf numFmtId="43" fontId="1" fillId="0" borderId="17" xfId="16" applyFont="1" applyFill="1" applyBorder="1" applyAlignment="1">
      <alignment horizontal="right"/>
    </xf>
    <xf numFmtId="43" fontId="3" fillId="0" borderId="58" xfId="25" applyNumberFormat="1" applyFill="1" applyBorder="1" applyAlignment="1">
      <alignment horizontal="right"/>
    </xf>
    <xf numFmtId="43" fontId="1" fillId="0" borderId="17" xfId="16" applyFont="1" applyFill="1" applyBorder="1"/>
    <xf numFmtId="165" fontId="3" fillId="0" borderId="0" xfId="16" applyNumberFormat="1"/>
    <xf numFmtId="167" fontId="0" fillId="0" borderId="9" xfId="16" quotePrefix="1" applyNumberFormat="1" applyFont="1" applyBorder="1" applyAlignment="1">
      <alignment horizontal="center"/>
    </xf>
    <xf numFmtId="167" fontId="3" fillId="0" borderId="8" xfId="16" quotePrefix="1" applyNumberFormat="1" applyFont="1" applyFill="1" applyBorder="1" applyAlignment="1">
      <alignment horizontal="center"/>
    </xf>
    <xf numFmtId="167" fontId="0" fillId="0" borderId="8" xfId="16" quotePrefix="1" applyNumberFormat="1" applyFont="1" applyFill="1" applyBorder="1" applyAlignment="1">
      <alignment horizontal="center"/>
    </xf>
    <xf numFmtId="10" fontId="50" fillId="0" borderId="96" xfId="25" applyNumberFormat="1" applyFont="1" applyBorder="1"/>
    <xf numFmtId="10" fontId="0" fillId="0" borderId="0" xfId="25" applyNumberFormat="1" applyFont="1" applyBorder="1" applyAlignment="1">
      <alignment horizontal="right"/>
    </xf>
    <xf numFmtId="10" fontId="3" fillId="0" borderId="16" xfId="25" applyNumberFormat="1" applyFont="1" applyBorder="1" applyAlignment="1">
      <alignment horizontal="right"/>
    </xf>
    <xf numFmtId="10" fontId="3" fillId="0" borderId="49" xfId="25" applyNumberFormat="1" applyFont="1" applyBorder="1" applyAlignment="1">
      <alignment horizontal="right"/>
    </xf>
    <xf numFmtId="10" fontId="3" fillId="0" borderId="48" xfId="25" applyNumberFormat="1" applyFont="1" applyBorder="1" applyAlignment="1">
      <alignment horizontal="right"/>
    </xf>
    <xf numFmtId="10" fontId="50" fillId="0" borderId="143" xfId="25" quotePrefix="1" applyNumberFormat="1" applyFont="1" applyBorder="1" applyAlignment="1">
      <alignment horizontal="center"/>
    </xf>
    <xf numFmtId="0" fontId="1" fillId="0" borderId="0" xfId="0" applyFont="1" applyAlignment="1">
      <alignment horizontal="center"/>
    </xf>
    <xf numFmtId="0" fontId="1" fillId="0" borderId="7" xfId="0" applyFont="1" applyBorder="1" applyAlignment="1">
      <alignment horizontal="center"/>
    </xf>
    <xf numFmtId="43" fontId="3" fillId="0" borderId="19" xfId="16" applyFont="1" applyBorder="1"/>
    <xf numFmtId="43" fontId="3" fillId="0" borderId="140" xfId="16" applyFont="1" applyBorder="1"/>
    <xf numFmtId="43" fontId="1" fillId="0" borderId="0" xfId="16" applyFont="1" applyBorder="1"/>
    <xf numFmtId="167" fontId="3" fillId="0" borderId="8" xfId="16" quotePrefix="1" applyNumberFormat="1" applyFont="1" applyFill="1" applyBorder="1" applyAlignment="1">
      <alignment horizontal="center"/>
    </xf>
    <xf numFmtId="167" fontId="0" fillId="0" borderId="8" xfId="16" quotePrefix="1" applyNumberFormat="1" applyFont="1" applyFill="1" applyBorder="1" applyAlignment="1">
      <alignment horizontal="center"/>
    </xf>
    <xf numFmtId="167" fontId="0" fillId="0" borderId="9" xfId="16" quotePrefix="1" applyNumberFormat="1" applyFont="1" applyBorder="1" applyAlignment="1">
      <alignment horizontal="center"/>
    </xf>
    <xf numFmtId="43" fontId="10" fillId="0" borderId="19" xfId="16" applyFont="1" applyBorder="1"/>
    <xf numFmtId="43" fontId="10" fillId="0" borderId="7" xfId="16" applyFont="1" applyBorder="1"/>
    <xf numFmtId="43" fontId="10" fillId="0" borderId="140" xfId="16" applyFont="1" applyBorder="1"/>
    <xf numFmtId="43" fontId="80" fillId="0" borderId="0" xfId="16" applyFont="1"/>
    <xf numFmtId="43" fontId="35" fillId="0" borderId="0" xfId="16" applyFont="1"/>
    <xf numFmtId="43" fontId="26" fillId="0" borderId="0" xfId="16" applyFont="1"/>
    <xf numFmtId="165" fontId="0" fillId="0" borderId="0" xfId="25" applyNumberFormat="1" applyFont="1" applyAlignment="1">
      <alignment horizontal="center"/>
    </xf>
    <xf numFmtId="43" fontId="3" fillId="0" borderId="19" xfId="16" applyFont="1" applyBorder="1" applyAlignment="1">
      <alignment horizontal="center"/>
    </xf>
    <xf numFmtId="43" fontId="3" fillId="0" borderId="7" xfId="16" applyFont="1" applyBorder="1" applyAlignment="1">
      <alignment horizontal="center"/>
    </xf>
    <xf numFmtId="43" fontId="3" fillId="0" borderId="140" xfId="16" applyFont="1" applyBorder="1" applyAlignment="1">
      <alignment horizontal="center"/>
    </xf>
    <xf numFmtId="43" fontId="1" fillId="0" borderId="0" xfId="16" applyFont="1" applyBorder="1" applyAlignment="1">
      <alignment horizontal="center"/>
    </xf>
    <xf numFmtId="164" fontId="1" fillId="0" borderId="0" xfId="16" applyNumberFormat="1" applyFont="1" applyFill="1" applyAlignment="1">
      <alignment horizontal="center"/>
    </xf>
    <xf numFmtId="0" fontId="1" fillId="0" borderId="0" xfId="0" applyFont="1" applyAlignment="1">
      <alignment horizontal="center"/>
    </xf>
    <xf numFmtId="0" fontId="81" fillId="14" borderId="0" xfId="0" applyFont="1" applyFill="1" applyBorder="1" applyAlignment="1">
      <alignment horizontal="center"/>
    </xf>
    <xf numFmtId="0" fontId="59" fillId="14" borderId="0" xfId="0" applyFont="1" applyFill="1" applyBorder="1" applyAlignment="1">
      <alignment horizontal="center"/>
    </xf>
    <xf numFmtId="0" fontId="19" fillId="0" borderId="0" xfId="0" applyFont="1" applyAlignment="1">
      <alignment horizontal="center"/>
    </xf>
    <xf numFmtId="167" fontId="0" fillId="0" borderId="9" xfId="16" quotePrefix="1" applyNumberFormat="1" applyFont="1" applyBorder="1" applyAlignment="1">
      <alignment horizontal="center"/>
    </xf>
    <xf numFmtId="167" fontId="0" fillId="0" borderId="8" xfId="16" quotePrefix="1" applyNumberFormat="1" applyFont="1" applyBorder="1" applyAlignment="1">
      <alignment horizontal="center"/>
    </xf>
    <xf numFmtId="167" fontId="3" fillId="0" borderId="9" xfId="16" quotePrefix="1" applyNumberFormat="1" applyFont="1" applyFill="1" applyBorder="1" applyAlignment="1">
      <alignment horizontal="center"/>
    </xf>
    <xf numFmtId="167" fontId="3" fillId="0" borderId="8" xfId="16" quotePrefix="1" applyNumberFormat="1" applyFont="1" applyFill="1" applyBorder="1" applyAlignment="1">
      <alignment horizontal="center"/>
    </xf>
    <xf numFmtId="167" fontId="0" fillId="0" borderId="9" xfId="16" quotePrefix="1" applyNumberFormat="1" applyFont="1" applyFill="1" applyBorder="1" applyAlignment="1">
      <alignment horizontal="center"/>
    </xf>
    <xf numFmtId="167" fontId="0" fillId="0" borderId="8" xfId="16" quotePrefix="1" applyNumberFormat="1" applyFont="1" applyFill="1" applyBorder="1" applyAlignment="1">
      <alignment horizontal="center"/>
    </xf>
    <xf numFmtId="0" fontId="59" fillId="0" borderId="0" xfId="0" applyFont="1" applyAlignment="1">
      <alignment horizontal="center"/>
    </xf>
    <xf numFmtId="0" fontId="11" fillId="0" borderId="0" xfId="0" applyFont="1" applyAlignment="1">
      <alignment horizontal="center"/>
    </xf>
    <xf numFmtId="0" fontId="1" fillId="0" borderId="47" xfId="0" applyFont="1" applyBorder="1" applyAlignment="1">
      <alignment horizontal="center" vertical="center"/>
    </xf>
    <xf numFmtId="0" fontId="1" fillId="0" borderId="47" xfId="0" applyFont="1" applyBorder="1" applyAlignment="1">
      <alignment horizontal="center"/>
    </xf>
    <xf numFmtId="0" fontId="1" fillId="0" borderId="0" xfId="0" applyFont="1" applyAlignment="1">
      <alignment horizontal="center"/>
    </xf>
    <xf numFmtId="0" fontId="1" fillId="19" borderId="0" xfId="0" applyFont="1" applyFill="1" applyBorder="1" applyAlignment="1">
      <alignment horizontal="center"/>
    </xf>
    <xf numFmtId="0" fontId="1" fillId="19" borderId="0" xfId="0" applyFont="1" applyFill="1" applyAlignment="1">
      <alignment horizontal="center"/>
    </xf>
    <xf numFmtId="164" fontId="1" fillId="0" borderId="0" xfId="16" applyNumberFormat="1" applyFont="1" applyAlignment="1">
      <alignment horizontal="center"/>
    </xf>
    <xf numFmtId="1" fontId="1" fillId="0" borderId="7" xfId="16" quotePrefix="1" applyNumberFormat="1" applyFont="1" applyFill="1" applyBorder="1" applyAlignment="1">
      <alignment horizontal="center"/>
    </xf>
    <xf numFmtId="164" fontId="1" fillId="0" borderId="7" xfId="16" quotePrefix="1" applyNumberFormat="1" applyFont="1" applyFill="1" applyBorder="1" applyAlignment="1">
      <alignment horizontal="center"/>
    </xf>
    <xf numFmtId="0" fontId="1" fillId="0" borderId="7" xfId="0" applyFont="1" applyBorder="1" applyAlignment="1">
      <alignment horizontal="center"/>
    </xf>
    <xf numFmtId="0" fontId="46" fillId="0" borderId="7" xfId="22" applyFont="1" applyBorder="1" applyAlignment="1">
      <alignment horizontal="center"/>
    </xf>
    <xf numFmtId="0" fontId="46" fillId="0" borderId="65" xfId="22" applyFont="1" applyBorder="1" applyAlignment="1">
      <alignment horizontal="center"/>
    </xf>
    <xf numFmtId="0" fontId="46" fillId="0" borderId="47" xfId="22" applyFont="1" applyBorder="1" applyAlignment="1">
      <alignment horizontal="center"/>
    </xf>
    <xf numFmtId="0" fontId="75" fillId="0" borderId="118" xfId="0" applyFont="1" applyBorder="1" applyAlignment="1">
      <alignment horizontal="center" wrapText="1"/>
    </xf>
    <xf numFmtId="0" fontId="75" fillId="0" borderId="18" xfId="0" applyFont="1" applyBorder="1" applyAlignment="1">
      <alignment horizontal="center" wrapText="1"/>
    </xf>
    <xf numFmtId="0" fontId="75" fillId="0" borderId="119" xfId="0" applyFont="1" applyBorder="1" applyAlignment="1">
      <alignment horizontal="center" wrapText="1"/>
    </xf>
    <xf numFmtId="0" fontId="75" fillId="0" borderId="142" xfId="0" applyFont="1" applyBorder="1" applyAlignment="1">
      <alignment horizontal="center" wrapText="1"/>
    </xf>
    <xf numFmtId="0" fontId="75" fillId="0" borderId="26" xfId="0" applyFont="1" applyBorder="1" applyAlignment="1">
      <alignment horizontal="center" wrapText="1"/>
    </xf>
    <xf numFmtId="0" fontId="75" fillId="0" borderId="125" xfId="0" applyFont="1" applyBorder="1" applyAlignment="1">
      <alignment horizontal="center" wrapText="1"/>
    </xf>
  </cellXfs>
  <cellStyles count="28">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Bad" xfId="7"/>
    <cellStyle name="Check Cell" xfId="8"/>
    <cellStyle name="Comma 2" xfId="9"/>
    <cellStyle name="Explanatory Text" xfId="10"/>
    <cellStyle name="Good" xfId="11"/>
    <cellStyle name="Heading 1" xfId="12"/>
    <cellStyle name="Heading 2" xfId="13"/>
    <cellStyle name="Heading 3" xfId="14"/>
    <cellStyle name="Heading 4" xfId="15"/>
    <cellStyle name="Milliers" xfId="16" builtinId="3"/>
    <cellStyle name="Neutral" xfId="17"/>
    <cellStyle name="Normal" xfId="0" builtinId="0"/>
    <cellStyle name="Normal 2" xfId="18"/>
    <cellStyle name="Normal_Apparentés" xfId="19"/>
    <cellStyle name="Normal_bilsysbandéc.97_1" xfId="20"/>
    <cellStyle name="Normal_Non apparentés" xfId="21"/>
    <cellStyle name="Normal_Secteur d'activité" xfId="22"/>
    <cellStyle name="Output" xfId="23"/>
    <cellStyle name="Percent 2" xfId="24"/>
    <cellStyle name="Pourcentage" xfId="25" builtinId="5"/>
    <cellStyle name="Title" xfId="26"/>
    <cellStyle name="Total" xfId="27"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calcChain" Target="calcChain.xml"/><Relationship Id="rId170" Type="http://schemas.openxmlformats.org/officeDocument/2006/relationships/externalLink" Target="externalLinks/externalLink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externalLink" Target="externalLinks/externalLink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ACTIF TOTAL - SECTEUR BANCAIRE
(en milliers de gourdes)
</a:t>
            </a:r>
          </a:p>
        </c:rich>
      </c:tx>
      <c:layout>
        <c:manualLayout>
          <c:xMode val="edge"/>
          <c:yMode val="edge"/>
          <c:x val="0.35266474135875203"/>
          <c:y val="2.8355387523630052E-2"/>
        </c:manualLayout>
      </c:layout>
      <c:spPr>
        <a:noFill/>
        <a:ln w="25400">
          <a:noFill/>
        </a:ln>
      </c:spPr>
    </c:title>
    <c:plotArea>
      <c:layout>
        <c:manualLayout>
          <c:layoutTarget val="inner"/>
          <c:xMode val="edge"/>
          <c:yMode val="edge"/>
          <c:x val="0.2186521198956714"/>
          <c:y val="0.35538792055530088"/>
          <c:w val="0.54858955161911593"/>
          <c:h val="0.46691914553471481"/>
        </c:manualLayout>
      </c:layout>
      <c:barChart>
        <c:barDir val="col"/>
        <c:grouping val="clustered"/>
        <c:ser>
          <c:idx val="0"/>
          <c:order val="0"/>
          <c:spPr>
            <a:solidFill>
              <a:srgbClr val="000000"/>
            </a:solidFill>
            <a:ln w="12700">
              <a:solidFill>
                <a:srgbClr val="000000"/>
              </a:solidFill>
              <a:prstDash val="solid"/>
            </a:ln>
          </c:spPr>
          <c:dLbls>
            <c:spPr>
              <a:noFill/>
              <a:ln w="25400">
                <a:noFill/>
              </a:ln>
            </c:spPr>
            <c:txPr>
              <a:bodyPr rot="-5400000" vert="horz"/>
              <a:lstStyle/>
              <a:p>
                <a:pPr algn="ctr">
                  <a:defRPr sz="900" b="0" i="0" u="none" strike="noStrike" baseline="0">
                    <a:solidFill>
                      <a:srgbClr val="000000"/>
                    </a:solidFill>
                    <a:latin typeface="CG Times"/>
                    <a:ea typeface="CG Times"/>
                    <a:cs typeface="CG Times"/>
                  </a:defRPr>
                </a:pPr>
                <a:endParaRPr lang="en-US"/>
              </a:p>
            </c:txPr>
            <c:showVal val="1"/>
          </c:dLbls>
          <c:cat>
            <c:strRef>
              <c:f>(somfinbilsys!$P$1,somfinbilsys!$N$1,somfinbilsys!$L$1,somfinbilsys!$J$1,somfinbilsys!$B$7)</c:f>
              <c:strCache>
                <c:ptCount val="5"/>
                <c:pt idx="0">
                  <c:v>Sept. 11</c:v>
                </c:pt>
                <c:pt idx="1">
                  <c:v>Sept. 12</c:v>
                </c:pt>
                <c:pt idx="2">
                  <c:v>Sept.13</c:v>
                </c:pt>
                <c:pt idx="3">
                  <c:v>Sept.14</c:v>
                </c:pt>
                <c:pt idx="4">
                  <c:v> Déc. 14 </c:v>
                </c:pt>
              </c:strCache>
            </c:strRef>
          </c:cat>
          <c:val>
            <c:numRef>
              <c:f>(somfinbilsys!$P$23,somfinbilsys!$N$23,somfinbilsys!$L$23,somfinbilsys!$J$23,somfinbilsys!$B$23)</c:f>
              <c:numCache>
                <c:formatCode>_(* #,##0\.0_);_(* \(#,##0\.0\);_(* "-"??_);_(@_)</c:formatCode>
                <c:ptCount val="5"/>
                <c:pt idx="0">
                  <c:v>153995304.37774116</c:v>
                </c:pt>
                <c:pt idx="1">
                  <c:v>170555705.078677</c:v>
                </c:pt>
                <c:pt idx="2">
                  <c:v>175932026.70316097</c:v>
                </c:pt>
                <c:pt idx="3">
                  <c:v>194501695.10513139</c:v>
                </c:pt>
                <c:pt idx="4">
                  <c:v>194800720.1381073</c:v>
                </c:pt>
              </c:numCache>
            </c:numRef>
          </c:val>
        </c:ser>
        <c:dLbls>
          <c:showVal val="1"/>
        </c:dLbls>
        <c:axId val="75480064"/>
        <c:axId val="75485952"/>
      </c:barChart>
      <c:catAx>
        <c:axId val="75480064"/>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5485952"/>
        <c:crosses val="autoZero"/>
        <c:lblAlgn val="ctr"/>
        <c:lblOffset val="100"/>
        <c:tickLblSkip val="1"/>
        <c:tickMarkSkip val="1"/>
      </c:catAx>
      <c:valAx>
        <c:axId val="75485952"/>
        <c:scaling>
          <c:orientation val="minMax"/>
        </c:scaling>
        <c:axPos val="l"/>
        <c:numFmt formatCode="_(* #,##0\.0_);_(* \(#,##0\.0\);_(* &quot;-&quot;??_);_(@_)" sourceLinked="1"/>
        <c:tickLblPos val="none"/>
        <c:spPr>
          <a:ln w="3175">
            <a:solidFill>
              <a:srgbClr val="000000"/>
            </a:solidFill>
            <a:prstDash val="solid"/>
          </a:ln>
        </c:spPr>
        <c:crossAx val="75480064"/>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ACTIF PAR BANQUE - AU 31 DÉCEMBRE 2014
(en milliers de gourdes)</a:t>
            </a:r>
          </a:p>
        </c:rich>
      </c:tx>
      <c:layout>
        <c:manualLayout>
          <c:xMode val="edge"/>
          <c:yMode val="edge"/>
          <c:x val="0.31500401020178842"/>
          <c:y val="2.2058823529411856E-2"/>
        </c:manualLayout>
      </c:layout>
      <c:spPr>
        <a:noFill/>
        <a:ln w="25400">
          <a:noFill/>
        </a:ln>
      </c:spPr>
    </c:title>
    <c:plotArea>
      <c:layout>
        <c:manualLayout>
          <c:layoutTarget val="inner"/>
          <c:xMode val="edge"/>
          <c:yMode val="edge"/>
          <c:x val="0.28672438334811623"/>
          <c:y val="0.35110325631826633"/>
          <c:w val="0.438334810707526"/>
          <c:h val="0.44852981435423395"/>
        </c:manualLayout>
      </c:layout>
      <c:barChart>
        <c:barDir val="col"/>
        <c:grouping val="clustered"/>
        <c:ser>
          <c:idx val="0"/>
          <c:order val="0"/>
          <c:spPr>
            <a:solidFill>
              <a:srgbClr val="000000"/>
            </a:solidFill>
            <a:ln w="12700">
              <a:solidFill>
                <a:srgbClr val="000000"/>
              </a:solidFill>
              <a:prstDash val="solid"/>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'partdemarc. '!$A$11:$A$19</c:f>
              <c:strCache>
                <c:ptCount val="9"/>
                <c:pt idx="0">
                  <c:v>UNIBK</c:v>
                </c:pt>
                <c:pt idx="1">
                  <c:v>SOGEBK</c:v>
                </c:pt>
                <c:pt idx="2">
                  <c:v>BNC</c:v>
                </c:pt>
                <c:pt idx="3">
                  <c:v>CAPITALBK</c:v>
                </c:pt>
                <c:pt idx="4">
                  <c:v>CBNA</c:v>
                </c:pt>
                <c:pt idx="5">
                  <c:v>SCOTIA</c:v>
                </c:pt>
                <c:pt idx="6">
                  <c:v>SOGEBL</c:v>
                </c:pt>
                <c:pt idx="7">
                  <c:v>BUH</c:v>
                </c:pt>
                <c:pt idx="8">
                  <c:v>BPH</c:v>
                </c:pt>
              </c:strCache>
            </c:strRef>
          </c:cat>
          <c:val>
            <c:numRef>
              <c:f>'partdemarc. '!$B$11:$B$19</c:f>
              <c:numCache>
                <c:formatCode>_(* #,##0\.0_);_(* \(#,##0\.0\);_(* "-"??_);_(@_)</c:formatCode>
                <c:ptCount val="9"/>
                <c:pt idx="0">
                  <c:v>59051093.044344425</c:v>
                </c:pt>
                <c:pt idx="1">
                  <c:v>53105996.676800005</c:v>
                </c:pt>
                <c:pt idx="2">
                  <c:v>42887715.978069998</c:v>
                </c:pt>
                <c:pt idx="3">
                  <c:v>12315640</c:v>
                </c:pt>
                <c:pt idx="4">
                  <c:v>6360128</c:v>
                </c:pt>
                <c:pt idx="5">
                  <c:v>6133682</c:v>
                </c:pt>
                <c:pt idx="6">
                  <c:v>6113904.2318060007</c:v>
                </c:pt>
                <c:pt idx="7">
                  <c:v>5633680.9026068952</c:v>
                </c:pt>
                <c:pt idx="8">
                  <c:v>3198879.3044799999</c:v>
                </c:pt>
              </c:numCache>
            </c:numRef>
          </c:val>
        </c:ser>
        <c:axId val="76185984"/>
        <c:axId val="76187520"/>
      </c:barChart>
      <c:catAx>
        <c:axId val="76185984"/>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76187520"/>
        <c:crosses val="autoZero"/>
        <c:lblAlgn val="ctr"/>
        <c:lblOffset val="100"/>
        <c:tickLblSkip val="1"/>
        <c:tickMarkSkip val="1"/>
      </c:catAx>
      <c:valAx>
        <c:axId val="76187520"/>
        <c:scaling>
          <c:orientation val="minMax"/>
        </c:scaling>
        <c:axPos val="l"/>
        <c:numFmt formatCode="_(* #,##0\.0_);_(* \(#,##0\.0\);_(* &quot;-&quot;??_);_(@_)" sourceLinked="1"/>
        <c:majorTickMark val="cross"/>
        <c:tickLblPos val="none"/>
        <c:spPr>
          <a:ln w="3175">
            <a:solidFill>
              <a:srgbClr val="000000"/>
            </a:solidFill>
            <a:prstDash val="solid"/>
          </a:ln>
        </c:spPr>
        <c:crossAx val="76185984"/>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DISPONIBILITÉS - SECTEUR BANCAIRE
(en milliers de gourdes)
</a:t>
            </a:r>
          </a:p>
        </c:rich>
      </c:tx>
      <c:layout>
        <c:manualLayout>
          <c:xMode val="edge"/>
          <c:yMode val="edge"/>
          <c:x val="0.34062500000000001"/>
          <c:y val="9.4517958412098767E-3"/>
        </c:manualLayout>
      </c:layout>
      <c:spPr>
        <a:noFill/>
        <a:ln w="25400">
          <a:noFill/>
        </a:ln>
      </c:spPr>
    </c:title>
    <c:plotArea>
      <c:layout>
        <c:manualLayout>
          <c:layoutTarget val="inner"/>
          <c:xMode val="edge"/>
          <c:yMode val="edge"/>
          <c:x val="0.21562500000000001"/>
          <c:y val="0.3421553252703779"/>
          <c:w val="0.54062500000001823"/>
          <c:h val="0.5141781683621145"/>
        </c:manualLayout>
      </c:layout>
      <c:barChart>
        <c:barDir val="col"/>
        <c:grouping val="clustered"/>
        <c:ser>
          <c:idx val="0"/>
          <c:order val="0"/>
          <c:spPr>
            <a:solidFill>
              <a:srgbClr val="000000"/>
            </a:solidFill>
            <a:ln w="12700">
              <a:solidFill>
                <a:srgbClr val="000000"/>
              </a:solidFill>
              <a:prstDash val="solid"/>
            </a:ln>
          </c:spPr>
          <c:dLbls>
            <c:dLbl>
              <c:idx val="1"/>
              <c:layout>
                <c:manualLayout>
                  <c:x val="1.0130413385826772E-3"/>
                  <c:y val="6.3762162054884913E-3"/>
                </c:manualLayout>
              </c:layout>
              <c:dLblPos val="outEnd"/>
              <c:showVal val="1"/>
            </c:dLbl>
            <c:dLbl>
              <c:idx val="2"/>
              <c:layout>
                <c:manualLayout>
                  <c:x val="-2.4244586614173692E-3"/>
                  <c:y val="-5.5134979583128813E-3"/>
                </c:manualLayout>
              </c:layout>
              <c:dLblPos val="outEnd"/>
              <c:showVal val="1"/>
            </c:dLbl>
            <c:dLbl>
              <c:idx val="3"/>
              <c:layout>
                <c:manualLayout>
                  <c:x val="-3.5182086614174092E-3"/>
                  <c:y val="5.0417516335979134E-3"/>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(somfinbilsys!$P$1,somfinbilsys!$N$1,somfinbilsys!$L$1,somfinbilsys!$J$1,somfinbilsys!$B$7)</c:f>
              <c:strCache>
                <c:ptCount val="5"/>
                <c:pt idx="0">
                  <c:v>Sept. 11</c:v>
                </c:pt>
                <c:pt idx="1">
                  <c:v>Sept. 12</c:v>
                </c:pt>
                <c:pt idx="2">
                  <c:v>Sept.13</c:v>
                </c:pt>
                <c:pt idx="3">
                  <c:v>Sept.14</c:v>
                </c:pt>
                <c:pt idx="4">
                  <c:v> Déc. 14 </c:v>
                </c:pt>
              </c:strCache>
            </c:strRef>
          </c:cat>
          <c:val>
            <c:numRef>
              <c:f>(somfinbilsys!$P$15,somfinbilsys!$N$15,somfinbilsys!$L$15,somfinbilsys!$J$15,somfinbilsys!$B$15)</c:f>
              <c:numCache>
                <c:formatCode>_(* #,##0\.0_);_(* \(#,##0\.0\);_(* "-"??_);_(@_)</c:formatCode>
                <c:ptCount val="5"/>
                <c:pt idx="0">
                  <c:v>69961864.5400078</c:v>
                </c:pt>
                <c:pt idx="1">
                  <c:v>71284119.684028164</c:v>
                </c:pt>
                <c:pt idx="2">
                  <c:v>67166141.204381168</c:v>
                </c:pt>
                <c:pt idx="3">
                  <c:v>73324350.037329078</c:v>
                </c:pt>
                <c:pt idx="4">
                  <c:v>71304220.414634466</c:v>
                </c:pt>
              </c:numCache>
            </c:numRef>
          </c:val>
        </c:ser>
        <c:dLbls>
          <c:showVal val="1"/>
        </c:dLbls>
        <c:axId val="76625792"/>
        <c:axId val="76627328"/>
      </c:barChart>
      <c:catAx>
        <c:axId val="76625792"/>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6627328"/>
        <c:crosses val="autoZero"/>
        <c:lblAlgn val="ctr"/>
        <c:lblOffset val="100"/>
        <c:tickLblSkip val="1"/>
        <c:tickMarkSkip val="1"/>
      </c:catAx>
      <c:valAx>
        <c:axId val="76627328"/>
        <c:scaling>
          <c:orientation val="minMax"/>
        </c:scaling>
        <c:axPos val="l"/>
        <c:numFmt formatCode="_(* #,##0\.0_);_(* \(#,##0\.0\);_(* &quot;-&quot;??_);_(@_)" sourceLinked="1"/>
        <c:tickLblPos val="none"/>
        <c:spPr>
          <a:ln w="3175">
            <a:solidFill>
              <a:srgbClr val="000000"/>
            </a:solidFill>
            <a:prstDash val="solid"/>
          </a:ln>
        </c:spPr>
        <c:crossAx val="76625792"/>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DISPONIBILITÉS PAR BANQUE - AU 31 DÉCEMBRE 2014
(en milliers de gourdes)</a:t>
            </a:r>
          </a:p>
        </c:rich>
      </c:tx>
      <c:layout>
        <c:manualLayout>
          <c:xMode val="edge"/>
          <c:yMode val="edge"/>
          <c:x val="0.27486296006266586"/>
          <c:y val="2.9038112522686975E-2"/>
        </c:manualLayout>
      </c:layout>
      <c:spPr>
        <a:noFill/>
        <a:ln w="25400">
          <a:noFill/>
        </a:ln>
      </c:spPr>
    </c:title>
    <c:plotArea>
      <c:layout>
        <c:manualLayout>
          <c:layoutTarget val="inner"/>
          <c:xMode val="edge"/>
          <c:yMode val="edge"/>
          <c:x val="0.22161315583398589"/>
          <c:y val="0.34664246823957384"/>
          <c:w val="0.52153484729835553"/>
          <c:h val="0.43194192377496915"/>
        </c:manualLayout>
      </c:layout>
      <c:barChart>
        <c:barDir val="col"/>
        <c:grouping val="clustered"/>
        <c:ser>
          <c:idx val="0"/>
          <c:order val="0"/>
          <c:spPr>
            <a:solidFill>
              <a:srgbClr val="000000"/>
            </a:solidFill>
            <a:ln w="12700">
              <a:solidFill>
                <a:srgbClr val="000000"/>
              </a:solidFill>
              <a:prstDash val="solid"/>
            </a:ln>
          </c:spPr>
          <c:dLbls>
            <c:spPr>
              <a:noFill/>
              <a:ln w="25400">
                <a:noFill/>
              </a:ln>
            </c:spPr>
            <c:txPr>
              <a:bodyPr rot="-5400000" vert="horz"/>
              <a:lstStyle/>
              <a:p>
                <a:pPr algn="ctr">
                  <a:defRPr sz="900" b="1" i="0" u="none" strike="noStrike" baseline="0">
                    <a:solidFill>
                      <a:srgbClr val="000000"/>
                    </a:solidFill>
                    <a:latin typeface="Arial"/>
                    <a:ea typeface="Arial"/>
                    <a:cs typeface="Arial"/>
                  </a:defRPr>
                </a:pPr>
                <a:endParaRPr lang="en-US"/>
              </a:p>
            </c:txPr>
            <c:showVal val="1"/>
          </c:dLbls>
          <c:cat>
            <c:strRef>
              <c:f>'bilsysbandéc. 14  '!$C$76:$C$84</c:f>
              <c:strCache>
                <c:ptCount val="9"/>
                <c:pt idx="0">
                  <c:v>UNIBK</c:v>
                </c:pt>
                <c:pt idx="1">
                  <c:v>SOGEBK</c:v>
                </c:pt>
                <c:pt idx="2">
                  <c:v>BNC</c:v>
                </c:pt>
                <c:pt idx="3">
                  <c:v>CAPITALBK</c:v>
                </c:pt>
                <c:pt idx="4">
                  <c:v>SCOTIA</c:v>
                </c:pt>
                <c:pt idx="5">
                  <c:v>CBNA</c:v>
                </c:pt>
                <c:pt idx="6">
                  <c:v>BUH</c:v>
                </c:pt>
                <c:pt idx="7">
                  <c:v>SOGEBL</c:v>
                </c:pt>
                <c:pt idx="8">
                  <c:v>BPH</c:v>
                </c:pt>
              </c:strCache>
            </c:strRef>
          </c:cat>
          <c:val>
            <c:numRef>
              <c:f>'bilsysbandéc. 14  '!$D$76:$D$84</c:f>
              <c:numCache>
                <c:formatCode>_(* #,##0\.0_);_(* \(#,##0\.0\);_(* "-"??_);_(@_)</c:formatCode>
                <c:ptCount val="9"/>
                <c:pt idx="0">
                  <c:v>20081261.154802661</c:v>
                </c:pt>
                <c:pt idx="1">
                  <c:v>16696860.003529999</c:v>
                </c:pt>
                <c:pt idx="2">
                  <c:v>15578365.977</c:v>
                </c:pt>
                <c:pt idx="3">
                  <c:v>4901707</c:v>
                </c:pt>
                <c:pt idx="4">
                  <c:v>3991811</c:v>
                </c:pt>
                <c:pt idx="5">
                  <c:v>3280379</c:v>
                </c:pt>
                <c:pt idx="6">
                  <c:v>2697877.9434218104</c:v>
                </c:pt>
                <c:pt idx="7">
                  <c:v>2356516.1196400002</c:v>
                </c:pt>
                <c:pt idx="8">
                  <c:v>1719442.21624</c:v>
                </c:pt>
              </c:numCache>
            </c:numRef>
          </c:val>
        </c:ser>
        <c:axId val="76672000"/>
        <c:axId val="76677888"/>
      </c:barChart>
      <c:catAx>
        <c:axId val="76672000"/>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6677888"/>
        <c:crosses val="autoZero"/>
        <c:lblAlgn val="ctr"/>
        <c:lblOffset val="100"/>
        <c:tickLblSkip val="1"/>
        <c:tickMarkSkip val="1"/>
      </c:catAx>
      <c:valAx>
        <c:axId val="76677888"/>
        <c:scaling>
          <c:orientation val="minMax"/>
        </c:scaling>
        <c:axPos val="l"/>
        <c:numFmt formatCode="_(* #,##0\.0_);_(* \(#,##0\.0\);_(* &quot;-&quot;??_);_(@_)" sourceLinked="1"/>
        <c:majorTickMark val="cross"/>
        <c:tickLblPos val="none"/>
        <c:spPr>
          <a:ln w="3175">
            <a:solidFill>
              <a:srgbClr val="000000"/>
            </a:solidFill>
            <a:prstDash val="solid"/>
          </a:ln>
        </c:spPr>
        <c:crossAx val="76672000"/>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ENCOURS BONS B.R.H. 
(en milliers de gourdes)</a:t>
            </a:r>
          </a:p>
        </c:rich>
      </c:tx>
      <c:layout>
        <c:manualLayout>
          <c:xMode val="edge"/>
          <c:yMode val="edge"/>
          <c:x val="0.40798747063430801"/>
          <c:y val="2.8355387523630052E-2"/>
        </c:manualLayout>
      </c:layout>
      <c:spPr>
        <a:noFill/>
        <a:ln w="25400">
          <a:noFill/>
        </a:ln>
      </c:spPr>
    </c:title>
    <c:plotArea>
      <c:layout>
        <c:manualLayout>
          <c:layoutTarget val="inner"/>
          <c:xMode val="edge"/>
          <c:yMode val="edge"/>
          <c:x val="0.2004698512137823"/>
          <c:y val="0.41020831814183428"/>
          <c:w val="0.59122944400939703"/>
          <c:h val="0.39886615266327008"/>
        </c:manualLayout>
      </c:layout>
      <c:barChart>
        <c:barDir val="col"/>
        <c:grouping val="clustered"/>
        <c:ser>
          <c:idx val="0"/>
          <c:order val="0"/>
          <c:spPr>
            <a:solidFill>
              <a:srgbClr val="8080FF"/>
            </a:solidFill>
            <a:ln w="12700">
              <a:solidFill>
                <a:srgbClr val="000000"/>
              </a:solidFill>
              <a:prstDash val="solid"/>
            </a:ln>
          </c:spPr>
          <c:cat>
            <c:strRef>
              <c:f>somfinbilsys!$B$71:$C$71</c:f>
              <c:strCache>
                <c:ptCount val="2"/>
                <c:pt idx="0">
                  <c:v> </c:v>
                </c:pt>
                <c:pt idx="1">
                  <c:v> </c:v>
                </c:pt>
              </c:strCache>
            </c:strRef>
          </c:cat>
          <c:val>
            <c:numRef>
              <c:f>somfinbilsys!$B$72:$C$72</c:f>
              <c:numCache>
                <c:formatCode>General</c:formatCode>
                <c:ptCount val="2"/>
              </c:numCache>
            </c:numRef>
          </c:val>
        </c:ser>
        <c:ser>
          <c:idx val="1"/>
          <c:order val="1"/>
          <c:spPr>
            <a:solidFill>
              <a:schemeClr val="tx1"/>
            </a:solidFill>
            <a:ln w="12700">
              <a:solidFill>
                <a:srgbClr val="000000"/>
              </a:solidFill>
              <a:prstDash val="solid"/>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somfinbilsys!$F$71:$J$71</c:f>
              <c:strCache>
                <c:ptCount val="5"/>
                <c:pt idx="0">
                  <c:v>Sept. 11</c:v>
                </c:pt>
                <c:pt idx="1">
                  <c:v>Sept. 12</c:v>
                </c:pt>
                <c:pt idx="2">
                  <c:v>Sept. 13</c:v>
                </c:pt>
                <c:pt idx="3">
                  <c:v>Sept. 14</c:v>
                </c:pt>
                <c:pt idx="4">
                  <c:v>Déc. 14</c:v>
                </c:pt>
              </c:strCache>
            </c:strRef>
          </c:cat>
          <c:val>
            <c:numRef>
              <c:f>somfinbilsys!$F$73:$J$73</c:f>
              <c:numCache>
                <c:formatCode>_(* #,##0\.0_);_(* \(#,##0\.0\);_(* "-"??_);_(@_)</c:formatCode>
                <c:ptCount val="5"/>
                <c:pt idx="0">
                  <c:v>6327919.5</c:v>
                </c:pt>
                <c:pt idx="1">
                  <c:v>6269459.7050000001</c:v>
                </c:pt>
                <c:pt idx="2">
                  <c:v>5944985</c:v>
                </c:pt>
                <c:pt idx="3">
                  <c:v>4508555</c:v>
                </c:pt>
                <c:pt idx="4">
                  <c:v>6608224</c:v>
                </c:pt>
              </c:numCache>
            </c:numRef>
          </c:val>
        </c:ser>
        <c:axId val="76776960"/>
        <c:axId val="76778496"/>
      </c:barChart>
      <c:catAx>
        <c:axId val="76776960"/>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000" b="1" i="0" u="none" strike="noStrike" baseline="0">
                <a:solidFill>
                  <a:srgbClr val="000000"/>
                </a:solidFill>
                <a:latin typeface="CG Times"/>
                <a:ea typeface="CG Times"/>
                <a:cs typeface="CG Times"/>
              </a:defRPr>
            </a:pPr>
            <a:endParaRPr lang="en-US"/>
          </a:p>
        </c:txPr>
        <c:crossAx val="76778496"/>
        <c:crosses val="autoZero"/>
        <c:lblAlgn val="ctr"/>
        <c:lblOffset val="100"/>
        <c:tickLblSkip val="1"/>
        <c:tickMarkSkip val="1"/>
      </c:catAx>
      <c:valAx>
        <c:axId val="76778496"/>
        <c:scaling>
          <c:orientation val="minMax"/>
          <c:max val="10000000"/>
        </c:scaling>
        <c:axPos val="l"/>
        <c:numFmt formatCode="General" sourceLinked="1"/>
        <c:majorTickMark val="cross"/>
        <c:tickLblPos val="none"/>
        <c:spPr>
          <a:ln w="3175">
            <a:solidFill>
              <a:srgbClr val="000000"/>
            </a:solidFill>
            <a:prstDash val="solid"/>
          </a:ln>
        </c:spPr>
        <c:crossAx val="76776960"/>
        <c:crosses val="autoZero"/>
        <c:crossBetween val="between"/>
        <c:majorUnit val="1000000"/>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BONS B.R.H. PAR BANQUE - AU 31 DÉCEMBRE 2014
(en milliers de gourdes)</a:t>
            </a:r>
          </a:p>
        </c:rich>
      </c:tx>
      <c:layout>
        <c:manualLayout>
          <c:xMode val="edge"/>
          <c:yMode val="edge"/>
          <c:x val="0.29044996447268112"/>
          <c:y val="2.9304029304029304E-2"/>
        </c:manualLayout>
      </c:layout>
      <c:spPr>
        <a:noFill/>
        <a:ln w="25400">
          <a:noFill/>
        </a:ln>
      </c:spPr>
    </c:title>
    <c:plotArea>
      <c:layout>
        <c:manualLayout>
          <c:layoutTarget val="inner"/>
          <c:xMode val="edge"/>
          <c:yMode val="edge"/>
          <c:x val="0.22809795688710674"/>
          <c:y val="0.31501887845352688"/>
          <c:w val="0.5461722704701496"/>
          <c:h val="0.43589821553453489"/>
        </c:manualLayout>
      </c:layout>
      <c:barChart>
        <c:barDir val="col"/>
        <c:grouping val="clustered"/>
        <c:ser>
          <c:idx val="0"/>
          <c:order val="0"/>
          <c:spPr>
            <a:solidFill>
              <a:srgbClr val="000000"/>
            </a:solidFill>
            <a:ln w="12700">
              <a:solidFill>
                <a:srgbClr val="000000"/>
              </a:solidFill>
              <a:prstDash val="solid"/>
            </a:ln>
          </c:spPr>
          <c:dLbls>
            <c:dLbl>
              <c:idx val="12"/>
              <c:layout>
                <c:manualLayout>
                  <c:xMode val="edge"/>
                  <c:yMode val="edge"/>
                  <c:x val="0.74506737474540552"/>
                  <c:y val="0.8278403084941609"/>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'bilsysbandéc. 14  '!$F$76:$F$84</c:f>
              <c:strCache>
                <c:ptCount val="9"/>
                <c:pt idx="0">
                  <c:v>BNC</c:v>
                </c:pt>
                <c:pt idx="1">
                  <c:v>SOGEBK</c:v>
                </c:pt>
                <c:pt idx="2">
                  <c:v>CBNA</c:v>
                </c:pt>
                <c:pt idx="3">
                  <c:v>CAPITALBK</c:v>
                </c:pt>
                <c:pt idx="4">
                  <c:v>BPH</c:v>
                </c:pt>
                <c:pt idx="5">
                  <c:v>BUH</c:v>
                </c:pt>
                <c:pt idx="6">
                  <c:v>UNIBK</c:v>
                </c:pt>
                <c:pt idx="7">
                  <c:v>SCOTIA</c:v>
                </c:pt>
                <c:pt idx="8">
                  <c:v>SOGEBL</c:v>
                </c:pt>
              </c:strCache>
            </c:strRef>
          </c:cat>
          <c:val>
            <c:numRef>
              <c:f>'bilsysbandéc. 14  '!$G$76:$G$84</c:f>
              <c:numCache>
                <c:formatCode>_(* #,##0\.0_);_(* \(#,##0\.0\);_(* "-"??_);_(@_)</c:formatCode>
                <c:ptCount val="9"/>
                <c:pt idx="0">
                  <c:v>3810000</c:v>
                </c:pt>
                <c:pt idx="1">
                  <c:v>1300000</c:v>
                </c:pt>
                <c:pt idx="2">
                  <c:v>796833</c:v>
                </c:pt>
                <c:pt idx="3">
                  <c:v>298391</c:v>
                </c:pt>
                <c:pt idx="4">
                  <c:v>223000</c:v>
                </c:pt>
                <c:pt idx="5">
                  <c:v>180000</c:v>
                </c:pt>
                <c:pt idx="6">
                  <c:v>0</c:v>
                </c:pt>
                <c:pt idx="7">
                  <c:v>0</c:v>
                </c:pt>
                <c:pt idx="8">
                  <c:v>0</c:v>
                </c:pt>
              </c:numCache>
            </c:numRef>
          </c:val>
        </c:ser>
        <c:axId val="76855552"/>
        <c:axId val="76943360"/>
      </c:barChart>
      <c:catAx>
        <c:axId val="76855552"/>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6943360"/>
        <c:crosses val="autoZero"/>
        <c:lblAlgn val="ctr"/>
        <c:lblOffset val="100"/>
        <c:tickLblSkip val="1"/>
        <c:tickMarkSkip val="1"/>
      </c:catAx>
      <c:valAx>
        <c:axId val="76943360"/>
        <c:scaling>
          <c:orientation val="minMax"/>
        </c:scaling>
        <c:axPos val="l"/>
        <c:numFmt formatCode="_(* #,##0\.0_);_(* \(#,##0\.0\);_(* &quot;-&quot;??_);_(@_)" sourceLinked="1"/>
        <c:majorTickMark val="cross"/>
        <c:tickLblPos val="none"/>
        <c:spPr>
          <a:ln w="3175">
            <a:solidFill>
              <a:srgbClr val="000000"/>
            </a:solidFill>
            <a:prstDash val="solid"/>
          </a:ln>
        </c:spPr>
        <c:crossAx val="76855552"/>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PRÊTS NETS - SECTEUR BANCAIRE
(en milliers de gourdes)
</a:t>
            </a:r>
          </a:p>
        </c:rich>
      </c:tx>
      <c:layout>
        <c:manualLayout>
          <c:xMode val="edge"/>
          <c:yMode val="edge"/>
          <c:x val="0.35803448515893432"/>
          <c:y val="2.8355387523630052E-2"/>
        </c:manualLayout>
      </c:layout>
      <c:spPr>
        <a:noFill/>
        <a:ln w="25400">
          <a:noFill/>
        </a:ln>
      </c:spPr>
    </c:title>
    <c:plotArea>
      <c:layout>
        <c:manualLayout>
          <c:layoutTarget val="inner"/>
          <c:xMode val="edge"/>
          <c:yMode val="edge"/>
          <c:x val="0.18876762259882829"/>
          <c:y val="0.3484476265868176"/>
          <c:w val="0.61856497818539835"/>
          <c:h val="0.48709185457528376"/>
        </c:manualLayout>
      </c:layout>
      <c:barChart>
        <c:barDir val="col"/>
        <c:grouping val="clustered"/>
        <c:ser>
          <c:idx val="0"/>
          <c:order val="0"/>
          <c:spPr>
            <a:solidFill>
              <a:srgbClr val="000000"/>
            </a:solidFill>
            <a:ln w="12700">
              <a:solidFill>
                <a:srgbClr val="000000"/>
              </a:solidFill>
              <a:prstDash val="solid"/>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(somfinbilsys!$P$1,somfinbilsys!$N$1,somfinbilsys!$L$1,somfinbilsys!$J$1,somfinbilsys!$B$7)</c:f>
              <c:strCache>
                <c:ptCount val="5"/>
                <c:pt idx="0">
                  <c:v>Sept. 11</c:v>
                </c:pt>
                <c:pt idx="1">
                  <c:v>Sept. 12</c:v>
                </c:pt>
                <c:pt idx="2">
                  <c:v>Sept.13</c:v>
                </c:pt>
                <c:pt idx="3">
                  <c:v>Sept.14</c:v>
                </c:pt>
                <c:pt idx="4">
                  <c:v> Déc. 14 </c:v>
                </c:pt>
              </c:strCache>
            </c:strRef>
          </c:cat>
          <c:val>
            <c:numRef>
              <c:f>(somfinbilsys!$P$20,somfinbilsys!$N$20,somfinbilsys!$L$20,somfinbilsys!$J$20,somfinbilsys!$B$20)</c:f>
              <c:numCache>
                <c:formatCode>_(* #,##0\.0_);_(* \(#,##0\.0\);_(* "-"??_);_(@_)</c:formatCode>
                <c:ptCount val="5"/>
                <c:pt idx="0">
                  <c:v>38697304.487296335</c:v>
                </c:pt>
                <c:pt idx="1">
                  <c:v>51860165.975803487</c:v>
                </c:pt>
                <c:pt idx="2">
                  <c:v>62165980.086414151</c:v>
                </c:pt>
                <c:pt idx="3">
                  <c:v>68178247.386450782</c:v>
                </c:pt>
                <c:pt idx="4">
                  <c:v>69792588.755855486</c:v>
                </c:pt>
              </c:numCache>
            </c:numRef>
          </c:val>
        </c:ser>
        <c:dLbls>
          <c:showVal val="1"/>
        </c:dLbls>
        <c:axId val="77021184"/>
        <c:axId val="77022720"/>
      </c:barChart>
      <c:catAx>
        <c:axId val="77021184"/>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7022720"/>
        <c:crosses val="autoZero"/>
        <c:lblAlgn val="ctr"/>
        <c:lblOffset val="100"/>
        <c:tickLblSkip val="1"/>
        <c:tickMarkSkip val="1"/>
      </c:catAx>
      <c:valAx>
        <c:axId val="77022720"/>
        <c:scaling>
          <c:orientation val="minMax"/>
        </c:scaling>
        <c:axPos val="l"/>
        <c:numFmt formatCode="_(* #,##0\.0_);_(* \(#,##0\.0\);_(* &quot;-&quot;??_);_(@_)" sourceLinked="1"/>
        <c:tickLblPos val="none"/>
        <c:spPr>
          <a:ln w="3175">
            <a:solidFill>
              <a:srgbClr val="000000"/>
            </a:solidFill>
            <a:prstDash val="solid"/>
          </a:ln>
        </c:spPr>
        <c:crossAx val="77021184"/>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PRÊTS NETS PAR BANQUE - AU 31 DÉCEMBRE 2014
(en milliers de gourdes)</a:t>
            </a:r>
          </a:p>
        </c:rich>
      </c:tx>
      <c:layout>
        <c:manualLayout>
          <c:xMode val="edge"/>
          <c:yMode val="edge"/>
          <c:x val="0.29065208561420958"/>
          <c:y val="2.8571428571428591E-2"/>
        </c:manualLayout>
      </c:layout>
      <c:spPr>
        <a:noFill/>
        <a:ln w="25400">
          <a:noFill/>
        </a:ln>
      </c:spPr>
    </c:title>
    <c:plotArea>
      <c:layout>
        <c:manualLayout>
          <c:layoutTarget val="inner"/>
          <c:xMode val="edge"/>
          <c:yMode val="edge"/>
          <c:x val="0.20424202649454204"/>
          <c:y val="0.30666723710423582"/>
          <c:w val="0.6040850706704195"/>
          <c:h val="0.46857230017168938"/>
        </c:manualLayout>
      </c:layout>
      <c:barChart>
        <c:barDir val="col"/>
        <c:grouping val="clustered"/>
        <c:ser>
          <c:idx val="0"/>
          <c:order val="0"/>
          <c:spPr>
            <a:solidFill>
              <a:srgbClr val="000000"/>
            </a:solidFill>
            <a:ln w="12700">
              <a:solidFill>
                <a:srgbClr val="000000"/>
              </a:solidFill>
              <a:prstDash val="solid"/>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'bilsysbandéc. 14  '!$I$76:$I$84</c:f>
              <c:strCache>
                <c:ptCount val="9"/>
                <c:pt idx="0">
                  <c:v>UNIBK</c:v>
                </c:pt>
                <c:pt idx="1">
                  <c:v>SOGEBK</c:v>
                </c:pt>
                <c:pt idx="2">
                  <c:v>BNC</c:v>
                </c:pt>
                <c:pt idx="3">
                  <c:v>CAPITALBK</c:v>
                </c:pt>
                <c:pt idx="4">
                  <c:v>SOGEBL</c:v>
                </c:pt>
                <c:pt idx="5">
                  <c:v>BUH</c:v>
                </c:pt>
                <c:pt idx="6">
                  <c:v>SCOTIA</c:v>
                </c:pt>
                <c:pt idx="7">
                  <c:v>CBNA</c:v>
                </c:pt>
                <c:pt idx="8">
                  <c:v>BPH</c:v>
                </c:pt>
              </c:strCache>
            </c:strRef>
          </c:cat>
          <c:val>
            <c:numRef>
              <c:f>'bilsysbandéc. 14  '!$J$76:$J$84</c:f>
              <c:numCache>
                <c:formatCode>_(* #,##0\.0_);_(* \(#,##0\.0\);_(* "-"??_);_(@_)</c:formatCode>
                <c:ptCount val="9"/>
                <c:pt idx="0">
                  <c:v>24056419.86524</c:v>
                </c:pt>
                <c:pt idx="1">
                  <c:v>19215072.525990002</c:v>
                </c:pt>
                <c:pt idx="2">
                  <c:v>10524694.186369998</c:v>
                </c:pt>
                <c:pt idx="3">
                  <c:v>5637972</c:v>
                </c:pt>
                <c:pt idx="4">
                  <c:v>3345304.2581560002</c:v>
                </c:pt>
                <c:pt idx="5">
                  <c:v>2291639.3848394938</c:v>
                </c:pt>
                <c:pt idx="6">
                  <c:v>2063611</c:v>
                </c:pt>
                <c:pt idx="7">
                  <c:v>1798882</c:v>
                </c:pt>
                <c:pt idx="8">
                  <c:v>858993.53526000003</c:v>
                </c:pt>
              </c:numCache>
            </c:numRef>
          </c:val>
        </c:ser>
        <c:axId val="77046912"/>
        <c:axId val="77048448"/>
      </c:barChart>
      <c:catAx>
        <c:axId val="77046912"/>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7048448"/>
        <c:crosses val="autoZero"/>
        <c:lblAlgn val="ctr"/>
        <c:lblOffset val="100"/>
        <c:tickLblSkip val="1"/>
        <c:tickMarkSkip val="1"/>
      </c:catAx>
      <c:valAx>
        <c:axId val="77048448"/>
        <c:scaling>
          <c:orientation val="minMax"/>
        </c:scaling>
        <c:axPos val="l"/>
        <c:numFmt formatCode="_(* #,##0\.0_);_(* \(#,##0\.0\);_(* &quot;-&quot;??_);_(@_)" sourceLinked="1"/>
        <c:majorTickMark val="cross"/>
        <c:tickLblPos val="none"/>
        <c:spPr>
          <a:ln w="3175">
            <a:solidFill>
              <a:srgbClr val="000000"/>
            </a:solidFill>
            <a:prstDash val="solid"/>
          </a:ln>
        </c:spPr>
        <c:crossAx val="77046912"/>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DÉPÔTS - SECTEUR BANCAIRE
(en milliers de gourdes)
</a:t>
            </a:r>
          </a:p>
        </c:rich>
      </c:tx>
      <c:layout>
        <c:manualLayout>
          <c:xMode val="edge"/>
          <c:yMode val="edge"/>
          <c:x val="0.37500000000000488"/>
          <c:y val="2.8355387523630052E-2"/>
        </c:manualLayout>
      </c:layout>
      <c:spPr>
        <a:noFill/>
        <a:ln w="25400">
          <a:noFill/>
        </a:ln>
      </c:spPr>
    </c:title>
    <c:plotArea>
      <c:layout>
        <c:manualLayout>
          <c:layoutTarget val="inner"/>
          <c:xMode val="edge"/>
          <c:yMode val="edge"/>
          <c:x val="0.21458333333333893"/>
          <c:y val="0.34341564582310008"/>
          <c:w val="0.56562500000002081"/>
          <c:h val="0.53308177749309649"/>
        </c:manualLayout>
      </c:layout>
      <c:barChart>
        <c:barDir val="col"/>
        <c:grouping val="clustered"/>
        <c:ser>
          <c:idx val="0"/>
          <c:order val="0"/>
          <c:spPr>
            <a:solidFill>
              <a:srgbClr val="000000"/>
            </a:solidFill>
            <a:ln w="12700">
              <a:solidFill>
                <a:srgbClr val="000000"/>
              </a:solidFill>
              <a:prstDash val="solid"/>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(somfinbilsys!$P$1,somfinbilsys!$N$1,somfinbilsys!$L$1,somfinbilsys!$J$1,somfinbilsys!$B$7)</c:f>
              <c:strCache>
                <c:ptCount val="5"/>
                <c:pt idx="0">
                  <c:v>Sept. 11</c:v>
                </c:pt>
                <c:pt idx="1">
                  <c:v>Sept. 12</c:v>
                </c:pt>
                <c:pt idx="2">
                  <c:v>Sept.13</c:v>
                </c:pt>
                <c:pt idx="3">
                  <c:v>Sept.14</c:v>
                </c:pt>
                <c:pt idx="4">
                  <c:v> Déc. 14 </c:v>
                </c:pt>
              </c:strCache>
            </c:strRef>
          </c:cat>
          <c:val>
            <c:numRef>
              <c:f>(somfinbilsys!$P$30,somfinbilsys!$N$30,somfinbilsys!$L$30,somfinbilsys!$J$30,somfinbilsys!$B$30)</c:f>
              <c:numCache>
                <c:formatCode>_(* #,##0\.0_);_(* \(#,##0\.0\);_(* "-"??_);_(@_)</c:formatCode>
                <c:ptCount val="5"/>
                <c:pt idx="0">
                  <c:v>135548996.05752659</c:v>
                </c:pt>
                <c:pt idx="1">
                  <c:v>146838094.94990581</c:v>
                </c:pt>
                <c:pt idx="2">
                  <c:v>145645946.26564053</c:v>
                </c:pt>
                <c:pt idx="3">
                  <c:v>157549122.49165741</c:v>
                </c:pt>
                <c:pt idx="4">
                  <c:v>158561095.82116175</c:v>
                </c:pt>
              </c:numCache>
            </c:numRef>
          </c:val>
        </c:ser>
        <c:dLbls>
          <c:showVal val="1"/>
        </c:dLbls>
        <c:axId val="76102272"/>
        <c:axId val="76112256"/>
      </c:barChart>
      <c:catAx>
        <c:axId val="76102272"/>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6112256"/>
        <c:crosses val="autoZero"/>
        <c:lblAlgn val="ctr"/>
        <c:lblOffset val="100"/>
        <c:tickLblSkip val="1"/>
        <c:tickMarkSkip val="1"/>
      </c:catAx>
      <c:valAx>
        <c:axId val="76112256"/>
        <c:scaling>
          <c:orientation val="minMax"/>
        </c:scaling>
        <c:axPos val="l"/>
        <c:numFmt formatCode="_(* #,##0\.0_);_(* \(#,##0\.0\);_(* &quot;-&quot;??_);_(@_)" sourceLinked="1"/>
        <c:tickLblPos val="none"/>
        <c:spPr>
          <a:ln w="3175">
            <a:solidFill>
              <a:srgbClr val="000000"/>
            </a:solidFill>
            <a:prstDash val="solid"/>
          </a:ln>
        </c:spPr>
        <c:crossAx val="76102272"/>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DÉPÔTS PAR BANQUE - AU 31 DÉCEMBRE 2014
(en milliers de gourdes)</a:t>
            </a:r>
          </a:p>
        </c:rich>
      </c:tx>
      <c:layout>
        <c:manualLayout>
          <c:xMode val="edge"/>
          <c:yMode val="edge"/>
          <c:x val="0.3087675551910749"/>
          <c:y val="2.1935719573516116E-2"/>
        </c:manualLayout>
      </c:layout>
      <c:spPr>
        <a:noFill/>
        <a:ln w="25400">
          <a:noFill/>
        </a:ln>
      </c:spPr>
    </c:title>
    <c:plotArea>
      <c:layout>
        <c:manualLayout>
          <c:layoutTarget val="inner"/>
          <c:xMode val="edge"/>
          <c:yMode val="edge"/>
          <c:x val="0.26859827721222601"/>
          <c:y val="0.31868188866809882"/>
          <c:w val="0.47846515270164447"/>
          <c:h val="0.51282143004061864"/>
        </c:manualLayout>
      </c:layout>
      <c:barChart>
        <c:barDir val="col"/>
        <c:grouping val="clustered"/>
        <c:ser>
          <c:idx val="0"/>
          <c:order val="0"/>
          <c:spPr>
            <a:solidFill>
              <a:srgbClr val="000000"/>
            </a:solidFill>
            <a:ln w="25400">
              <a:noFill/>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'partdemarc. '!$I$11:$I$19</c:f>
              <c:strCache>
                <c:ptCount val="9"/>
                <c:pt idx="0">
                  <c:v>UNIBK</c:v>
                </c:pt>
                <c:pt idx="1">
                  <c:v>SOGEBK</c:v>
                </c:pt>
                <c:pt idx="2">
                  <c:v>BNC</c:v>
                </c:pt>
                <c:pt idx="3">
                  <c:v>CAPITALBK</c:v>
                </c:pt>
                <c:pt idx="4">
                  <c:v>SCOTIA</c:v>
                </c:pt>
                <c:pt idx="5">
                  <c:v>BUH</c:v>
                </c:pt>
                <c:pt idx="6">
                  <c:v>CBNA</c:v>
                </c:pt>
                <c:pt idx="7">
                  <c:v>SOGEBL</c:v>
                </c:pt>
                <c:pt idx="8">
                  <c:v>BPH</c:v>
                </c:pt>
              </c:strCache>
            </c:strRef>
          </c:cat>
          <c:val>
            <c:numRef>
              <c:f>'partdemarc. '!$J$11:$J$19</c:f>
              <c:numCache>
                <c:formatCode>_(* #,##0\.0_);_(* \(#,##0\.0\);_(* "-"??_);_(@_)</c:formatCode>
                <c:ptCount val="9"/>
                <c:pt idx="0">
                  <c:v>49484776.082875788</c:v>
                </c:pt>
                <c:pt idx="1">
                  <c:v>42844618.908360004</c:v>
                </c:pt>
                <c:pt idx="2">
                  <c:v>33876000.771370001</c:v>
                </c:pt>
                <c:pt idx="3">
                  <c:v>10419494</c:v>
                </c:pt>
                <c:pt idx="4">
                  <c:v>5226196</c:v>
                </c:pt>
                <c:pt idx="5">
                  <c:v>4698809.3730959753</c:v>
                </c:pt>
                <c:pt idx="6">
                  <c:v>4588078</c:v>
                </c:pt>
                <c:pt idx="7">
                  <c:v>4545217.055470001</c:v>
                </c:pt>
                <c:pt idx="8">
                  <c:v>2877905.6299900003</c:v>
                </c:pt>
              </c:numCache>
            </c:numRef>
          </c:val>
        </c:ser>
        <c:axId val="76136448"/>
        <c:axId val="76137984"/>
      </c:barChart>
      <c:catAx>
        <c:axId val="76136448"/>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6137984"/>
        <c:crosses val="autoZero"/>
        <c:lblAlgn val="ctr"/>
        <c:lblOffset val="100"/>
        <c:tickLblSkip val="1"/>
        <c:tickMarkSkip val="1"/>
      </c:catAx>
      <c:valAx>
        <c:axId val="76137984"/>
        <c:scaling>
          <c:orientation val="minMax"/>
        </c:scaling>
        <c:axPos val="l"/>
        <c:numFmt formatCode="_(* #,##0\.0_);_(* \(#,##0\.0\);_(* &quot;-&quot;??_);_(@_)" sourceLinked="1"/>
        <c:majorTickMark val="cross"/>
        <c:tickLblPos val="none"/>
        <c:spPr>
          <a:ln w="3175">
            <a:solidFill>
              <a:srgbClr val="000000"/>
            </a:solidFill>
            <a:prstDash val="solid"/>
          </a:ln>
        </c:spPr>
        <c:crossAx val="76136448"/>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DÉPÔTS DEVISES CONVERTIES - SECTEUR BANCAIRE
(en milliers de gourdes)
</a:t>
            </a:r>
          </a:p>
        </c:rich>
      </c:tx>
      <c:layout>
        <c:manualLayout>
          <c:xMode val="edge"/>
          <c:yMode val="edge"/>
          <c:x val="0.30471010795781994"/>
          <c:y val="1.4492753623188409E-2"/>
        </c:manualLayout>
      </c:layout>
      <c:spPr>
        <a:noFill/>
        <a:ln w="25400">
          <a:noFill/>
        </a:ln>
      </c:spPr>
    </c:title>
    <c:plotArea>
      <c:layout>
        <c:manualLayout>
          <c:layoutTarget val="inner"/>
          <c:xMode val="edge"/>
          <c:yMode val="edge"/>
          <c:x val="0.21623747851191225"/>
          <c:y val="0.28418419342195289"/>
          <c:w val="0.59328694721450759"/>
          <c:h val="0.54631430388474556"/>
        </c:manualLayout>
      </c:layout>
      <c:barChart>
        <c:barDir val="col"/>
        <c:grouping val="clustered"/>
        <c:ser>
          <c:idx val="0"/>
          <c:order val="0"/>
          <c:spPr>
            <a:solidFill>
              <a:srgbClr val="000000"/>
            </a:solidFill>
            <a:ln w="12700">
              <a:solidFill>
                <a:srgbClr val="000000"/>
              </a:solidFill>
              <a:prstDash val="solid"/>
            </a:ln>
          </c:spPr>
          <c:dLbls>
            <c:dLbl>
              <c:idx val="0"/>
              <c:layout>
                <c:manualLayout>
                  <c:x val="0.35719215425940626"/>
                  <c:y val="-3.935856789167895E-2"/>
                </c:manualLayout>
              </c:layout>
              <c:tx>
                <c:rich>
                  <a:bodyPr rot="-5400000" vert="horz"/>
                  <a:lstStyle/>
                  <a:p>
                    <a:pPr algn="ctr">
                      <a:defRPr lang="en-US" sz="900" b="1" i="0" u="none" strike="noStrike" kern="1200" baseline="0">
                        <a:solidFill>
                          <a:sysClr val="windowText" lastClr="000000"/>
                        </a:solidFill>
                        <a:latin typeface="CG Times"/>
                        <a:ea typeface="CG Times"/>
                        <a:cs typeface="CG Times"/>
                      </a:defRPr>
                    </a:pPr>
                    <a:r>
                      <a:rPr lang="en-US" sz="900" b="1" i="0" u="none" strike="noStrike" kern="1200" baseline="0">
                        <a:solidFill>
                          <a:sysClr val="windowText" lastClr="000000"/>
                        </a:solidFill>
                        <a:latin typeface="CG Times"/>
                        <a:ea typeface="CG Times"/>
                        <a:cs typeface="CG Times"/>
                      </a:rPr>
                      <a:t>90,348,947.2</a:t>
                    </a:r>
                  </a:p>
                </c:rich>
              </c:tx>
              <c:spPr>
                <a:noFill/>
                <a:ln w="25400">
                  <a:noFill/>
                </a:ln>
              </c:spPr>
              <c:dLblPos val="outEnd"/>
            </c:dLbl>
            <c:dLbl>
              <c:idx val="1"/>
              <c:layout>
                <c:manualLayout>
                  <c:x val="0.35432956126385895"/>
                  <c:y val="1.1508665386580937E-2"/>
                </c:manualLayout>
              </c:layout>
              <c:tx>
                <c:rich>
                  <a:bodyPr rot="-5400000" vert="horz"/>
                  <a:lstStyle/>
                  <a:p>
                    <a:pPr algn="ctr">
                      <a:defRPr sz="900" b="1" i="0" u="none" strike="noStrike" baseline="0">
                        <a:solidFill>
                          <a:sysClr val="windowText" lastClr="000000"/>
                        </a:solidFill>
                        <a:latin typeface="CG Times"/>
                        <a:ea typeface="CG Times"/>
                        <a:cs typeface="CG Times"/>
                      </a:defRPr>
                    </a:pPr>
                    <a:r>
                      <a:rPr lang="en-US">
                        <a:solidFill>
                          <a:sysClr val="windowText" lastClr="000000"/>
                        </a:solidFill>
                      </a:rPr>
                      <a:t>89,648,769.0</a:t>
                    </a:r>
                  </a:p>
                </c:rich>
              </c:tx>
              <c:spPr>
                <a:noFill/>
                <a:ln w="25400">
                  <a:noFill/>
                </a:ln>
              </c:spPr>
              <c:dLblPos val="outEnd"/>
            </c:dLbl>
            <c:dLbl>
              <c:idx val="2"/>
              <c:layout>
                <c:manualLayout>
                  <c:x val="-0.23531411032637325"/>
                  <c:y val="-2.9005353536857029E-2"/>
                </c:manualLayout>
              </c:layout>
              <c:tx>
                <c:rich>
                  <a:bodyPr rot="-5400000" vert="horz"/>
                  <a:lstStyle/>
                  <a:p>
                    <a:pPr algn="ctr">
                      <a:defRPr sz="900" b="1" i="0" u="none" strike="noStrike" baseline="0">
                        <a:solidFill>
                          <a:sysClr val="windowText" lastClr="000000"/>
                        </a:solidFill>
                        <a:latin typeface="CG Times"/>
                        <a:ea typeface="CG Times"/>
                        <a:cs typeface="CG Times"/>
                      </a:defRPr>
                    </a:pPr>
                    <a:r>
                      <a:rPr lang="en-US">
                        <a:solidFill>
                          <a:sysClr val="windowText" lastClr="000000"/>
                        </a:solidFill>
                      </a:rPr>
                      <a:t>84,469,193.4</a:t>
                    </a:r>
                  </a:p>
                </c:rich>
              </c:tx>
              <c:spPr>
                <a:noFill/>
                <a:ln w="25400">
                  <a:noFill/>
                </a:ln>
              </c:spPr>
              <c:dLblPos val="outEnd"/>
            </c:dLbl>
            <c:dLbl>
              <c:idx val="3"/>
              <c:layout>
                <c:manualLayout>
                  <c:x val="-0.23947744236888421"/>
                  <c:y val="-1.2031019752020599E-2"/>
                </c:manualLayout>
              </c:layout>
              <c:tx>
                <c:rich>
                  <a:bodyPr rot="-5400000" vert="horz"/>
                  <a:lstStyle/>
                  <a:p>
                    <a:pPr algn="ctr">
                      <a:defRPr sz="900" b="1" i="0" u="none" strike="noStrike" baseline="0">
                        <a:solidFill>
                          <a:sysClr val="windowText" lastClr="000000"/>
                        </a:solidFill>
                        <a:latin typeface="CG Times"/>
                        <a:ea typeface="CG Times"/>
                        <a:cs typeface="CG Times"/>
                      </a:defRPr>
                    </a:pPr>
                    <a:r>
                      <a:rPr lang="en-US">
                        <a:solidFill>
                          <a:sysClr val="windowText" lastClr="000000"/>
                        </a:solidFill>
                      </a:rPr>
                      <a:t>92,425,729.8</a:t>
                    </a:r>
                  </a:p>
                </c:rich>
              </c:tx>
              <c:spPr>
                <a:noFill/>
                <a:ln w="25400">
                  <a:noFill/>
                </a:ln>
              </c:spPr>
              <c:dLblPos val="outEnd"/>
            </c:dLbl>
            <c:dLbl>
              <c:idx val="4"/>
              <c:layout>
                <c:manualLayout>
                  <c:x val="-0.23791624407604803"/>
                  <c:y val="4.5063979478935701E-2"/>
                </c:manualLayout>
              </c:layout>
              <c:tx>
                <c:rich>
                  <a:bodyPr rot="-5400000" vert="horz"/>
                  <a:lstStyle/>
                  <a:p>
                    <a:pPr algn="ctr">
                      <a:defRPr sz="900" b="1" i="0" u="none" strike="noStrike" baseline="0">
                        <a:solidFill>
                          <a:sysClr val="windowText" lastClr="000000"/>
                        </a:solidFill>
                        <a:latin typeface="CG Times"/>
                        <a:ea typeface="CG Times"/>
                        <a:cs typeface="CG Times"/>
                      </a:defRPr>
                    </a:pPr>
                    <a:r>
                      <a:rPr lang="en-US">
                        <a:solidFill>
                          <a:sysClr val="windowText" lastClr="000000"/>
                        </a:solidFill>
                      </a:rPr>
                      <a:t>80,320,612.9</a:t>
                    </a:r>
                  </a:p>
                </c:rich>
              </c:tx>
              <c:spPr>
                <a:noFill/>
                <a:ln w="25400">
                  <a:noFill/>
                </a:ln>
              </c:spPr>
              <c:dLblPos val="outEnd"/>
            </c:dLbl>
            <c:dLbl>
              <c:idx val="5"/>
              <c:delete val="1"/>
            </c:dLbl>
            <c:dLbl>
              <c:idx val="6"/>
              <c:layout>
                <c:manualLayout>
                  <c:x val="4.9092224127722732E-5"/>
                  <c:y val="-7.8660772318394044E-3"/>
                </c:manualLayout>
              </c:layout>
              <c:tx>
                <c:rich>
                  <a:bodyPr/>
                  <a:lstStyle/>
                  <a:p>
                    <a:r>
                      <a:rPr lang="en-US"/>
                      <a:t>88,214,990.9</a:t>
                    </a:r>
                  </a:p>
                </c:rich>
              </c:tx>
              <c:dLblPos val="outEnd"/>
            </c:dLbl>
            <c:dLbl>
              <c:idx val="7"/>
              <c:layout>
                <c:manualLayout>
                  <c:x val="-1.0408534998698961E-3"/>
                  <c:y val="-3.0464055887154215E-4"/>
                </c:manualLayout>
              </c:layout>
              <c:tx>
                <c:rich>
                  <a:bodyPr/>
                  <a:lstStyle/>
                  <a:p>
                    <a:r>
                      <a:rPr lang="en-US"/>
                      <a:t>90,350,267.2    </a:t>
                    </a:r>
                  </a:p>
                </c:rich>
              </c:tx>
              <c:dLblPos val="outEnd"/>
            </c:dLbl>
            <c:numFmt formatCode="##,#0\.0" sourceLinked="0"/>
            <c:spPr>
              <a:noFill/>
              <a:ln w="25400">
                <a:noFill/>
              </a:ln>
            </c:spPr>
            <c:txPr>
              <a:bodyPr rot="-5400000" vert="horz"/>
              <a:lstStyle/>
              <a:p>
                <a:pPr algn="ctr">
                  <a:defRPr sz="900" b="1" i="0" u="none" strike="noStrike" baseline="0">
                    <a:solidFill>
                      <a:sysClr val="windowText" lastClr="000000"/>
                    </a:solidFill>
                    <a:latin typeface="CG Times"/>
                    <a:ea typeface="CG Times"/>
                    <a:cs typeface="CG Times"/>
                  </a:defRPr>
                </a:pPr>
                <a:endParaRPr lang="en-US"/>
              </a:p>
            </c:txPr>
            <c:showVal val="1"/>
          </c:dLbls>
          <c:cat>
            <c:strRef>
              <c:f>(somfinbilsys!$P$1,somfinbilsys!$N$1,somfinbilsys!$L$1,somfinbilsys!$J$1,somfinbilsys!$B$7)</c:f>
              <c:strCache>
                <c:ptCount val="5"/>
                <c:pt idx="0">
                  <c:v>Sept. 11</c:v>
                </c:pt>
                <c:pt idx="1">
                  <c:v>Sept. 12</c:v>
                </c:pt>
                <c:pt idx="2">
                  <c:v>Sept.13</c:v>
                </c:pt>
                <c:pt idx="3">
                  <c:v>Sept.14</c:v>
                </c:pt>
                <c:pt idx="4">
                  <c:v> Déc. 14 </c:v>
                </c:pt>
              </c:strCache>
            </c:strRef>
          </c:cat>
          <c:val>
            <c:numRef>
              <c:f>(somfinbilsys!$P$68,somfinbilsys!$N$68,somfinbilsys!$L$68,somfinbilsys!$J$68,somfinbilsys!$B$68)</c:f>
              <c:numCache>
                <c:formatCode>_(* #,##0\.0_);_(* \(#,##0\.0\);_(* "-"??_);_(@_)</c:formatCode>
                <c:ptCount val="5"/>
                <c:pt idx="0">
                  <c:v>84469193.429586574</c:v>
                </c:pt>
                <c:pt idx="1">
                  <c:v>92425729.799999997</c:v>
                </c:pt>
                <c:pt idx="2">
                  <c:v>80318032.700000003</c:v>
                </c:pt>
                <c:pt idx="3">
                  <c:v>90350267.200000003</c:v>
                </c:pt>
                <c:pt idx="4">
                  <c:v>89648769</c:v>
                </c:pt>
              </c:numCache>
            </c:numRef>
          </c:val>
        </c:ser>
        <c:dLbls>
          <c:showVal val="1"/>
        </c:dLbls>
        <c:axId val="77344128"/>
        <c:axId val="77358208"/>
      </c:barChart>
      <c:catAx>
        <c:axId val="77344128"/>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7358208"/>
        <c:crosses val="autoZero"/>
        <c:lblAlgn val="ctr"/>
        <c:lblOffset val="100"/>
        <c:tickLblSkip val="1"/>
        <c:tickMarkSkip val="1"/>
      </c:catAx>
      <c:valAx>
        <c:axId val="77358208"/>
        <c:scaling>
          <c:orientation val="minMax"/>
          <c:min val="0"/>
        </c:scaling>
        <c:axPos val="l"/>
        <c:numFmt formatCode="_(* #,##0\.0_);_(* \(#,##0\.0\);_(* &quot;-&quot;??_);_(@_)" sourceLinked="1"/>
        <c:tickLblPos val="none"/>
        <c:spPr>
          <a:ln w="3175">
            <a:solidFill>
              <a:srgbClr val="000000"/>
            </a:solidFill>
            <a:prstDash val="solid"/>
          </a:ln>
        </c:spPr>
        <c:crossAx val="77344128"/>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DÉPÔTS DEVISES CONVERTIES PAR BANQUE - AU 31 DÉCEMBRE 2014
(en milliers de gourdes)</a:t>
            </a:r>
          </a:p>
        </c:rich>
      </c:tx>
      <c:layout>
        <c:manualLayout>
          <c:xMode val="edge"/>
          <c:yMode val="edge"/>
          <c:x val="0.21434216703999881"/>
          <c:y val="2.9143897996357013E-2"/>
        </c:manualLayout>
      </c:layout>
      <c:spPr>
        <a:noFill/>
        <a:ln w="25400">
          <a:noFill/>
        </a:ln>
      </c:spPr>
    </c:title>
    <c:plotArea>
      <c:layout>
        <c:manualLayout>
          <c:layoutTarget val="inner"/>
          <c:xMode val="edge"/>
          <c:yMode val="edge"/>
          <c:x val="0.26871573082561534"/>
          <c:y val="0.29143949837683997"/>
          <c:w val="0.50433450946741243"/>
          <c:h val="0.51548361275403554"/>
        </c:manualLayout>
      </c:layout>
      <c:barChart>
        <c:barDir val="col"/>
        <c:grouping val="clustered"/>
        <c:ser>
          <c:idx val="0"/>
          <c:order val="0"/>
          <c:spPr>
            <a:solidFill>
              <a:srgbClr val="000000"/>
            </a:solidFill>
            <a:ln w="25400">
              <a:noFill/>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'partdemarc. '!$M$11:$M$19</c:f>
              <c:strCache>
                <c:ptCount val="9"/>
                <c:pt idx="0">
                  <c:v>UNIBK</c:v>
                </c:pt>
                <c:pt idx="1">
                  <c:v>SOGEBK</c:v>
                </c:pt>
                <c:pt idx="2">
                  <c:v>BNC</c:v>
                </c:pt>
                <c:pt idx="3">
                  <c:v>CAPITALBK</c:v>
                </c:pt>
                <c:pt idx="4">
                  <c:v>SOGEBL</c:v>
                </c:pt>
                <c:pt idx="5">
                  <c:v>SCOTIA</c:v>
                </c:pt>
                <c:pt idx="6">
                  <c:v>BUH</c:v>
                </c:pt>
                <c:pt idx="7">
                  <c:v>CBNA</c:v>
                </c:pt>
                <c:pt idx="8">
                  <c:v>BPH</c:v>
                </c:pt>
              </c:strCache>
            </c:strRef>
          </c:cat>
          <c:val>
            <c:numRef>
              <c:f>'partdemarc. '!$N$11:$N$19</c:f>
              <c:numCache>
                <c:formatCode>_(* #,##0\.0_);_(* \(#,##0\.0\);_(* "-"??_);_(@_)</c:formatCode>
                <c:ptCount val="9"/>
                <c:pt idx="0">
                  <c:v>30680322.285385784</c:v>
                </c:pt>
                <c:pt idx="1">
                  <c:v>25516968.386440001</c:v>
                </c:pt>
                <c:pt idx="2">
                  <c:v>14356274.529310001</c:v>
                </c:pt>
                <c:pt idx="3">
                  <c:v>6623756</c:v>
                </c:pt>
                <c:pt idx="4">
                  <c:v>3332456.9353400003</c:v>
                </c:pt>
                <c:pt idx="5">
                  <c:v>2652874</c:v>
                </c:pt>
                <c:pt idx="6">
                  <c:v>2497761.247505975</c:v>
                </c:pt>
                <c:pt idx="7">
                  <c:v>2092611</c:v>
                </c:pt>
                <c:pt idx="8">
                  <c:v>1895744.6445899999</c:v>
                </c:pt>
              </c:numCache>
            </c:numRef>
          </c:val>
        </c:ser>
        <c:axId val="77398784"/>
        <c:axId val="77400320"/>
      </c:barChart>
      <c:catAx>
        <c:axId val="77398784"/>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7400320"/>
        <c:crosses val="autoZero"/>
        <c:lblAlgn val="ctr"/>
        <c:lblOffset val="100"/>
        <c:tickLblSkip val="1"/>
        <c:tickMarkSkip val="1"/>
      </c:catAx>
      <c:valAx>
        <c:axId val="77400320"/>
        <c:scaling>
          <c:orientation val="minMax"/>
        </c:scaling>
        <c:axPos val="l"/>
        <c:numFmt formatCode="_(* #,##0\.0_);_(* \(#,##0\.0\);_(* &quot;-&quot;??_);_(@_)" sourceLinked="1"/>
        <c:majorTickMark val="cross"/>
        <c:tickLblPos val="none"/>
        <c:spPr>
          <a:ln w="3175">
            <a:solidFill>
              <a:srgbClr val="000000"/>
            </a:solidFill>
            <a:prstDash val="solid"/>
          </a:ln>
        </c:spPr>
        <c:crossAx val="77398784"/>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verticalDpi="300"/>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AVOIR DES ACTIONNAIRES - SECTEUR BANCAIRE
(en milliers de gourdes)
</a:t>
            </a:r>
          </a:p>
        </c:rich>
      </c:tx>
      <c:layout>
        <c:manualLayout>
          <c:xMode val="edge"/>
          <c:yMode val="edge"/>
          <c:x val="0.30234375000000002"/>
          <c:y val="9.4517958412098767E-3"/>
        </c:manualLayout>
      </c:layout>
      <c:spPr>
        <a:noFill/>
        <a:ln w="25400">
          <a:noFill/>
        </a:ln>
      </c:spPr>
    </c:title>
    <c:plotArea>
      <c:layout>
        <c:manualLayout>
          <c:layoutTarget val="inner"/>
          <c:xMode val="edge"/>
          <c:yMode val="edge"/>
          <c:x val="0.21015624999999999"/>
          <c:y val="0.31758063340012982"/>
          <c:w val="0.57734375000000004"/>
          <c:h val="0.50472636379661251"/>
        </c:manualLayout>
      </c:layout>
      <c:barChart>
        <c:barDir val="col"/>
        <c:grouping val="clustered"/>
        <c:ser>
          <c:idx val="0"/>
          <c:order val="0"/>
          <c:spPr>
            <a:solidFill>
              <a:srgbClr val="000000"/>
            </a:solidFill>
            <a:ln w="12700">
              <a:solidFill>
                <a:srgbClr val="000000"/>
              </a:solidFill>
              <a:prstDash val="solid"/>
            </a:ln>
          </c:spPr>
          <c:dLbls>
            <c:dLbl>
              <c:idx val="4"/>
              <c:layout>
                <c:manualLayout>
                  <c:x val="2.3992782152230971E-3"/>
                  <c:y val="5.6442850125775878E-4"/>
                </c:manualLayout>
              </c:layout>
              <c:dLblPos val="outEnd"/>
              <c:showVal val="1"/>
            </c:dLbl>
            <c:dLbl>
              <c:idx val="5"/>
              <c:layout>
                <c:manualLayout>
                  <c:x val="1.3250492125984252E-3"/>
                  <c:y val="-5.8745019821484434E-5"/>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(somfinbilsys!$P$1,somfinbilsys!$N$1,somfinbilsys!$L$1,somfinbilsys!$J$1,somfinbilsys!$B$7)</c:f>
              <c:strCache>
                <c:ptCount val="5"/>
                <c:pt idx="0">
                  <c:v>Sept. 11</c:v>
                </c:pt>
                <c:pt idx="1">
                  <c:v>Sept. 12</c:v>
                </c:pt>
                <c:pt idx="2">
                  <c:v>Sept.13</c:v>
                </c:pt>
                <c:pt idx="3">
                  <c:v>Sept.14</c:v>
                </c:pt>
                <c:pt idx="4">
                  <c:v> Déc. 14 </c:v>
                </c:pt>
              </c:strCache>
            </c:strRef>
          </c:cat>
          <c:val>
            <c:numRef>
              <c:f>(somfinbilsys!$P$52,somfinbilsys!$N$52,somfinbilsys!$L$52,somfinbilsys!$J$52,somfinbilsys!$B$52)</c:f>
              <c:numCache>
                <c:formatCode>_(* #,##0\.0_);_(* \(#,##0\.0\);_(* "-"??_);_(@_)</c:formatCode>
                <c:ptCount val="5"/>
                <c:pt idx="0">
                  <c:v>9504434.4419599995</c:v>
                </c:pt>
                <c:pt idx="1">
                  <c:v>10917206.625480002</c:v>
                </c:pt>
                <c:pt idx="2">
                  <c:v>13063913.64041</c:v>
                </c:pt>
                <c:pt idx="3">
                  <c:v>14750485.644229997</c:v>
                </c:pt>
                <c:pt idx="4">
                  <c:v>15511053.53799</c:v>
                </c:pt>
              </c:numCache>
            </c:numRef>
          </c:val>
        </c:ser>
        <c:dLbls>
          <c:showVal val="1"/>
        </c:dLbls>
        <c:axId val="77494528"/>
        <c:axId val="77500416"/>
      </c:barChart>
      <c:catAx>
        <c:axId val="77494528"/>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7500416"/>
        <c:crosses val="autoZero"/>
        <c:lblAlgn val="ctr"/>
        <c:lblOffset val="100"/>
        <c:tickLblSkip val="1"/>
        <c:tickMarkSkip val="1"/>
      </c:catAx>
      <c:valAx>
        <c:axId val="77500416"/>
        <c:scaling>
          <c:orientation val="minMax"/>
        </c:scaling>
        <c:axPos val="l"/>
        <c:numFmt formatCode="_(* #,##0\.0_);_(* \(#,##0\.0\);_(* &quot;-&quot;??_);_(@_)" sourceLinked="1"/>
        <c:tickLblPos val="none"/>
        <c:spPr>
          <a:ln w="3175">
            <a:solidFill>
              <a:srgbClr val="000000"/>
            </a:solidFill>
            <a:prstDash val="solid"/>
          </a:ln>
        </c:spPr>
        <c:crossAx val="77494528"/>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AVOIR DES ACTIONNAIRES PAR BANQUE - AU 31 DÉCEMBRE 2014
(en milliers de gourdes)</a:t>
            </a:r>
          </a:p>
        </c:rich>
      </c:tx>
      <c:layout>
        <c:manualLayout>
          <c:xMode val="edge"/>
          <c:yMode val="edge"/>
          <c:x val="0.22906809634577671"/>
          <c:y val="2.9303944533815011E-2"/>
        </c:manualLayout>
      </c:layout>
      <c:spPr>
        <a:noFill/>
        <a:ln w="25400">
          <a:noFill/>
        </a:ln>
      </c:spPr>
    </c:title>
    <c:plotArea>
      <c:layout>
        <c:manualLayout>
          <c:layoutTarget val="inner"/>
          <c:xMode val="edge"/>
          <c:yMode val="edge"/>
          <c:x val="0.24644568773272285"/>
          <c:y val="0.21621063566704274"/>
          <c:w val="0.53712521685337156"/>
          <c:h val="0.61976143524966565"/>
        </c:manualLayout>
      </c:layout>
      <c:barChart>
        <c:barDir val="col"/>
        <c:grouping val="clustered"/>
        <c:ser>
          <c:idx val="0"/>
          <c:order val="0"/>
          <c:spPr>
            <a:solidFill>
              <a:srgbClr val="000000"/>
            </a:solidFill>
            <a:ln w="12700">
              <a:solidFill>
                <a:srgbClr val="000000"/>
              </a:solidFill>
              <a:prstDash val="solid"/>
            </a:ln>
          </c:spPr>
          <c:dLbls>
            <c:dLbl>
              <c:idx val="8"/>
              <c:layout>
                <c:manualLayout>
                  <c:x val="1.05318588730911E-3"/>
                  <c:y val="9.238293549558494E-3"/>
                </c:manualLayout>
              </c:layout>
              <c:dLblPos val="outEnd"/>
              <c:showVal val="1"/>
            </c:dLbl>
            <c:dLbl>
              <c:idx val="9"/>
              <c:layout>
                <c:manualLayout>
                  <c:x val="3.8395674474341035E-4"/>
                  <c:y val="-6.3856441021795524E-2"/>
                </c:manualLayout>
              </c:layout>
              <c:dLblPos val="outEnd"/>
              <c:showVal val="1"/>
            </c:dLbl>
            <c:dLbl>
              <c:idx val="10"/>
              <c:delete val="1"/>
            </c:dLbl>
            <c:dLbl>
              <c:idx val="11"/>
              <c:layout>
                <c:manualLayout>
                  <c:xMode val="edge"/>
                  <c:yMode val="edge"/>
                  <c:x val="0.71327069238026164"/>
                  <c:y val="0.78022117570464256"/>
                </c:manualLayout>
              </c:layout>
              <c:dLblPos val="outEnd"/>
              <c:showVal val="1"/>
            </c:dLbl>
            <c:dLbl>
              <c:idx val="12"/>
              <c:layout>
                <c:manualLayout>
                  <c:xMode val="edge"/>
                  <c:yMode val="edge"/>
                  <c:x val="0.7535550836442626"/>
                  <c:y val="0.45970778192928058"/>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'bilsysbandéc. 14  '!$L$76:$L$84</c:f>
              <c:strCache>
                <c:ptCount val="9"/>
                <c:pt idx="0">
                  <c:v>UNIBK</c:v>
                </c:pt>
                <c:pt idx="1">
                  <c:v>SOGEBK</c:v>
                </c:pt>
                <c:pt idx="2">
                  <c:v>BNC</c:v>
                </c:pt>
                <c:pt idx="3">
                  <c:v>CAPITALBK</c:v>
                </c:pt>
                <c:pt idx="4">
                  <c:v>SOGEBL</c:v>
                </c:pt>
                <c:pt idx="5">
                  <c:v>CBNA</c:v>
                </c:pt>
                <c:pt idx="6">
                  <c:v>BUH</c:v>
                </c:pt>
                <c:pt idx="7">
                  <c:v>SCOTIA</c:v>
                </c:pt>
                <c:pt idx="8">
                  <c:v>BPH</c:v>
                </c:pt>
              </c:strCache>
            </c:strRef>
          </c:cat>
          <c:val>
            <c:numRef>
              <c:f>'bilsysbandéc. 14  '!$M$76:$M$84</c:f>
              <c:numCache>
                <c:formatCode>_(* #,##0\.0_);_(* \(#,##0\.0\);_(* "-"??_);_(@_)</c:formatCode>
                <c:ptCount val="9"/>
                <c:pt idx="0">
                  <c:v>5797198.1322699999</c:v>
                </c:pt>
                <c:pt idx="1">
                  <c:v>3881092.5410900004</c:v>
                </c:pt>
                <c:pt idx="2">
                  <c:v>3191363.1577500002</c:v>
                </c:pt>
                <c:pt idx="3">
                  <c:v>1074342</c:v>
                </c:pt>
                <c:pt idx="4">
                  <c:v>493689.75045000005</c:v>
                </c:pt>
                <c:pt idx="5">
                  <c:v>390175</c:v>
                </c:pt>
                <c:pt idx="6">
                  <c:v>282671.47166000004</c:v>
                </c:pt>
                <c:pt idx="7">
                  <c:v>272759</c:v>
                </c:pt>
                <c:pt idx="8">
                  <c:v>127762.48477000001</c:v>
                </c:pt>
              </c:numCache>
            </c:numRef>
          </c:val>
        </c:ser>
        <c:dLbls>
          <c:showVal val="1"/>
        </c:dLbls>
        <c:axId val="77602176"/>
        <c:axId val="77603968"/>
      </c:barChart>
      <c:catAx>
        <c:axId val="77602176"/>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7603968"/>
        <c:crosses val="autoZero"/>
        <c:lblAlgn val="ctr"/>
        <c:lblOffset val="100"/>
        <c:tickLblSkip val="1"/>
        <c:tickMarkSkip val="1"/>
      </c:catAx>
      <c:valAx>
        <c:axId val="77603968"/>
        <c:scaling>
          <c:orientation val="minMax"/>
        </c:scaling>
        <c:axPos val="l"/>
        <c:numFmt formatCode="_(* #,##0\.0_);_(* \(#,##0\.0\);_(* &quot;-&quot;??_);_(@_)" sourceLinked="1"/>
        <c:majorTickMark val="cross"/>
        <c:tickLblPos val="none"/>
        <c:spPr>
          <a:ln w="3175">
            <a:solidFill>
              <a:srgbClr val="000000"/>
            </a:solidFill>
            <a:prstDash val="solid"/>
          </a:ln>
        </c:spPr>
        <c:crossAx val="77602176"/>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verticalDpi="300"/>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REVENUS D'INTÉRÊT - SYSTÈME BANCAIRE
(en milliers de gourdes)
</a:t>
            </a:r>
          </a:p>
        </c:rich>
      </c:tx>
      <c:layout>
        <c:manualLayout>
          <c:xMode val="edge"/>
          <c:yMode val="edge"/>
          <c:x val="0.32190179267342889"/>
          <c:y val="9.9800399201598246E-3"/>
        </c:manualLayout>
      </c:layout>
      <c:spPr>
        <a:noFill/>
        <a:ln w="25400">
          <a:noFill/>
        </a:ln>
      </c:spPr>
    </c:title>
    <c:plotArea>
      <c:layout>
        <c:manualLayout>
          <c:layoutTarget val="inner"/>
          <c:xMode val="edge"/>
          <c:yMode val="edge"/>
          <c:x val="0.23148869836321123"/>
          <c:y val="0.31137785245496874"/>
          <c:w val="0.5814497272018706"/>
          <c:h val="0.53293517054790918"/>
        </c:manualLayout>
      </c:layout>
      <c:barChart>
        <c:barDir val="col"/>
        <c:grouping val="clustered"/>
        <c:ser>
          <c:idx val="0"/>
          <c:order val="0"/>
          <c:spPr>
            <a:solidFill>
              <a:srgbClr val="000000"/>
            </a:solidFill>
            <a:ln w="25400">
              <a:noFill/>
            </a:ln>
          </c:spPr>
          <c:dPt>
            <c:idx val="0"/>
            <c:spPr>
              <a:solidFill>
                <a:srgbClr val="C0C0C0"/>
              </a:solidFill>
              <a:ln w="25400">
                <a:noFill/>
              </a:ln>
            </c:spPr>
          </c:dPt>
          <c:dPt>
            <c:idx val="5"/>
            <c:spPr>
              <a:solidFill>
                <a:schemeClr val="bg1">
                  <a:lumMod val="75000"/>
                </a:schemeClr>
              </a:solidFill>
              <a:ln w="25400">
                <a:noFill/>
              </a:ln>
            </c:spPr>
          </c:dPt>
          <c:dLbls>
            <c:dLbl>
              <c:idx val="0"/>
              <c:tx>
                <c:rich>
                  <a:bodyPr/>
                  <a:lstStyle/>
                  <a:p>
                    <a:r>
                      <a:rPr lang="en-US"/>
                      <a:t> 1,417,443.2 </a:t>
                    </a:r>
                  </a:p>
                </c:rich>
              </c:tx>
            </c:dLbl>
            <c:dLbl>
              <c:idx val="1"/>
              <c:layout>
                <c:manualLayout>
                  <c:x val="1.2181914517115603E-3"/>
                  <c:y val="-4.0664078666813354E-3"/>
                </c:manualLayout>
              </c:layout>
              <c:tx>
                <c:rich>
                  <a:bodyPr rot="-5400000" vert="horz"/>
                  <a:lstStyle/>
                  <a:p>
                    <a:pPr algn="ctr">
                      <a:defRPr sz="900" b="1" i="0" u="none" strike="noStrike" baseline="0">
                        <a:solidFill>
                          <a:srgbClr val="000000"/>
                        </a:solidFill>
                        <a:latin typeface="CG Times"/>
                        <a:ea typeface="CG Times"/>
                        <a:cs typeface="CG Times"/>
                      </a:defRPr>
                    </a:pPr>
                    <a:r>
                      <a:rPr lang="en-US"/>
                      <a:t>1,762,028.5  </a:t>
                    </a:r>
                  </a:p>
                </c:rich>
              </c:tx>
              <c:spPr>
                <a:noFill/>
                <a:ln w="25400">
                  <a:noFill/>
                </a:ln>
              </c:spPr>
              <c:dLblPos val="outEnd"/>
            </c:dLbl>
            <c:spPr>
              <a:noFill/>
              <a:ln w="25400">
                <a:noFill/>
              </a:ln>
            </c:spPr>
            <c:txPr>
              <a:bodyPr rot="-5400000" vert="horz"/>
              <a:lstStyle/>
              <a:p>
                <a:pPr algn="ctr">
                  <a:defRPr sz="1000" b="1" i="0" u="none" strike="noStrike" baseline="0">
                    <a:solidFill>
                      <a:srgbClr val="000000"/>
                    </a:solidFill>
                    <a:latin typeface="CG Times"/>
                    <a:ea typeface="CG Times"/>
                    <a:cs typeface="CG Times"/>
                  </a:defRPr>
                </a:pPr>
                <a:endParaRPr lang="en-US"/>
              </a:p>
            </c:txPr>
            <c:showVal val="1"/>
          </c:dLbls>
          <c:cat>
            <c:strRef>
              <c:f>(somfinrésys!$T$1,somfinrésys!$R$1,somfinrésys!$I$1,somfinrésys!$K$1,somfinrésys!$B$1,somfinrésys!$D$1)</c:f>
              <c:strCache>
                <c:ptCount val="6"/>
                <c:pt idx="0">
                  <c:v>CUMUL 14</c:v>
                </c:pt>
                <c:pt idx="1">
                  <c:v>CUMUL 15</c:v>
                </c:pt>
                <c:pt idx="4">
                  <c:v>TRIM 1 15</c:v>
                </c:pt>
                <c:pt idx="5">
                  <c:v>TRIM 1 14</c:v>
                </c:pt>
              </c:strCache>
            </c:strRef>
          </c:cat>
          <c:val>
            <c:numRef>
              <c:f>(somfinrésys!$T$53,somfinrésys!$R$53,somfinrésys!$I$82,somfinrésys!$K$82,somfinrésys!$B$53,somfinrésys!$D$53)</c:f>
              <c:numCache>
                <c:formatCode>_(* #,##0\.0_);_(* \(#,##0\.0\);_(* "-"??_);_(@_)</c:formatCode>
                <c:ptCount val="6"/>
                <c:pt idx="0">
                  <c:v>1417443.2405233998</c:v>
                </c:pt>
                <c:pt idx="1">
                  <c:v>1762028.5306354319</c:v>
                </c:pt>
                <c:pt idx="4">
                  <c:v>1762028.5306354319</c:v>
                </c:pt>
                <c:pt idx="5">
                  <c:v>1417443.2405233998</c:v>
                </c:pt>
              </c:numCache>
            </c:numRef>
          </c:val>
        </c:ser>
        <c:axId val="77662464"/>
        <c:axId val="77684736"/>
      </c:barChart>
      <c:catAx>
        <c:axId val="77662464"/>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7684736"/>
        <c:crosses val="autoZero"/>
        <c:lblAlgn val="ctr"/>
        <c:lblOffset val="100"/>
        <c:tickLblSkip val="1"/>
        <c:tickMarkSkip val="1"/>
      </c:catAx>
      <c:valAx>
        <c:axId val="77684736"/>
        <c:scaling>
          <c:orientation val="minMax"/>
        </c:scaling>
        <c:axPos val="l"/>
        <c:numFmt formatCode="_(* #,##0\.0_);_(* \(#,##0\.0\);_(* &quot;-&quot;??_);_(@_)" sourceLinked="1"/>
        <c:tickLblPos val="none"/>
        <c:spPr>
          <a:ln w="3175">
            <a:solidFill>
              <a:srgbClr val="000000"/>
            </a:solidFill>
            <a:prstDash val="solid"/>
          </a:ln>
        </c:spPr>
        <c:crossAx val="77662464"/>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REVENUS D'INTÉRÊT PAR BANQUE - TRIM 1 2015
(en milliers de gourdes)</a:t>
            </a:r>
          </a:p>
        </c:rich>
      </c:tx>
      <c:layout>
        <c:manualLayout>
          <c:xMode val="edge"/>
          <c:yMode val="edge"/>
          <c:x val="0.31924907273914732"/>
          <c:y val="2.8933127545104246E-2"/>
        </c:manualLayout>
      </c:layout>
      <c:spPr>
        <a:noFill/>
        <a:ln w="25400">
          <a:noFill/>
        </a:ln>
      </c:spPr>
    </c:title>
    <c:plotArea>
      <c:layout>
        <c:manualLayout>
          <c:layoutTarget val="inner"/>
          <c:xMode val="edge"/>
          <c:yMode val="edge"/>
          <c:x val="0.26291099902115328"/>
          <c:y val="0.42133852754376688"/>
          <c:w val="0.48122102499406288"/>
          <c:h val="0.43399676656869668"/>
        </c:manualLayout>
      </c:layout>
      <c:barChart>
        <c:barDir val="col"/>
        <c:grouping val="clustered"/>
        <c:ser>
          <c:idx val="0"/>
          <c:order val="0"/>
          <c:spPr>
            <a:solidFill>
              <a:srgbClr val="000000"/>
            </a:solidFill>
            <a:ln w="25400">
              <a:noFill/>
            </a:ln>
          </c:spPr>
          <c:dLbls>
            <c:dLbl>
              <c:idx val="12"/>
              <c:layout>
                <c:manualLayout>
                  <c:xMode val="edge"/>
                  <c:yMode val="edge"/>
                  <c:x val="0.7183104080399122"/>
                  <c:y val="0.89511833104789951"/>
                </c:manualLayout>
              </c:layout>
              <c:dLblPos val="outEnd"/>
              <c:showVal val="1"/>
            </c:dLbl>
            <c:dLbl>
              <c:idx val="13"/>
              <c:layout>
                <c:manualLayout>
                  <c:xMode val="edge"/>
                  <c:yMode val="edge"/>
                  <c:x val="0.77230105962463214"/>
                  <c:y val="0.22242334286645793"/>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'RÉSULTsyst  '!$B$101:$B$109</c:f>
              <c:strCache>
                <c:ptCount val="9"/>
                <c:pt idx="0">
                  <c:v>UNIBK</c:v>
                </c:pt>
                <c:pt idx="1">
                  <c:v>SOGEBK</c:v>
                </c:pt>
                <c:pt idx="2">
                  <c:v>BNC</c:v>
                </c:pt>
                <c:pt idx="3">
                  <c:v>CAPITALBK</c:v>
                </c:pt>
                <c:pt idx="4">
                  <c:v>SOGEBL</c:v>
                </c:pt>
                <c:pt idx="5">
                  <c:v>BUH</c:v>
                </c:pt>
                <c:pt idx="6">
                  <c:v>SCOTIA</c:v>
                </c:pt>
                <c:pt idx="7">
                  <c:v>CBNA</c:v>
                </c:pt>
                <c:pt idx="8">
                  <c:v>BPH</c:v>
                </c:pt>
              </c:strCache>
            </c:strRef>
          </c:cat>
          <c:val>
            <c:numRef>
              <c:f>'RÉSULTsyst  '!$C$101:$C$109</c:f>
              <c:numCache>
                <c:formatCode>_(* #,##0\.0_);_(* \(#,##0\.0\);_(* "-"??_);_(@_)</c:formatCode>
                <c:ptCount val="9"/>
                <c:pt idx="0">
                  <c:v>499766.54684999998</c:v>
                </c:pt>
                <c:pt idx="1">
                  <c:v>448038.27413999999</c:v>
                </c:pt>
                <c:pt idx="2">
                  <c:v>349705.38626999996</c:v>
                </c:pt>
                <c:pt idx="3">
                  <c:v>192495</c:v>
                </c:pt>
                <c:pt idx="4">
                  <c:v>79291.611380000002</c:v>
                </c:pt>
                <c:pt idx="5">
                  <c:v>75168.574955431992</c:v>
                </c:pt>
                <c:pt idx="6">
                  <c:v>47202</c:v>
                </c:pt>
                <c:pt idx="7">
                  <c:v>41280</c:v>
                </c:pt>
                <c:pt idx="8">
                  <c:v>29081.137039999998</c:v>
                </c:pt>
              </c:numCache>
            </c:numRef>
          </c:val>
        </c:ser>
        <c:axId val="77726464"/>
        <c:axId val="77728000"/>
      </c:barChart>
      <c:catAx>
        <c:axId val="77726464"/>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7728000"/>
        <c:crosses val="autoZero"/>
        <c:lblAlgn val="ctr"/>
        <c:lblOffset val="100"/>
        <c:tickLblSkip val="1"/>
        <c:tickMarkSkip val="1"/>
      </c:catAx>
      <c:valAx>
        <c:axId val="77728000"/>
        <c:scaling>
          <c:orientation val="minMax"/>
        </c:scaling>
        <c:axPos val="l"/>
        <c:numFmt formatCode="_(* #,##0\.0_);_(* \(#,##0\.0\);_(* &quot;-&quot;??_);_(@_)" sourceLinked="1"/>
        <c:majorTickMark val="cross"/>
        <c:tickLblPos val="none"/>
        <c:spPr>
          <a:ln w="3175">
            <a:solidFill>
              <a:srgbClr val="000000"/>
            </a:solidFill>
            <a:prstDash val="solid"/>
          </a:ln>
        </c:spPr>
        <c:crossAx val="77726464"/>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REVENUS NETS D'INTÉRÊTS EN % REVENUS D'INTÉRÊTS - SYSTÈME BANCAIRE
</a:t>
            </a:r>
          </a:p>
        </c:rich>
      </c:tx>
      <c:layout>
        <c:manualLayout>
          <c:xMode val="edge"/>
          <c:yMode val="edge"/>
          <c:x val="0.17898840855010625"/>
          <c:y val="9.6899224806201549E-3"/>
        </c:manualLayout>
      </c:layout>
      <c:spPr>
        <a:noFill/>
        <a:ln w="25400">
          <a:noFill/>
        </a:ln>
      </c:spPr>
    </c:title>
    <c:plotArea>
      <c:layout>
        <c:manualLayout>
          <c:layoutTarget val="inner"/>
          <c:xMode val="edge"/>
          <c:yMode val="edge"/>
          <c:x val="0.22178996497033204"/>
          <c:y val="0.41020753219801009"/>
          <c:w val="0.57665391561815083"/>
          <c:h val="0.43992331320274858"/>
        </c:manualLayout>
      </c:layout>
      <c:barChart>
        <c:barDir val="col"/>
        <c:grouping val="clustered"/>
        <c:ser>
          <c:idx val="0"/>
          <c:order val="0"/>
          <c:spPr>
            <a:solidFill>
              <a:srgbClr val="000000"/>
            </a:solidFill>
            <a:ln w="25400">
              <a:noFill/>
            </a:ln>
          </c:spPr>
          <c:dPt>
            <c:idx val="0"/>
            <c:spPr>
              <a:solidFill>
                <a:srgbClr val="C0C0C0"/>
              </a:solidFill>
              <a:ln w="25400">
                <a:noFill/>
              </a:ln>
            </c:spPr>
          </c:dPt>
          <c:dPt>
            <c:idx val="5"/>
            <c:spPr>
              <a:solidFill>
                <a:schemeClr val="bg1">
                  <a:lumMod val="75000"/>
                </a:schemeClr>
              </a:solidFill>
              <a:ln w="25400">
                <a:noFill/>
              </a:ln>
            </c:spPr>
          </c:dPt>
          <c:dLbls>
            <c:dLbl>
              <c:idx val="0"/>
              <c:layout>
                <c:manualLayout>
                  <c:x val="-2.8446132949334641E-3"/>
                  <c:y val="-5.2591100531038434E-3"/>
                </c:manualLayout>
              </c:layout>
              <c:dLblPos val="outEnd"/>
              <c:showVal val="1"/>
            </c:dLbl>
            <c:dLbl>
              <c:idx val="1"/>
              <c:layout>
                <c:manualLayout>
                  <c:x val="3.2411123706814536E-4"/>
                  <c:y val="8.7163523164255708E-4"/>
                </c:manualLayout>
              </c:layout>
              <c:dLblPos val="outEnd"/>
              <c:showVal val="1"/>
            </c:dLbl>
            <c:dLbl>
              <c:idx val="4"/>
              <c:delete val="1"/>
            </c:dLbl>
            <c:dLbl>
              <c:idx val="5"/>
              <c:delete val="1"/>
            </c:dLbl>
            <c:dLbl>
              <c:idx val="6"/>
              <c:delete val="1"/>
            </c:dLbl>
            <c:dLbl>
              <c:idx val="7"/>
              <c:delete val="1"/>
            </c:dLbl>
            <c:spPr>
              <a:noFill/>
              <a:ln w="25400">
                <a:noFill/>
              </a:ln>
            </c:spPr>
            <c:txPr>
              <a:bodyPr rot="-5400000" vert="horz"/>
              <a:lstStyle/>
              <a:p>
                <a:pPr algn="ctr">
                  <a:defRPr sz="1000" b="1" i="0" u="none" strike="noStrike" baseline="0">
                    <a:solidFill>
                      <a:sysClr val="windowText" lastClr="000000"/>
                    </a:solidFill>
                    <a:latin typeface="CG Times"/>
                    <a:ea typeface="CG Times"/>
                    <a:cs typeface="CG Times"/>
                  </a:defRPr>
                </a:pPr>
                <a:endParaRPr lang="en-US"/>
              </a:p>
            </c:txPr>
            <c:showVal val="1"/>
          </c:dLbls>
          <c:cat>
            <c:strRef>
              <c:f>(somfinrésys!$T$1,somfinrésys!$R$1,somfinrésys!$I$1,somfinrésys!$K$1,somfinrésys!$B$1,somfinrésys!$D$1)</c:f>
              <c:strCache>
                <c:ptCount val="6"/>
                <c:pt idx="0">
                  <c:v>CUMUL 14</c:v>
                </c:pt>
                <c:pt idx="1">
                  <c:v>CUMUL 15</c:v>
                </c:pt>
                <c:pt idx="4">
                  <c:v>TRIM 1 15</c:v>
                </c:pt>
                <c:pt idx="5">
                  <c:v>TRIM 1 14</c:v>
                </c:pt>
              </c:strCache>
            </c:strRef>
          </c:cat>
          <c:val>
            <c:numRef>
              <c:f>(somfinrésys!$T$84,somfinrésys!$R$84,somfinrésys!$I$93,somfinrésys!$K$93,somfinrésys!$B$84,somfinrésys!$D$84)</c:f>
              <c:numCache>
                <c:formatCode>0,00%</c:formatCode>
                <c:ptCount val="6"/>
                <c:pt idx="0">
                  <c:v>0.91333045911267874</c:v>
                </c:pt>
                <c:pt idx="1">
                  <c:v>0.87623370529570554</c:v>
                </c:pt>
                <c:pt idx="4">
                  <c:v>0.87623370529570554</c:v>
                </c:pt>
                <c:pt idx="5">
                  <c:v>0.91333045911267874</c:v>
                </c:pt>
              </c:numCache>
            </c:numRef>
          </c:val>
        </c:ser>
        <c:axId val="77817728"/>
        <c:axId val="77819264"/>
      </c:barChart>
      <c:catAx>
        <c:axId val="77817728"/>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7819264"/>
        <c:crosses val="autoZero"/>
        <c:lblAlgn val="ctr"/>
        <c:lblOffset val="100"/>
        <c:tickLblSkip val="1"/>
        <c:tickMarkSkip val="1"/>
      </c:catAx>
      <c:valAx>
        <c:axId val="77819264"/>
        <c:scaling>
          <c:orientation val="minMax"/>
          <c:max val="1"/>
          <c:min val="0"/>
        </c:scaling>
        <c:axPos val="l"/>
        <c:numFmt formatCode="0,00%" sourceLinked="1"/>
        <c:tickLblPos val="none"/>
        <c:spPr>
          <a:ln w="3175">
            <a:solidFill>
              <a:srgbClr val="000000"/>
            </a:solidFill>
            <a:prstDash val="solid"/>
          </a:ln>
        </c:spPr>
        <c:crossAx val="77817728"/>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REVENUS NETS D'INTÉRÊTS EN % REVENUS D'INTÉRÊTS - TRIM 1 2015
</a:t>
            </a:r>
          </a:p>
        </c:rich>
      </c:tx>
      <c:layout>
        <c:manualLayout>
          <c:xMode val="edge"/>
          <c:yMode val="edge"/>
          <c:x val="0.23111127579640794"/>
          <c:y val="3.9537712895377691E-2"/>
        </c:manualLayout>
      </c:layout>
      <c:spPr>
        <a:noFill/>
        <a:ln w="25400">
          <a:noFill/>
        </a:ln>
      </c:spPr>
    </c:title>
    <c:plotArea>
      <c:layout>
        <c:manualLayout>
          <c:layoutTarget val="inner"/>
          <c:xMode val="edge"/>
          <c:yMode val="edge"/>
          <c:x val="0.28862767204938738"/>
          <c:y val="0.27372262773722938"/>
          <c:w val="0.47372585303757131"/>
          <c:h val="0.55109489051094895"/>
        </c:manualLayout>
      </c:layout>
      <c:barChart>
        <c:barDir val="col"/>
        <c:grouping val="clustered"/>
        <c:ser>
          <c:idx val="0"/>
          <c:order val="0"/>
          <c:spPr>
            <a:solidFill>
              <a:srgbClr val="000000"/>
            </a:solidFill>
            <a:ln w="25400">
              <a:noFill/>
            </a:ln>
          </c:spPr>
          <c:dLbls>
            <c:dLbl>
              <c:idx val="0"/>
              <c:layout>
                <c:manualLayout>
                  <c:x val="-1.9188307781301105E-3"/>
                  <c:y val="9.7140406618449575E-3"/>
                </c:manualLayout>
              </c:layout>
              <c:dLblPos val="outEnd"/>
              <c:showVal val="1"/>
            </c:dLbl>
            <c:dLbl>
              <c:idx val="1"/>
              <c:layout>
                <c:manualLayout>
                  <c:x val="-2.2325092314910292E-3"/>
                  <c:y val="8.5714987217728536E-3"/>
                </c:manualLayout>
              </c:layout>
              <c:dLblPos val="outEnd"/>
              <c:showVal val="1"/>
            </c:dLbl>
            <c:dLbl>
              <c:idx val="13"/>
              <c:numFmt formatCode="0\.00%" sourceLinked="0"/>
              <c:spPr>
                <a:noFill/>
                <a:ln w="25400">
                  <a:noFill/>
                </a:ln>
              </c:spPr>
              <c:txPr>
                <a:bodyPr rot="-5400000" vert="horz"/>
                <a:lstStyle/>
                <a:p>
                  <a:pPr algn="ctr">
                    <a:defRPr sz="1000" b="0" i="0" u="none" strike="noStrike" baseline="0">
                      <a:solidFill>
                        <a:srgbClr val="000000"/>
                      </a:solidFill>
                      <a:latin typeface="CG Times"/>
                      <a:ea typeface="CG Times"/>
                      <a:cs typeface="CG Times"/>
                    </a:defRPr>
                  </a:pPr>
                  <a:endParaRPr lang="en-US"/>
                </a:p>
              </c:txPr>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'RÉSULTsyst  '!$E$101:$E$109</c:f>
              <c:strCache>
                <c:ptCount val="9"/>
                <c:pt idx="0">
                  <c:v>SCOTIA</c:v>
                </c:pt>
                <c:pt idx="1">
                  <c:v>BNC</c:v>
                </c:pt>
                <c:pt idx="2">
                  <c:v>CAPITALBK</c:v>
                </c:pt>
                <c:pt idx="3">
                  <c:v>UNIBK</c:v>
                </c:pt>
                <c:pt idx="4">
                  <c:v>BUH</c:v>
                </c:pt>
                <c:pt idx="5">
                  <c:v>BPH</c:v>
                </c:pt>
                <c:pt idx="6">
                  <c:v>CBNA</c:v>
                </c:pt>
                <c:pt idx="7">
                  <c:v>SOGEBK</c:v>
                </c:pt>
                <c:pt idx="8">
                  <c:v>SOGEBL</c:v>
                </c:pt>
              </c:strCache>
            </c:strRef>
          </c:cat>
          <c:val>
            <c:numRef>
              <c:f>'RÉSULTsyst  '!$F$101:$F$109</c:f>
              <c:numCache>
                <c:formatCode>0,00%</c:formatCode>
                <c:ptCount val="9"/>
                <c:pt idx="0">
                  <c:v>0.99343248167450526</c:v>
                </c:pt>
                <c:pt idx="1">
                  <c:v>0.93589610329109452</c:v>
                </c:pt>
                <c:pt idx="2">
                  <c:v>0.90414815969245954</c:v>
                </c:pt>
                <c:pt idx="3">
                  <c:v>0.87822741505292101</c:v>
                </c:pt>
                <c:pt idx="4">
                  <c:v>0.87683982361659762</c:v>
                </c:pt>
                <c:pt idx="5">
                  <c:v>0.86782008472664585</c:v>
                </c:pt>
                <c:pt idx="6">
                  <c:v>0.86749031007751942</c:v>
                </c:pt>
                <c:pt idx="7">
                  <c:v>0.84298750492905827</c:v>
                </c:pt>
                <c:pt idx="8">
                  <c:v>0.65791998424638398</c:v>
                </c:pt>
              </c:numCache>
            </c:numRef>
          </c:val>
        </c:ser>
        <c:axId val="77845632"/>
        <c:axId val="77964416"/>
      </c:barChart>
      <c:catAx>
        <c:axId val="77845632"/>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7964416"/>
        <c:crosses val="autoZero"/>
        <c:lblAlgn val="ctr"/>
        <c:lblOffset val="100"/>
        <c:tickLblSkip val="1"/>
        <c:tickMarkSkip val="1"/>
      </c:catAx>
      <c:valAx>
        <c:axId val="77964416"/>
        <c:scaling>
          <c:orientation val="minMax"/>
          <c:max val="1"/>
        </c:scaling>
        <c:axPos val="l"/>
        <c:numFmt formatCode="0,00%" sourceLinked="1"/>
        <c:majorTickMark val="cross"/>
        <c:tickLblPos val="none"/>
        <c:spPr>
          <a:ln w="3175">
            <a:solidFill>
              <a:srgbClr val="000000"/>
            </a:solidFill>
            <a:prstDash val="solid"/>
          </a:ln>
        </c:spPr>
        <c:crossAx val="77845632"/>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AUTRES REVENUS - SYSTÈME BANCAIRE
(en milliers de gourdes)
</a:t>
            </a:r>
          </a:p>
        </c:rich>
      </c:tx>
      <c:layout>
        <c:manualLayout>
          <c:xMode val="edge"/>
          <c:yMode val="edge"/>
          <c:x val="0.33307409336481086"/>
          <c:y val="1.1627906976744136E-2"/>
        </c:manualLayout>
      </c:layout>
      <c:spPr>
        <a:noFill/>
        <a:ln w="25400">
          <a:noFill/>
        </a:ln>
      </c:spPr>
    </c:title>
    <c:plotArea>
      <c:layout>
        <c:manualLayout>
          <c:layoutTarget val="inner"/>
          <c:xMode val="edge"/>
          <c:yMode val="edge"/>
          <c:x val="0.22490280919519923"/>
          <c:y val="0.29457420091108188"/>
          <c:w val="0.59533096551667153"/>
          <c:h val="0.53100875690550264"/>
        </c:manualLayout>
      </c:layout>
      <c:barChart>
        <c:barDir val="col"/>
        <c:grouping val="clustered"/>
        <c:ser>
          <c:idx val="0"/>
          <c:order val="0"/>
          <c:spPr>
            <a:solidFill>
              <a:srgbClr val="000000"/>
            </a:solidFill>
            <a:ln w="25400">
              <a:noFill/>
            </a:ln>
          </c:spPr>
          <c:dPt>
            <c:idx val="0"/>
            <c:spPr>
              <a:solidFill>
                <a:schemeClr val="bg1">
                  <a:lumMod val="65000"/>
                </a:schemeClr>
              </a:solidFill>
              <a:ln w="25400">
                <a:noFill/>
              </a:ln>
            </c:spPr>
          </c:dPt>
          <c:dPt>
            <c:idx val="5"/>
            <c:spPr>
              <a:solidFill>
                <a:schemeClr val="bg1">
                  <a:lumMod val="75000"/>
                </a:schemeClr>
              </a:solidFill>
              <a:ln w="25400">
                <a:noFill/>
              </a:ln>
            </c:spPr>
          </c:dPt>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(somfinrésys!$T$1,somfinrésys!$R$1,somfinrésys!$I$1,somfinrésys!$K$1,somfinrésys!$B$1,somfinrésys!$D$1)</c:f>
              <c:strCache>
                <c:ptCount val="6"/>
                <c:pt idx="0">
                  <c:v>CUMUL 14</c:v>
                </c:pt>
                <c:pt idx="1">
                  <c:v>CUMUL 15</c:v>
                </c:pt>
                <c:pt idx="4">
                  <c:v>TRIM 1 15</c:v>
                </c:pt>
                <c:pt idx="5">
                  <c:v>TRIM 1 14</c:v>
                </c:pt>
              </c:strCache>
            </c:strRef>
          </c:cat>
          <c:val>
            <c:numRef>
              <c:f>(somfinrésys!$T$61,somfinrésys!$R$61,somfinrésys!$I$103,somfinrésys!$K$103,somfinrésys!$B$61,somfinrésys!$D$61)</c:f>
              <c:numCache>
                <c:formatCode>_(* #,##0\.0_);_(* \(#,##0\.0\);_(* "-"??_);_(@_)</c:formatCode>
                <c:ptCount val="6"/>
                <c:pt idx="0">
                  <c:v>1092222.0823741439</c:v>
                </c:pt>
                <c:pt idx="1">
                  <c:v>1266335.81712</c:v>
                </c:pt>
                <c:pt idx="4">
                  <c:v>1266335.81712</c:v>
                </c:pt>
                <c:pt idx="5">
                  <c:v>1092222.0823741439</c:v>
                </c:pt>
              </c:numCache>
            </c:numRef>
          </c:val>
        </c:ser>
        <c:axId val="77920128"/>
        <c:axId val="77921664"/>
      </c:barChart>
      <c:catAx>
        <c:axId val="77920128"/>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7921664"/>
        <c:crosses val="autoZero"/>
        <c:lblAlgn val="ctr"/>
        <c:lblOffset val="100"/>
        <c:tickLblSkip val="1"/>
        <c:tickMarkSkip val="1"/>
      </c:catAx>
      <c:valAx>
        <c:axId val="77921664"/>
        <c:scaling>
          <c:orientation val="minMax"/>
        </c:scaling>
        <c:axPos val="l"/>
        <c:numFmt formatCode="_(* #,##0\.0_);_(* \(#,##0\.0\);_(* &quot;-&quot;??_);_(@_)" sourceLinked="1"/>
        <c:tickLblPos val="none"/>
        <c:spPr>
          <a:ln w="3175">
            <a:solidFill>
              <a:srgbClr val="000000"/>
            </a:solidFill>
            <a:prstDash val="solid"/>
          </a:ln>
        </c:spPr>
        <c:crossAx val="77920128"/>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AUTRES REVENUS PAR BANQUE - TRIM 1 2015
(en milliers de gourdes)</a:t>
            </a:r>
          </a:p>
        </c:rich>
      </c:tx>
      <c:layout>
        <c:manualLayout>
          <c:xMode val="edge"/>
          <c:yMode val="edge"/>
          <c:x val="0.31542080604411676"/>
          <c:y val="2.8268551236747867E-2"/>
        </c:manualLayout>
      </c:layout>
      <c:spPr>
        <a:noFill/>
        <a:ln w="25400">
          <a:noFill/>
        </a:ln>
      </c:spPr>
    </c:title>
    <c:plotArea>
      <c:layout>
        <c:manualLayout>
          <c:layoutTarget val="inner"/>
          <c:xMode val="edge"/>
          <c:yMode val="edge"/>
          <c:x val="0.2741435106840126"/>
          <c:y val="0.34275618374558331"/>
          <c:w val="0.47118415898814681"/>
          <c:h val="0.43992932862190831"/>
        </c:manualLayout>
      </c:layout>
      <c:barChart>
        <c:barDir val="col"/>
        <c:grouping val="clustered"/>
        <c:ser>
          <c:idx val="0"/>
          <c:order val="0"/>
          <c:spPr>
            <a:solidFill>
              <a:srgbClr val="000000"/>
            </a:solidFill>
            <a:ln w="25400">
              <a:noFill/>
            </a:ln>
          </c:spPr>
          <c:dLbls>
            <c:dLbl>
              <c:idx val="9"/>
              <c:layout>
                <c:manualLayout>
                  <c:x val="-2.2221708249207952E-3"/>
                  <c:y val="-1.7590766662016925E-2"/>
                </c:manualLayout>
              </c:layout>
              <c:dLblPos val="outEnd"/>
              <c:showVal val="1"/>
            </c:dLbl>
            <c:dLbl>
              <c:idx val="11"/>
              <c:layout>
                <c:manualLayout>
                  <c:xMode val="edge"/>
                  <c:yMode val="edge"/>
                  <c:x val="0.71962671554555335"/>
                  <c:y val="0.72261484098939965"/>
                </c:manualLayout>
              </c:layout>
              <c:dLblPos val="outEnd"/>
              <c:showVal val="1"/>
            </c:dLbl>
            <c:dLbl>
              <c:idx val="12"/>
              <c:layout>
                <c:manualLayout>
                  <c:xMode val="edge"/>
                  <c:yMode val="edge"/>
                  <c:x val="0.72196316592067356"/>
                  <c:y val="0.72791519434628971"/>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'RÉSULTsyst  '!$H$101:$H$109</c:f>
              <c:strCache>
                <c:ptCount val="9"/>
                <c:pt idx="0">
                  <c:v>UNIBK</c:v>
                </c:pt>
                <c:pt idx="1">
                  <c:v>SOGEBK</c:v>
                </c:pt>
                <c:pt idx="2">
                  <c:v>CAPITALBK</c:v>
                </c:pt>
                <c:pt idx="3">
                  <c:v>BNC</c:v>
                </c:pt>
                <c:pt idx="4">
                  <c:v>CBNA</c:v>
                </c:pt>
                <c:pt idx="5">
                  <c:v>BUH</c:v>
                </c:pt>
                <c:pt idx="6">
                  <c:v>SCOTIA</c:v>
                </c:pt>
                <c:pt idx="7">
                  <c:v>BPH</c:v>
                </c:pt>
                <c:pt idx="8">
                  <c:v>SOGEBL</c:v>
                </c:pt>
              </c:strCache>
            </c:strRef>
          </c:cat>
          <c:val>
            <c:numRef>
              <c:f>'RÉSULTsyst  '!$I$101:$I$109</c:f>
              <c:numCache>
                <c:formatCode>_(* #,##0\.0_);_(* \(#,##0\.0\);_(* "-"??_);_(@_)</c:formatCode>
                <c:ptCount val="9"/>
                <c:pt idx="0">
                  <c:v>491798.89597000001</c:v>
                </c:pt>
                <c:pt idx="1">
                  <c:v>377357.21606999997</c:v>
                </c:pt>
                <c:pt idx="2">
                  <c:v>127790</c:v>
                </c:pt>
                <c:pt idx="3">
                  <c:v>115495.14137000001</c:v>
                </c:pt>
                <c:pt idx="4">
                  <c:v>52941</c:v>
                </c:pt>
                <c:pt idx="5">
                  <c:v>42416.731480000002</c:v>
                </c:pt>
                <c:pt idx="6">
                  <c:v>26940</c:v>
                </c:pt>
                <c:pt idx="7">
                  <c:v>18608.140829999997</c:v>
                </c:pt>
                <c:pt idx="8">
                  <c:v>12988.6914</c:v>
                </c:pt>
              </c:numCache>
            </c:numRef>
          </c:val>
        </c:ser>
        <c:axId val="77978624"/>
        <c:axId val="77103872"/>
      </c:barChart>
      <c:catAx>
        <c:axId val="77978624"/>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7103872"/>
        <c:crosses val="autoZero"/>
        <c:lblAlgn val="ctr"/>
        <c:lblOffset val="100"/>
        <c:tickLblSkip val="1"/>
        <c:tickMarkSkip val="1"/>
      </c:catAx>
      <c:valAx>
        <c:axId val="77103872"/>
        <c:scaling>
          <c:orientation val="minMax"/>
        </c:scaling>
        <c:axPos val="l"/>
        <c:numFmt formatCode="_(* #,##0\.0_);_(* \(#,##0\.0\);_(* &quot;-&quot;??_);_(@_)" sourceLinked="1"/>
        <c:majorTickMark val="cross"/>
        <c:tickLblPos val="none"/>
        <c:spPr>
          <a:ln w="3175">
            <a:solidFill>
              <a:srgbClr val="000000"/>
            </a:solidFill>
            <a:prstDash val="solid"/>
          </a:ln>
        </c:spPr>
        <c:crossAx val="77978624"/>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FRAIS D'EXPLOITATION PAR BANQUE - TRIM 1 2015
(en milliers de gourdes)</a:t>
            </a:r>
          </a:p>
        </c:rich>
      </c:tx>
      <c:layout>
        <c:manualLayout>
          <c:xMode val="edge"/>
          <c:yMode val="edge"/>
          <c:x val="0.30273878977563812"/>
          <c:y val="2.8318584070796127E-2"/>
        </c:manualLayout>
      </c:layout>
      <c:spPr>
        <a:noFill/>
        <a:ln w="25400">
          <a:noFill/>
        </a:ln>
      </c:spPr>
    </c:title>
    <c:plotArea>
      <c:layout>
        <c:manualLayout>
          <c:layoutTarget val="inner"/>
          <c:xMode val="edge"/>
          <c:yMode val="edge"/>
          <c:x val="0.25906745114565438"/>
          <c:y val="0.28482736312891305"/>
          <c:w val="0.51813490229130843"/>
          <c:h val="0.54088869173043508"/>
        </c:manualLayout>
      </c:layout>
      <c:barChart>
        <c:barDir val="col"/>
        <c:grouping val="clustered"/>
        <c:ser>
          <c:idx val="0"/>
          <c:order val="0"/>
          <c:spPr>
            <a:solidFill>
              <a:srgbClr val="000000"/>
            </a:solidFill>
            <a:ln w="25400">
              <a:noFill/>
            </a:ln>
          </c:spPr>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'RÉSULTsyst  '!$P$101:$P$109</c:f>
              <c:strCache>
                <c:ptCount val="9"/>
                <c:pt idx="0">
                  <c:v>SOGEBK</c:v>
                </c:pt>
                <c:pt idx="1">
                  <c:v>UNIBK</c:v>
                </c:pt>
                <c:pt idx="2">
                  <c:v>BNC</c:v>
                </c:pt>
                <c:pt idx="3">
                  <c:v>CAPITALBK</c:v>
                </c:pt>
                <c:pt idx="4">
                  <c:v>BUH</c:v>
                </c:pt>
                <c:pt idx="5">
                  <c:v>CBNA</c:v>
                </c:pt>
                <c:pt idx="6">
                  <c:v>SCOTIA</c:v>
                </c:pt>
                <c:pt idx="7">
                  <c:v>SOGEBL</c:v>
                </c:pt>
                <c:pt idx="8">
                  <c:v>BPH</c:v>
                </c:pt>
              </c:strCache>
            </c:strRef>
          </c:cat>
          <c:val>
            <c:numRef>
              <c:f>'RÉSULTsyst  '!$Q$101:$Q$109</c:f>
              <c:numCache>
                <c:formatCode>_(* #,##0\.0_);_(* \(#,##0\.0\);_(* "-"??_);_(@_)</c:formatCode>
                <c:ptCount val="9"/>
                <c:pt idx="0">
                  <c:v>554618.62898999988</c:v>
                </c:pt>
                <c:pt idx="1">
                  <c:v>518227.96238000004</c:v>
                </c:pt>
                <c:pt idx="2">
                  <c:v>262497.39581999998</c:v>
                </c:pt>
                <c:pt idx="3">
                  <c:v>198970</c:v>
                </c:pt>
                <c:pt idx="4">
                  <c:v>91115.163549999997</c:v>
                </c:pt>
                <c:pt idx="5">
                  <c:v>59696</c:v>
                </c:pt>
                <c:pt idx="6">
                  <c:v>46383</c:v>
                </c:pt>
                <c:pt idx="7">
                  <c:v>34985.961159999999</c:v>
                </c:pt>
                <c:pt idx="8">
                  <c:v>33873.008179999997</c:v>
                </c:pt>
              </c:numCache>
            </c:numRef>
          </c:val>
        </c:ser>
        <c:axId val="78037760"/>
        <c:axId val="78039296"/>
      </c:barChart>
      <c:catAx>
        <c:axId val="78037760"/>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8039296"/>
        <c:crosses val="autoZero"/>
        <c:lblAlgn val="ctr"/>
        <c:lblOffset val="100"/>
        <c:tickLblSkip val="1"/>
        <c:tickMarkSkip val="1"/>
      </c:catAx>
      <c:valAx>
        <c:axId val="78039296"/>
        <c:scaling>
          <c:orientation val="minMax"/>
        </c:scaling>
        <c:axPos val="l"/>
        <c:numFmt formatCode="_(* #,##0\.0_);_(* \(#,##0\.0\);_(* &quot;-&quot;??_);_(@_)" sourceLinked="1"/>
        <c:majorTickMark val="cross"/>
        <c:tickLblPos val="none"/>
        <c:spPr>
          <a:ln w="3175">
            <a:solidFill>
              <a:srgbClr val="000000"/>
            </a:solidFill>
            <a:prstDash val="solid"/>
          </a:ln>
        </c:spPr>
        <c:crossAx val="78037760"/>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FRAIS D'EXPLOITATION - SYSTÈME BANCAIRE
(en milliers de gourdes)
</a:t>
            </a:r>
          </a:p>
        </c:rich>
      </c:tx>
      <c:layout>
        <c:manualLayout>
          <c:xMode val="edge"/>
          <c:yMode val="edge"/>
          <c:x val="0.31007776353538197"/>
          <c:y val="1.1627906976744136E-2"/>
        </c:manualLayout>
      </c:layout>
      <c:spPr>
        <a:noFill/>
        <a:ln w="25400">
          <a:noFill/>
        </a:ln>
      </c:spPr>
    </c:title>
    <c:plotArea>
      <c:layout>
        <c:manualLayout>
          <c:layoutTarget val="inner"/>
          <c:xMode val="edge"/>
          <c:yMode val="edge"/>
          <c:x val="0.2224807885786009"/>
          <c:y val="0.27519431927219462"/>
          <c:w val="0.57829501142731365"/>
          <c:h val="0.57170650834716452"/>
        </c:manualLayout>
      </c:layout>
      <c:barChart>
        <c:barDir val="col"/>
        <c:grouping val="clustered"/>
        <c:ser>
          <c:idx val="0"/>
          <c:order val="0"/>
          <c:spPr>
            <a:solidFill>
              <a:srgbClr val="000000"/>
            </a:solidFill>
            <a:ln w="25400">
              <a:noFill/>
            </a:ln>
          </c:spPr>
          <c:dPt>
            <c:idx val="0"/>
            <c:spPr>
              <a:solidFill>
                <a:schemeClr val="bg1">
                  <a:lumMod val="65000"/>
                </a:schemeClr>
              </a:solidFill>
              <a:ln w="25400">
                <a:noFill/>
              </a:ln>
            </c:spPr>
          </c:dPt>
          <c:dPt>
            <c:idx val="5"/>
            <c:spPr>
              <a:solidFill>
                <a:schemeClr val="bg1">
                  <a:lumMod val="75000"/>
                </a:schemeClr>
              </a:solidFill>
              <a:ln w="25400">
                <a:noFill/>
              </a:ln>
            </c:spPr>
          </c:dPt>
          <c:dLbls>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(somfinrésys!$T$1,somfinrésys!$R$1,somfinrésys!$I$1,somfinrésys!$K$1,somfinrésys!$B$1,somfinrésys!$D$1)</c:f>
              <c:strCache>
                <c:ptCount val="6"/>
                <c:pt idx="0">
                  <c:v>CUMUL 14</c:v>
                </c:pt>
                <c:pt idx="1">
                  <c:v>CUMUL 15</c:v>
                </c:pt>
                <c:pt idx="4">
                  <c:v>TRIM 1 15</c:v>
                </c:pt>
                <c:pt idx="5">
                  <c:v>TRIM 1 14</c:v>
                </c:pt>
              </c:strCache>
            </c:strRef>
          </c:cat>
          <c:val>
            <c:numRef>
              <c:f>(somfinrésys!$T$75,somfinrésys!$R$75,somfinrésys!$I$102,somfinrésys!$K$102,somfinrésys!$B$75,somfinrésys!$D$75)</c:f>
              <c:numCache>
                <c:formatCode>_(* #,##0\.0_);_(* \(#,##0\.0\);_(* "-"??_);_(@_)</c:formatCode>
                <c:ptCount val="6"/>
                <c:pt idx="0">
                  <c:v>1598470.4854600001</c:v>
                </c:pt>
                <c:pt idx="1">
                  <c:v>1800367.1200799998</c:v>
                </c:pt>
                <c:pt idx="4">
                  <c:v>1800367.1200799998</c:v>
                </c:pt>
                <c:pt idx="5">
                  <c:v>1598470.4854600001</c:v>
                </c:pt>
              </c:numCache>
            </c:numRef>
          </c:val>
        </c:ser>
        <c:axId val="78219904"/>
        <c:axId val="78225792"/>
      </c:barChart>
      <c:catAx>
        <c:axId val="78219904"/>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8225792"/>
        <c:crosses val="autoZero"/>
        <c:lblAlgn val="ctr"/>
        <c:lblOffset val="100"/>
        <c:tickLblSkip val="1"/>
        <c:tickMarkSkip val="1"/>
      </c:catAx>
      <c:valAx>
        <c:axId val="78225792"/>
        <c:scaling>
          <c:orientation val="minMax"/>
        </c:scaling>
        <c:axPos val="l"/>
        <c:numFmt formatCode="_(* #,##0\.0_);_(* \(#,##0\.0\);_(* &quot;-&quot;??_);_(@_)" sourceLinked="1"/>
        <c:tickLblPos val="none"/>
        <c:spPr>
          <a:ln w="3175">
            <a:solidFill>
              <a:srgbClr val="000000"/>
            </a:solidFill>
            <a:prstDash val="solid"/>
          </a:ln>
        </c:spPr>
        <c:crossAx val="78219904"/>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2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DÉPENSES D'EXPLOITATION EN % PRODUIT NET BANCAIRE - SYSTÈME BANCAIRE
</a:t>
            </a:r>
          </a:p>
        </c:rich>
      </c:tx>
      <c:layout>
        <c:manualLayout>
          <c:xMode val="edge"/>
          <c:yMode val="edge"/>
          <c:x val="0.1680934669158573"/>
          <c:y val="9.6899224806201549E-3"/>
        </c:manualLayout>
      </c:layout>
      <c:spPr>
        <a:noFill/>
        <a:ln w="25400">
          <a:noFill/>
        </a:ln>
      </c:spPr>
    </c:title>
    <c:plotArea>
      <c:layout>
        <c:manualLayout>
          <c:layoutTarget val="inner"/>
          <c:xMode val="edge"/>
          <c:yMode val="edge"/>
          <c:x val="0.22490280919519923"/>
          <c:y val="0.33333396418887357"/>
          <c:w val="0.57431928438080782"/>
          <c:h val="0.50000094628328362"/>
        </c:manualLayout>
      </c:layout>
      <c:barChart>
        <c:barDir val="col"/>
        <c:grouping val="clustered"/>
        <c:ser>
          <c:idx val="0"/>
          <c:order val="0"/>
          <c:spPr>
            <a:solidFill>
              <a:srgbClr val="000000"/>
            </a:solidFill>
            <a:ln w="25400">
              <a:noFill/>
            </a:ln>
          </c:spPr>
          <c:dPt>
            <c:idx val="0"/>
            <c:spPr>
              <a:solidFill>
                <a:schemeClr val="bg1">
                  <a:lumMod val="65000"/>
                </a:schemeClr>
              </a:solidFill>
              <a:ln w="25400">
                <a:noFill/>
              </a:ln>
            </c:spPr>
          </c:dPt>
          <c:dPt>
            <c:idx val="5"/>
            <c:spPr>
              <a:solidFill>
                <a:schemeClr val="bg1">
                  <a:lumMod val="75000"/>
                </a:schemeClr>
              </a:solidFill>
              <a:ln w="25400">
                <a:noFill/>
              </a:ln>
            </c:spPr>
          </c:dPt>
          <c:dLbls>
            <c:dLbl>
              <c:idx val="0"/>
              <c:layout>
                <c:manualLayout>
                  <c:x val="-4.6962223107328252E-4"/>
                  <c:y val="5.5016378766607711E-4"/>
                </c:manualLayout>
              </c:layout>
              <c:dLblPos val="outEnd"/>
              <c:showVal val="1"/>
            </c:dLbl>
            <c:dLbl>
              <c:idx val="1"/>
              <c:layout>
                <c:manualLayout>
                  <c:x val="3.0858788565827331E-4"/>
                  <c:y val="-4.4173838735274366E-3"/>
                </c:manualLayout>
              </c:layout>
              <c:dLblPos val="outEnd"/>
              <c:showVal val="1"/>
            </c:dLbl>
            <c:dLbl>
              <c:idx val="4"/>
              <c:layout>
                <c:manualLayout>
                  <c:x val="4.893940786584561E-5"/>
                  <c:y val="-7.0015666646319925E-3"/>
                </c:manualLayout>
              </c:layout>
              <c:tx>
                <c:rich>
                  <a:bodyPr/>
                  <a:lstStyle/>
                  <a:p>
                    <a:r>
                      <a:rPr lang="en-US"/>
                      <a:t>64.06%</a:t>
                    </a:r>
                  </a:p>
                </c:rich>
              </c:tx>
              <c:dLblPos val="outEnd"/>
            </c:dLbl>
            <c:dLbl>
              <c:idx val="5"/>
              <c:layout>
                <c:manualLayout>
                  <c:x val="8.2723122644688945E-4"/>
                  <c:y val="-5.2639931636452421E-3"/>
                </c:manualLayout>
              </c:layout>
              <c:tx>
                <c:rich>
                  <a:bodyPr/>
                  <a:lstStyle/>
                  <a:p>
                    <a:r>
                      <a:rPr lang="en-US"/>
                      <a:t>66.97%</a:t>
                    </a:r>
                  </a:p>
                </c:rich>
              </c:tx>
              <c:dLblPos val="outEnd"/>
            </c:dLbl>
            <c:dLbl>
              <c:idx val="6"/>
              <c:layout>
                <c:manualLayout>
                  <c:x val="-3.3979799217697201E-4"/>
                  <c:y val="-2.5599707013367612E-3"/>
                </c:manualLayout>
              </c:layout>
              <c:dLblPos val="outEnd"/>
              <c:showVal val="1"/>
            </c:dLbl>
            <c:dLbl>
              <c:idx val="7"/>
              <c:layout>
                <c:manualLayout>
                  <c:x val="6.9781549679830894E-4"/>
                  <c:y val="-5.6766160043901958E-5"/>
                </c:manualLayout>
              </c:layout>
              <c:dLblPos val="outEnd"/>
              <c:showVal val="1"/>
            </c:dLbl>
            <c:dLbl>
              <c:idx val="8"/>
              <c:layout>
                <c:manualLayout>
                  <c:x val="6.9781549679830894E-4"/>
                  <c:y val="8.6921402266577248E-3"/>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(somfinrésys!$T$1,somfinrésys!$R$1,somfinrésys!$I$1,somfinrésys!$K$1,somfinrésys!$B$1,somfinrésys!$D$1)</c:f>
              <c:strCache>
                <c:ptCount val="6"/>
                <c:pt idx="0">
                  <c:v>CUMUL 14</c:v>
                </c:pt>
                <c:pt idx="1">
                  <c:v>CUMUL 15</c:v>
                </c:pt>
                <c:pt idx="4">
                  <c:v>TRIM 1 15</c:v>
                </c:pt>
                <c:pt idx="5">
                  <c:v>TRIM 1 14</c:v>
                </c:pt>
              </c:strCache>
            </c:strRef>
          </c:cat>
          <c:val>
            <c:numRef>
              <c:f>(somfinrésys!$T$86,somfinrésys!$R$86,somfinrésys!$I$102,somfinrésys!$K$102,somfinrésys!$B$86,somfinrésys!$D$86)</c:f>
              <c:numCache>
                <c:formatCode>0,00%</c:formatCode>
                <c:ptCount val="6"/>
                <c:pt idx="0">
                  <c:v>0.66970825272830481</c:v>
                </c:pt>
                <c:pt idx="1">
                  <c:v>0.64063515725386733</c:v>
                </c:pt>
                <c:pt idx="4">
                  <c:v>0.64063515725386733</c:v>
                </c:pt>
                <c:pt idx="5">
                  <c:v>0.66970825272830481</c:v>
                </c:pt>
              </c:numCache>
            </c:numRef>
          </c:val>
        </c:ser>
        <c:axId val="78394496"/>
        <c:axId val="78396032"/>
      </c:barChart>
      <c:catAx>
        <c:axId val="78394496"/>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8396032"/>
        <c:crosses val="autoZero"/>
        <c:lblAlgn val="ctr"/>
        <c:lblOffset val="100"/>
        <c:tickLblSkip val="1"/>
        <c:tickMarkSkip val="1"/>
      </c:catAx>
      <c:valAx>
        <c:axId val="78396032"/>
        <c:scaling>
          <c:orientation val="minMax"/>
          <c:max val="1"/>
        </c:scaling>
        <c:axPos val="l"/>
        <c:numFmt formatCode="0,00%" sourceLinked="1"/>
        <c:tickLblPos val="none"/>
        <c:spPr>
          <a:ln w="3175">
            <a:solidFill>
              <a:srgbClr val="000000"/>
            </a:solidFill>
            <a:prstDash val="solid"/>
          </a:ln>
        </c:spPr>
        <c:crossAx val="78394496"/>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2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DÉPENSES D'EXPLOITATION EN % PRODUIT NET BANCAIRE - TRIM 1 2015
</a:t>
            </a:r>
          </a:p>
        </c:rich>
      </c:tx>
      <c:layout>
        <c:manualLayout>
          <c:xMode val="edge"/>
          <c:yMode val="edge"/>
          <c:x val="0.21238252741918232"/>
          <c:y val="2.292768959435626E-2"/>
        </c:manualLayout>
      </c:layout>
      <c:spPr>
        <a:noFill/>
        <a:ln w="25400">
          <a:noFill/>
        </a:ln>
      </c:spPr>
    </c:title>
    <c:plotArea>
      <c:layout>
        <c:manualLayout>
          <c:layoutTarget val="inner"/>
          <c:xMode val="edge"/>
          <c:yMode val="edge"/>
          <c:x val="0.25626967475460588"/>
          <c:y val="0.19400389766094051"/>
          <c:w val="0.51097198236523378"/>
          <c:h val="0.62610337112711367"/>
        </c:manualLayout>
      </c:layout>
      <c:barChart>
        <c:barDir val="col"/>
        <c:grouping val="clustered"/>
        <c:ser>
          <c:idx val="0"/>
          <c:order val="0"/>
          <c:spPr>
            <a:solidFill>
              <a:srgbClr val="000000"/>
            </a:solidFill>
            <a:ln w="25400">
              <a:noFill/>
            </a:ln>
          </c:spPr>
          <c:dLbls>
            <c:dLbl>
              <c:idx val="0"/>
              <c:layout>
                <c:manualLayout>
                  <c:x val="-2.1185571362274092E-3"/>
                  <c:y val="6.6635052795332361E-3"/>
                </c:manualLayout>
              </c:layout>
              <c:dLblPos val="outEnd"/>
              <c:showVal val="1"/>
            </c:dLbl>
            <c:dLbl>
              <c:idx val="1"/>
              <c:layout>
                <c:manualLayout>
                  <c:x val="-1.4915376957190696E-3"/>
                  <c:y val="4.4079675225781973E-3"/>
                </c:manualLayout>
              </c:layout>
              <c:tx>
                <c:rich>
                  <a:bodyPr/>
                  <a:lstStyle/>
                  <a:p>
                    <a:r>
                      <a:rPr lang="en-US"/>
                      <a:t>50.30%</a:t>
                    </a:r>
                  </a:p>
                </c:rich>
              </c:tx>
              <c:dLblPos val="outEnd"/>
            </c:dLbl>
            <c:dLbl>
              <c:idx val="3"/>
              <c:layout>
                <c:manualLayout>
                  <c:x val="5.4599758102337524E-4"/>
                  <c:y val="-1.309095622306471E-3"/>
                </c:manualLayout>
              </c:layout>
              <c:dLblPos val="outEnd"/>
              <c:showVal val="1"/>
            </c:dLbl>
            <c:dLbl>
              <c:idx val="4"/>
              <c:layout>
                <c:manualLayout>
                  <c:x val="-9.1690733015739807E-4"/>
                  <c:y val="4.1746633522661523E-3"/>
                </c:manualLayout>
              </c:layout>
              <c:dLblPos val="outEnd"/>
              <c:showVal val="1"/>
            </c:dLbl>
            <c:dLbl>
              <c:idx val="5"/>
              <c:layout>
                <c:manualLayout>
                  <c:x val="-2.9022410081107836E-3"/>
                  <c:y val="5.2218945768746864E-3"/>
                </c:manualLayout>
              </c:layout>
              <c:dLblPos val="outEnd"/>
              <c:showVal val="1"/>
            </c:dLbl>
            <c:dLbl>
              <c:idx val="6"/>
              <c:layout>
                <c:manualLayout>
                  <c:x val="-1.2303046758653602E-3"/>
                  <c:y val="-3.0466562050114202E-3"/>
                </c:manualLayout>
              </c:layout>
              <c:dLblPos val="outEnd"/>
              <c:showVal val="1"/>
            </c:dLbl>
            <c:dLbl>
              <c:idx val="7"/>
              <c:layout>
                <c:manualLayout>
                  <c:x val="1.4864364524968061E-3"/>
                  <c:y val="-2.085665217773704E-3"/>
                </c:manualLayout>
              </c:layout>
              <c:dLblPos val="outEnd"/>
              <c:showVal val="1"/>
            </c:dLbl>
            <c:dLbl>
              <c:idx val="8"/>
              <c:layout>
                <c:manualLayout>
                  <c:x val="-1.8050855235757473E-3"/>
                  <c:y val="5.0029562701591097E-3"/>
                </c:manualLayout>
              </c:layout>
              <c:dLblPos val="outEnd"/>
              <c:showVal val="1"/>
            </c:dLbl>
            <c:dLbl>
              <c:idx val="12"/>
              <c:layout>
                <c:manualLayout>
                  <c:xMode val="edge"/>
                  <c:yMode val="edge"/>
                  <c:x val="0.71395011646432827"/>
                  <c:y val="0.91534549187316061"/>
                </c:manualLayout>
              </c:layout>
              <c:dLblPos val="outEnd"/>
              <c:showVal val="1"/>
            </c:dLbl>
            <c:dLbl>
              <c:idx val="13"/>
              <c:spPr>
                <a:noFill/>
                <a:ln w="25400">
                  <a:noFill/>
                </a:ln>
              </c:spPr>
              <c:txPr>
                <a:bodyPr rot="-5400000" vert="horz"/>
                <a:lstStyle/>
                <a:p>
                  <a:pPr algn="ctr">
                    <a:defRPr sz="1000" b="0" i="0" u="none" strike="noStrike" baseline="0">
                      <a:solidFill>
                        <a:srgbClr val="000000"/>
                      </a:solidFill>
                      <a:latin typeface="CG Times"/>
                      <a:ea typeface="CG Times"/>
                      <a:cs typeface="CG Times"/>
                    </a:defRPr>
                  </a:pPr>
                  <a:endParaRPr lang="en-US"/>
                </a:p>
              </c:txPr>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'RÉSULTsyst  '!$K$101:$K$109</c:f>
              <c:strCache>
                <c:ptCount val="9"/>
                <c:pt idx="0">
                  <c:v>SOGEBL</c:v>
                </c:pt>
                <c:pt idx="1">
                  <c:v>UNIBK</c:v>
                </c:pt>
                <c:pt idx="2">
                  <c:v>BNC</c:v>
                </c:pt>
                <c:pt idx="3">
                  <c:v>SCOTIA</c:v>
                </c:pt>
                <c:pt idx="4">
                  <c:v>CAPITALBK</c:v>
                </c:pt>
                <c:pt idx="5">
                  <c:v>CBNA</c:v>
                </c:pt>
                <c:pt idx="6">
                  <c:v>SOGEBK</c:v>
                </c:pt>
                <c:pt idx="7">
                  <c:v>BPH</c:v>
                </c:pt>
                <c:pt idx="8">
                  <c:v>BUH</c:v>
                </c:pt>
              </c:strCache>
            </c:strRef>
          </c:cat>
          <c:val>
            <c:numRef>
              <c:f>'RÉSULTsyst  '!$L$101:$L$109</c:f>
              <c:numCache>
                <c:formatCode>0,00%</c:formatCode>
                <c:ptCount val="9"/>
                <c:pt idx="0">
                  <c:v>0.53695498821524679</c:v>
                </c:pt>
                <c:pt idx="1">
                  <c:v>0.55681072587046476</c:v>
                </c:pt>
                <c:pt idx="2">
                  <c:v>0.59283524066629756</c:v>
                </c:pt>
                <c:pt idx="3">
                  <c:v>0.62822353451078128</c:v>
                </c:pt>
                <c:pt idx="4">
                  <c:v>0.65920340319513371</c:v>
                </c:pt>
                <c:pt idx="5">
                  <c:v>0.67262340706020218</c:v>
                </c:pt>
                <c:pt idx="6">
                  <c:v>0.73454762479408831</c:v>
                </c:pt>
                <c:pt idx="7">
                  <c:v>0.77255670838331403</c:v>
                </c:pt>
                <c:pt idx="8">
                  <c:v>0.84110809413443777</c:v>
                </c:pt>
              </c:numCache>
            </c:numRef>
          </c:val>
        </c:ser>
        <c:axId val="78523008"/>
        <c:axId val="78532992"/>
      </c:barChart>
      <c:catAx>
        <c:axId val="78523008"/>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8532992"/>
        <c:crossesAt val="0"/>
        <c:lblAlgn val="ctr"/>
        <c:lblOffset val="100"/>
        <c:tickLblSkip val="1"/>
        <c:tickMarkSkip val="1"/>
      </c:catAx>
      <c:valAx>
        <c:axId val="78532992"/>
        <c:scaling>
          <c:orientation val="minMax"/>
          <c:max val="1.7"/>
          <c:min val="0"/>
        </c:scaling>
        <c:axPos val="l"/>
        <c:numFmt formatCode="0,00%" sourceLinked="1"/>
        <c:majorTickMark val="cross"/>
        <c:tickLblPos val="none"/>
        <c:spPr>
          <a:ln w="3175">
            <a:solidFill>
              <a:srgbClr val="000000"/>
            </a:solidFill>
            <a:prstDash val="solid"/>
          </a:ln>
        </c:spPr>
        <c:crossAx val="78523008"/>
        <c:crosses val="autoZero"/>
        <c:crossBetween val="between"/>
        <c:majorUnit val="0.2"/>
        <c:minorUnit val="3.1800000000000002E-2"/>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verticalDpi="300"/>
  </c:printSettings>
</c:chartSpace>
</file>

<file path=xl/charts/chart2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BÉNÉFICE NET - SYSTÈME BANCAIRE
(en milliers de gourdes)
</a:t>
            </a:r>
          </a:p>
        </c:rich>
      </c:tx>
      <c:layout>
        <c:manualLayout>
          <c:xMode val="edge"/>
          <c:yMode val="edge"/>
          <c:x val="0.34630366534923979"/>
          <c:y val="1.1627906976744136E-2"/>
        </c:manualLayout>
      </c:layout>
      <c:spPr>
        <a:noFill/>
        <a:ln w="25400">
          <a:noFill/>
        </a:ln>
      </c:spPr>
    </c:title>
    <c:plotArea>
      <c:layout>
        <c:manualLayout>
          <c:layoutTarget val="inner"/>
          <c:xMode val="edge"/>
          <c:yMode val="edge"/>
          <c:x val="0.22256817795787404"/>
          <c:y val="0.26744236661663984"/>
          <c:w val="0.56965002190616709"/>
          <c:h val="0.52907076874159997"/>
        </c:manualLayout>
      </c:layout>
      <c:barChart>
        <c:barDir val="col"/>
        <c:grouping val="clustered"/>
        <c:ser>
          <c:idx val="0"/>
          <c:order val="0"/>
          <c:spPr>
            <a:solidFill>
              <a:srgbClr val="000000"/>
            </a:solidFill>
            <a:ln w="25400">
              <a:noFill/>
            </a:ln>
          </c:spPr>
          <c:dPt>
            <c:idx val="0"/>
            <c:spPr>
              <a:solidFill>
                <a:schemeClr val="bg1">
                  <a:lumMod val="65000"/>
                </a:schemeClr>
              </a:solidFill>
              <a:ln w="25400">
                <a:noFill/>
              </a:ln>
            </c:spPr>
          </c:dPt>
          <c:dPt>
            <c:idx val="5"/>
            <c:spPr>
              <a:solidFill>
                <a:schemeClr val="bg1">
                  <a:lumMod val="75000"/>
                </a:schemeClr>
              </a:solidFill>
              <a:ln w="25400">
                <a:noFill/>
              </a:ln>
            </c:spPr>
          </c:dPt>
          <c:dLbls>
            <c:dLbl>
              <c:idx val="0"/>
              <c:layout>
                <c:manualLayout>
                  <c:x val="-3.1933167887089526E-3"/>
                  <c:y val="-2.3569146879895832E-3"/>
                </c:manualLayout>
              </c:layout>
              <c:tx>
                <c:rich>
                  <a:bodyPr/>
                  <a:lstStyle/>
                  <a:p>
                    <a:r>
                      <a:rPr lang="en-US"/>
                      <a:t>583,588.1</a:t>
                    </a:r>
                  </a:p>
                </c:rich>
              </c:tx>
              <c:dLblPos val="outEnd"/>
            </c:dLbl>
            <c:dLbl>
              <c:idx val="1"/>
              <c:layout>
                <c:manualLayout>
                  <c:x val="-1.6369782570952961E-3"/>
                  <c:y val="-8.1963010437648681E-3"/>
                </c:manualLayout>
              </c:layout>
              <c:tx>
                <c:rich>
                  <a:bodyPr/>
                  <a:lstStyle/>
                  <a:p>
                    <a:r>
                      <a:rPr lang="en-US"/>
                      <a:t>752,527.1  </a:t>
                    </a:r>
                  </a:p>
                </c:rich>
              </c:tx>
              <c:dLblPos val="outEnd"/>
            </c:dLbl>
            <c:dLbl>
              <c:idx val="4"/>
              <c:layout>
                <c:manualLayout>
                  <c:x val="-8.5884984221330308E-4"/>
                  <c:y val="-5.625139880770718E-3"/>
                </c:manualLayout>
              </c:layout>
              <c:tx>
                <c:rich>
                  <a:bodyPr/>
                  <a:lstStyle/>
                  <a:p>
                    <a:r>
                      <a:rPr lang="en-US"/>
                      <a:t> 752,527.1 </a:t>
                    </a:r>
                  </a:p>
                </c:rich>
              </c:tx>
              <c:dLblPos val="outEnd"/>
            </c:dLbl>
            <c:dLbl>
              <c:idx val="5"/>
              <c:layout>
                <c:manualLayout>
                  <c:x val="-1.8962498295784316E-3"/>
                  <c:y val="5.4414952978459824E-3"/>
                </c:manualLayout>
              </c:layout>
              <c:dLblPos val="outEnd"/>
              <c:showVal val="1"/>
            </c:dLbl>
            <c:dLbl>
              <c:idx val="7"/>
              <c:layout>
                <c:manualLayout>
                  <c:x val="-8.5860473666477194E-4"/>
                  <c:y val="3.8568434759608528E-3"/>
                </c:manualLayout>
              </c:layout>
              <c:dLblPos val="outEnd"/>
              <c:showVal val="1"/>
            </c:dLbl>
            <c:dLbl>
              <c:idx val="8"/>
              <c:layout>
                <c:manualLayout>
                  <c:x val="-1.8962999274896493E-3"/>
                  <c:y val="-3.4670084844045659E-4"/>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(somfinrésys!$T$1,somfinrésys!$R$1,somfinrésys!$I$1,somfinrésys!$K$1,somfinrésys!$B$1,somfinrésys!$D$1)</c:f>
              <c:strCache>
                <c:ptCount val="6"/>
                <c:pt idx="0">
                  <c:v>CUMUL 14</c:v>
                </c:pt>
                <c:pt idx="1">
                  <c:v>CUMUL 15</c:v>
                </c:pt>
                <c:pt idx="4">
                  <c:v>TRIM 1 15</c:v>
                </c:pt>
                <c:pt idx="5">
                  <c:v>TRIM 1 14</c:v>
                </c:pt>
              </c:strCache>
            </c:strRef>
          </c:cat>
          <c:val>
            <c:numRef>
              <c:f>(somfinrésys!$T$81,somfinrésys!$R$81,somfinrésys!$I$102,somfinrésys!$K$102,somfinrésys!$B$81,somfinrésys!$D$81)</c:f>
              <c:numCache>
                <c:formatCode>_(* #,##0\.0_);_(* \(#,##0\.0\);_(* "-"??_);_(@_)</c:formatCode>
                <c:ptCount val="6"/>
                <c:pt idx="0">
                  <c:v>583588.12062754354</c:v>
                </c:pt>
                <c:pt idx="1">
                  <c:v>752527.0744754324</c:v>
                </c:pt>
                <c:pt idx="4">
                  <c:v>752527.0744754324</c:v>
                </c:pt>
                <c:pt idx="5">
                  <c:v>583588.12062754354</c:v>
                </c:pt>
              </c:numCache>
            </c:numRef>
          </c:val>
        </c:ser>
        <c:axId val="78304384"/>
        <c:axId val="78305920"/>
      </c:barChart>
      <c:catAx>
        <c:axId val="78304384"/>
        <c:scaling>
          <c:orientation val="minMax"/>
        </c:scaling>
        <c:axPos val="b"/>
        <c:numFmt formatCode="General" sourceLinked="1"/>
        <c:majorTickMark val="cross"/>
        <c:tickLblPos val="nextTo"/>
        <c:spPr>
          <a:ln w="3175">
            <a:solidFill>
              <a:srgbClr val="000000"/>
            </a:solidFill>
            <a:prstDash val="solid"/>
          </a:ln>
        </c:spPr>
        <c:txPr>
          <a:bodyPr rot="0" vert="horz"/>
          <a:lstStyle/>
          <a:p>
            <a:pPr>
              <a:defRPr sz="1200" b="0" i="0" u="none" strike="noStrike" baseline="0">
                <a:solidFill>
                  <a:srgbClr val="000000"/>
                </a:solidFill>
                <a:latin typeface="CG Times"/>
                <a:ea typeface="CG Times"/>
                <a:cs typeface="CG Times"/>
              </a:defRPr>
            </a:pPr>
            <a:endParaRPr lang="en-US"/>
          </a:p>
        </c:txPr>
        <c:crossAx val="78305920"/>
        <c:crosses val="autoZero"/>
        <c:lblAlgn val="ctr"/>
        <c:lblOffset val="100"/>
        <c:tickLblSkip val="1"/>
        <c:tickMarkSkip val="1"/>
      </c:catAx>
      <c:valAx>
        <c:axId val="78305920"/>
        <c:scaling>
          <c:orientation val="minMax"/>
        </c:scaling>
        <c:axPos val="l"/>
        <c:numFmt formatCode="_(* #,##0\.0_);_(* \(#,##0\.0\);_(* &quot;-&quot;??_);_(@_)" sourceLinked="1"/>
        <c:tickLblPos val="none"/>
        <c:spPr>
          <a:ln w="3175">
            <a:solidFill>
              <a:srgbClr val="000000"/>
            </a:solidFill>
            <a:prstDash val="solid"/>
          </a:ln>
        </c:spPr>
        <c:crossAx val="78304384"/>
        <c:crosses val="autoZero"/>
        <c:crossBetween val="between"/>
      </c:valAx>
      <c:spPr>
        <a:noFill/>
        <a:ln w="25400">
          <a:noFill/>
        </a:ln>
      </c:spPr>
    </c:plotArea>
    <c:plotVisOnly val="1"/>
    <c:dispBlanksAs val="gap"/>
  </c:chart>
  <c:spPr>
    <a:solidFill>
      <a:srgbClr val="FFFFFF"/>
    </a:solidFill>
    <a:ln w="9525">
      <a:noFill/>
    </a:ln>
  </c:spPr>
  <c:txPr>
    <a:bodyPr/>
    <a:lstStyle/>
    <a:p>
      <a:pPr>
        <a:defRPr sz="12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horizontalDpi="-4" verticalDpi="300"/>
  </c:printSettings>
</c:chartSpace>
</file>

<file path=xl/charts/chart2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G Times"/>
                <a:ea typeface="CG Times"/>
                <a:cs typeface="CG Times"/>
              </a:defRPr>
            </a:pPr>
            <a:r>
              <a:rPr lang="en-US"/>
              <a:t>BÉNÉFICE NET PAR BANQUE - TRIM 1 2015
(en milliers de gourdes)</a:t>
            </a:r>
          </a:p>
        </c:rich>
      </c:tx>
      <c:layout>
        <c:manualLayout>
          <c:xMode val="edge"/>
          <c:yMode val="edge"/>
          <c:x val="0.32707379887373922"/>
          <c:y val="1.7421602787456445E-2"/>
        </c:manualLayout>
      </c:layout>
      <c:spPr>
        <a:noFill/>
        <a:ln w="25400">
          <a:noFill/>
        </a:ln>
      </c:spPr>
    </c:title>
    <c:plotArea>
      <c:layout>
        <c:manualLayout>
          <c:layoutTarget val="inner"/>
          <c:xMode val="edge"/>
          <c:yMode val="edge"/>
          <c:x val="0.25482541208170578"/>
          <c:y val="0.24738694248584794"/>
          <c:w val="0.48356844462817622"/>
          <c:h val="0.57491338104429257"/>
        </c:manualLayout>
      </c:layout>
      <c:barChart>
        <c:barDir val="col"/>
        <c:grouping val="clustered"/>
        <c:ser>
          <c:idx val="0"/>
          <c:order val="0"/>
          <c:spPr>
            <a:solidFill>
              <a:srgbClr val="000000"/>
            </a:solidFill>
            <a:ln w="25400">
              <a:noFill/>
            </a:ln>
          </c:spPr>
          <c:dLbls>
            <c:dLbl>
              <c:idx val="0"/>
              <c:layout>
                <c:manualLayout>
                  <c:x val="5.1910177894429904E-4"/>
                  <c:y val="6.7074542511454359E-3"/>
                </c:manualLayout>
              </c:layout>
              <c:dLblPos val="outEnd"/>
              <c:showVal val="1"/>
            </c:dLbl>
            <c:dLbl>
              <c:idx val="2"/>
              <c:layout>
                <c:manualLayout>
                  <c:x val="-2.0369754250202177E-3"/>
                  <c:y val="-7.3119518596760765E-3"/>
                </c:manualLayout>
              </c:layout>
              <c:dLblPos val="outEnd"/>
              <c:showVal val="1"/>
            </c:dLbl>
            <c:dLbl>
              <c:idx val="4"/>
              <c:layout>
                <c:manualLayout>
                  <c:x val="1.0432968179447052E-3"/>
                  <c:y val="-5.3728040092548574E-3"/>
                </c:manualLayout>
              </c:layout>
              <c:tx>
                <c:rich>
                  <a:bodyPr/>
                  <a:lstStyle/>
                  <a:p>
                    <a:r>
                      <a:rPr lang="en-US"/>
                      <a:t>64,023.0</a:t>
                    </a:r>
                  </a:p>
                </c:rich>
              </c:tx>
              <c:dLblPos val="outEnd"/>
            </c:dLbl>
            <c:dLbl>
              <c:idx val="5"/>
              <c:layout>
                <c:manualLayout>
                  <c:x val="0"/>
                  <c:y val="2.3234290835596801E-3"/>
                </c:manualLayout>
              </c:layout>
              <c:dLblPos val="outEnd"/>
              <c:showVal val="1"/>
            </c:dLbl>
            <c:dLbl>
              <c:idx val="6"/>
              <c:layout>
                <c:manualLayout>
                  <c:x val="7.6507549494206443E-17"/>
                  <c:y val="2.3241606994247668E-3"/>
                </c:manualLayout>
              </c:layout>
              <c:dLblPos val="outEnd"/>
              <c:showVal val="1"/>
            </c:dLbl>
            <c:dLbl>
              <c:idx val="7"/>
              <c:layout>
                <c:manualLayout>
                  <c:x val="5.7126661984153863E-4"/>
                  <c:y val="-1.0749266097835341E-3"/>
                </c:manualLayout>
              </c:layout>
              <c:dLblPos val="outEnd"/>
              <c:showVal val="1"/>
            </c:dLbl>
            <c:dLbl>
              <c:idx val="8"/>
              <c:delete val="1"/>
            </c:dLbl>
            <c:dLbl>
              <c:idx val="9"/>
              <c:layout>
                <c:manualLayout>
                  <c:x val="-5.0061817390197126E-4"/>
                  <c:y val="-6.5245685752695542E-2"/>
                </c:manualLayout>
              </c:layout>
              <c:tx>
                <c:rich>
                  <a:bodyPr/>
                  <a:lstStyle/>
                  <a:p>
                    <a:r>
                      <a:rPr lang="en-US" b="1"/>
                      <a:t>(2,875.8)</a:t>
                    </a:r>
                  </a:p>
                </c:rich>
              </c:tx>
              <c:dLblPos val="outEnd"/>
            </c:dLbl>
            <c:dLbl>
              <c:idx val="10"/>
              <c:delete val="1"/>
            </c:dLbl>
            <c:dLbl>
              <c:idx val="11"/>
              <c:layout>
                <c:manualLayout>
                  <c:xMode val="edge"/>
                  <c:yMode val="edge"/>
                  <c:x val="0.68153416710540649"/>
                  <c:y val="8.7108088037014166E-3"/>
                </c:manualLayout>
              </c:layout>
              <c:spPr>
                <a:noFill/>
                <a:ln w="25400">
                  <a:noFill/>
                </a:ln>
              </c:spPr>
              <c:txPr>
                <a:bodyPr rot="-5400000" vert="horz"/>
                <a:lstStyle/>
                <a:p>
                  <a:pPr algn="r">
                    <a:defRPr sz="900" b="1" i="0" u="none" strike="noStrike" baseline="0">
                      <a:solidFill>
                        <a:srgbClr val="000000"/>
                      </a:solidFill>
                      <a:latin typeface="CG Times"/>
                      <a:ea typeface="CG Times"/>
                      <a:cs typeface="CG Times"/>
                    </a:defRPr>
                  </a:pPr>
                  <a:endParaRPr lang="en-US"/>
                </a:p>
              </c:txPr>
              <c:dLblPos val="outEnd"/>
              <c:showVal val="1"/>
            </c:dLbl>
            <c:dLbl>
              <c:idx val="12"/>
              <c:layout>
                <c:manualLayout>
                  <c:xMode val="edge"/>
                  <c:yMode val="edge"/>
                  <c:x val="3.9123660568622792E-3"/>
                  <c:y val="8.7108088037014166E-3"/>
                </c:manualLayout>
              </c:layout>
              <c:dLblPos val="outEnd"/>
              <c:showVal val="1"/>
            </c:dLbl>
            <c:dLbl>
              <c:idx val="13"/>
              <c:layout>
                <c:manualLayout>
                  <c:xMode val="edge"/>
                  <c:yMode val="edge"/>
                  <c:x val="0.99217603202027094"/>
                  <c:y val="8.7108088037014166E-3"/>
                </c:manualLayout>
              </c:layout>
              <c:dLblPos val="outEnd"/>
              <c:showVal val="1"/>
            </c:dLbl>
            <c:spPr>
              <a:noFill/>
              <a:ln w="25400">
                <a:noFill/>
              </a:ln>
            </c:spPr>
            <c:txPr>
              <a:bodyPr rot="-5400000" vert="horz"/>
              <a:lstStyle/>
              <a:p>
                <a:pPr algn="ctr">
                  <a:defRPr sz="900" b="1" i="0" u="none" strike="noStrike" baseline="0">
                    <a:solidFill>
                      <a:srgbClr val="000000"/>
                    </a:solidFill>
                    <a:latin typeface="CG Times"/>
                    <a:ea typeface="CG Times"/>
                    <a:cs typeface="CG Times"/>
                  </a:defRPr>
                </a:pPr>
                <a:endParaRPr lang="en-US"/>
              </a:p>
            </c:txPr>
            <c:showVal val="1"/>
          </c:dLbls>
          <c:cat>
            <c:strRef>
              <c:f>'RÉSULTsyst  '!$S$101:$S$109</c:f>
              <c:strCache>
                <c:ptCount val="9"/>
                <c:pt idx="0">
                  <c:v>UNIBK</c:v>
                </c:pt>
                <c:pt idx="1">
                  <c:v>BNC</c:v>
                </c:pt>
                <c:pt idx="2">
                  <c:v>SOGEBK</c:v>
                </c:pt>
                <c:pt idx="3">
                  <c:v>CAPITALBK</c:v>
                </c:pt>
                <c:pt idx="4">
                  <c:v>SCOTIA</c:v>
                </c:pt>
                <c:pt idx="5">
                  <c:v>SOGEBL</c:v>
                </c:pt>
                <c:pt idx="6">
                  <c:v>CBNA</c:v>
                </c:pt>
                <c:pt idx="7">
                  <c:v>BUH</c:v>
                </c:pt>
                <c:pt idx="8">
                  <c:v>BPH</c:v>
                </c:pt>
              </c:strCache>
            </c:strRef>
          </c:cat>
          <c:val>
            <c:numRef>
              <c:f>'RÉSULTsyst  '!$T$101:$T$109</c:f>
              <c:numCache>
                <c:formatCode>_(* #,##0\.0_);_(* \(#,##0\.0\);_(* "-"??_);_(@_)</c:formatCode>
                <c:ptCount val="9"/>
                <c:pt idx="0">
                  <c:v>341723.59331999999</c:v>
                </c:pt>
                <c:pt idx="1">
                  <c:v>180285.65386000002</c:v>
                </c:pt>
                <c:pt idx="2">
                  <c:v>82636.494100000127</c:v>
                </c:pt>
                <c:pt idx="3">
                  <c:v>73151</c:v>
                </c:pt>
                <c:pt idx="4">
                  <c:v>23135.7</c:v>
                </c:pt>
                <c:pt idx="5">
                  <c:v>20053.294140000009</c:v>
                </c:pt>
                <c:pt idx="6">
                  <c:v>19669</c:v>
                </c:pt>
                <c:pt idx="7">
                  <c:v>13400.425875431989</c:v>
                </c:pt>
                <c:pt idx="8">
                  <c:v>-1528.0868200000077</c:v>
                </c:pt>
              </c:numCache>
            </c:numRef>
          </c:val>
        </c:ser>
        <c:axId val="78635392"/>
        <c:axId val="78636928"/>
      </c:barChart>
      <c:catAx>
        <c:axId val="78635392"/>
        <c:scaling>
          <c:orientation val="minMax"/>
        </c:scaling>
        <c:axPos val="b"/>
        <c:numFmt formatCode="General" sourceLinked="1"/>
        <c:majorTickMark val="cross"/>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78636928"/>
        <c:crosses val="autoZero"/>
        <c:lblAlgn val="ctr"/>
        <c:lblOffset val="100"/>
        <c:tickLblSkip val="1"/>
        <c:tickMarkSkip val="1"/>
      </c:catAx>
      <c:valAx>
        <c:axId val="78636928"/>
        <c:scaling>
          <c:orientation val="minMax"/>
        </c:scaling>
        <c:axPos val="l"/>
        <c:numFmt formatCode="_(* #,##0\.0_);_(* \(#,##0\.0\);_(* &quot;-&quot;??_);_(@_)" sourceLinked="1"/>
        <c:majorTickMark val="cross"/>
        <c:tickLblPos val="none"/>
        <c:spPr>
          <a:ln w="3175">
            <a:solidFill>
              <a:srgbClr val="000000"/>
            </a:solidFill>
            <a:prstDash val="solid"/>
          </a:ln>
        </c:spPr>
        <c:crossAx val="78635392"/>
        <c:crosses val="autoZero"/>
        <c:crossBetween val="between"/>
      </c:valAx>
      <c:spPr>
        <a:noFill/>
        <a:ln w="25400">
          <a:noFill/>
        </a:ln>
      </c:spPr>
    </c:plotArea>
    <c:plotVisOnly val="1"/>
    <c:dispBlanksAs val="gap"/>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0.98425196899999956" l="0.78740157499999996" r="0.78740157499999996" t="0.98425196899999956" header="0.5" footer="0.5"/>
    <c:pageSetup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1343025</xdr:colOff>
      <xdr:row>5</xdr:row>
      <xdr:rowOff>142875</xdr:rowOff>
    </xdr:from>
    <xdr:to>
      <xdr:col>1</xdr:col>
      <xdr:colOff>5019675</xdr:colOff>
      <xdr:row>5</xdr:row>
      <xdr:rowOff>142875</xdr:rowOff>
    </xdr:to>
    <xdr:sp macro="" textlink="">
      <xdr:nvSpPr>
        <xdr:cNvPr id="16845217" name="Line 1"/>
        <xdr:cNvSpPr>
          <a:spLocks noChangeShapeType="1"/>
        </xdr:cNvSpPr>
      </xdr:nvSpPr>
      <xdr:spPr bwMode="auto">
        <a:xfrm>
          <a:off x="3048000" y="1285875"/>
          <a:ext cx="3676650" cy="0"/>
        </a:xfrm>
        <a:prstGeom prst="line">
          <a:avLst/>
        </a:prstGeom>
        <a:noFill/>
        <a:ln w="1">
          <a:solidFill>
            <a:srgbClr val="000000"/>
          </a:solidFill>
          <a:prstDash val="dash"/>
          <a:round/>
          <a:headEnd/>
          <a:tailEnd/>
        </a:ln>
      </xdr:spPr>
    </xdr:sp>
    <xdr:clientData/>
  </xdr:twoCellAnchor>
  <xdr:twoCellAnchor>
    <xdr:from>
      <xdr:col>1</xdr:col>
      <xdr:colOff>5057775</xdr:colOff>
      <xdr:row>5</xdr:row>
      <xdr:rowOff>142875</xdr:rowOff>
    </xdr:from>
    <xdr:to>
      <xdr:col>13</xdr:col>
      <xdr:colOff>295275</xdr:colOff>
      <xdr:row>5</xdr:row>
      <xdr:rowOff>142875</xdr:rowOff>
    </xdr:to>
    <xdr:sp macro="" textlink="">
      <xdr:nvSpPr>
        <xdr:cNvPr id="16845218" name="Line 2"/>
        <xdr:cNvSpPr>
          <a:spLocks noChangeShapeType="1"/>
        </xdr:cNvSpPr>
      </xdr:nvSpPr>
      <xdr:spPr bwMode="auto">
        <a:xfrm>
          <a:off x="6762750" y="1285875"/>
          <a:ext cx="7953375" cy="0"/>
        </a:xfrm>
        <a:prstGeom prst="line">
          <a:avLst/>
        </a:prstGeom>
        <a:noFill/>
        <a:ln w="1">
          <a:solidFill>
            <a:srgbClr val="000000"/>
          </a:solidFill>
          <a:prstDash val="dash"/>
          <a:round/>
          <a:headEnd/>
          <a:tailEnd/>
        </a:ln>
      </xdr:spPr>
    </xdr:sp>
    <xdr:clientData/>
  </xdr:twoCellAnchor>
  <xdr:twoCellAnchor>
    <xdr:from>
      <xdr:col>1</xdr:col>
      <xdr:colOff>1524000</xdr:colOff>
      <xdr:row>6</xdr:row>
      <xdr:rowOff>142875</xdr:rowOff>
    </xdr:from>
    <xdr:to>
      <xdr:col>13</xdr:col>
      <xdr:colOff>371475</xdr:colOff>
      <xdr:row>6</xdr:row>
      <xdr:rowOff>142875</xdr:rowOff>
    </xdr:to>
    <xdr:sp macro="" textlink="">
      <xdr:nvSpPr>
        <xdr:cNvPr id="16845219" name="Line 3"/>
        <xdr:cNvSpPr>
          <a:spLocks noChangeShapeType="1"/>
        </xdr:cNvSpPr>
      </xdr:nvSpPr>
      <xdr:spPr bwMode="auto">
        <a:xfrm>
          <a:off x="3228975" y="1485900"/>
          <a:ext cx="11563350" cy="0"/>
        </a:xfrm>
        <a:prstGeom prst="line">
          <a:avLst/>
        </a:prstGeom>
        <a:noFill/>
        <a:ln w="1">
          <a:solidFill>
            <a:srgbClr val="000000"/>
          </a:solidFill>
          <a:prstDash val="dash"/>
          <a:round/>
          <a:headEnd/>
          <a:tailEnd/>
        </a:ln>
      </xdr:spPr>
    </xdr:sp>
    <xdr:clientData/>
  </xdr:twoCellAnchor>
  <xdr:twoCellAnchor>
    <xdr:from>
      <xdr:col>1</xdr:col>
      <xdr:colOff>2533650</xdr:colOff>
      <xdr:row>54</xdr:row>
      <xdr:rowOff>133350</xdr:rowOff>
    </xdr:from>
    <xdr:to>
      <xdr:col>12</xdr:col>
      <xdr:colOff>238125</xdr:colOff>
      <xdr:row>54</xdr:row>
      <xdr:rowOff>133350</xdr:rowOff>
    </xdr:to>
    <xdr:sp macro="" textlink="">
      <xdr:nvSpPr>
        <xdr:cNvPr id="16845220" name="Line 4"/>
        <xdr:cNvSpPr>
          <a:spLocks noChangeShapeType="1"/>
        </xdr:cNvSpPr>
      </xdr:nvSpPr>
      <xdr:spPr bwMode="auto">
        <a:xfrm>
          <a:off x="4238625" y="9477375"/>
          <a:ext cx="9734550" cy="0"/>
        </a:xfrm>
        <a:prstGeom prst="line">
          <a:avLst/>
        </a:prstGeom>
        <a:noFill/>
        <a:ln w="1">
          <a:solidFill>
            <a:srgbClr val="000000"/>
          </a:solidFill>
          <a:prstDash val="dash"/>
          <a:round/>
          <a:headEnd/>
          <a:tailEnd/>
        </a:ln>
      </xdr:spPr>
    </xdr:sp>
    <xdr:clientData/>
  </xdr:twoCellAnchor>
  <xdr:twoCellAnchor>
    <xdr:from>
      <xdr:col>1</xdr:col>
      <xdr:colOff>2285999</xdr:colOff>
      <xdr:row>56</xdr:row>
      <xdr:rowOff>116206</xdr:rowOff>
    </xdr:from>
    <xdr:to>
      <xdr:col>12</xdr:col>
      <xdr:colOff>38099</xdr:colOff>
      <xdr:row>56</xdr:row>
      <xdr:rowOff>161925</xdr:rowOff>
    </xdr:to>
    <xdr:sp macro="" textlink="">
      <xdr:nvSpPr>
        <xdr:cNvPr id="16845221" name="Line 5"/>
        <xdr:cNvSpPr>
          <a:spLocks noChangeShapeType="1"/>
        </xdr:cNvSpPr>
      </xdr:nvSpPr>
      <xdr:spPr bwMode="auto">
        <a:xfrm flipV="1">
          <a:off x="3990974" y="11060431"/>
          <a:ext cx="9782175" cy="45719"/>
        </a:xfrm>
        <a:prstGeom prst="line">
          <a:avLst/>
        </a:prstGeom>
        <a:noFill/>
        <a:ln w="1">
          <a:solidFill>
            <a:srgbClr val="000000"/>
          </a:solidFill>
          <a:prstDash val="dash"/>
          <a:round/>
          <a:headEnd/>
          <a:tailEnd/>
        </a:ln>
      </xdr:spPr>
    </xdr:sp>
    <xdr:clientData/>
  </xdr:twoCellAnchor>
  <xdr:twoCellAnchor>
    <xdr:from>
      <xdr:col>1</xdr:col>
      <xdr:colOff>4124325</xdr:colOff>
      <xdr:row>64</xdr:row>
      <xdr:rowOff>95250</xdr:rowOff>
    </xdr:from>
    <xdr:to>
      <xdr:col>11</xdr:col>
      <xdr:colOff>676275</xdr:colOff>
      <xdr:row>64</xdr:row>
      <xdr:rowOff>95250</xdr:rowOff>
    </xdr:to>
    <xdr:sp macro="" textlink="">
      <xdr:nvSpPr>
        <xdr:cNvPr id="16845223" name="Line 9"/>
        <xdr:cNvSpPr>
          <a:spLocks noChangeShapeType="1"/>
        </xdr:cNvSpPr>
      </xdr:nvSpPr>
      <xdr:spPr bwMode="auto">
        <a:xfrm>
          <a:off x="5829300" y="11439525"/>
          <a:ext cx="7896225" cy="0"/>
        </a:xfrm>
        <a:prstGeom prst="line">
          <a:avLst/>
        </a:prstGeom>
        <a:noFill/>
        <a:ln w="1">
          <a:solidFill>
            <a:srgbClr val="000000"/>
          </a:solidFill>
          <a:prstDash val="dash"/>
          <a:round/>
          <a:headEnd/>
          <a:tailEnd/>
        </a:ln>
      </xdr:spPr>
    </xdr:sp>
    <xdr:clientData/>
  </xdr:twoCellAnchor>
  <xdr:twoCellAnchor>
    <xdr:from>
      <xdr:col>1</xdr:col>
      <xdr:colOff>3771900</xdr:colOff>
      <xdr:row>63</xdr:row>
      <xdr:rowOff>87629</xdr:rowOff>
    </xdr:from>
    <xdr:to>
      <xdr:col>13</xdr:col>
      <xdr:colOff>238125</xdr:colOff>
      <xdr:row>63</xdr:row>
      <xdr:rowOff>133348</xdr:rowOff>
    </xdr:to>
    <xdr:sp macro="" textlink="">
      <xdr:nvSpPr>
        <xdr:cNvPr id="16845227" name="Line 14"/>
        <xdr:cNvSpPr>
          <a:spLocks noChangeShapeType="1"/>
        </xdr:cNvSpPr>
      </xdr:nvSpPr>
      <xdr:spPr bwMode="auto">
        <a:xfrm>
          <a:off x="5476875" y="11631929"/>
          <a:ext cx="9182100" cy="45719"/>
        </a:xfrm>
        <a:prstGeom prst="line">
          <a:avLst/>
        </a:prstGeom>
        <a:noFill/>
        <a:ln w="1">
          <a:solidFill>
            <a:srgbClr val="000000"/>
          </a:solidFill>
          <a:prstDash val="dash"/>
          <a:round/>
          <a:headEnd/>
          <a:tailEnd/>
        </a:ln>
      </xdr:spPr>
    </xdr:sp>
    <xdr:clientData/>
  </xdr:twoCellAnchor>
  <xdr:twoCellAnchor>
    <xdr:from>
      <xdr:col>1</xdr:col>
      <xdr:colOff>1543050</xdr:colOff>
      <xdr:row>36</xdr:row>
      <xdr:rowOff>123825</xdr:rowOff>
    </xdr:from>
    <xdr:to>
      <xdr:col>12</xdr:col>
      <xdr:colOff>571500</xdr:colOff>
      <xdr:row>36</xdr:row>
      <xdr:rowOff>123825</xdr:rowOff>
    </xdr:to>
    <xdr:sp macro="" textlink="">
      <xdr:nvSpPr>
        <xdr:cNvPr id="16845228" name="Line 15"/>
        <xdr:cNvSpPr>
          <a:spLocks noChangeShapeType="1"/>
        </xdr:cNvSpPr>
      </xdr:nvSpPr>
      <xdr:spPr bwMode="auto">
        <a:xfrm>
          <a:off x="3248025" y="6667500"/>
          <a:ext cx="11058525" cy="0"/>
        </a:xfrm>
        <a:prstGeom prst="line">
          <a:avLst/>
        </a:prstGeom>
        <a:noFill/>
        <a:ln w="1">
          <a:solidFill>
            <a:srgbClr val="000000"/>
          </a:solidFill>
          <a:prstDash val="dash"/>
          <a:round/>
          <a:headEnd/>
          <a:tailEnd/>
        </a:ln>
      </xdr:spPr>
    </xdr:sp>
    <xdr:clientData/>
  </xdr:twoCellAnchor>
  <xdr:twoCellAnchor>
    <xdr:from>
      <xdr:col>1</xdr:col>
      <xdr:colOff>3400425</xdr:colOff>
      <xdr:row>58</xdr:row>
      <xdr:rowOff>97154</xdr:rowOff>
    </xdr:from>
    <xdr:to>
      <xdr:col>13</xdr:col>
      <xdr:colOff>161925</xdr:colOff>
      <xdr:row>58</xdr:row>
      <xdr:rowOff>142873</xdr:rowOff>
    </xdr:to>
    <xdr:sp macro="" textlink="">
      <xdr:nvSpPr>
        <xdr:cNvPr id="16845229" name="Line 16"/>
        <xdr:cNvSpPr>
          <a:spLocks noChangeShapeType="1"/>
        </xdr:cNvSpPr>
      </xdr:nvSpPr>
      <xdr:spPr bwMode="auto">
        <a:xfrm>
          <a:off x="5105400" y="10641329"/>
          <a:ext cx="9477375" cy="45719"/>
        </a:xfrm>
        <a:prstGeom prst="line">
          <a:avLst/>
        </a:prstGeom>
        <a:noFill/>
        <a:ln w="1">
          <a:solidFill>
            <a:srgbClr val="000000"/>
          </a:solidFill>
          <a:prstDash val="dash"/>
          <a:round/>
          <a:headEnd/>
          <a:tailEnd/>
        </a:ln>
      </xdr:spPr>
    </xdr:sp>
    <xdr:clientData/>
  </xdr:twoCellAnchor>
  <xdr:twoCellAnchor>
    <xdr:from>
      <xdr:col>1</xdr:col>
      <xdr:colOff>1685925</xdr:colOff>
      <xdr:row>60</xdr:row>
      <xdr:rowOff>133350</xdr:rowOff>
    </xdr:from>
    <xdr:to>
      <xdr:col>12</xdr:col>
      <xdr:colOff>333375</xdr:colOff>
      <xdr:row>60</xdr:row>
      <xdr:rowOff>133350</xdr:rowOff>
    </xdr:to>
    <xdr:sp macro="" textlink="">
      <xdr:nvSpPr>
        <xdr:cNvPr id="16845230" name="Line 17"/>
        <xdr:cNvSpPr>
          <a:spLocks noChangeShapeType="1"/>
        </xdr:cNvSpPr>
      </xdr:nvSpPr>
      <xdr:spPr bwMode="auto">
        <a:xfrm>
          <a:off x="3390900" y="11077575"/>
          <a:ext cx="10677525" cy="0"/>
        </a:xfrm>
        <a:prstGeom prst="line">
          <a:avLst/>
        </a:prstGeom>
        <a:noFill/>
        <a:ln w="1">
          <a:solidFill>
            <a:srgbClr val="000000"/>
          </a:solidFill>
          <a:prstDash val="dash"/>
          <a:round/>
          <a:headEnd/>
          <a:tailEnd/>
        </a:ln>
      </xdr:spPr>
    </xdr:sp>
    <xdr:clientData/>
  </xdr:twoCellAnchor>
  <xdr:twoCellAnchor>
    <xdr:from>
      <xdr:col>1</xdr:col>
      <xdr:colOff>5086350</xdr:colOff>
      <xdr:row>59</xdr:row>
      <xdr:rowOff>87631</xdr:rowOff>
    </xdr:from>
    <xdr:to>
      <xdr:col>13</xdr:col>
      <xdr:colOff>228600</xdr:colOff>
      <xdr:row>59</xdr:row>
      <xdr:rowOff>133350</xdr:rowOff>
    </xdr:to>
    <xdr:sp macro="" textlink="">
      <xdr:nvSpPr>
        <xdr:cNvPr id="16845231" name="Line 18"/>
        <xdr:cNvSpPr>
          <a:spLocks noChangeShapeType="1"/>
        </xdr:cNvSpPr>
      </xdr:nvSpPr>
      <xdr:spPr bwMode="auto">
        <a:xfrm>
          <a:off x="6791325" y="10831831"/>
          <a:ext cx="7858125" cy="45719"/>
        </a:xfrm>
        <a:prstGeom prst="line">
          <a:avLst/>
        </a:prstGeom>
        <a:noFill/>
        <a:ln w="1">
          <a:solidFill>
            <a:srgbClr val="000000"/>
          </a:solidFill>
          <a:prstDash val="dash"/>
          <a:round/>
          <a:headEnd/>
          <a:tailEnd/>
        </a:ln>
      </xdr:spPr>
    </xdr:sp>
    <xdr:clientData/>
  </xdr:twoCellAnchor>
  <xdr:twoCellAnchor>
    <xdr:from>
      <xdr:col>1</xdr:col>
      <xdr:colOff>3371850</xdr:colOff>
      <xdr:row>67</xdr:row>
      <xdr:rowOff>87630</xdr:rowOff>
    </xdr:from>
    <xdr:to>
      <xdr:col>13</xdr:col>
      <xdr:colOff>257175</xdr:colOff>
      <xdr:row>67</xdr:row>
      <xdr:rowOff>133349</xdr:rowOff>
    </xdr:to>
    <xdr:sp macro="" textlink="">
      <xdr:nvSpPr>
        <xdr:cNvPr id="16845232" name="Line 22"/>
        <xdr:cNvSpPr>
          <a:spLocks noChangeShapeType="1"/>
        </xdr:cNvSpPr>
      </xdr:nvSpPr>
      <xdr:spPr bwMode="auto">
        <a:xfrm flipV="1">
          <a:off x="5076825" y="12632055"/>
          <a:ext cx="9601200" cy="45719"/>
        </a:xfrm>
        <a:prstGeom prst="line">
          <a:avLst/>
        </a:prstGeom>
        <a:noFill/>
        <a:ln w="1">
          <a:solidFill>
            <a:srgbClr val="000000"/>
          </a:solidFill>
          <a:prstDash val="dash"/>
          <a:round/>
          <a:headEnd/>
          <a:tailEnd/>
        </a:ln>
      </xdr:spPr>
    </xdr:sp>
    <xdr:clientData/>
  </xdr:twoCellAnchor>
  <xdr:twoCellAnchor>
    <xdr:from>
      <xdr:col>1</xdr:col>
      <xdr:colOff>1533525</xdr:colOff>
      <xdr:row>42</xdr:row>
      <xdr:rowOff>114300</xdr:rowOff>
    </xdr:from>
    <xdr:to>
      <xdr:col>13</xdr:col>
      <xdr:colOff>314325</xdr:colOff>
      <xdr:row>42</xdr:row>
      <xdr:rowOff>114300</xdr:rowOff>
    </xdr:to>
    <xdr:sp macro="" textlink="">
      <xdr:nvSpPr>
        <xdr:cNvPr id="16845233" name="Line 27"/>
        <xdr:cNvSpPr>
          <a:spLocks noChangeShapeType="1"/>
        </xdr:cNvSpPr>
      </xdr:nvSpPr>
      <xdr:spPr bwMode="auto">
        <a:xfrm>
          <a:off x="3238500" y="7058025"/>
          <a:ext cx="11496675" cy="0"/>
        </a:xfrm>
        <a:prstGeom prst="line">
          <a:avLst/>
        </a:prstGeom>
        <a:noFill/>
        <a:ln w="1">
          <a:solidFill>
            <a:srgbClr val="000000"/>
          </a:solidFill>
          <a:prstDash val="dash"/>
          <a:round/>
          <a:headEnd/>
          <a:tailEnd/>
        </a:ln>
      </xdr:spPr>
    </xdr:sp>
    <xdr:clientData/>
  </xdr:twoCellAnchor>
  <xdr:twoCellAnchor>
    <xdr:from>
      <xdr:col>1</xdr:col>
      <xdr:colOff>1543050</xdr:colOff>
      <xdr:row>41</xdr:row>
      <xdr:rowOff>114300</xdr:rowOff>
    </xdr:from>
    <xdr:to>
      <xdr:col>13</xdr:col>
      <xdr:colOff>257175</xdr:colOff>
      <xdr:row>41</xdr:row>
      <xdr:rowOff>114300</xdr:rowOff>
    </xdr:to>
    <xdr:sp macro="" textlink="">
      <xdr:nvSpPr>
        <xdr:cNvPr id="16845234" name="Line 28"/>
        <xdr:cNvSpPr>
          <a:spLocks noChangeShapeType="1"/>
        </xdr:cNvSpPr>
      </xdr:nvSpPr>
      <xdr:spPr bwMode="auto">
        <a:xfrm>
          <a:off x="3248025" y="6858000"/>
          <a:ext cx="11430000" cy="0"/>
        </a:xfrm>
        <a:prstGeom prst="line">
          <a:avLst/>
        </a:prstGeom>
        <a:noFill/>
        <a:ln w="1">
          <a:solidFill>
            <a:srgbClr val="000000"/>
          </a:solidFill>
          <a:prstDash val="dash"/>
          <a:round/>
          <a:headEnd/>
          <a:tailEnd/>
        </a:ln>
      </xdr:spPr>
    </xdr:sp>
    <xdr:clientData/>
  </xdr:twoCellAnchor>
  <xdr:twoCellAnchor>
    <xdr:from>
      <xdr:col>1</xdr:col>
      <xdr:colOff>1685925</xdr:colOff>
      <xdr:row>23</xdr:row>
      <xdr:rowOff>104775</xdr:rowOff>
    </xdr:from>
    <xdr:to>
      <xdr:col>13</xdr:col>
      <xdr:colOff>371475</xdr:colOff>
      <xdr:row>23</xdr:row>
      <xdr:rowOff>104775</xdr:rowOff>
    </xdr:to>
    <xdr:sp macro="" textlink="">
      <xdr:nvSpPr>
        <xdr:cNvPr id="16845235" name="Line 30"/>
        <xdr:cNvSpPr>
          <a:spLocks noChangeShapeType="1"/>
        </xdr:cNvSpPr>
      </xdr:nvSpPr>
      <xdr:spPr bwMode="auto">
        <a:xfrm>
          <a:off x="3390900" y="4848225"/>
          <a:ext cx="11401425" cy="0"/>
        </a:xfrm>
        <a:prstGeom prst="line">
          <a:avLst/>
        </a:prstGeom>
        <a:noFill/>
        <a:ln w="1">
          <a:solidFill>
            <a:srgbClr val="000000"/>
          </a:solidFill>
          <a:prstDash val="dash"/>
          <a:round/>
          <a:headEnd/>
          <a:tailEnd/>
        </a:ln>
      </xdr:spPr>
    </xdr:sp>
    <xdr:clientData/>
  </xdr:twoCellAnchor>
  <xdr:twoCellAnchor>
    <xdr:from>
      <xdr:col>1</xdr:col>
      <xdr:colOff>2495550</xdr:colOff>
      <xdr:row>20</xdr:row>
      <xdr:rowOff>142875</xdr:rowOff>
    </xdr:from>
    <xdr:to>
      <xdr:col>13</xdr:col>
      <xdr:colOff>361950</xdr:colOff>
      <xdr:row>20</xdr:row>
      <xdr:rowOff>142875</xdr:rowOff>
    </xdr:to>
    <xdr:sp macro="" textlink="">
      <xdr:nvSpPr>
        <xdr:cNvPr id="16845236" name="Line 31"/>
        <xdr:cNvSpPr>
          <a:spLocks noChangeShapeType="1"/>
        </xdr:cNvSpPr>
      </xdr:nvSpPr>
      <xdr:spPr bwMode="auto">
        <a:xfrm>
          <a:off x="4200525" y="4286250"/>
          <a:ext cx="10582275" cy="0"/>
        </a:xfrm>
        <a:prstGeom prst="line">
          <a:avLst/>
        </a:prstGeom>
        <a:noFill/>
        <a:ln w="1">
          <a:solidFill>
            <a:srgbClr val="000000"/>
          </a:solidFill>
          <a:prstDash val="dash"/>
          <a:round/>
          <a:headEnd/>
          <a:tailEnd/>
        </a:ln>
      </xdr:spPr>
    </xdr:sp>
    <xdr:clientData/>
  </xdr:twoCellAnchor>
  <xdr:twoCellAnchor>
    <xdr:from>
      <xdr:col>1</xdr:col>
      <xdr:colOff>2724150</xdr:colOff>
      <xdr:row>19</xdr:row>
      <xdr:rowOff>142875</xdr:rowOff>
    </xdr:from>
    <xdr:to>
      <xdr:col>13</xdr:col>
      <xdr:colOff>361950</xdr:colOff>
      <xdr:row>19</xdr:row>
      <xdr:rowOff>142875</xdr:rowOff>
    </xdr:to>
    <xdr:sp macro="" textlink="">
      <xdr:nvSpPr>
        <xdr:cNvPr id="16845237" name="Line 32"/>
        <xdr:cNvSpPr>
          <a:spLocks noChangeShapeType="1"/>
        </xdr:cNvSpPr>
      </xdr:nvSpPr>
      <xdr:spPr bwMode="auto">
        <a:xfrm>
          <a:off x="4429125" y="4086225"/>
          <a:ext cx="10353675" cy="0"/>
        </a:xfrm>
        <a:prstGeom prst="line">
          <a:avLst/>
        </a:prstGeom>
        <a:noFill/>
        <a:ln w="1">
          <a:solidFill>
            <a:srgbClr val="000000"/>
          </a:solidFill>
          <a:prstDash val="dash"/>
          <a:round/>
          <a:headEnd/>
          <a:tailEnd/>
        </a:ln>
      </xdr:spPr>
    </xdr:sp>
    <xdr:clientData/>
  </xdr:twoCellAnchor>
  <xdr:twoCellAnchor>
    <xdr:from>
      <xdr:col>1</xdr:col>
      <xdr:colOff>1657350</xdr:colOff>
      <xdr:row>17</xdr:row>
      <xdr:rowOff>142875</xdr:rowOff>
    </xdr:from>
    <xdr:to>
      <xdr:col>13</xdr:col>
      <xdr:colOff>361950</xdr:colOff>
      <xdr:row>17</xdr:row>
      <xdr:rowOff>142875</xdr:rowOff>
    </xdr:to>
    <xdr:sp macro="" textlink="">
      <xdr:nvSpPr>
        <xdr:cNvPr id="16845238" name="Line 33"/>
        <xdr:cNvSpPr>
          <a:spLocks noChangeShapeType="1"/>
        </xdr:cNvSpPr>
      </xdr:nvSpPr>
      <xdr:spPr bwMode="auto">
        <a:xfrm>
          <a:off x="3362325" y="3686175"/>
          <a:ext cx="11420475" cy="0"/>
        </a:xfrm>
        <a:prstGeom prst="line">
          <a:avLst/>
        </a:prstGeom>
        <a:noFill/>
        <a:ln w="1">
          <a:solidFill>
            <a:srgbClr val="000000"/>
          </a:solidFill>
          <a:prstDash val="dash"/>
          <a:round/>
          <a:headEnd/>
          <a:tailEnd/>
        </a:ln>
      </xdr:spPr>
    </xdr:sp>
    <xdr:clientData/>
  </xdr:twoCellAnchor>
  <xdr:twoCellAnchor>
    <xdr:from>
      <xdr:col>1</xdr:col>
      <xdr:colOff>2105025</xdr:colOff>
      <xdr:row>16</xdr:row>
      <xdr:rowOff>142875</xdr:rowOff>
    </xdr:from>
    <xdr:to>
      <xdr:col>13</xdr:col>
      <xdr:colOff>361950</xdr:colOff>
      <xdr:row>16</xdr:row>
      <xdr:rowOff>142875</xdr:rowOff>
    </xdr:to>
    <xdr:sp macro="" textlink="">
      <xdr:nvSpPr>
        <xdr:cNvPr id="16845239" name="Line 34"/>
        <xdr:cNvSpPr>
          <a:spLocks noChangeShapeType="1"/>
        </xdr:cNvSpPr>
      </xdr:nvSpPr>
      <xdr:spPr bwMode="auto">
        <a:xfrm>
          <a:off x="3810000" y="3486150"/>
          <a:ext cx="10972800" cy="0"/>
        </a:xfrm>
        <a:prstGeom prst="line">
          <a:avLst/>
        </a:prstGeom>
        <a:noFill/>
        <a:ln w="1">
          <a:solidFill>
            <a:srgbClr val="000000"/>
          </a:solidFill>
          <a:prstDash val="dash"/>
          <a:round/>
          <a:headEnd/>
          <a:tailEnd/>
        </a:ln>
      </xdr:spPr>
    </xdr:sp>
    <xdr:clientData/>
  </xdr:twoCellAnchor>
  <xdr:twoCellAnchor>
    <xdr:from>
      <xdr:col>1</xdr:col>
      <xdr:colOff>1914525</xdr:colOff>
      <xdr:row>15</xdr:row>
      <xdr:rowOff>142875</xdr:rowOff>
    </xdr:from>
    <xdr:to>
      <xdr:col>13</xdr:col>
      <xdr:colOff>361950</xdr:colOff>
      <xdr:row>15</xdr:row>
      <xdr:rowOff>142875</xdr:rowOff>
    </xdr:to>
    <xdr:sp macro="" textlink="">
      <xdr:nvSpPr>
        <xdr:cNvPr id="16845240" name="Line 35"/>
        <xdr:cNvSpPr>
          <a:spLocks noChangeShapeType="1"/>
        </xdr:cNvSpPr>
      </xdr:nvSpPr>
      <xdr:spPr bwMode="auto">
        <a:xfrm>
          <a:off x="3619500" y="3286125"/>
          <a:ext cx="11163300" cy="0"/>
        </a:xfrm>
        <a:prstGeom prst="line">
          <a:avLst/>
        </a:prstGeom>
        <a:noFill/>
        <a:ln w="1">
          <a:solidFill>
            <a:srgbClr val="000000"/>
          </a:solidFill>
          <a:prstDash val="dash"/>
          <a:round/>
          <a:headEnd/>
          <a:tailEnd/>
        </a:ln>
      </xdr:spPr>
    </xdr:sp>
    <xdr:clientData/>
  </xdr:twoCellAnchor>
  <xdr:twoCellAnchor>
    <xdr:from>
      <xdr:col>1</xdr:col>
      <xdr:colOff>1228725</xdr:colOff>
      <xdr:row>13</xdr:row>
      <xdr:rowOff>142875</xdr:rowOff>
    </xdr:from>
    <xdr:to>
      <xdr:col>13</xdr:col>
      <xdr:colOff>361950</xdr:colOff>
      <xdr:row>13</xdr:row>
      <xdr:rowOff>142875</xdr:rowOff>
    </xdr:to>
    <xdr:sp macro="" textlink="">
      <xdr:nvSpPr>
        <xdr:cNvPr id="16845241" name="Line 36"/>
        <xdr:cNvSpPr>
          <a:spLocks noChangeShapeType="1"/>
        </xdr:cNvSpPr>
      </xdr:nvSpPr>
      <xdr:spPr bwMode="auto">
        <a:xfrm>
          <a:off x="2933700" y="2886075"/>
          <a:ext cx="11849100" cy="0"/>
        </a:xfrm>
        <a:prstGeom prst="line">
          <a:avLst/>
        </a:prstGeom>
        <a:noFill/>
        <a:ln w="1">
          <a:solidFill>
            <a:srgbClr val="000000"/>
          </a:solidFill>
          <a:prstDash val="dash"/>
          <a:round/>
          <a:headEnd/>
          <a:tailEnd/>
        </a:ln>
      </xdr:spPr>
    </xdr:sp>
    <xdr:clientData/>
  </xdr:twoCellAnchor>
  <xdr:twoCellAnchor>
    <xdr:from>
      <xdr:col>1</xdr:col>
      <xdr:colOff>1571625</xdr:colOff>
      <xdr:row>12</xdr:row>
      <xdr:rowOff>142875</xdr:rowOff>
    </xdr:from>
    <xdr:to>
      <xdr:col>13</xdr:col>
      <xdr:colOff>361950</xdr:colOff>
      <xdr:row>12</xdr:row>
      <xdr:rowOff>142875</xdr:rowOff>
    </xdr:to>
    <xdr:sp macro="" textlink="">
      <xdr:nvSpPr>
        <xdr:cNvPr id="16845242" name="Line 37"/>
        <xdr:cNvSpPr>
          <a:spLocks noChangeShapeType="1"/>
        </xdr:cNvSpPr>
      </xdr:nvSpPr>
      <xdr:spPr bwMode="auto">
        <a:xfrm>
          <a:off x="3276600" y="2686050"/>
          <a:ext cx="11506200" cy="0"/>
        </a:xfrm>
        <a:prstGeom prst="line">
          <a:avLst/>
        </a:prstGeom>
        <a:noFill/>
        <a:ln w="1">
          <a:solidFill>
            <a:srgbClr val="000000"/>
          </a:solidFill>
          <a:prstDash val="dash"/>
          <a:round/>
          <a:headEnd/>
          <a:tailEnd/>
        </a:ln>
      </xdr:spPr>
    </xdr:sp>
    <xdr:clientData/>
  </xdr:twoCellAnchor>
  <xdr:twoCellAnchor>
    <xdr:from>
      <xdr:col>1</xdr:col>
      <xdr:colOff>2238375</xdr:colOff>
      <xdr:row>7</xdr:row>
      <xdr:rowOff>142875</xdr:rowOff>
    </xdr:from>
    <xdr:to>
      <xdr:col>13</xdr:col>
      <xdr:colOff>361950</xdr:colOff>
      <xdr:row>7</xdr:row>
      <xdr:rowOff>142875</xdr:rowOff>
    </xdr:to>
    <xdr:sp macro="" textlink="">
      <xdr:nvSpPr>
        <xdr:cNvPr id="16845243" name="Line 38"/>
        <xdr:cNvSpPr>
          <a:spLocks noChangeShapeType="1"/>
        </xdr:cNvSpPr>
      </xdr:nvSpPr>
      <xdr:spPr bwMode="auto">
        <a:xfrm>
          <a:off x="3943350" y="1685925"/>
          <a:ext cx="10839450" cy="0"/>
        </a:xfrm>
        <a:prstGeom prst="line">
          <a:avLst/>
        </a:prstGeom>
        <a:noFill/>
        <a:ln w="1">
          <a:solidFill>
            <a:srgbClr val="000000"/>
          </a:solidFill>
          <a:prstDash val="dash"/>
          <a:round/>
          <a:headEnd/>
          <a:tailEnd/>
        </a:ln>
      </xdr:spPr>
    </xdr:sp>
    <xdr:clientData/>
  </xdr:twoCellAnchor>
  <xdr:twoCellAnchor>
    <xdr:from>
      <xdr:col>1</xdr:col>
      <xdr:colOff>1714500</xdr:colOff>
      <xdr:row>2</xdr:row>
      <xdr:rowOff>142875</xdr:rowOff>
    </xdr:from>
    <xdr:to>
      <xdr:col>13</xdr:col>
      <xdr:colOff>371475</xdr:colOff>
      <xdr:row>2</xdr:row>
      <xdr:rowOff>142875</xdr:rowOff>
    </xdr:to>
    <xdr:sp macro="" textlink="">
      <xdr:nvSpPr>
        <xdr:cNvPr id="16845244" name="Line 40"/>
        <xdr:cNvSpPr>
          <a:spLocks noChangeShapeType="1"/>
        </xdr:cNvSpPr>
      </xdr:nvSpPr>
      <xdr:spPr bwMode="auto">
        <a:xfrm>
          <a:off x="3419475" y="685800"/>
          <a:ext cx="11372850" cy="0"/>
        </a:xfrm>
        <a:prstGeom prst="line">
          <a:avLst/>
        </a:prstGeom>
        <a:noFill/>
        <a:ln w="1">
          <a:solidFill>
            <a:srgbClr val="000000"/>
          </a:solidFill>
          <a:prstDash val="dash"/>
          <a:round/>
          <a:headEnd/>
          <a:tailEnd/>
        </a:ln>
      </xdr:spPr>
    </xdr:sp>
    <xdr:clientData/>
  </xdr:twoCellAnchor>
  <xdr:twoCellAnchor>
    <xdr:from>
      <xdr:col>1</xdr:col>
      <xdr:colOff>2047875</xdr:colOff>
      <xdr:row>8</xdr:row>
      <xdr:rowOff>142875</xdr:rowOff>
    </xdr:from>
    <xdr:to>
      <xdr:col>13</xdr:col>
      <xdr:colOff>361950</xdr:colOff>
      <xdr:row>8</xdr:row>
      <xdr:rowOff>142875</xdr:rowOff>
    </xdr:to>
    <xdr:sp macro="" textlink="">
      <xdr:nvSpPr>
        <xdr:cNvPr id="16845245" name="Line 43"/>
        <xdr:cNvSpPr>
          <a:spLocks noChangeShapeType="1"/>
        </xdr:cNvSpPr>
      </xdr:nvSpPr>
      <xdr:spPr bwMode="auto">
        <a:xfrm>
          <a:off x="3752850" y="1885950"/>
          <a:ext cx="11029950" cy="0"/>
        </a:xfrm>
        <a:prstGeom prst="line">
          <a:avLst/>
        </a:prstGeom>
        <a:noFill/>
        <a:ln w="1">
          <a:solidFill>
            <a:srgbClr val="000000"/>
          </a:solidFill>
          <a:prstDash val="dash"/>
          <a:round/>
          <a:headEnd/>
          <a:tailEnd/>
        </a:ln>
      </xdr:spPr>
    </xdr:sp>
    <xdr:clientData/>
  </xdr:twoCellAnchor>
  <xdr:twoCellAnchor>
    <xdr:from>
      <xdr:col>1</xdr:col>
      <xdr:colOff>2143125</xdr:colOff>
      <xdr:row>9</xdr:row>
      <xdr:rowOff>142875</xdr:rowOff>
    </xdr:from>
    <xdr:to>
      <xdr:col>13</xdr:col>
      <xdr:colOff>361950</xdr:colOff>
      <xdr:row>9</xdr:row>
      <xdr:rowOff>142875</xdr:rowOff>
    </xdr:to>
    <xdr:sp macro="" textlink="">
      <xdr:nvSpPr>
        <xdr:cNvPr id="16845246" name="Line 44"/>
        <xdr:cNvSpPr>
          <a:spLocks noChangeShapeType="1"/>
        </xdr:cNvSpPr>
      </xdr:nvSpPr>
      <xdr:spPr bwMode="auto">
        <a:xfrm>
          <a:off x="3848100" y="2085975"/>
          <a:ext cx="10934700" cy="0"/>
        </a:xfrm>
        <a:prstGeom prst="line">
          <a:avLst/>
        </a:prstGeom>
        <a:noFill/>
        <a:ln w="1">
          <a:solidFill>
            <a:srgbClr val="000000"/>
          </a:solidFill>
          <a:prstDash val="dash"/>
          <a:round/>
          <a:headEnd/>
          <a:tailEnd/>
        </a:ln>
      </xdr:spPr>
    </xdr:sp>
    <xdr:clientData/>
  </xdr:twoCellAnchor>
  <xdr:twoCellAnchor>
    <xdr:from>
      <xdr:col>1</xdr:col>
      <xdr:colOff>2419350</xdr:colOff>
      <xdr:row>53</xdr:row>
      <xdr:rowOff>76199</xdr:rowOff>
    </xdr:from>
    <xdr:to>
      <xdr:col>13</xdr:col>
      <xdr:colOff>257175</xdr:colOff>
      <xdr:row>53</xdr:row>
      <xdr:rowOff>121918</xdr:rowOff>
    </xdr:to>
    <xdr:sp macro="" textlink="">
      <xdr:nvSpPr>
        <xdr:cNvPr id="16845247" name="Line 46"/>
        <xdr:cNvSpPr>
          <a:spLocks noChangeShapeType="1"/>
        </xdr:cNvSpPr>
      </xdr:nvSpPr>
      <xdr:spPr bwMode="auto">
        <a:xfrm flipV="1">
          <a:off x="4124325" y="10420349"/>
          <a:ext cx="10553700" cy="45719"/>
        </a:xfrm>
        <a:prstGeom prst="line">
          <a:avLst/>
        </a:prstGeom>
        <a:noFill/>
        <a:ln w="1">
          <a:solidFill>
            <a:srgbClr val="000000"/>
          </a:solidFill>
          <a:prstDash val="dash"/>
          <a:round/>
          <a:headEnd/>
          <a:tailEnd/>
        </a:ln>
      </xdr:spPr>
    </xdr:sp>
    <xdr:clientData/>
  </xdr:twoCellAnchor>
  <xdr:twoCellAnchor>
    <xdr:from>
      <xdr:col>1</xdr:col>
      <xdr:colOff>2371725</xdr:colOff>
      <xdr:row>52</xdr:row>
      <xdr:rowOff>76199</xdr:rowOff>
    </xdr:from>
    <xdr:to>
      <xdr:col>13</xdr:col>
      <xdr:colOff>304800</xdr:colOff>
      <xdr:row>52</xdr:row>
      <xdr:rowOff>121918</xdr:rowOff>
    </xdr:to>
    <xdr:sp macro="" textlink="">
      <xdr:nvSpPr>
        <xdr:cNvPr id="16845249" name="Line 111"/>
        <xdr:cNvSpPr>
          <a:spLocks noChangeShapeType="1"/>
        </xdr:cNvSpPr>
      </xdr:nvSpPr>
      <xdr:spPr bwMode="auto">
        <a:xfrm flipV="1">
          <a:off x="4076700" y="10220324"/>
          <a:ext cx="10648950" cy="45719"/>
        </a:xfrm>
        <a:prstGeom prst="line">
          <a:avLst/>
        </a:prstGeom>
        <a:noFill/>
        <a:ln w="1">
          <a:solidFill>
            <a:srgbClr val="000000"/>
          </a:solidFill>
          <a:prstDash val="dash"/>
          <a:round/>
          <a:headEnd/>
          <a:tailEnd/>
        </a:ln>
      </xdr:spPr>
    </xdr:sp>
    <xdr:clientData/>
  </xdr:twoCellAnchor>
  <xdr:twoCellAnchor>
    <xdr:from>
      <xdr:col>1</xdr:col>
      <xdr:colOff>1933575</xdr:colOff>
      <xdr:row>55</xdr:row>
      <xdr:rowOff>123825</xdr:rowOff>
    </xdr:from>
    <xdr:to>
      <xdr:col>13</xdr:col>
      <xdr:colOff>285750</xdr:colOff>
      <xdr:row>55</xdr:row>
      <xdr:rowOff>123825</xdr:rowOff>
    </xdr:to>
    <xdr:sp macro="" textlink="">
      <xdr:nvSpPr>
        <xdr:cNvPr id="16845250" name="Line 112"/>
        <xdr:cNvSpPr>
          <a:spLocks noChangeShapeType="1"/>
        </xdr:cNvSpPr>
      </xdr:nvSpPr>
      <xdr:spPr bwMode="auto">
        <a:xfrm>
          <a:off x="3638550" y="10067925"/>
          <a:ext cx="11068050" cy="0"/>
        </a:xfrm>
        <a:prstGeom prst="line">
          <a:avLst/>
        </a:prstGeom>
        <a:noFill/>
        <a:ln w="1">
          <a:solidFill>
            <a:srgbClr val="000000"/>
          </a:solidFill>
          <a:prstDash val="dash"/>
          <a:round/>
          <a:headEnd/>
          <a:tailEnd/>
        </a:ln>
      </xdr:spPr>
    </xdr:sp>
    <xdr:clientData/>
  </xdr:twoCellAnchor>
  <xdr:twoCellAnchor editAs="oneCell">
    <xdr:from>
      <xdr:col>0</xdr:col>
      <xdr:colOff>0</xdr:colOff>
      <xdr:row>0</xdr:row>
      <xdr:rowOff>0</xdr:rowOff>
    </xdr:from>
    <xdr:to>
      <xdr:col>1</xdr:col>
      <xdr:colOff>3486150</xdr:colOff>
      <xdr:row>0</xdr:row>
      <xdr:rowOff>200025</xdr:rowOff>
    </xdr:to>
    <xdr:pic>
      <xdr:nvPicPr>
        <xdr:cNvPr id="16845251" name="Picture 117"/>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191125" cy="200025"/>
        </a:xfrm>
        <a:prstGeom prst="rect">
          <a:avLst/>
        </a:prstGeom>
        <a:noFill/>
        <a:ln w="9525">
          <a:noFill/>
          <a:miter lim="800000"/>
          <a:headEnd/>
          <a:tailEnd/>
        </a:ln>
      </xdr:spPr>
    </xdr:pic>
    <xdr:clientData/>
  </xdr:twoCellAnchor>
  <xdr:twoCellAnchor>
    <xdr:from>
      <xdr:col>1</xdr:col>
      <xdr:colOff>1847850</xdr:colOff>
      <xdr:row>47</xdr:row>
      <xdr:rowOff>114300</xdr:rowOff>
    </xdr:from>
    <xdr:to>
      <xdr:col>12</xdr:col>
      <xdr:colOff>323850</xdr:colOff>
      <xdr:row>47</xdr:row>
      <xdr:rowOff>114300</xdr:rowOff>
    </xdr:to>
    <xdr:sp macro="" textlink="">
      <xdr:nvSpPr>
        <xdr:cNvPr id="16845252" name="Line 119"/>
        <xdr:cNvSpPr>
          <a:spLocks noChangeShapeType="1"/>
        </xdr:cNvSpPr>
      </xdr:nvSpPr>
      <xdr:spPr bwMode="auto">
        <a:xfrm>
          <a:off x="3552825" y="8058150"/>
          <a:ext cx="10506075" cy="0"/>
        </a:xfrm>
        <a:prstGeom prst="line">
          <a:avLst/>
        </a:prstGeom>
        <a:noFill/>
        <a:ln w="1">
          <a:solidFill>
            <a:srgbClr val="000000"/>
          </a:solidFill>
          <a:prstDash val="dash"/>
          <a:round/>
          <a:headEnd/>
          <a:tailEnd/>
        </a:ln>
      </xdr:spPr>
    </xdr:sp>
    <xdr:clientData/>
  </xdr:twoCellAnchor>
  <xdr:twoCellAnchor>
    <xdr:from>
      <xdr:col>1</xdr:col>
      <xdr:colOff>2419350</xdr:colOff>
      <xdr:row>34</xdr:row>
      <xdr:rowOff>104775</xdr:rowOff>
    </xdr:from>
    <xdr:to>
      <xdr:col>13</xdr:col>
      <xdr:colOff>133350</xdr:colOff>
      <xdr:row>34</xdr:row>
      <xdr:rowOff>114300</xdr:rowOff>
    </xdr:to>
    <xdr:sp macro="" textlink="">
      <xdr:nvSpPr>
        <xdr:cNvPr id="16845255" name="Line 121"/>
        <xdr:cNvSpPr>
          <a:spLocks noChangeShapeType="1"/>
        </xdr:cNvSpPr>
      </xdr:nvSpPr>
      <xdr:spPr bwMode="auto">
        <a:xfrm flipV="1">
          <a:off x="4124325" y="6248400"/>
          <a:ext cx="10429875" cy="9525"/>
        </a:xfrm>
        <a:prstGeom prst="line">
          <a:avLst/>
        </a:prstGeom>
        <a:noFill/>
        <a:ln w="1">
          <a:solidFill>
            <a:srgbClr val="000000"/>
          </a:solidFill>
          <a:prstDash val="dash"/>
          <a:round/>
          <a:headEnd/>
          <a:tailEnd/>
        </a:ln>
      </xdr:spPr>
    </xdr:sp>
    <xdr:clientData/>
  </xdr:twoCellAnchor>
  <xdr:twoCellAnchor>
    <xdr:from>
      <xdr:col>1</xdr:col>
      <xdr:colOff>1676400</xdr:colOff>
      <xdr:row>35</xdr:row>
      <xdr:rowOff>123825</xdr:rowOff>
    </xdr:from>
    <xdr:to>
      <xdr:col>13</xdr:col>
      <xdr:colOff>114300</xdr:colOff>
      <xdr:row>35</xdr:row>
      <xdr:rowOff>161925</xdr:rowOff>
    </xdr:to>
    <xdr:sp macro="" textlink="">
      <xdr:nvSpPr>
        <xdr:cNvPr id="16845257" name="Line 26"/>
        <xdr:cNvSpPr>
          <a:spLocks noChangeShapeType="1"/>
        </xdr:cNvSpPr>
      </xdr:nvSpPr>
      <xdr:spPr bwMode="auto">
        <a:xfrm>
          <a:off x="3381375" y="6467475"/>
          <a:ext cx="11153775" cy="38100"/>
        </a:xfrm>
        <a:prstGeom prst="line">
          <a:avLst/>
        </a:prstGeom>
        <a:noFill/>
        <a:ln w="1">
          <a:solidFill>
            <a:srgbClr val="000000"/>
          </a:solidFill>
          <a:prstDash val="dash"/>
          <a:round/>
          <a:headEnd/>
          <a:tailEnd/>
        </a:ln>
      </xdr:spPr>
    </xdr:sp>
    <xdr:clientData/>
  </xdr:twoCellAnchor>
  <xdr:twoCellAnchor>
    <xdr:from>
      <xdr:col>1</xdr:col>
      <xdr:colOff>2466975</xdr:colOff>
      <xdr:row>32</xdr:row>
      <xdr:rowOff>85725</xdr:rowOff>
    </xdr:from>
    <xdr:to>
      <xdr:col>13</xdr:col>
      <xdr:colOff>266700</xdr:colOff>
      <xdr:row>32</xdr:row>
      <xdr:rowOff>133350</xdr:rowOff>
    </xdr:to>
    <xdr:sp macro="" textlink="">
      <xdr:nvSpPr>
        <xdr:cNvPr id="16845258" name="Line 30"/>
        <xdr:cNvSpPr>
          <a:spLocks noChangeShapeType="1"/>
        </xdr:cNvSpPr>
      </xdr:nvSpPr>
      <xdr:spPr bwMode="auto">
        <a:xfrm flipV="1">
          <a:off x="4171950" y="5629275"/>
          <a:ext cx="10515600" cy="47625"/>
        </a:xfrm>
        <a:prstGeom prst="line">
          <a:avLst/>
        </a:prstGeom>
        <a:noFill/>
        <a:ln w="1">
          <a:solidFill>
            <a:srgbClr val="000000"/>
          </a:solidFill>
          <a:prstDash val="dash"/>
          <a:round/>
          <a:headEnd/>
          <a:tailEnd/>
        </a:ln>
      </xdr:spPr>
    </xdr:sp>
    <xdr:clientData/>
  </xdr:twoCellAnchor>
  <xdr:twoCellAnchor>
    <xdr:from>
      <xdr:col>1</xdr:col>
      <xdr:colOff>2171700</xdr:colOff>
      <xdr:row>30</xdr:row>
      <xdr:rowOff>104775</xdr:rowOff>
    </xdr:from>
    <xdr:to>
      <xdr:col>13</xdr:col>
      <xdr:colOff>266700</xdr:colOff>
      <xdr:row>30</xdr:row>
      <xdr:rowOff>114300</xdr:rowOff>
    </xdr:to>
    <xdr:sp macro="" textlink="">
      <xdr:nvSpPr>
        <xdr:cNvPr id="16845261" name="Line 121"/>
        <xdr:cNvSpPr>
          <a:spLocks noChangeShapeType="1"/>
        </xdr:cNvSpPr>
      </xdr:nvSpPr>
      <xdr:spPr bwMode="auto">
        <a:xfrm flipV="1">
          <a:off x="3876675" y="5248275"/>
          <a:ext cx="10810875" cy="9525"/>
        </a:xfrm>
        <a:prstGeom prst="line">
          <a:avLst/>
        </a:prstGeom>
        <a:noFill/>
        <a:ln w="1">
          <a:solidFill>
            <a:srgbClr val="000000"/>
          </a:solidFill>
          <a:prstDash val="dash"/>
          <a:round/>
          <a:headEnd/>
          <a:tailEnd/>
        </a:ln>
      </xdr:spPr>
    </xdr:sp>
    <xdr:clientData/>
  </xdr:twoCellAnchor>
  <xdr:twoCellAnchor>
    <xdr:from>
      <xdr:col>1</xdr:col>
      <xdr:colOff>2190750</xdr:colOff>
      <xdr:row>31</xdr:row>
      <xdr:rowOff>85725</xdr:rowOff>
    </xdr:from>
    <xdr:to>
      <xdr:col>13</xdr:col>
      <xdr:colOff>285750</xdr:colOff>
      <xdr:row>31</xdr:row>
      <xdr:rowOff>95250</xdr:rowOff>
    </xdr:to>
    <xdr:sp macro="" textlink="">
      <xdr:nvSpPr>
        <xdr:cNvPr id="16845264" name="Line 121"/>
        <xdr:cNvSpPr>
          <a:spLocks noChangeShapeType="1"/>
        </xdr:cNvSpPr>
      </xdr:nvSpPr>
      <xdr:spPr bwMode="auto">
        <a:xfrm flipV="1">
          <a:off x="3895725" y="5429250"/>
          <a:ext cx="10810875" cy="9525"/>
        </a:xfrm>
        <a:prstGeom prst="line">
          <a:avLst/>
        </a:prstGeom>
        <a:noFill/>
        <a:ln w="1">
          <a:solidFill>
            <a:srgbClr val="000000"/>
          </a:solidFill>
          <a:prstDash val="dash"/>
          <a:round/>
          <a:headEnd/>
          <a:tailEnd/>
        </a:ln>
      </xdr:spPr>
    </xdr:sp>
    <xdr:clientData/>
  </xdr:twoCellAnchor>
  <xdr:twoCellAnchor>
    <xdr:from>
      <xdr:col>1</xdr:col>
      <xdr:colOff>1990725</xdr:colOff>
      <xdr:row>65</xdr:row>
      <xdr:rowOff>114298</xdr:rowOff>
    </xdr:from>
    <xdr:to>
      <xdr:col>13</xdr:col>
      <xdr:colOff>342900</xdr:colOff>
      <xdr:row>65</xdr:row>
      <xdr:rowOff>160017</xdr:rowOff>
    </xdr:to>
    <xdr:sp macro="" textlink="">
      <xdr:nvSpPr>
        <xdr:cNvPr id="16845265" name="Line 27"/>
        <xdr:cNvSpPr>
          <a:spLocks noChangeShapeType="1"/>
        </xdr:cNvSpPr>
      </xdr:nvSpPr>
      <xdr:spPr bwMode="auto">
        <a:xfrm flipV="1">
          <a:off x="3695700" y="12258673"/>
          <a:ext cx="11068050" cy="45719"/>
        </a:xfrm>
        <a:prstGeom prst="line">
          <a:avLst/>
        </a:prstGeom>
        <a:noFill/>
        <a:ln w="1">
          <a:solidFill>
            <a:srgbClr val="000000"/>
          </a:solidFill>
          <a:prstDash val="dash"/>
          <a:round/>
          <a:headEnd/>
          <a:tailEnd/>
        </a:ln>
      </xdr:spPr>
    </xdr:sp>
    <xdr:clientData/>
  </xdr:twoCellAnchor>
  <xdr:twoCellAnchor>
    <xdr:from>
      <xdr:col>1</xdr:col>
      <xdr:colOff>2524125</xdr:colOff>
      <xdr:row>29</xdr:row>
      <xdr:rowOff>66675</xdr:rowOff>
    </xdr:from>
    <xdr:to>
      <xdr:col>13</xdr:col>
      <xdr:colOff>323850</xdr:colOff>
      <xdr:row>29</xdr:row>
      <xdr:rowOff>114300</xdr:rowOff>
    </xdr:to>
    <xdr:sp macro="" textlink="">
      <xdr:nvSpPr>
        <xdr:cNvPr id="16845267" name="Line 30"/>
        <xdr:cNvSpPr>
          <a:spLocks noChangeShapeType="1"/>
        </xdr:cNvSpPr>
      </xdr:nvSpPr>
      <xdr:spPr bwMode="auto">
        <a:xfrm flipV="1">
          <a:off x="4229100" y="5010150"/>
          <a:ext cx="10515600" cy="47625"/>
        </a:xfrm>
        <a:prstGeom prst="line">
          <a:avLst/>
        </a:prstGeom>
        <a:noFill/>
        <a:ln w="1">
          <a:solidFill>
            <a:srgbClr val="000000"/>
          </a:solidFill>
          <a:prstDash val="dash"/>
          <a:round/>
          <a:headEnd/>
          <a:tailEnd/>
        </a:ln>
      </xdr:spPr>
    </xdr:sp>
    <xdr:clientData/>
  </xdr:twoCellAnchor>
  <xdr:twoCellAnchor>
    <xdr:from>
      <xdr:col>1</xdr:col>
      <xdr:colOff>2181225</xdr:colOff>
      <xdr:row>27</xdr:row>
      <xdr:rowOff>104774</xdr:rowOff>
    </xdr:from>
    <xdr:to>
      <xdr:col>12</xdr:col>
      <xdr:colOff>504825</xdr:colOff>
      <xdr:row>27</xdr:row>
      <xdr:rowOff>150493</xdr:rowOff>
    </xdr:to>
    <xdr:sp macro="" textlink="">
      <xdr:nvSpPr>
        <xdr:cNvPr id="16845268" name="Line 27"/>
        <xdr:cNvSpPr>
          <a:spLocks noChangeShapeType="1"/>
        </xdr:cNvSpPr>
      </xdr:nvSpPr>
      <xdr:spPr bwMode="auto">
        <a:xfrm>
          <a:off x="3886200" y="5048249"/>
          <a:ext cx="10353675" cy="45719"/>
        </a:xfrm>
        <a:prstGeom prst="line">
          <a:avLst/>
        </a:prstGeom>
        <a:noFill/>
        <a:ln w="1">
          <a:solidFill>
            <a:srgbClr val="000000"/>
          </a:solidFill>
          <a:prstDash val="dash"/>
          <a:round/>
          <a:headEnd/>
          <a:tailEnd/>
        </a:ln>
      </xdr:spPr>
    </xdr:sp>
    <xdr:clientData/>
  </xdr:twoCellAnchor>
  <xdr:twoCellAnchor>
    <xdr:from>
      <xdr:col>1</xdr:col>
      <xdr:colOff>1666875</xdr:colOff>
      <xdr:row>57</xdr:row>
      <xdr:rowOff>114300</xdr:rowOff>
    </xdr:from>
    <xdr:to>
      <xdr:col>13</xdr:col>
      <xdr:colOff>0</xdr:colOff>
      <xdr:row>57</xdr:row>
      <xdr:rowOff>161925</xdr:rowOff>
    </xdr:to>
    <xdr:sp macro="" textlink="">
      <xdr:nvSpPr>
        <xdr:cNvPr id="16845269" name="Line 7"/>
        <xdr:cNvSpPr>
          <a:spLocks noChangeShapeType="1"/>
        </xdr:cNvSpPr>
      </xdr:nvSpPr>
      <xdr:spPr bwMode="auto">
        <a:xfrm>
          <a:off x="3371850" y="10058400"/>
          <a:ext cx="11049000" cy="47625"/>
        </a:xfrm>
        <a:prstGeom prst="line">
          <a:avLst/>
        </a:prstGeom>
        <a:noFill/>
        <a:ln w="1">
          <a:solidFill>
            <a:srgbClr val="000000"/>
          </a:solidFill>
          <a:prstDash val="dash"/>
          <a:round/>
          <a:headEnd/>
          <a:tailEnd/>
        </a:ln>
      </xdr:spPr>
    </xdr:sp>
    <xdr:clientData/>
  </xdr:twoCellAnchor>
  <xdr:twoCellAnchor>
    <xdr:from>
      <xdr:col>1</xdr:col>
      <xdr:colOff>2009775</xdr:colOff>
      <xdr:row>43</xdr:row>
      <xdr:rowOff>59054</xdr:rowOff>
    </xdr:from>
    <xdr:to>
      <xdr:col>13</xdr:col>
      <xdr:colOff>209550</xdr:colOff>
      <xdr:row>43</xdr:row>
      <xdr:rowOff>114299</xdr:rowOff>
    </xdr:to>
    <xdr:sp macro="" textlink="">
      <xdr:nvSpPr>
        <xdr:cNvPr id="49" name="Line 27"/>
        <xdr:cNvSpPr>
          <a:spLocks noChangeShapeType="1"/>
        </xdr:cNvSpPr>
      </xdr:nvSpPr>
      <xdr:spPr bwMode="auto">
        <a:xfrm flipV="1">
          <a:off x="3714750" y="7602854"/>
          <a:ext cx="10915650" cy="55245"/>
        </a:xfrm>
        <a:prstGeom prst="line">
          <a:avLst/>
        </a:prstGeom>
        <a:noFill/>
        <a:ln w="1">
          <a:solidFill>
            <a:srgbClr val="000000"/>
          </a:solidFill>
          <a:prstDash val="dash"/>
          <a:round/>
          <a:headEnd/>
          <a:tailEnd/>
        </a:ln>
      </xdr:spPr>
    </xdr:sp>
    <xdr:clientData/>
  </xdr:twoCellAnchor>
  <xdr:twoCellAnchor>
    <xdr:from>
      <xdr:col>1</xdr:col>
      <xdr:colOff>2562225</xdr:colOff>
      <xdr:row>48</xdr:row>
      <xdr:rowOff>47624</xdr:rowOff>
    </xdr:from>
    <xdr:to>
      <xdr:col>12</xdr:col>
      <xdr:colOff>638175</xdr:colOff>
      <xdr:row>48</xdr:row>
      <xdr:rowOff>97153</xdr:rowOff>
    </xdr:to>
    <xdr:sp macro="" textlink="">
      <xdr:nvSpPr>
        <xdr:cNvPr id="50" name="Line 27"/>
        <xdr:cNvSpPr>
          <a:spLocks noChangeShapeType="1"/>
        </xdr:cNvSpPr>
      </xdr:nvSpPr>
      <xdr:spPr bwMode="auto">
        <a:xfrm flipV="1">
          <a:off x="4267200" y="8591549"/>
          <a:ext cx="10106025" cy="49529"/>
        </a:xfrm>
        <a:prstGeom prst="line">
          <a:avLst/>
        </a:prstGeom>
        <a:noFill/>
        <a:ln w="1">
          <a:solidFill>
            <a:srgbClr val="000000"/>
          </a:solidFill>
          <a:prstDash val="dash"/>
          <a:round/>
          <a:headEnd/>
          <a:tailEnd/>
        </a:ln>
      </xdr:spPr>
    </xdr:sp>
    <xdr:clientData/>
  </xdr:twoCellAnchor>
  <xdr:twoCellAnchor>
    <xdr:from>
      <xdr:col>1</xdr:col>
      <xdr:colOff>1971675</xdr:colOff>
      <xdr:row>44</xdr:row>
      <xdr:rowOff>59054</xdr:rowOff>
    </xdr:from>
    <xdr:to>
      <xdr:col>13</xdr:col>
      <xdr:colOff>171450</xdr:colOff>
      <xdr:row>44</xdr:row>
      <xdr:rowOff>114299</xdr:rowOff>
    </xdr:to>
    <xdr:sp macro="" textlink="">
      <xdr:nvSpPr>
        <xdr:cNvPr id="51" name="Line 27"/>
        <xdr:cNvSpPr>
          <a:spLocks noChangeShapeType="1"/>
        </xdr:cNvSpPr>
      </xdr:nvSpPr>
      <xdr:spPr bwMode="auto">
        <a:xfrm flipV="1">
          <a:off x="3676650" y="7802879"/>
          <a:ext cx="10915650" cy="55245"/>
        </a:xfrm>
        <a:prstGeom prst="line">
          <a:avLst/>
        </a:prstGeom>
        <a:noFill/>
        <a:ln w="1">
          <a:solidFill>
            <a:srgbClr val="000000"/>
          </a:solidFill>
          <a:prstDash val="dash"/>
          <a:round/>
          <a:headEnd/>
          <a:tailEnd/>
        </a:ln>
      </xdr:spPr>
    </xdr:sp>
    <xdr:clientData/>
  </xdr:twoCellAnchor>
  <xdr:twoCellAnchor>
    <xdr:from>
      <xdr:col>1</xdr:col>
      <xdr:colOff>1885950</xdr:colOff>
      <xdr:row>45</xdr:row>
      <xdr:rowOff>76200</xdr:rowOff>
    </xdr:from>
    <xdr:to>
      <xdr:col>13</xdr:col>
      <xdr:colOff>85725</xdr:colOff>
      <xdr:row>45</xdr:row>
      <xdr:rowOff>131445</xdr:rowOff>
    </xdr:to>
    <xdr:sp macro="" textlink="">
      <xdr:nvSpPr>
        <xdr:cNvPr id="52" name="Line 27"/>
        <xdr:cNvSpPr>
          <a:spLocks noChangeShapeType="1"/>
        </xdr:cNvSpPr>
      </xdr:nvSpPr>
      <xdr:spPr bwMode="auto">
        <a:xfrm flipV="1">
          <a:off x="3590925" y="8020050"/>
          <a:ext cx="10915650" cy="55245"/>
        </a:xfrm>
        <a:prstGeom prst="line">
          <a:avLst/>
        </a:prstGeom>
        <a:noFill/>
        <a:ln w="1">
          <a:solidFill>
            <a:srgbClr val="000000"/>
          </a:solidFill>
          <a:prstDash val="dash"/>
          <a:round/>
          <a:headEnd/>
          <a:tailEnd/>
        </a:ln>
      </xdr:spPr>
    </xdr:sp>
    <xdr:clientData/>
  </xdr:twoCellAnchor>
  <xdr:twoCellAnchor>
    <xdr:from>
      <xdr:col>1</xdr:col>
      <xdr:colOff>1914525</xdr:colOff>
      <xdr:row>46</xdr:row>
      <xdr:rowOff>57150</xdr:rowOff>
    </xdr:from>
    <xdr:to>
      <xdr:col>13</xdr:col>
      <xdr:colOff>114300</xdr:colOff>
      <xdr:row>46</xdr:row>
      <xdr:rowOff>112395</xdr:rowOff>
    </xdr:to>
    <xdr:sp macro="" textlink="">
      <xdr:nvSpPr>
        <xdr:cNvPr id="53" name="Line 27"/>
        <xdr:cNvSpPr>
          <a:spLocks noChangeShapeType="1"/>
        </xdr:cNvSpPr>
      </xdr:nvSpPr>
      <xdr:spPr bwMode="auto">
        <a:xfrm flipV="1">
          <a:off x="3619500" y="8201025"/>
          <a:ext cx="10915650" cy="55245"/>
        </a:xfrm>
        <a:prstGeom prst="line">
          <a:avLst/>
        </a:prstGeom>
        <a:noFill/>
        <a:ln w="1">
          <a:solidFill>
            <a:srgbClr val="000000"/>
          </a:solidFill>
          <a:prstDash val="dash"/>
          <a:round/>
          <a:headEnd/>
          <a:tailEnd/>
        </a:ln>
      </xdr:spPr>
    </xdr:sp>
    <xdr:clientData/>
  </xdr:twoCellAnchor>
  <xdr:twoCellAnchor>
    <xdr:from>
      <xdr:col>1</xdr:col>
      <xdr:colOff>2476500</xdr:colOff>
      <xdr:row>28</xdr:row>
      <xdr:rowOff>76199</xdr:rowOff>
    </xdr:from>
    <xdr:to>
      <xdr:col>13</xdr:col>
      <xdr:colOff>219075</xdr:colOff>
      <xdr:row>28</xdr:row>
      <xdr:rowOff>121919</xdr:rowOff>
    </xdr:to>
    <xdr:sp macro="" textlink="">
      <xdr:nvSpPr>
        <xdr:cNvPr id="55" name="Line 27"/>
        <xdr:cNvSpPr>
          <a:spLocks noChangeShapeType="1"/>
        </xdr:cNvSpPr>
      </xdr:nvSpPr>
      <xdr:spPr bwMode="auto">
        <a:xfrm flipV="1">
          <a:off x="4181475" y="5219699"/>
          <a:ext cx="10458450" cy="45720"/>
        </a:xfrm>
        <a:prstGeom prst="line">
          <a:avLst/>
        </a:prstGeom>
        <a:noFill/>
        <a:ln w="1">
          <a:solidFill>
            <a:srgbClr val="000000"/>
          </a:solidFill>
          <a:prstDash val="dash"/>
          <a:round/>
          <a:headEnd/>
          <a:tailEnd/>
        </a:ln>
      </xdr:spPr>
    </xdr:sp>
    <xdr:clientData/>
  </xdr:twoCellAnchor>
  <xdr:twoCellAnchor>
    <xdr:from>
      <xdr:col>1</xdr:col>
      <xdr:colOff>1905000</xdr:colOff>
      <xdr:row>40</xdr:row>
      <xdr:rowOff>57150</xdr:rowOff>
    </xdr:from>
    <xdr:to>
      <xdr:col>13</xdr:col>
      <xdr:colOff>95251</xdr:colOff>
      <xdr:row>40</xdr:row>
      <xdr:rowOff>102869</xdr:rowOff>
    </xdr:to>
    <xdr:sp macro="" textlink="">
      <xdr:nvSpPr>
        <xdr:cNvPr id="56" name="Line 27"/>
        <xdr:cNvSpPr>
          <a:spLocks noChangeShapeType="1"/>
        </xdr:cNvSpPr>
      </xdr:nvSpPr>
      <xdr:spPr bwMode="auto">
        <a:xfrm flipV="1">
          <a:off x="3609975" y="8201025"/>
          <a:ext cx="10906126" cy="45719"/>
        </a:xfrm>
        <a:prstGeom prst="line">
          <a:avLst/>
        </a:prstGeom>
        <a:noFill/>
        <a:ln w="1">
          <a:solidFill>
            <a:srgbClr val="000000"/>
          </a:solidFill>
          <a:prstDash val="dash"/>
          <a:round/>
          <a:headEnd/>
          <a:tailEnd/>
        </a:ln>
      </xdr:spPr>
    </xdr:sp>
    <xdr:clientData/>
  </xdr:twoCellAnchor>
  <xdr:twoCellAnchor>
    <xdr:from>
      <xdr:col>1</xdr:col>
      <xdr:colOff>4476749</xdr:colOff>
      <xdr:row>49</xdr:row>
      <xdr:rowOff>57149</xdr:rowOff>
    </xdr:from>
    <xdr:to>
      <xdr:col>13</xdr:col>
      <xdr:colOff>228599</xdr:colOff>
      <xdr:row>49</xdr:row>
      <xdr:rowOff>102868</xdr:rowOff>
    </xdr:to>
    <xdr:sp macro="" textlink="">
      <xdr:nvSpPr>
        <xdr:cNvPr id="57" name="Line 27"/>
        <xdr:cNvSpPr>
          <a:spLocks noChangeShapeType="1"/>
        </xdr:cNvSpPr>
      </xdr:nvSpPr>
      <xdr:spPr bwMode="auto">
        <a:xfrm flipV="1">
          <a:off x="6181724" y="8801099"/>
          <a:ext cx="8467725" cy="45719"/>
        </a:xfrm>
        <a:prstGeom prst="line">
          <a:avLst/>
        </a:prstGeom>
        <a:noFill/>
        <a:ln w="1">
          <a:solidFill>
            <a:srgbClr val="000000"/>
          </a:solidFill>
          <a:prstDash val="dash"/>
          <a:round/>
          <a:headEnd/>
          <a:tailEnd/>
        </a:ln>
      </xdr:spPr>
    </xdr:sp>
    <xdr:clientData/>
  </xdr:twoCellAnchor>
  <xdr:twoCellAnchor>
    <xdr:from>
      <xdr:col>1</xdr:col>
      <xdr:colOff>2476500</xdr:colOff>
      <xdr:row>26</xdr:row>
      <xdr:rowOff>47624</xdr:rowOff>
    </xdr:from>
    <xdr:to>
      <xdr:col>13</xdr:col>
      <xdr:colOff>219075</xdr:colOff>
      <xdr:row>26</xdr:row>
      <xdr:rowOff>93344</xdr:rowOff>
    </xdr:to>
    <xdr:sp macro="" textlink="">
      <xdr:nvSpPr>
        <xdr:cNvPr id="54" name="Line 27"/>
        <xdr:cNvSpPr>
          <a:spLocks noChangeShapeType="1"/>
        </xdr:cNvSpPr>
      </xdr:nvSpPr>
      <xdr:spPr bwMode="auto">
        <a:xfrm flipV="1">
          <a:off x="4181475" y="5191124"/>
          <a:ext cx="10458450" cy="45720"/>
        </a:xfrm>
        <a:prstGeom prst="line">
          <a:avLst/>
        </a:prstGeom>
        <a:noFill/>
        <a:ln w="1">
          <a:solidFill>
            <a:srgbClr val="000000"/>
          </a:solidFill>
          <a:prstDash val="dash"/>
          <a:round/>
          <a:headEnd/>
          <a:tailEnd/>
        </a:ln>
      </xdr:spPr>
    </xdr:sp>
    <xdr:clientData/>
  </xdr:twoCellAnchor>
  <xdr:twoCellAnchor>
    <xdr:from>
      <xdr:col>1</xdr:col>
      <xdr:colOff>2571750</xdr:colOff>
      <xdr:row>25</xdr:row>
      <xdr:rowOff>47624</xdr:rowOff>
    </xdr:from>
    <xdr:to>
      <xdr:col>13</xdr:col>
      <xdr:colOff>314325</xdr:colOff>
      <xdr:row>25</xdr:row>
      <xdr:rowOff>93344</xdr:rowOff>
    </xdr:to>
    <xdr:sp macro="" textlink="">
      <xdr:nvSpPr>
        <xdr:cNvPr id="58" name="Line 27"/>
        <xdr:cNvSpPr>
          <a:spLocks noChangeShapeType="1"/>
        </xdr:cNvSpPr>
      </xdr:nvSpPr>
      <xdr:spPr bwMode="auto">
        <a:xfrm flipV="1">
          <a:off x="4276725" y="4991099"/>
          <a:ext cx="10458450" cy="45720"/>
        </a:xfrm>
        <a:prstGeom prst="line">
          <a:avLst/>
        </a:prstGeom>
        <a:noFill/>
        <a:ln w="1">
          <a:solidFill>
            <a:srgbClr val="000000"/>
          </a:solidFill>
          <a:prstDash val="dash"/>
          <a:round/>
          <a:headEnd/>
          <a:tailEnd/>
        </a:ln>
      </xdr:spPr>
    </xdr:sp>
    <xdr:clientData/>
  </xdr:twoCellAnchor>
  <xdr:twoCellAnchor>
    <xdr:from>
      <xdr:col>1</xdr:col>
      <xdr:colOff>1543050</xdr:colOff>
      <xdr:row>34</xdr:row>
      <xdr:rowOff>114300</xdr:rowOff>
    </xdr:from>
    <xdr:to>
      <xdr:col>13</xdr:col>
      <xdr:colOff>257175</xdr:colOff>
      <xdr:row>34</xdr:row>
      <xdr:rowOff>114300</xdr:rowOff>
    </xdr:to>
    <xdr:sp macro="" textlink="">
      <xdr:nvSpPr>
        <xdr:cNvPr id="59" name="Line 28"/>
        <xdr:cNvSpPr>
          <a:spLocks noChangeShapeType="1"/>
        </xdr:cNvSpPr>
      </xdr:nvSpPr>
      <xdr:spPr bwMode="auto">
        <a:xfrm>
          <a:off x="3248025" y="6858000"/>
          <a:ext cx="11430000" cy="0"/>
        </a:xfrm>
        <a:prstGeom prst="line">
          <a:avLst/>
        </a:prstGeom>
        <a:noFill/>
        <a:ln w="1">
          <a:solidFill>
            <a:srgbClr val="000000"/>
          </a:solidFill>
          <a:prstDash val="dash"/>
          <a:round/>
          <a:headEnd/>
          <a:tailEnd/>
        </a:ln>
      </xdr:spPr>
    </xdr:sp>
    <xdr:clientData/>
  </xdr:twoCellAnchor>
  <xdr:twoCellAnchor>
    <xdr:from>
      <xdr:col>1</xdr:col>
      <xdr:colOff>1666875</xdr:colOff>
      <xdr:row>38</xdr:row>
      <xdr:rowOff>85725</xdr:rowOff>
    </xdr:from>
    <xdr:to>
      <xdr:col>13</xdr:col>
      <xdr:colOff>381000</xdr:colOff>
      <xdr:row>38</xdr:row>
      <xdr:rowOff>85725</xdr:rowOff>
    </xdr:to>
    <xdr:sp macro="" textlink="">
      <xdr:nvSpPr>
        <xdr:cNvPr id="60" name="Line 28"/>
        <xdr:cNvSpPr>
          <a:spLocks noChangeShapeType="1"/>
        </xdr:cNvSpPr>
      </xdr:nvSpPr>
      <xdr:spPr bwMode="auto">
        <a:xfrm>
          <a:off x="3371850" y="7429500"/>
          <a:ext cx="11430000" cy="0"/>
        </a:xfrm>
        <a:prstGeom prst="line">
          <a:avLst/>
        </a:prstGeom>
        <a:noFill/>
        <a:ln w="1">
          <a:solidFill>
            <a:srgbClr val="000000"/>
          </a:solidFill>
          <a:prstDash val="dash"/>
          <a:round/>
          <a:headEnd/>
          <a:tailEnd/>
        </a:ln>
      </xdr:spPr>
    </xdr:sp>
    <xdr:clientData/>
  </xdr:twoCellAnchor>
  <xdr:twoCellAnchor>
    <xdr:from>
      <xdr:col>1</xdr:col>
      <xdr:colOff>1905000</xdr:colOff>
      <xdr:row>37</xdr:row>
      <xdr:rowOff>76200</xdr:rowOff>
    </xdr:from>
    <xdr:to>
      <xdr:col>13</xdr:col>
      <xdr:colOff>142875</xdr:colOff>
      <xdr:row>37</xdr:row>
      <xdr:rowOff>121919</xdr:rowOff>
    </xdr:to>
    <xdr:sp macro="" textlink="">
      <xdr:nvSpPr>
        <xdr:cNvPr id="61" name="Line 27"/>
        <xdr:cNvSpPr>
          <a:spLocks noChangeShapeType="1"/>
        </xdr:cNvSpPr>
      </xdr:nvSpPr>
      <xdr:spPr bwMode="auto">
        <a:xfrm flipV="1">
          <a:off x="3609975" y="7419975"/>
          <a:ext cx="10953750" cy="45719"/>
        </a:xfrm>
        <a:prstGeom prst="line">
          <a:avLst/>
        </a:prstGeom>
        <a:noFill/>
        <a:ln w="1">
          <a:solidFill>
            <a:srgbClr val="000000"/>
          </a:solidFill>
          <a:prstDash val="dash"/>
          <a:round/>
          <a:headEnd/>
          <a:tailEnd/>
        </a:ln>
      </xdr:spPr>
    </xdr:sp>
    <xdr:clientData/>
  </xdr:twoCellAnchor>
  <xdr:twoCellAnchor>
    <xdr:from>
      <xdr:col>1</xdr:col>
      <xdr:colOff>1733550</xdr:colOff>
      <xdr:row>39</xdr:row>
      <xdr:rowOff>85725</xdr:rowOff>
    </xdr:from>
    <xdr:to>
      <xdr:col>12</xdr:col>
      <xdr:colOff>638175</xdr:colOff>
      <xdr:row>39</xdr:row>
      <xdr:rowOff>131444</xdr:rowOff>
    </xdr:to>
    <xdr:sp macro="" textlink="">
      <xdr:nvSpPr>
        <xdr:cNvPr id="62" name="Line 27"/>
        <xdr:cNvSpPr>
          <a:spLocks noChangeShapeType="1"/>
        </xdr:cNvSpPr>
      </xdr:nvSpPr>
      <xdr:spPr bwMode="auto">
        <a:xfrm flipV="1">
          <a:off x="3438525" y="7829550"/>
          <a:ext cx="10934700" cy="45719"/>
        </a:xfrm>
        <a:prstGeom prst="line">
          <a:avLst/>
        </a:prstGeom>
        <a:noFill/>
        <a:ln w="1">
          <a:solidFill>
            <a:srgbClr val="000000"/>
          </a:solidFill>
          <a:prstDash val="dash"/>
          <a:round/>
          <a:headEnd/>
          <a:tailEnd/>
        </a:ln>
      </xdr:spPr>
    </xdr:sp>
    <xdr:clientData/>
  </xdr:twoCellAnchor>
  <xdr:twoCellAnchor>
    <xdr:from>
      <xdr:col>1</xdr:col>
      <xdr:colOff>2524124</xdr:colOff>
      <xdr:row>24</xdr:row>
      <xdr:rowOff>66675</xdr:rowOff>
    </xdr:from>
    <xdr:to>
      <xdr:col>13</xdr:col>
      <xdr:colOff>276224</xdr:colOff>
      <xdr:row>24</xdr:row>
      <xdr:rowOff>112394</xdr:rowOff>
    </xdr:to>
    <xdr:sp macro="" textlink="">
      <xdr:nvSpPr>
        <xdr:cNvPr id="63" name="Line 27"/>
        <xdr:cNvSpPr>
          <a:spLocks noChangeShapeType="1"/>
        </xdr:cNvSpPr>
      </xdr:nvSpPr>
      <xdr:spPr bwMode="auto">
        <a:xfrm flipV="1">
          <a:off x="4229099" y="5010150"/>
          <a:ext cx="10467975" cy="45719"/>
        </a:xfrm>
        <a:prstGeom prst="line">
          <a:avLst/>
        </a:prstGeom>
        <a:noFill/>
        <a:ln w="1">
          <a:solidFill>
            <a:srgbClr val="000000"/>
          </a:solidFill>
          <a:prstDash val="dash"/>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85725</xdr:rowOff>
    </xdr:from>
    <xdr:to>
      <xdr:col>18</xdr:col>
      <xdr:colOff>0</xdr:colOff>
      <xdr:row>25</xdr:row>
      <xdr:rowOff>123825</xdr:rowOff>
    </xdr:to>
    <xdr:graphicFrame macro="">
      <xdr:nvGraphicFramePr>
        <xdr:cNvPr id="14315411"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26</xdr:row>
      <xdr:rowOff>133350</xdr:rowOff>
    </xdr:from>
    <xdr:to>
      <xdr:col>17</xdr:col>
      <xdr:colOff>647700</xdr:colOff>
      <xdr:row>52</xdr:row>
      <xdr:rowOff>114300</xdr:rowOff>
    </xdr:to>
    <xdr:graphicFrame macro="">
      <xdr:nvGraphicFramePr>
        <xdr:cNvPr id="14315412"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457200</xdr:colOff>
      <xdr:row>18</xdr:row>
      <xdr:rowOff>28575</xdr:rowOff>
    </xdr:from>
    <xdr:to>
      <xdr:col>6</xdr:col>
      <xdr:colOff>266700</xdr:colOff>
      <xdr:row>19</xdr:row>
      <xdr:rowOff>66675</xdr:rowOff>
    </xdr:to>
    <xdr:sp macro="" textlink="">
      <xdr:nvSpPr>
        <xdr:cNvPr id="10" name="Texte 21"/>
        <xdr:cNvSpPr txBox="1">
          <a:spLocks noChangeArrowheads="1"/>
        </xdr:cNvSpPr>
      </xdr:nvSpPr>
      <xdr:spPr bwMode="auto">
        <a:xfrm>
          <a:off x="3886200" y="3629025"/>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900" b="0" i="0" u="none" strike="noStrike" baseline="0">
              <a:solidFill>
                <a:srgbClr val="000000"/>
              </a:solidFill>
              <a:latin typeface="CG Times"/>
            </a:rPr>
            <a:t>+10.8%</a:t>
          </a:r>
        </a:p>
      </xdr:txBody>
    </xdr:sp>
    <xdr:clientData/>
  </xdr:twoCellAnchor>
  <xdr:twoCellAnchor>
    <xdr:from>
      <xdr:col>7</xdr:col>
      <xdr:colOff>409575</xdr:colOff>
      <xdr:row>18</xdr:row>
      <xdr:rowOff>38100</xdr:rowOff>
    </xdr:from>
    <xdr:to>
      <xdr:col>8</xdr:col>
      <xdr:colOff>200025</xdr:colOff>
      <xdr:row>19</xdr:row>
      <xdr:rowOff>76200</xdr:rowOff>
    </xdr:to>
    <xdr:sp macro="" textlink="">
      <xdr:nvSpPr>
        <xdr:cNvPr id="12" name="Texte 21"/>
        <xdr:cNvSpPr txBox="1">
          <a:spLocks noChangeArrowheads="1"/>
        </xdr:cNvSpPr>
      </xdr:nvSpPr>
      <xdr:spPr bwMode="auto">
        <a:xfrm>
          <a:off x="5210175" y="3638550"/>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900" b="0" i="0" u="none" strike="noStrike" baseline="0">
              <a:solidFill>
                <a:srgbClr val="000000"/>
              </a:solidFill>
              <a:latin typeface="CG Times"/>
            </a:rPr>
            <a:t>+3</a:t>
          </a:r>
          <a:r>
            <a:rPr lang="en-US" sz="900" b="0" i="0" u="none" strike="noStrike" baseline="0">
              <a:solidFill>
                <a:schemeClr val="tx1"/>
              </a:solidFill>
              <a:latin typeface="CG Times"/>
            </a:rPr>
            <a:t>.2%</a:t>
          </a:r>
        </a:p>
      </xdr:txBody>
    </xdr:sp>
    <xdr:clientData/>
  </xdr:twoCellAnchor>
  <xdr:twoCellAnchor>
    <xdr:from>
      <xdr:col>9</xdr:col>
      <xdr:colOff>390525</xdr:colOff>
      <xdr:row>18</xdr:row>
      <xdr:rowOff>19050</xdr:rowOff>
    </xdr:from>
    <xdr:to>
      <xdr:col>10</xdr:col>
      <xdr:colOff>200025</xdr:colOff>
      <xdr:row>19</xdr:row>
      <xdr:rowOff>57150</xdr:rowOff>
    </xdr:to>
    <xdr:sp macro="" textlink="">
      <xdr:nvSpPr>
        <xdr:cNvPr id="9" name="Texte 21"/>
        <xdr:cNvSpPr txBox="1">
          <a:spLocks noChangeArrowheads="1"/>
        </xdr:cNvSpPr>
      </xdr:nvSpPr>
      <xdr:spPr bwMode="auto">
        <a:xfrm>
          <a:off x="6581775" y="3619500"/>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900" b="0" i="0" u="none" strike="noStrike" baseline="0">
              <a:solidFill>
                <a:srgbClr val="000000"/>
              </a:solidFill>
              <a:latin typeface="CG Times"/>
            </a:rPr>
            <a:t>+10</a:t>
          </a:r>
          <a:r>
            <a:rPr lang="en-US" sz="900" b="0" i="0" u="none" strike="noStrike" baseline="0">
              <a:solidFill>
                <a:schemeClr val="tx1"/>
              </a:solidFill>
              <a:latin typeface="CG Times"/>
            </a:rPr>
            <a:t>.6%</a:t>
          </a:r>
        </a:p>
      </xdr:txBody>
    </xdr:sp>
    <xdr:clientData/>
  </xdr:twoCellAnchor>
  <xdr:twoCellAnchor>
    <xdr:from>
      <xdr:col>11</xdr:col>
      <xdr:colOff>371475</xdr:colOff>
      <xdr:row>18</xdr:row>
      <xdr:rowOff>28575</xdr:rowOff>
    </xdr:from>
    <xdr:to>
      <xdr:col>12</xdr:col>
      <xdr:colOff>238125</xdr:colOff>
      <xdr:row>19</xdr:row>
      <xdr:rowOff>66675</xdr:rowOff>
    </xdr:to>
    <xdr:sp macro="" textlink="">
      <xdr:nvSpPr>
        <xdr:cNvPr id="14" name="Texte 21"/>
        <xdr:cNvSpPr txBox="1">
          <a:spLocks noChangeArrowheads="1"/>
        </xdr:cNvSpPr>
      </xdr:nvSpPr>
      <xdr:spPr bwMode="auto">
        <a:xfrm>
          <a:off x="7934325" y="3629025"/>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900" b="0" i="0" u="none" strike="noStrike" baseline="0">
              <a:solidFill>
                <a:srgbClr val="000000"/>
              </a:solidFill>
              <a:latin typeface="CG Times"/>
            </a:rPr>
            <a:t>+0</a:t>
          </a:r>
          <a:r>
            <a:rPr lang="en-US" sz="900" b="0" i="0" u="none" strike="noStrike" baseline="0">
              <a:solidFill>
                <a:schemeClr val="tx1"/>
              </a:solidFill>
              <a:latin typeface="CG Times"/>
            </a:rPr>
            <a:t>.2%</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0</xdr:row>
      <xdr:rowOff>57150</xdr:rowOff>
    </xdr:from>
    <xdr:to>
      <xdr:col>17</xdr:col>
      <xdr:colOff>647700</xdr:colOff>
      <xdr:row>25</xdr:row>
      <xdr:rowOff>95250</xdr:rowOff>
    </xdr:to>
    <xdr:graphicFrame macro="">
      <xdr:nvGraphicFramePr>
        <xdr:cNvPr id="1431848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26</xdr:row>
      <xdr:rowOff>114300</xdr:rowOff>
    </xdr:from>
    <xdr:to>
      <xdr:col>17</xdr:col>
      <xdr:colOff>609600</xdr:colOff>
      <xdr:row>52</xdr:row>
      <xdr:rowOff>161925</xdr:rowOff>
    </xdr:to>
    <xdr:graphicFrame macro="">
      <xdr:nvGraphicFramePr>
        <xdr:cNvPr id="1431848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409575</xdr:colOff>
      <xdr:row>18</xdr:row>
      <xdr:rowOff>133350</xdr:rowOff>
    </xdr:from>
    <xdr:to>
      <xdr:col>6</xdr:col>
      <xdr:colOff>228600</xdr:colOff>
      <xdr:row>20</xdr:row>
      <xdr:rowOff>0</xdr:rowOff>
    </xdr:to>
    <xdr:sp macro="" textlink="">
      <xdr:nvSpPr>
        <xdr:cNvPr id="8" name="Texte 16"/>
        <xdr:cNvSpPr txBox="1">
          <a:spLocks noChangeArrowheads="1"/>
        </xdr:cNvSpPr>
      </xdr:nvSpPr>
      <xdr:spPr bwMode="auto">
        <a:xfrm>
          <a:off x="3838575" y="3733800"/>
          <a:ext cx="50482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+1.9%</a:t>
          </a:r>
        </a:p>
      </xdr:txBody>
    </xdr:sp>
    <xdr:clientData/>
  </xdr:twoCellAnchor>
  <xdr:twoCellAnchor>
    <xdr:from>
      <xdr:col>7</xdr:col>
      <xdr:colOff>371475</xdr:colOff>
      <xdr:row>18</xdr:row>
      <xdr:rowOff>133350</xdr:rowOff>
    </xdr:from>
    <xdr:to>
      <xdr:col>8</xdr:col>
      <xdr:colOff>190500</xdr:colOff>
      <xdr:row>20</xdr:row>
      <xdr:rowOff>0</xdr:rowOff>
    </xdr:to>
    <xdr:sp macro="" textlink="">
      <xdr:nvSpPr>
        <xdr:cNvPr id="12" name="Texte 16"/>
        <xdr:cNvSpPr txBox="1">
          <a:spLocks noChangeArrowheads="1"/>
        </xdr:cNvSpPr>
      </xdr:nvSpPr>
      <xdr:spPr bwMode="auto">
        <a:xfrm>
          <a:off x="5172075" y="3733800"/>
          <a:ext cx="50482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-5</a:t>
          </a:r>
          <a:r>
            <a:rPr lang="en-US" sz="1000" b="0" i="0" u="none" strike="noStrike" baseline="0">
              <a:solidFill>
                <a:schemeClr val="tx1"/>
              </a:solidFill>
              <a:latin typeface="CG Times"/>
            </a:rPr>
            <a:t>.8%</a:t>
          </a:r>
        </a:p>
      </xdr:txBody>
    </xdr:sp>
    <xdr:clientData/>
  </xdr:twoCellAnchor>
  <xdr:twoCellAnchor>
    <xdr:from>
      <xdr:col>9</xdr:col>
      <xdr:colOff>247650</xdr:colOff>
      <xdr:row>18</xdr:row>
      <xdr:rowOff>123825</xdr:rowOff>
    </xdr:from>
    <xdr:to>
      <xdr:col>10</xdr:col>
      <xdr:colOff>66675</xdr:colOff>
      <xdr:row>19</xdr:row>
      <xdr:rowOff>190500</xdr:rowOff>
    </xdr:to>
    <xdr:sp macro="" textlink="">
      <xdr:nvSpPr>
        <xdr:cNvPr id="9" name="Texte 16"/>
        <xdr:cNvSpPr txBox="1">
          <a:spLocks noChangeArrowheads="1"/>
        </xdr:cNvSpPr>
      </xdr:nvSpPr>
      <xdr:spPr bwMode="auto">
        <a:xfrm>
          <a:off x="6419850" y="3724275"/>
          <a:ext cx="50482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+9</a:t>
          </a:r>
          <a:r>
            <a:rPr lang="en-US" sz="1000" b="0" i="0" u="none" strike="noStrike" baseline="0">
              <a:solidFill>
                <a:schemeClr val="tx1"/>
              </a:solidFill>
              <a:latin typeface="CG Times"/>
            </a:rPr>
            <a:t>.2%</a:t>
          </a:r>
        </a:p>
      </xdr:txBody>
    </xdr:sp>
    <xdr:clientData/>
  </xdr:twoCellAnchor>
  <xdr:twoCellAnchor>
    <xdr:from>
      <xdr:col>11</xdr:col>
      <xdr:colOff>238125</xdr:colOff>
      <xdr:row>18</xdr:row>
      <xdr:rowOff>161925</xdr:rowOff>
    </xdr:from>
    <xdr:to>
      <xdr:col>12</xdr:col>
      <xdr:colOff>57150</xdr:colOff>
      <xdr:row>20</xdr:row>
      <xdr:rowOff>28575</xdr:rowOff>
    </xdr:to>
    <xdr:sp macro="" textlink="">
      <xdr:nvSpPr>
        <xdr:cNvPr id="11" name="Texte 16"/>
        <xdr:cNvSpPr txBox="1">
          <a:spLocks noChangeArrowheads="1"/>
        </xdr:cNvSpPr>
      </xdr:nvSpPr>
      <xdr:spPr bwMode="auto">
        <a:xfrm>
          <a:off x="7781925" y="3762375"/>
          <a:ext cx="50482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-2.8</a:t>
          </a:r>
          <a:r>
            <a:rPr lang="en-US" sz="1000" b="0" i="0" u="none" strike="noStrike" baseline="0">
              <a:solidFill>
                <a:schemeClr val="tx1"/>
              </a:solidFill>
              <a:latin typeface="CG Time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85725</xdr:rowOff>
    </xdr:from>
    <xdr:to>
      <xdr:col>17</xdr:col>
      <xdr:colOff>619125</xdr:colOff>
      <xdr:row>25</xdr:row>
      <xdr:rowOff>123825</xdr:rowOff>
    </xdr:to>
    <xdr:graphicFrame macro="">
      <xdr:nvGraphicFramePr>
        <xdr:cNvPr id="15458289"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27</xdr:row>
      <xdr:rowOff>0</xdr:rowOff>
    </xdr:from>
    <xdr:to>
      <xdr:col>17</xdr:col>
      <xdr:colOff>542925</xdr:colOff>
      <xdr:row>53</xdr:row>
      <xdr:rowOff>0</xdr:rowOff>
    </xdr:to>
    <xdr:graphicFrame macro="">
      <xdr:nvGraphicFramePr>
        <xdr:cNvPr id="15458290" name="Chart 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485775</xdr:colOff>
      <xdr:row>21</xdr:row>
      <xdr:rowOff>85725</xdr:rowOff>
    </xdr:from>
    <xdr:to>
      <xdr:col>5</xdr:col>
      <xdr:colOff>371475</xdr:colOff>
      <xdr:row>22</xdr:row>
      <xdr:rowOff>114300</xdr:rowOff>
    </xdr:to>
    <xdr:sp macro="" textlink="">
      <xdr:nvSpPr>
        <xdr:cNvPr id="6240" name="Texte 40"/>
        <xdr:cNvSpPr txBox="1">
          <a:spLocks noChangeArrowheads="1"/>
        </xdr:cNvSpPr>
      </xdr:nvSpPr>
      <xdr:spPr bwMode="auto">
        <a:xfrm>
          <a:off x="3228975" y="4286250"/>
          <a:ext cx="571500" cy="2286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strike="noStrike">
              <a:solidFill>
                <a:srgbClr val="000000"/>
              </a:solidFill>
              <a:latin typeface="CG Times"/>
            </a:rPr>
            <a:t>Sept. 11</a:t>
          </a:r>
        </a:p>
      </xdr:txBody>
    </xdr:sp>
    <xdr:clientData/>
  </xdr:twoCellAnchor>
  <xdr:twoCellAnchor>
    <xdr:from>
      <xdr:col>13</xdr:col>
      <xdr:colOff>85725</xdr:colOff>
      <xdr:row>21</xdr:row>
      <xdr:rowOff>76200</xdr:rowOff>
    </xdr:from>
    <xdr:to>
      <xdr:col>13</xdr:col>
      <xdr:colOff>657225</xdr:colOff>
      <xdr:row>22</xdr:row>
      <xdr:rowOff>104775</xdr:rowOff>
    </xdr:to>
    <xdr:sp macro="" textlink="">
      <xdr:nvSpPr>
        <xdr:cNvPr id="15" name="Texte 40"/>
        <xdr:cNvSpPr txBox="1">
          <a:spLocks noChangeArrowheads="1"/>
        </xdr:cNvSpPr>
      </xdr:nvSpPr>
      <xdr:spPr bwMode="auto">
        <a:xfrm>
          <a:off x="9001125" y="4276725"/>
          <a:ext cx="571500" cy="2286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CG Times"/>
            </a:rPr>
            <a:t>Déc. 14</a:t>
          </a:r>
        </a:p>
      </xdr:txBody>
    </xdr:sp>
    <xdr:clientData/>
  </xdr:twoCellAnchor>
  <xdr:twoCellAnchor>
    <xdr:from>
      <xdr:col>5</xdr:col>
      <xdr:colOff>561975</xdr:colOff>
      <xdr:row>17</xdr:row>
      <xdr:rowOff>142875</xdr:rowOff>
    </xdr:from>
    <xdr:to>
      <xdr:col>6</xdr:col>
      <xdr:colOff>371475</xdr:colOff>
      <xdr:row>18</xdr:row>
      <xdr:rowOff>180975</xdr:rowOff>
    </xdr:to>
    <xdr:sp macro="" textlink="">
      <xdr:nvSpPr>
        <xdr:cNvPr id="16" name="Texte 38"/>
        <xdr:cNvSpPr txBox="1">
          <a:spLocks noChangeArrowheads="1"/>
        </xdr:cNvSpPr>
      </xdr:nvSpPr>
      <xdr:spPr bwMode="auto">
        <a:xfrm>
          <a:off x="3990975" y="3543300"/>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-0.9%</a:t>
          </a:r>
        </a:p>
      </xdr:txBody>
    </xdr:sp>
    <xdr:clientData/>
  </xdr:twoCellAnchor>
  <xdr:twoCellAnchor>
    <xdr:from>
      <xdr:col>6</xdr:col>
      <xdr:colOff>552450</xdr:colOff>
      <xdr:row>21</xdr:row>
      <xdr:rowOff>66675</xdr:rowOff>
    </xdr:from>
    <xdr:to>
      <xdr:col>7</xdr:col>
      <xdr:colOff>438150</xdr:colOff>
      <xdr:row>22</xdr:row>
      <xdr:rowOff>95250</xdr:rowOff>
    </xdr:to>
    <xdr:sp macro="" textlink="">
      <xdr:nvSpPr>
        <xdr:cNvPr id="18" name="Texte 40"/>
        <xdr:cNvSpPr txBox="1">
          <a:spLocks noChangeArrowheads="1"/>
        </xdr:cNvSpPr>
      </xdr:nvSpPr>
      <xdr:spPr bwMode="auto">
        <a:xfrm>
          <a:off x="4667250" y="4267200"/>
          <a:ext cx="571500" cy="2286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strike="noStrike">
              <a:solidFill>
                <a:srgbClr val="000000"/>
              </a:solidFill>
              <a:latin typeface="CG Times"/>
            </a:rPr>
            <a:t>Sept. 12</a:t>
          </a:r>
        </a:p>
      </xdr:txBody>
    </xdr:sp>
    <xdr:clientData/>
  </xdr:twoCellAnchor>
  <xdr:twoCellAnchor>
    <xdr:from>
      <xdr:col>7</xdr:col>
      <xdr:colOff>619125</xdr:colOff>
      <xdr:row>17</xdr:row>
      <xdr:rowOff>133350</xdr:rowOff>
    </xdr:from>
    <xdr:to>
      <xdr:col>8</xdr:col>
      <xdr:colOff>428625</xdr:colOff>
      <xdr:row>18</xdr:row>
      <xdr:rowOff>171450</xdr:rowOff>
    </xdr:to>
    <xdr:sp macro="" textlink="">
      <xdr:nvSpPr>
        <xdr:cNvPr id="13" name="Texte 38"/>
        <xdr:cNvSpPr txBox="1">
          <a:spLocks noChangeArrowheads="1"/>
        </xdr:cNvSpPr>
      </xdr:nvSpPr>
      <xdr:spPr bwMode="auto">
        <a:xfrm>
          <a:off x="5419725" y="3533775"/>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-5.2%</a:t>
          </a:r>
        </a:p>
      </xdr:txBody>
    </xdr:sp>
    <xdr:clientData/>
  </xdr:twoCellAnchor>
  <xdr:twoCellAnchor>
    <xdr:from>
      <xdr:col>9</xdr:col>
      <xdr:colOff>0</xdr:colOff>
      <xdr:row>21</xdr:row>
      <xdr:rowOff>66675</xdr:rowOff>
    </xdr:from>
    <xdr:to>
      <xdr:col>9</xdr:col>
      <xdr:colOff>571500</xdr:colOff>
      <xdr:row>22</xdr:row>
      <xdr:rowOff>104775</xdr:rowOff>
    </xdr:to>
    <xdr:sp macro="" textlink="">
      <xdr:nvSpPr>
        <xdr:cNvPr id="21" name="Texte 40"/>
        <xdr:cNvSpPr txBox="1">
          <a:spLocks noChangeArrowheads="1"/>
        </xdr:cNvSpPr>
      </xdr:nvSpPr>
      <xdr:spPr bwMode="auto">
        <a:xfrm>
          <a:off x="6172200" y="4267200"/>
          <a:ext cx="571500" cy="2381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CG Times"/>
            </a:rPr>
            <a:t>Sept. 13</a:t>
          </a:r>
        </a:p>
      </xdr:txBody>
    </xdr:sp>
    <xdr:clientData/>
  </xdr:twoCellAnchor>
  <xdr:twoCellAnchor>
    <xdr:from>
      <xdr:col>9</xdr:col>
      <xdr:colOff>666750</xdr:colOff>
      <xdr:row>17</xdr:row>
      <xdr:rowOff>152400</xdr:rowOff>
    </xdr:from>
    <xdr:to>
      <xdr:col>10</xdr:col>
      <xdr:colOff>476250</xdr:colOff>
      <xdr:row>18</xdr:row>
      <xdr:rowOff>190500</xdr:rowOff>
    </xdr:to>
    <xdr:sp macro="" textlink="">
      <xdr:nvSpPr>
        <xdr:cNvPr id="19" name="Texte 38"/>
        <xdr:cNvSpPr txBox="1">
          <a:spLocks noChangeArrowheads="1"/>
        </xdr:cNvSpPr>
      </xdr:nvSpPr>
      <xdr:spPr bwMode="auto">
        <a:xfrm>
          <a:off x="6838950" y="3552825"/>
          <a:ext cx="49530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-24.2%</a:t>
          </a:r>
        </a:p>
      </xdr:txBody>
    </xdr:sp>
    <xdr:clientData/>
  </xdr:twoCellAnchor>
  <xdr:twoCellAnchor>
    <xdr:from>
      <xdr:col>12</xdr:col>
      <xdr:colOff>95250</xdr:colOff>
      <xdr:row>17</xdr:row>
      <xdr:rowOff>171450</xdr:rowOff>
    </xdr:from>
    <xdr:to>
      <xdr:col>12</xdr:col>
      <xdr:colOff>647700</xdr:colOff>
      <xdr:row>19</xdr:row>
      <xdr:rowOff>9525</xdr:rowOff>
    </xdr:to>
    <xdr:sp macro="" textlink="">
      <xdr:nvSpPr>
        <xdr:cNvPr id="23" name="Texte 38"/>
        <xdr:cNvSpPr txBox="1">
          <a:spLocks noChangeArrowheads="1"/>
        </xdr:cNvSpPr>
      </xdr:nvSpPr>
      <xdr:spPr bwMode="auto">
        <a:xfrm>
          <a:off x="8324850" y="3571875"/>
          <a:ext cx="55245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+46.6%</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0.60689</cdr:x>
      <cdr:y>0.83365</cdr:y>
    </cdr:from>
    <cdr:to>
      <cdr:x>0.65388</cdr:x>
      <cdr:y>0.87902</cdr:y>
    </cdr:to>
    <cdr:sp macro="" textlink="">
      <cdr:nvSpPr>
        <cdr:cNvPr id="2" name="Texte 40"/>
        <cdr:cNvSpPr txBox="1">
          <a:spLocks xmlns:a="http://schemas.openxmlformats.org/drawingml/2006/main" noChangeArrowheads="1"/>
        </cdr:cNvSpPr>
      </cdr:nvSpPr>
      <cdr:spPr bwMode="auto">
        <a:xfrm xmlns:a="http://schemas.openxmlformats.org/drawingml/2006/main">
          <a:off x="7381824" y="4200540"/>
          <a:ext cx="571560" cy="228607"/>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wrap="square" lIns="27432" tIns="22860" rIns="0"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000" b="1" i="0" u="none" strike="noStrike" baseline="0">
              <a:solidFill>
                <a:srgbClr val="000000"/>
              </a:solidFill>
              <a:latin typeface="CG Times"/>
            </a:rPr>
            <a:t>Sept. 14</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133350</xdr:colOff>
      <xdr:row>0</xdr:row>
      <xdr:rowOff>57150</xdr:rowOff>
    </xdr:from>
    <xdr:to>
      <xdr:col>17</xdr:col>
      <xdr:colOff>666750</xdr:colOff>
      <xdr:row>25</xdr:row>
      <xdr:rowOff>95250</xdr:rowOff>
    </xdr:to>
    <xdr:graphicFrame macro="">
      <xdr:nvGraphicFramePr>
        <xdr:cNvPr id="1432360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27</xdr:row>
      <xdr:rowOff>0</xdr:rowOff>
    </xdr:from>
    <xdr:to>
      <xdr:col>17</xdr:col>
      <xdr:colOff>590550</xdr:colOff>
      <xdr:row>52</xdr:row>
      <xdr:rowOff>0</xdr:rowOff>
    </xdr:to>
    <xdr:graphicFrame macro="">
      <xdr:nvGraphicFramePr>
        <xdr:cNvPr id="14323603"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303160</xdr:colOff>
      <xdr:row>18</xdr:row>
      <xdr:rowOff>78248</xdr:rowOff>
    </xdr:from>
    <xdr:to>
      <xdr:col>6</xdr:col>
      <xdr:colOff>131710</xdr:colOff>
      <xdr:row>19</xdr:row>
      <xdr:rowOff>87773</xdr:rowOff>
    </xdr:to>
    <xdr:sp macro="" textlink="">
      <xdr:nvSpPr>
        <xdr:cNvPr id="9" name="Texte 20"/>
        <xdr:cNvSpPr txBox="1">
          <a:spLocks noChangeArrowheads="1"/>
        </xdr:cNvSpPr>
      </xdr:nvSpPr>
      <xdr:spPr bwMode="auto">
        <a:xfrm>
          <a:off x="3734208" y="3765345"/>
          <a:ext cx="514760" cy="214363"/>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+34.0%</a:t>
          </a:r>
        </a:p>
      </xdr:txBody>
    </xdr:sp>
    <xdr:clientData/>
  </xdr:twoCellAnchor>
  <xdr:twoCellAnchor>
    <xdr:from>
      <xdr:col>9</xdr:col>
      <xdr:colOff>515373</xdr:colOff>
      <xdr:row>18</xdr:row>
      <xdr:rowOff>51823</xdr:rowOff>
    </xdr:from>
    <xdr:to>
      <xdr:col>10</xdr:col>
      <xdr:colOff>343923</xdr:colOff>
      <xdr:row>19</xdr:row>
      <xdr:rowOff>61348</xdr:rowOff>
    </xdr:to>
    <xdr:sp macro="" textlink="">
      <xdr:nvSpPr>
        <xdr:cNvPr id="10" name="Texte 20"/>
        <xdr:cNvSpPr txBox="1">
          <a:spLocks noChangeArrowheads="1"/>
        </xdr:cNvSpPr>
      </xdr:nvSpPr>
      <xdr:spPr bwMode="auto">
        <a:xfrm>
          <a:off x="6711744" y="3738920"/>
          <a:ext cx="514760" cy="214363"/>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+9.7%</a:t>
          </a:r>
        </a:p>
      </xdr:txBody>
    </xdr:sp>
    <xdr:clientData/>
  </xdr:twoCellAnchor>
  <xdr:twoCellAnchor>
    <xdr:from>
      <xdr:col>7</xdr:col>
      <xdr:colOff>383662</xdr:colOff>
      <xdr:row>18</xdr:row>
      <xdr:rowOff>81832</xdr:rowOff>
    </xdr:from>
    <xdr:to>
      <xdr:col>8</xdr:col>
      <xdr:colOff>212213</xdr:colOff>
      <xdr:row>19</xdr:row>
      <xdr:rowOff>91357</xdr:rowOff>
    </xdr:to>
    <xdr:sp macro="" textlink="">
      <xdr:nvSpPr>
        <xdr:cNvPr id="12" name="Texte 20"/>
        <xdr:cNvSpPr txBox="1">
          <a:spLocks noChangeArrowheads="1"/>
        </xdr:cNvSpPr>
      </xdr:nvSpPr>
      <xdr:spPr bwMode="auto">
        <a:xfrm>
          <a:off x="5187130" y="3768929"/>
          <a:ext cx="514760" cy="214363"/>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+19.9%</a:t>
          </a:r>
        </a:p>
      </xdr:txBody>
    </xdr:sp>
    <xdr:clientData/>
  </xdr:twoCellAnchor>
  <xdr:twoCellAnchor>
    <xdr:from>
      <xdr:col>12</xdr:col>
      <xdr:colOff>11058</xdr:colOff>
      <xdr:row>18</xdr:row>
      <xdr:rowOff>80092</xdr:rowOff>
    </xdr:from>
    <xdr:to>
      <xdr:col>12</xdr:col>
      <xdr:colOff>525818</xdr:colOff>
      <xdr:row>19</xdr:row>
      <xdr:rowOff>89617</xdr:rowOff>
    </xdr:to>
    <xdr:sp macro="" textlink="">
      <xdr:nvSpPr>
        <xdr:cNvPr id="14" name="Texte 20"/>
        <xdr:cNvSpPr txBox="1">
          <a:spLocks noChangeArrowheads="1"/>
        </xdr:cNvSpPr>
      </xdr:nvSpPr>
      <xdr:spPr bwMode="auto">
        <a:xfrm>
          <a:off x="8266058" y="3767189"/>
          <a:ext cx="514760" cy="214363"/>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+2.4%</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123825</xdr:colOff>
      <xdr:row>0</xdr:row>
      <xdr:rowOff>57150</xdr:rowOff>
    </xdr:from>
    <xdr:to>
      <xdr:col>17</xdr:col>
      <xdr:colOff>657225</xdr:colOff>
      <xdr:row>25</xdr:row>
      <xdr:rowOff>95250</xdr:rowOff>
    </xdr:to>
    <xdr:graphicFrame macro="">
      <xdr:nvGraphicFramePr>
        <xdr:cNvPr id="1432667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26</xdr:row>
      <xdr:rowOff>142875</xdr:rowOff>
    </xdr:from>
    <xdr:to>
      <xdr:col>17</xdr:col>
      <xdr:colOff>638175</xdr:colOff>
      <xdr:row>52</xdr:row>
      <xdr:rowOff>142875</xdr:rowOff>
    </xdr:to>
    <xdr:graphicFrame macro="">
      <xdr:nvGraphicFramePr>
        <xdr:cNvPr id="14326675"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465468</xdr:colOff>
      <xdr:row>19</xdr:row>
      <xdr:rowOff>83841</xdr:rowOff>
    </xdr:from>
    <xdr:to>
      <xdr:col>6</xdr:col>
      <xdr:colOff>274968</xdr:colOff>
      <xdr:row>20</xdr:row>
      <xdr:rowOff>131466</xdr:rowOff>
    </xdr:to>
    <xdr:sp macro="" textlink="">
      <xdr:nvSpPr>
        <xdr:cNvPr id="9" name="Texte 19"/>
        <xdr:cNvSpPr txBox="1">
          <a:spLocks noChangeArrowheads="1"/>
        </xdr:cNvSpPr>
      </xdr:nvSpPr>
      <xdr:spPr bwMode="auto">
        <a:xfrm>
          <a:off x="3919589" y="3862440"/>
          <a:ext cx="500324" cy="246499"/>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+8.3%</a:t>
          </a:r>
        </a:p>
      </xdr:txBody>
    </xdr:sp>
    <xdr:clientData/>
  </xdr:twoCellAnchor>
  <xdr:twoCellAnchor>
    <xdr:from>
      <xdr:col>9</xdr:col>
      <xdr:colOff>487448</xdr:colOff>
      <xdr:row>19</xdr:row>
      <xdr:rowOff>32344</xdr:rowOff>
    </xdr:from>
    <xdr:to>
      <xdr:col>10</xdr:col>
      <xdr:colOff>296948</xdr:colOff>
      <xdr:row>20</xdr:row>
      <xdr:rowOff>79969</xdr:rowOff>
    </xdr:to>
    <xdr:sp macro="" textlink="">
      <xdr:nvSpPr>
        <xdr:cNvPr id="10" name="Texte 19"/>
        <xdr:cNvSpPr txBox="1">
          <a:spLocks noChangeArrowheads="1"/>
        </xdr:cNvSpPr>
      </xdr:nvSpPr>
      <xdr:spPr bwMode="auto">
        <a:xfrm>
          <a:off x="6704866" y="3810943"/>
          <a:ext cx="500324" cy="246499"/>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+8</a:t>
          </a:r>
          <a:r>
            <a:rPr lang="en-US" sz="1000" b="0" i="0" u="none" strike="noStrike" baseline="0">
              <a:solidFill>
                <a:schemeClr val="tx1"/>
              </a:solidFill>
              <a:latin typeface="CG Times"/>
            </a:rPr>
            <a:t>.2%</a:t>
          </a:r>
        </a:p>
      </xdr:txBody>
    </xdr:sp>
    <xdr:clientData/>
  </xdr:twoCellAnchor>
  <xdr:twoCellAnchor>
    <xdr:from>
      <xdr:col>7</xdr:col>
      <xdr:colOff>488182</xdr:colOff>
      <xdr:row>19</xdr:row>
      <xdr:rowOff>61861</xdr:rowOff>
    </xdr:from>
    <xdr:to>
      <xdr:col>8</xdr:col>
      <xdr:colOff>297682</xdr:colOff>
      <xdr:row>20</xdr:row>
      <xdr:rowOff>109486</xdr:rowOff>
    </xdr:to>
    <xdr:sp macro="" textlink="">
      <xdr:nvSpPr>
        <xdr:cNvPr id="12" name="Texte 19"/>
        <xdr:cNvSpPr txBox="1">
          <a:spLocks noChangeArrowheads="1"/>
        </xdr:cNvSpPr>
      </xdr:nvSpPr>
      <xdr:spPr bwMode="auto">
        <a:xfrm>
          <a:off x="5323951" y="3840460"/>
          <a:ext cx="500324" cy="246499"/>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-0</a:t>
          </a:r>
          <a:r>
            <a:rPr lang="en-US" sz="1000" b="0" i="0" u="none" strike="noStrike" baseline="0">
              <a:solidFill>
                <a:schemeClr val="tx1"/>
              </a:solidFill>
              <a:latin typeface="CG Times"/>
            </a:rPr>
            <a:t>.8%</a:t>
          </a:r>
        </a:p>
      </xdr:txBody>
    </xdr:sp>
    <xdr:clientData/>
  </xdr:twoCellAnchor>
  <xdr:twoCellAnchor>
    <xdr:from>
      <xdr:col>11</xdr:col>
      <xdr:colOff>499172</xdr:colOff>
      <xdr:row>19</xdr:row>
      <xdr:rowOff>33601</xdr:rowOff>
    </xdr:from>
    <xdr:to>
      <xdr:col>12</xdr:col>
      <xdr:colOff>308672</xdr:colOff>
      <xdr:row>20</xdr:row>
      <xdr:rowOff>81226</xdr:rowOff>
    </xdr:to>
    <xdr:sp macro="" textlink="">
      <xdr:nvSpPr>
        <xdr:cNvPr id="14" name="Texte 19"/>
        <xdr:cNvSpPr txBox="1">
          <a:spLocks noChangeArrowheads="1"/>
        </xdr:cNvSpPr>
      </xdr:nvSpPr>
      <xdr:spPr bwMode="auto">
        <a:xfrm>
          <a:off x="8098238" y="3812200"/>
          <a:ext cx="500324" cy="246499"/>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+0</a:t>
          </a:r>
          <a:r>
            <a:rPr lang="en-US" sz="1000" b="0" i="0" u="none" strike="noStrike" baseline="0">
              <a:solidFill>
                <a:schemeClr val="tx1"/>
              </a:solidFill>
              <a:latin typeface="CG Times"/>
            </a:rPr>
            <a:t>.6%</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0</xdr:row>
      <xdr:rowOff>47625</xdr:rowOff>
    </xdr:from>
    <xdr:to>
      <xdr:col>18</xdr:col>
      <xdr:colOff>0</xdr:colOff>
      <xdr:row>25</xdr:row>
      <xdr:rowOff>85725</xdr:rowOff>
    </xdr:to>
    <xdr:graphicFrame macro="">
      <xdr:nvGraphicFramePr>
        <xdr:cNvPr id="14329747"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209550</xdr:colOff>
      <xdr:row>26</xdr:row>
      <xdr:rowOff>114300</xdr:rowOff>
    </xdr:from>
    <xdr:to>
      <xdr:col>17</xdr:col>
      <xdr:colOff>628650</xdr:colOff>
      <xdr:row>52</xdr:row>
      <xdr:rowOff>142875</xdr:rowOff>
    </xdr:to>
    <xdr:graphicFrame macro="">
      <xdr:nvGraphicFramePr>
        <xdr:cNvPr id="14329748"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600075</xdr:colOff>
      <xdr:row>16</xdr:row>
      <xdr:rowOff>66675</xdr:rowOff>
    </xdr:from>
    <xdr:to>
      <xdr:col>6</xdr:col>
      <xdr:colOff>428625</xdr:colOff>
      <xdr:row>17</xdr:row>
      <xdr:rowOff>114300</xdr:rowOff>
    </xdr:to>
    <xdr:sp macro="" textlink="">
      <xdr:nvSpPr>
        <xdr:cNvPr id="8" name="Texte 16"/>
        <xdr:cNvSpPr txBox="1">
          <a:spLocks noChangeArrowheads="1"/>
        </xdr:cNvSpPr>
      </xdr:nvSpPr>
      <xdr:spPr bwMode="auto">
        <a:xfrm>
          <a:off x="4029075" y="3267075"/>
          <a:ext cx="514350" cy="24765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+9.4%</a:t>
          </a:r>
        </a:p>
      </xdr:txBody>
    </xdr:sp>
    <xdr:clientData/>
  </xdr:twoCellAnchor>
  <xdr:twoCellAnchor>
    <xdr:from>
      <xdr:col>7</xdr:col>
      <xdr:colOff>647701</xdr:colOff>
      <xdr:row>16</xdr:row>
      <xdr:rowOff>76200</xdr:rowOff>
    </xdr:from>
    <xdr:to>
      <xdr:col>8</xdr:col>
      <xdr:colOff>438151</xdr:colOff>
      <xdr:row>17</xdr:row>
      <xdr:rowOff>123825</xdr:rowOff>
    </xdr:to>
    <xdr:sp macro="" textlink="">
      <xdr:nvSpPr>
        <xdr:cNvPr id="14" name="Texte 16"/>
        <xdr:cNvSpPr txBox="1">
          <a:spLocks noChangeArrowheads="1"/>
        </xdr:cNvSpPr>
      </xdr:nvSpPr>
      <xdr:spPr bwMode="auto">
        <a:xfrm>
          <a:off x="5448301" y="3276600"/>
          <a:ext cx="476250" cy="24765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-13</a:t>
          </a:r>
          <a:r>
            <a:rPr lang="en-US" sz="1000" b="0" i="0" u="none" strike="noStrike" baseline="0">
              <a:solidFill>
                <a:schemeClr val="tx1"/>
              </a:solidFill>
              <a:latin typeface="CG Times"/>
            </a:rPr>
            <a:t>.1%</a:t>
          </a:r>
        </a:p>
      </xdr:txBody>
    </xdr:sp>
    <xdr:clientData/>
  </xdr:twoCellAnchor>
  <xdr:twoCellAnchor>
    <xdr:from>
      <xdr:col>10</xdr:col>
      <xdr:colOff>38100</xdr:colOff>
      <xdr:row>16</xdr:row>
      <xdr:rowOff>66675</xdr:rowOff>
    </xdr:from>
    <xdr:to>
      <xdr:col>10</xdr:col>
      <xdr:colOff>552450</xdr:colOff>
      <xdr:row>17</xdr:row>
      <xdr:rowOff>114300</xdr:rowOff>
    </xdr:to>
    <xdr:sp macro="" textlink="">
      <xdr:nvSpPr>
        <xdr:cNvPr id="13" name="Texte 16"/>
        <xdr:cNvSpPr txBox="1">
          <a:spLocks noChangeArrowheads="1"/>
        </xdr:cNvSpPr>
      </xdr:nvSpPr>
      <xdr:spPr bwMode="auto">
        <a:xfrm>
          <a:off x="6896100" y="3267075"/>
          <a:ext cx="514350" cy="24765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+12</a:t>
          </a:r>
          <a:r>
            <a:rPr lang="en-US" sz="1000" b="0" i="0" u="none" strike="noStrike" baseline="0">
              <a:solidFill>
                <a:schemeClr val="tx1"/>
              </a:solidFill>
              <a:latin typeface="CG Times"/>
            </a:rPr>
            <a:t>.5%</a:t>
          </a:r>
        </a:p>
      </xdr:txBody>
    </xdr:sp>
    <xdr:clientData/>
  </xdr:twoCellAnchor>
  <xdr:twoCellAnchor>
    <xdr:from>
      <xdr:col>9</xdr:col>
      <xdr:colOff>485775</xdr:colOff>
      <xdr:row>10</xdr:row>
      <xdr:rowOff>66675</xdr:rowOff>
    </xdr:from>
    <xdr:to>
      <xdr:col>10</xdr:col>
      <xdr:colOff>200025</xdr:colOff>
      <xdr:row>21</xdr:row>
      <xdr:rowOff>26669</xdr:rowOff>
    </xdr:to>
    <xdr:sp macro="" textlink="">
      <xdr:nvSpPr>
        <xdr:cNvPr id="16" name="Rectangle 15"/>
        <xdr:cNvSpPr/>
      </xdr:nvSpPr>
      <xdr:spPr bwMode="auto">
        <a:xfrm>
          <a:off x="6657975" y="2066925"/>
          <a:ext cx="400050" cy="2160269"/>
        </a:xfrm>
        <a:prstGeom prst="rect">
          <a:avLst/>
        </a:prstGeom>
        <a:noFill/>
        <a:ln w="9525" cap="flat" cmpd="sng" algn="ctr">
          <a:noFill/>
          <a:prstDash val="solid"/>
          <a:round/>
          <a:headEnd type="none" w="med" len="med"/>
          <a:tailEnd type="none" w="med" len="med"/>
        </a:ln>
        <a:effectLst/>
      </xdr:spPr>
      <xdr:txBody>
        <a:bodyPr vertOverflow="clip" vert="vert270" wrap="square" lIns="18288" tIns="0" rIns="0" bIns="0" rtlCol="0" anchor="ctr" upright="1"/>
        <a:lstStyle/>
        <a:p>
          <a:pPr algn="ctr"/>
          <a:endParaRPr lang="en-US" sz="1100"/>
        </a:p>
      </xdr:txBody>
    </xdr:sp>
    <xdr:clientData/>
  </xdr:twoCellAnchor>
  <xdr:twoCellAnchor>
    <xdr:from>
      <xdr:col>12</xdr:col>
      <xdr:colOff>114300</xdr:colOff>
      <xdr:row>16</xdr:row>
      <xdr:rowOff>66675</xdr:rowOff>
    </xdr:from>
    <xdr:to>
      <xdr:col>12</xdr:col>
      <xdr:colOff>628650</xdr:colOff>
      <xdr:row>17</xdr:row>
      <xdr:rowOff>114300</xdr:rowOff>
    </xdr:to>
    <xdr:sp macro="" textlink="">
      <xdr:nvSpPr>
        <xdr:cNvPr id="18" name="Texte 16"/>
        <xdr:cNvSpPr txBox="1">
          <a:spLocks noChangeArrowheads="1"/>
        </xdr:cNvSpPr>
      </xdr:nvSpPr>
      <xdr:spPr bwMode="auto">
        <a:xfrm>
          <a:off x="8353425" y="3267075"/>
          <a:ext cx="514350" cy="24765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-0</a:t>
          </a:r>
          <a:r>
            <a:rPr lang="en-US" sz="1000" b="0" i="0" u="none" strike="noStrike" baseline="0">
              <a:solidFill>
                <a:schemeClr val="tx1"/>
              </a:solidFill>
              <a:latin typeface="CG Times"/>
            </a:rPr>
            <a:t>.8%</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0</xdr:row>
      <xdr:rowOff>57150</xdr:rowOff>
    </xdr:from>
    <xdr:to>
      <xdr:col>17</xdr:col>
      <xdr:colOff>657225</xdr:colOff>
      <xdr:row>25</xdr:row>
      <xdr:rowOff>95250</xdr:rowOff>
    </xdr:to>
    <xdr:graphicFrame macro="">
      <xdr:nvGraphicFramePr>
        <xdr:cNvPr id="1573420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26</xdr:row>
      <xdr:rowOff>9524</xdr:rowOff>
    </xdr:from>
    <xdr:to>
      <xdr:col>17</xdr:col>
      <xdr:colOff>466725</xdr:colOff>
      <xdr:row>53</xdr:row>
      <xdr:rowOff>47624</xdr:rowOff>
    </xdr:to>
    <xdr:graphicFrame macro="">
      <xdr:nvGraphicFramePr>
        <xdr:cNvPr id="15734207"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371475</xdr:colOff>
      <xdr:row>17</xdr:row>
      <xdr:rowOff>190500</xdr:rowOff>
    </xdr:from>
    <xdr:to>
      <xdr:col>6</xdr:col>
      <xdr:colOff>247650</xdr:colOff>
      <xdr:row>19</xdr:row>
      <xdr:rowOff>57150</xdr:rowOff>
    </xdr:to>
    <xdr:sp macro="" textlink="">
      <xdr:nvSpPr>
        <xdr:cNvPr id="10" name="Texte 20"/>
        <xdr:cNvSpPr txBox="1">
          <a:spLocks noChangeArrowheads="1"/>
        </xdr:cNvSpPr>
      </xdr:nvSpPr>
      <xdr:spPr bwMode="auto">
        <a:xfrm>
          <a:off x="3800475" y="3590925"/>
          <a:ext cx="56197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+14.9%</a:t>
          </a:r>
        </a:p>
      </xdr:txBody>
    </xdr:sp>
    <xdr:clientData/>
  </xdr:twoCellAnchor>
  <xdr:twoCellAnchor>
    <xdr:from>
      <xdr:col>9</xdr:col>
      <xdr:colOff>476250</xdr:colOff>
      <xdr:row>18</xdr:row>
      <xdr:rowOff>0</xdr:rowOff>
    </xdr:from>
    <xdr:to>
      <xdr:col>10</xdr:col>
      <xdr:colOff>352425</xdr:colOff>
      <xdr:row>19</xdr:row>
      <xdr:rowOff>66675</xdr:rowOff>
    </xdr:to>
    <xdr:sp macro="" textlink="">
      <xdr:nvSpPr>
        <xdr:cNvPr id="11" name="Texte 20"/>
        <xdr:cNvSpPr txBox="1">
          <a:spLocks noChangeArrowheads="1"/>
        </xdr:cNvSpPr>
      </xdr:nvSpPr>
      <xdr:spPr bwMode="auto">
        <a:xfrm>
          <a:off x="6648450" y="3600450"/>
          <a:ext cx="56197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+12.9%</a:t>
          </a:r>
        </a:p>
      </xdr:txBody>
    </xdr:sp>
    <xdr:clientData/>
  </xdr:twoCellAnchor>
  <xdr:twoCellAnchor>
    <xdr:from>
      <xdr:col>7</xdr:col>
      <xdr:colOff>419100</xdr:colOff>
      <xdr:row>18</xdr:row>
      <xdr:rowOff>0</xdr:rowOff>
    </xdr:from>
    <xdr:to>
      <xdr:col>8</xdr:col>
      <xdr:colOff>295275</xdr:colOff>
      <xdr:row>19</xdr:row>
      <xdr:rowOff>66675</xdr:rowOff>
    </xdr:to>
    <xdr:sp macro="" textlink="">
      <xdr:nvSpPr>
        <xdr:cNvPr id="12" name="Texte 20"/>
        <xdr:cNvSpPr txBox="1">
          <a:spLocks noChangeArrowheads="1"/>
        </xdr:cNvSpPr>
      </xdr:nvSpPr>
      <xdr:spPr bwMode="auto">
        <a:xfrm>
          <a:off x="5219700" y="3600450"/>
          <a:ext cx="56197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+19.7%</a:t>
          </a:r>
        </a:p>
      </xdr:txBody>
    </xdr:sp>
    <xdr:clientData/>
  </xdr:twoCellAnchor>
  <xdr:twoCellAnchor>
    <xdr:from>
      <xdr:col>11</xdr:col>
      <xdr:colOff>542925</xdr:colOff>
      <xdr:row>17</xdr:row>
      <xdr:rowOff>190500</xdr:rowOff>
    </xdr:from>
    <xdr:to>
      <xdr:col>12</xdr:col>
      <xdr:colOff>419100</xdr:colOff>
      <xdr:row>19</xdr:row>
      <xdr:rowOff>57150</xdr:rowOff>
    </xdr:to>
    <xdr:sp macro="" textlink="">
      <xdr:nvSpPr>
        <xdr:cNvPr id="13" name="Texte 20"/>
        <xdr:cNvSpPr txBox="1">
          <a:spLocks noChangeArrowheads="1"/>
        </xdr:cNvSpPr>
      </xdr:nvSpPr>
      <xdr:spPr bwMode="auto">
        <a:xfrm>
          <a:off x="8086725" y="3590925"/>
          <a:ext cx="561975" cy="2667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chemeClr val="tx1"/>
              </a:solidFill>
              <a:latin typeface="CG Times"/>
            </a:rPr>
            <a:t>+5.2%</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114300</xdr:colOff>
      <xdr:row>0</xdr:row>
      <xdr:rowOff>142875</xdr:rowOff>
    </xdr:from>
    <xdr:to>
      <xdr:col>18</xdr:col>
      <xdr:colOff>19050</xdr:colOff>
      <xdr:row>24</xdr:row>
      <xdr:rowOff>114300</xdr:rowOff>
    </xdr:to>
    <xdr:graphicFrame macro="">
      <xdr:nvGraphicFramePr>
        <xdr:cNvPr id="1427444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17</xdr:row>
      <xdr:rowOff>66675</xdr:rowOff>
    </xdr:from>
    <xdr:to>
      <xdr:col>6</xdr:col>
      <xdr:colOff>323850</xdr:colOff>
      <xdr:row>18</xdr:row>
      <xdr:rowOff>104775</xdr:rowOff>
    </xdr:to>
    <xdr:sp macro="" textlink="">
      <xdr:nvSpPr>
        <xdr:cNvPr id="11269" name="Texte 5"/>
        <xdr:cNvSpPr txBox="1">
          <a:spLocks noChangeArrowheads="1"/>
        </xdr:cNvSpPr>
      </xdr:nvSpPr>
      <xdr:spPr bwMode="auto">
        <a:xfrm>
          <a:off x="3933825" y="3467100"/>
          <a:ext cx="476250" cy="2381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+24.3%</a:t>
          </a:r>
        </a:p>
      </xdr:txBody>
    </xdr:sp>
    <xdr:clientData/>
  </xdr:twoCellAnchor>
  <xdr:twoCellAnchor>
    <xdr:from>
      <xdr:col>0</xdr:col>
      <xdr:colOff>47625</xdr:colOff>
      <xdr:row>25</xdr:row>
      <xdr:rowOff>76200</xdr:rowOff>
    </xdr:from>
    <xdr:to>
      <xdr:col>17</xdr:col>
      <xdr:colOff>590550</xdr:colOff>
      <xdr:row>54</xdr:row>
      <xdr:rowOff>9525</xdr:rowOff>
    </xdr:to>
    <xdr:graphicFrame macro="">
      <xdr:nvGraphicFramePr>
        <xdr:cNvPr id="14274445"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352425</xdr:colOff>
      <xdr:row>22</xdr:row>
      <xdr:rowOff>85729</xdr:rowOff>
    </xdr:from>
    <xdr:to>
      <xdr:col>7</xdr:col>
      <xdr:colOff>381000</xdr:colOff>
      <xdr:row>22</xdr:row>
      <xdr:rowOff>104775</xdr:rowOff>
    </xdr:to>
    <xdr:cxnSp macro="">
      <xdr:nvCxnSpPr>
        <xdr:cNvPr id="14274447" name="Connecteur droit 13"/>
        <xdr:cNvCxnSpPr>
          <a:cxnSpLocks noChangeShapeType="1"/>
        </xdr:cNvCxnSpPr>
      </xdr:nvCxnSpPr>
      <xdr:spPr bwMode="auto">
        <a:xfrm>
          <a:off x="3095625" y="4486279"/>
          <a:ext cx="2057400" cy="19046"/>
        </a:xfrm>
        <a:prstGeom prst="line">
          <a:avLst/>
        </a:prstGeom>
        <a:noFill/>
        <a:ln w="15875" algn="ctr">
          <a:solidFill>
            <a:srgbClr val="000000"/>
          </a:solidFill>
          <a:round/>
          <a:headEnd/>
          <a:tailEnd/>
        </a:ln>
      </xdr:spPr>
    </xdr:cxnSp>
    <xdr:clientData/>
  </xdr:twoCellAnchor>
  <xdr:twoCellAnchor>
    <xdr:from>
      <xdr:col>11</xdr:col>
      <xdr:colOff>285750</xdr:colOff>
      <xdr:row>22</xdr:row>
      <xdr:rowOff>95250</xdr:rowOff>
    </xdr:from>
    <xdr:to>
      <xdr:col>14</xdr:col>
      <xdr:colOff>457200</xdr:colOff>
      <xdr:row>22</xdr:row>
      <xdr:rowOff>106363</xdr:rowOff>
    </xdr:to>
    <xdr:cxnSp macro="">
      <xdr:nvCxnSpPr>
        <xdr:cNvPr id="14274448" name="Connecteur droit 15"/>
        <xdr:cNvCxnSpPr>
          <a:cxnSpLocks noChangeShapeType="1"/>
        </xdr:cNvCxnSpPr>
      </xdr:nvCxnSpPr>
      <xdr:spPr bwMode="auto">
        <a:xfrm>
          <a:off x="7800975" y="4495800"/>
          <a:ext cx="2228850" cy="11113"/>
        </a:xfrm>
        <a:prstGeom prst="line">
          <a:avLst/>
        </a:prstGeom>
        <a:noFill/>
        <a:ln w="15875" algn="ctr">
          <a:solidFill>
            <a:srgbClr val="000000"/>
          </a:solidFill>
          <a:round/>
          <a:headEnd/>
          <a:tailEnd/>
        </a:ln>
      </xdr:spPr>
    </xdr:cxnSp>
    <xdr:clientData/>
  </xdr:twoCellAnchor>
  <xdr:twoCellAnchor>
    <xdr:from>
      <xdr:col>12</xdr:col>
      <xdr:colOff>428625</xdr:colOff>
      <xdr:row>17</xdr:row>
      <xdr:rowOff>85725</xdr:rowOff>
    </xdr:from>
    <xdr:to>
      <xdr:col>13</xdr:col>
      <xdr:colOff>247650</xdr:colOff>
      <xdr:row>18</xdr:row>
      <xdr:rowOff>85725</xdr:rowOff>
    </xdr:to>
    <xdr:sp macro="" textlink="">
      <xdr:nvSpPr>
        <xdr:cNvPr id="9" name="Texte 13"/>
        <xdr:cNvSpPr txBox="1">
          <a:spLocks noChangeArrowheads="1"/>
        </xdr:cNvSpPr>
      </xdr:nvSpPr>
      <xdr:spPr bwMode="auto">
        <a:xfrm>
          <a:off x="8629650" y="3486150"/>
          <a:ext cx="504825" cy="2000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+24.3%</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47625</xdr:rowOff>
    </xdr:from>
    <xdr:to>
      <xdr:col>17</xdr:col>
      <xdr:colOff>581025</xdr:colOff>
      <xdr:row>24</xdr:row>
      <xdr:rowOff>161925</xdr:rowOff>
    </xdr:to>
    <xdr:graphicFrame macro="">
      <xdr:nvGraphicFramePr>
        <xdr:cNvPr id="1427761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27</xdr:row>
      <xdr:rowOff>0</xdr:rowOff>
    </xdr:from>
    <xdr:to>
      <xdr:col>17</xdr:col>
      <xdr:colOff>600075</xdr:colOff>
      <xdr:row>53</xdr:row>
      <xdr:rowOff>19050</xdr:rowOff>
    </xdr:to>
    <xdr:graphicFrame macro="">
      <xdr:nvGraphicFramePr>
        <xdr:cNvPr id="14277619"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238125</xdr:colOff>
      <xdr:row>17</xdr:row>
      <xdr:rowOff>9525</xdr:rowOff>
    </xdr:from>
    <xdr:to>
      <xdr:col>6</xdr:col>
      <xdr:colOff>9525</xdr:colOff>
      <xdr:row>18</xdr:row>
      <xdr:rowOff>57150</xdr:rowOff>
    </xdr:to>
    <xdr:sp macro="" textlink="">
      <xdr:nvSpPr>
        <xdr:cNvPr id="12300" name="Texte 12"/>
        <xdr:cNvSpPr txBox="1">
          <a:spLocks noChangeArrowheads="1"/>
        </xdr:cNvSpPr>
      </xdr:nvSpPr>
      <xdr:spPr bwMode="auto">
        <a:xfrm>
          <a:off x="3667125" y="3409950"/>
          <a:ext cx="457200" cy="24765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-4.1%</a:t>
          </a:r>
        </a:p>
      </xdr:txBody>
    </xdr:sp>
    <xdr:clientData/>
  </xdr:twoCellAnchor>
  <xdr:twoCellAnchor>
    <xdr:from>
      <xdr:col>4</xdr:col>
      <xdr:colOff>0</xdr:colOff>
      <xdr:row>23</xdr:row>
      <xdr:rowOff>28575</xdr:rowOff>
    </xdr:from>
    <xdr:to>
      <xdr:col>7</xdr:col>
      <xdr:colOff>219075</xdr:colOff>
      <xdr:row>23</xdr:row>
      <xdr:rowOff>28578</xdr:rowOff>
    </xdr:to>
    <xdr:cxnSp macro="">
      <xdr:nvCxnSpPr>
        <xdr:cNvPr id="14277622" name="Connecteur droit 11"/>
        <xdr:cNvCxnSpPr>
          <a:cxnSpLocks noChangeShapeType="1"/>
        </xdr:cNvCxnSpPr>
      </xdr:nvCxnSpPr>
      <xdr:spPr bwMode="auto">
        <a:xfrm flipV="1">
          <a:off x="2743200" y="4629150"/>
          <a:ext cx="2276475" cy="3"/>
        </a:xfrm>
        <a:prstGeom prst="line">
          <a:avLst/>
        </a:prstGeom>
        <a:noFill/>
        <a:ln w="15875" algn="ctr">
          <a:solidFill>
            <a:srgbClr val="000000"/>
          </a:solidFill>
          <a:round/>
          <a:headEnd/>
          <a:tailEnd/>
        </a:ln>
      </xdr:spPr>
    </xdr:cxnSp>
    <xdr:clientData/>
  </xdr:twoCellAnchor>
  <xdr:twoCellAnchor>
    <xdr:from>
      <xdr:col>11</xdr:col>
      <xdr:colOff>19050</xdr:colOff>
      <xdr:row>23</xdr:row>
      <xdr:rowOff>9527</xdr:rowOff>
    </xdr:from>
    <xdr:to>
      <xdr:col>14</xdr:col>
      <xdr:colOff>152400</xdr:colOff>
      <xdr:row>23</xdr:row>
      <xdr:rowOff>19050</xdr:rowOff>
    </xdr:to>
    <xdr:cxnSp macro="">
      <xdr:nvCxnSpPr>
        <xdr:cNvPr id="14277623" name="Connecteur droit 12"/>
        <xdr:cNvCxnSpPr>
          <a:cxnSpLocks noChangeShapeType="1"/>
        </xdr:cNvCxnSpPr>
      </xdr:nvCxnSpPr>
      <xdr:spPr bwMode="auto">
        <a:xfrm flipV="1">
          <a:off x="7562850" y="4610102"/>
          <a:ext cx="2190750" cy="9523"/>
        </a:xfrm>
        <a:prstGeom prst="line">
          <a:avLst/>
        </a:prstGeom>
        <a:noFill/>
        <a:ln w="15875" algn="ctr">
          <a:solidFill>
            <a:srgbClr val="000000"/>
          </a:solidFill>
          <a:round/>
          <a:headEnd/>
          <a:tailEnd/>
        </a:ln>
      </xdr:spPr>
    </xdr:cxnSp>
    <xdr:clientData/>
  </xdr:twoCellAnchor>
  <xdr:twoCellAnchor>
    <xdr:from>
      <xdr:col>12</xdr:col>
      <xdr:colOff>142875</xdr:colOff>
      <xdr:row>17</xdr:row>
      <xdr:rowOff>9525</xdr:rowOff>
    </xdr:from>
    <xdr:to>
      <xdr:col>12</xdr:col>
      <xdr:colOff>619125</xdr:colOff>
      <xdr:row>18</xdr:row>
      <xdr:rowOff>19050</xdr:rowOff>
    </xdr:to>
    <xdr:sp macro="" textlink="">
      <xdr:nvSpPr>
        <xdr:cNvPr id="10" name="Texte 14"/>
        <xdr:cNvSpPr txBox="1">
          <a:spLocks noChangeArrowheads="1"/>
        </xdr:cNvSpPr>
      </xdr:nvSpPr>
      <xdr:spPr bwMode="auto">
        <a:xfrm>
          <a:off x="8372475" y="3409950"/>
          <a:ext cx="476250" cy="20955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CG Times"/>
            </a:rPr>
            <a:t>-5.8%</a:t>
          </a:r>
        </a:p>
      </xdr:txBody>
    </xdr:sp>
    <xdr:clientData/>
  </xdr:twoCellAnchor>
</xdr:wsDr>
</file>

<file path=xl/drawings/drawing12.xml><?xml version="1.0" encoding="utf-8"?>
<c:userShapes xmlns:c="http://schemas.openxmlformats.org/drawingml/2006/chart">
  <cdr:relSizeAnchor xmlns:cdr="http://schemas.openxmlformats.org/drawingml/2006/chartDrawing">
    <cdr:from>
      <cdr:x>0.73814</cdr:x>
      <cdr:y>0.33583</cdr:y>
    </cdr:from>
    <cdr:to>
      <cdr:x>0.75876</cdr:x>
      <cdr:y>0.43799</cdr:y>
    </cdr:to>
    <cdr:sp macro="" textlink="">
      <cdr:nvSpPr>
        <cdr:cNvPr id="4" name="TextBox 2"/>
        <cdr:cNvSpPr txBox="1"/>
      </cdr:nvSpPr>
      <cdr:spPr>
        <a:xfrm xmlns:a="http://schemas.openxmlformats.org/drawingml/2006/main" rot="16200000">
          <a:off x="8909681" y="1775415"/>
          <a:ext cx="502106" cy="252381"/>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b="1"/>
            <a:t>91.33%</a:t>
          </a:r>
        </a:p>
      </cdr:txBody>
    </cdr:sp>
  </cdr:relSizeAnchor>
  <cdr:relSizeAnchor xmlns:cdr="http://schemas.openxmlformats.org/drawingml/2006/chartDrawing">
    <cdr:from>
      <cdr:x>0.64169</cdr:x>
      <cdr:y>0.32945</cdr:y>
    </cdr:from>
    <cdr:to>
      <cdr:x>0.66304</cdr:x>
      <cdr:y>0.45404</cdr:y>
    </cdr:to>
    <cdr:sp macro="" textlink="">
      <cdr:nvSpPr>
        <cdr:cNvPr id="6" name="TextBox 2"/>
        <cdr:cNvSpPr txBox="1"/>
      </cdr:nvSpPr>
      <cdr:spPr>
        <a:xfrm xmlns:a="http://schemas.openxmlformats.org/drawingml/2006/main" rot="16200000">
          <a:off x="7678524" y="1794750"/>
          <a:ext cx="612347" cy="261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b="1"/>
            <a:t>87.62%</a:t>
          </a: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581025</xdr:colOff>
      <xdr:row>24</xdr:row>
      <xdr:rowOff>114300</xdr:rowOff>
    </xdr:to>
    <xdr:graphicFrame macro="">
      <xdr:nvGraphicFramePr>
        <xdr:cNvPr id="1463785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26</xdr:row>
      <xdr:rowOff>9525</xdr:rowOff>
    </xdr:from>
    <xdr:to>
      <xdr:col>17</xdr:col>
      <xdr:colOff>638175</xdr:colOff>
      <xdr:row>53</xdr:row>
      <xdr:rowOff>0</xdr:rowOff>
    </xdr:to>
    <xdr:graphicFrame macro="">
      <xdr:nvGraphicFramePr>
        <xdr:cNvPr id="14637859"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361950</xdr:colOff>
      <xdr:row>17</xdr:row>
      <xdr:rowOff>9525</xdr:rowOff>
    </xdr:from>
    <xdr:to>
      <xdr:col>6</xdr:col>
      <xdr:colOff>95250</xdr:colOff>
      <xdr:row>18</xdr:row>
      <xdr:rowOff>47625</xdr:rowOff>
    </xdr:to>
    <xdr:sp macro="" textlink="">
      <xdr:nvSpPr>
        <xdr:cNvPr id="13323" name="Texte 11"/>
        <xdr:cNvSpPr txBox="1">
          <a:spLocks noChangeArrowheads="1"/>
        </xdr:cNvSpPr>
      </xdr:nvSpPr>
      <xdr:spPr bwMode="auto">
        <a:xfrm>
          <a:off x="3790950" y="3409950"/>
          <a:ext cx="419100" cy="238125"/>
        </a:xfrm>
        <a:prstGeom prst="rect">
          <a:avLst/>
        </a:prstGeom>
        <a:noFill/>
        <a:ln w="1">
          <a:noFill/>
          <a:miter lim="800000"/>
          <a:headEnd/>
          <a:tailEnd/>
        </a:ln>
      </xdr:spPr>
      <xdr:txBody>
        <a:bodyPr vertOverflow="clip" wrap="square" lIns="27432" tIns="18288" rIns="0" bIns="0" anchor="t" upright="1"/>
        <a:lstStyle/>
        <a:p>
          <a:pPr algn="l" rtl="0">
            <a:defRPr sz="1000"/>
          </a:pPr>
          <a:r>
            <a:rPr lang="en-US" sz="800" b="1" i="0" u="none" strike="noStrike" baseline="0">
              <a:solidFill>
                <a:srgbClr val="000000"/>
              </a:solidFill>
              <a:latin typeface="CG Times"/>
            </a:rPr>
            <a:t>+15.9%</a:t>
          </a:r>
        </a:p>
      </xdr:txBody>
    </xdr:sp>
    <xdr:clientData/>
  </xdr:twoCellAnchor>
  <xdr:twoCellAnchor>
    <xdr:from>
      <xdr:col>11</xdr:col>
      <xdr:colOff>219075</xdr:colOff>
      <xdr:row>22</xdr:row>
      <xdr:rowOff>19050</xdr:rowOff>
    </xdr:from>
    <xdr:to>
      <xdr:col>14</xdr:col>
      <xdr:colOff>238125</xdr:colOff>
      <xdr:row>22</xdr:row>
      <xdr:rowOff>28575</xdr:rowOff>
    </xdr:to>
    <xdr:cxnSp macro="">
      <xdr:nvCxnSpPr>
        <xdr:cNvPr id="14637861" name="Connecteur droit 8"/>
        <xdr:cNvCxnSpPr>
          <a:cxnSpLocks noChangeShapeType="1"/>
        </xdr:cNvCxnSpPr>
      </xdr:nvCxnSpPr>
      <xdr:spPr bwMode="auto">
        <a:xfrm flipV="1">
          <a:off x="7762875" y="4419600"/>
          <a:ext cx="2076450" cy="9525"/>
        </a:xfrm>
        <a:prstGeom prst="line">
          <a:avLst/>
        </a:prstGeom>
        <a:noFill/>
        <a:ln w="15875" algn="ctr">
          <a:solidFill>
            <a:srgbClr val="000000"/>
          </a:solidFill>
          <a:round/>
          <a:headEnd/>
          <a:tailEnd/>
        </a:ln>
      </xdr:spPr>
    </xdr:cxnSp>
    <xdr:clientData/>
  </xdr:twoCellAnchor>
  <xdr:twoCellAnchor>
    <xdr:from>
      <xdr:col>4</xdr:col>
      <xdr:colOff>161925</xdr:colOff>
      <xdr:row>21</xdr:row>
      <xdr:rowOff>180975</xdr:rowOff>
    </xdr:from>
    <xdr:to>
      <xdr:col>7</xdr:col>
      <xdr:colOff>228600</xdr:colOff>
      <xdr:row>21</xdr:row>
      <xdr:rowOff>182563</xdr:rowOff>
    </xdr:to>
    <xdr:cxnSp macro="">
      <xdr:nvCxnSpPr>
        <xdr:cNvPr id="14637864" name="Connecteur droit 8"/>
        <xdr:cNvCxnSpPr>
          <a:cxnSpLocks noChangeShapeType="1"/>
        </xdr:cNvCxnSpPr>
      </xdr:nvCxnSpPr>
      <xdr:spPr bwMode="auto">
        <a:xfrm>
          <a:off x="2905125" y="4381500"/>
          <a:ext cx="2124075" cy="1588"/>
        </a:xfrm>
        <a:prstGeom prst="line">
          <a:avLst/>
        </a:prstGeom>
        <a:noFill/>
        <a:ln w="15875" algn="ctr">
          <a:solidFill>
            <a:srgbClr val="000000"/>
          </a:solidFill>
          <a:round/>
          <a:headEnd/>
          <a:tailEnd/>
        </a:ln>
      </xdr:spPr>
    </xdr:cxnSp>
    <xdr:clientData/>
  </xdr:twoCellAnchor>
  <xdr:twoCellAnchor>
    <xdr:from>
      <xdr:col>12</xdr:col>
      <xdr:colOff>371475</xdr:colOff>
      <xdr:row>16</xdr:row>
      <xdr:rowOff>180975</xdr:rowOff>
    </xdr:from>
    <xdr:to>
      <xdr:col>13</xdr:col>
      <xdr:colOff>133350</xdr:colOff>
      <xdr:row>18</xdr:row>
      <xdr:rowOff>38100</xdr:rowOff>
    </xdr:to>
    <xdr:sp macro="" textlink="">
      <xdr:nvSpPr>
        <xdr:cNvPr id="15" name="Texte 15"/>
        <xdr:cNvSpPr txBox="1">
          <a:spLocks noChangeArrowheads="1"/>
        </xdr:cNvSpPr>
      </xdr:nvSpPr>
      <xdr:spPr bwMode="auto">
        <a:xfrm>
          <a:off x="8601075" y="3381375"/>
          <a:ext cx="447675" cy="257175"/>
        </a:xfrm>
        <a:prstGeom prst="rect">
          <a:avLst/>
        </a:prstGeom>
        <a:noFill/>
        <a:ln w="1">
          <a:noFill/>
          <a:miter lim="800000"/>
          <a:headEnd/>
          <a:tailEnd/>
        </a:ln>
      </xdr:spPr>
      <xdr:txBody>
        <a:bodyPr vertOverflow="clip" wrap="square" lIns="27432" tIns="18288" rIns="0" bIns="0" anchor="t" upright="1"/>
        <a:lstStyle/>
        <a:p>
          <a:pPr algn="l" rtl="0">
            <a:defRPr sz="1000"/>
          </a:pPr>
          <a:r>
            <a:rPr lang="en-US" sz="800" b="1" i="0" u="none" strike="noStrike" baseline="0">
              <a:solidFill>
                <a:srgbClr val="000000"/>
              </a:solidFill>
              <a:latin typeface="CG Times"/>
            </a:rPr>
            <a:t>+15.9%</a:t>
          </a:r>
        </a:p>
        <a:p>
          <a:pPr algn="l" rtl="0">
            <a:defRPr sz="1000"/>
          </a:pPr>
          <a:endParaRPr lang="en-US" sz="800" b="1" i="0" u="none" strike="noStrike" baseline="0">
            <a:solidFill>
              <a:srgbClr val="000000"/>
            </a:solidFill>
            <a:latin typeface="CG Time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142875</xdr:colOff>
      <xdr:row>27</xdr:row>
      <xdr:rowOff>95250</xdr:rowOff>
    </xdr:from>
    <xdr:to>
      <xdr:col>18</xdr:col>
      <xdr:colOff>619125</xdr:colOff>
      <xdr:row>54</xdr:row>
      <xdr:rowOff>76200</xdr:rowOff>
    </xdr:to>
    <xdr:graphicFrame macro="">
      <xdr:nvGraphicFramePr>
        <xdr:cNvPr id="14224288"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171449</xdr:colOff>
      <xdr:row>0</xdr:row>
      <xdr:rowOff>95250</xdr:rowOff>
    </xdr:from>
    <xdr:to>
      <xdr:col>18</xdr:col>
      <xdr:colOff>518583</xdr:colOff>
      <xdr:row>25</xdr:row>
      <xdr:rowOff>9525</xdr:rowOff>
    </xdr:to>
    <xdr:graphicFrame macro="">
      <xdr:nvGraphicFramePr>
        <xdr:cNvPr id="14224289"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493183</xdr:colOff>
      <xdr:row>17</xdr:row>
      <xdr:rowOff>169331</xdr:rowOff>
    </xdr:from>
    <xdr:to>
      <xdr:col>6</xdr:col>
      <xdr:colOff>298450</xdr:colOff>
      <xdr:row>18</xdr:row>
      <xdr:rowOff>193673</xdr:rowOff>
    </xdr:to>
    <xdr:sp macro="" textlink="">
      <xdr:nvSpPr>
        <xdr:cNvPr id="14354" name="Texte 18"/>
        <xdr:cNvSpPr txBox="1">
          <a:spLocks noChangeArrowheads="1"/>
        </xdr:cNvSpPr>
      </xdr:nvSpPr>
      <xdr:spPr bwMode="auto">
        <a:xfrm>
          <a:off x="3975100" y="3587748"/>
          <a:ext cx="493183" cy="2254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CG Times"/>
            </a:rPr>
            <a:t>+12.6%</a:t>
          </a:r>
        </a:p>
      </xdr:txBody>
    </xdr:sp>
    <xdr:clientData/>
  </xdr:twoCellAnchor>
  <xdr:twoCellAnchor>
    <xdr:from>
      <xdr:col>4</xdr:col>
      <xdr:colOff>437092</xdr:colOff>
      <xdr:row>23</xdr:row>
      <xdr:rowOff>9526</xdr:rowOff>
    </xdr:from>
    <xdr:to>
      <xdr:col>7</xdr:col>
      <xdr:colOff>508000</xdr:colOff>
      <xdr:row>23</xdr:row>
      <xdr:rowOff>10583</xdr:rowOff>
    </xdr:to>
    <xdr:cxnSp macro="">
      <xdr:nvCxnSpPr>
        <xdr:cNvPr id="14224292" name="Connecteur droit 13"/>
        <xdr:cNvCxnSpPr>
          <a:cxnSpLocks noChangeShapeType="1"/>
        </xdr:cNvCxnSpPr>
      </xdr:nvCxnSpPr>
      <xdr:spPr bwMode="auto">
        <a:xfrm>
          <a:off x="3188759" y="4634443"/>
          <a:ext cx="2176991" cy="1057"/>
        </a:xfrm>
        <a:prstGeom prst="line">
          <a:avLst/>
        </a:prstGeom>
        <a:noFill/>
        <a:ln w="15875" algn="ctr">
          <a:solidFill>
            <a:srgbClr val="000000"/>
          </a:solidFill>
          <a:round/>
          <a:headEnd/>
          <a:tailEnd/>
        </a:ln>
      </xdr:spPr>
    </xdr:cxnSp>
    <xdr:clientData/>
  </xdr:twoCellAnchor>
  <xdr:twoCellAnchor>
    <xdr:from>
      <xdr:col>11</xdr:col>
      <xdr:colOff>518583</xdr:colOff>
      <xdr:row>23</xdr:row>
      <xdr:rowOff>31750</xdr:rowOff>
    </xdr:from>
    <xdr:to>
      <xdr:col>14</xdr:col>
      <xdr:colOff>529166</xdr:colOff>
      <xdr:row>23</xdr:row>
      <xdr:rowOff>33338</xdr:rowOff>
    </xdr:to>
    <xdr:cxnSp macro="">
      <xdr:nvCxnSpPr>
        <xdr:cNvPr id="14224293" name="Connecteur droit 14"/>
        <xdr:cNvCxnSpPr>
          <a:cxnSpLocks noChangeShapeType="1"/>
        </xdr:cNvCxnSpPr>
      </xdr:nvCxnSpPr>
      <xdr:spPr bwMode="auto">
        <a:xfrm>
          <a:off x="8128000" y="4656667"/>
          <a:ext cx="2074333" cy="1588"/>
        </a:xfrm>
        <a:prstGeom prst="line">
          <a:avLst/>
        </a:prstGeom>
        <a:noFill/>
        <a:ln w="15875" algn="ctr">
          <a:solidFill>
            <a:srgbClr val="000000"/>
          </a:solidFill>
          <a:round/>
          <a:headEnd/>
          <a:tailEnd/>
        </a:ln>
      </xdr:spPr>
    </xdr:cxnSp>
    <xdr:clientData/>
  </xdr:twoCellAnchor>
  <xdr:twoCellAnchor>
    <xdr:from>
      <xdr:col>12</xdr:col>
      <xdr:colOff>636061</xdr:colOff>
      <xdr:row>17</xdr:row>
      <xdr:rowOff>100544</xdr:rowOff>
    </xdr:from>
    <xdr:to>
      <xdr:col>13</xdr:col>
      <xdr:colOff>445561</xdr:colOff>
      <xdr:row>18</xdr:row>
      <xdr:rowOff>157694</xdr:rowOff>
    </xdr:to>
    <xdr:sp macro="" textlink="">
      <xdr:nvSpPr>
        <xdr:cNvPr id="14" name="Texte 21"/>
        <xdr:cNvSpPr txBox="1">
          <a:spLocks noChangeArrowheads="1"/>
        </xdr:cNvSpPr>
      </xdr:nvSpPr>
      <xdr:spPr bwMode="auto">
        <a:xfrm>
          <a:off x="8933394" y="3518961"/>
          <a:ext cx="497417" cy="258233"/>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CG Times"/>
            </a:rPr>
            <a:t>+12.6%</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123825</xdr:colOff>
      <xdr:row>0</xdr:row>
      <xdr:rowOff>104775</xdr:rowOff>
    </xdr:from>
    <xdr:to>
      <xdr:col>18</xdr:col>
      <xdr:colOff>19050</xdr:colOff>
      <xdr:row>25</xdr:row>
      <xdr:rowOff>19050</xdr:rowOff>
    </xdr:to>
    <xdr:graphicFrame macro="">
      <xdr:nvGraphicFramePr>
        <xdr:cNvPr id="1458769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76200</xdr:colOff>
      <xdr:row>27</xdr:row>
      <xdr:rowOff>0</xdr:rowOff>
    </xdr:from>
    <xdr:to>
      <xdr:col>17</xdr:col>
      <xdr:colOff>571500</xdr:colOff>
      <xdr:row>54</xdr:row>
      <xdr:rowOff>0</xdr:rowOff>
    </xdr:to>
    <xdr:graphicFrame macro="">
      <xdr:nvGraphicFramePr>
        <xdr:cNvPr id="14587699"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400050</xdr:colOff>
      <xdr:row>17</xdr:row>
      <xdr:rowOff>57150</xdr:rowOff>
    </xdr:from>
    <xdr:to>
      <xdr:col>6</xdr:col>
      <xdr:colOff>219075</xdr:colOff>
      <xdr:row>18</xdr:row>
      <xdr:rowOff>85725</xdr:rowOff>
    </xdr:to>
    <xdr:sp macro="" textlink="">
      <xdr:nvSpPr>
        <xdr:cNvPr id="15372" name="Texte 12"/>
        <xdr:cNvSpPr txBox="1">
          <a:spLocks noChangeArrowheads="1"/>
        </xdr:cNvSpPr>
      </xdr:nvSpPr>
      <xdr:spPr bwMode="auto">
        <a:xfrm>
          <a:off x="3829050" y="3457575"/>
          <a:ext cx="504825" cy="228600"/>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CG Times"/>
            </a:rPr>
            <a:t>-4.3%</a:t>
          </a:r>
        </a:p>
      </xdr:txBody>
    </xdr:sp>
    <xdr:clientData/>
  </xdr:twoCellAnchor>
  <xdr:twoCellAnchor>
    <xdr:from>
      <xdr:col>4</xdr:col>
      <xdr:colOff>171450</xdr:colOff>
      <xdr:row>22</xdr:row>
      <xdr:rowOff>152400</xdr:rowOff>
    </xdr:from>
    <xdr:to>
      <xdr:col>7</xdr:col>
      <xdr:colOff>276225</xdr:colOff>
      <xdr:row>22</xdr:row>
      <xdr:rowOff>161925</xdr:rowOff>
    </xdr:to>
    <xdr:cxnSp macro="">
      <xdr:nvCxnSpPr>
        <xdr:cNvPr id="14587702" name="Connecteur droit 13"/>
        <xdr:cNvCxnSpPr>
          <a:cxnSpLocks noChangeShapeType="1"/>
        </xdr:cNvCxnSpPr>
      </xdr:nvCxnSpPr>
      <xdr:spPr bwMode="auto">
        <a:xfrm>
          <a:off x="2914650" y="4552950"/>
          <a:ext cx="2162175" cy="9525"/>
        </a:xfrm>
        <a:prstGeom prst="line">
          <a:avLst/>
        </a:prstGeom>
        <a:noFill/>
        <a:ln w="15875" algn="ctr">
          <a:solidFill>
            <a:srgbClr val="000000"/>
          </a:solidFill>
          <a:round/>
          <a:headEnd/>
          <a:tailEnd/>
        </a:ln>
      </xdr:spPr>
    </xdr:cxnSp>
    <xdr:clientData/>
  </xdr:twoCellAnchor>
  <xdr:twoCellAnchor>
    <xdr:from>
      <xdr:col>11</xdr:col>
      <xdr:colOff>180975</xdr:colOff>
      <xdr:row>22</xdr:row>
      <xdr:rowOff>152400</xdr:rowOff>
    </xdr:from>
    <xdr:to>
      <xdr:col>14</xdr:col>
      <xdr:colOff>314325</xdr:colOff>
      <xdr:row>22</xdr:row>
      <xdr:rowOff>153988</xdr:rowOff>
    </xdr:to>
    <xdr:cxnSp macro="">
      <xdr:nvCxnSpPr>
        <xdr:cNvPr id="14587703" name="Connecteur droit 14"/>
        <xdr:cNvCxnSpPr>
          <a:cxnSpLocks noChangeShapeType="1"/>
        </xdr:cNvCxnSpPr>
      </xdr:nvCxnSpPr>
      <xdr:spPr bwMode="auto">
        <a:xfrm>
          <a:off x="7724775" y="4552950"/>
          <a:ext cx="2190750" cy="1588"/>
        </a:xfrm>
        <a:prstGeom prst="line">
          <a:avLst/>
        </a:prstGeom>
        <a:noFill/>
        <a:ln w="15875" algn="ctr">
          <a:solidFill>
            <a:srgbClr val="000000"/>
          </a:solidFill>
          <a:round/>
          <a:headEnd/>
          <a:tailEnd/>
        </a:ln>
      </xdr:spPr>
    </xdr:cxnSp>
    <xdr:clientData/>
  </xdr:twoCellAnchor>
  <xdr:twoCellAnchor>
    <xdr:from>
      <xdr:col>12</xdr:col>
      <xdr:colOff>352425</xdr:colOff>
      <xdr:row>17</xdr:row>
      <xdr:rowOff>104775</xdr:rowOff>
    </xdr:from>
    <xdr:to>
      <xdr:col>13</xdr:col>
      <xdr:colOff>85725</xdr:colOff>
      <xdr:row>18</xdr:row>
      <xdr:rowOff>104775</xdr:rowOff>
    </xdr:to>
    <xdr:sp macro="" textlink="">
      <xdr:nvSpPr>
        <xdr:cNvPr id="11" name="Texte 16"/>
        <xdr:cNvSpPr txBox="1">
          <a:spLocks noChangeArrowheads="1"/>
        </xdr:cNvSpPr>
      </xdr:nvSpPr>
      <xdr:spPr bwMode="auto">
        <a:xfrm>
          <a:off x="8582025" y="3505200"/>
          <a:ext cx="419100" cy="200025"/>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CG Times"/>
            </a:rPr>
            <a:t>-4.3%</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581025</xdr:colOff>
      <xdr:row>24</xdr:row>
      <xdr:rowOff>114300</xdr:rowOff>
    </xdr:to>
    <xdr:graphicFrame macro="">
      <xdr:nvGraphicFramePr>
        <xdr:cNvPr id="1569126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533400</xdr:colOff>
      <xdr:row>46</xdr:row>
      <xdr:rowOff>57150</xdr:rowOff>
    </xdr:from>
    <xdr:to>
      <xdr:col>15</xdr:col>
      <xdr:colOff>28575</xdr:colOff>
      <xdr:row>50</xdr:row>
      <xdr:rowOff>38100</xdr:rowOff>
    </xdr:to>
    <xdr:sp macro="" textlink="">
      <xdr:nvSpPr>
        <xdr:cNvPr id="16394" name="Texte 10"/>
        <xdr:cNvSpPr txBox="1">
          <a:spLocks noChangeArrowheads="1"/>
        </xdr:cNvSpPr>
      </xdr:nvSpPr>
      <xdr:spPr bwMode="auto">
        <a:xfrm>
          <a:off x="10134600" y="9258300"/>
          <a:ext cx="180975" cy="781050"/>
        </a:xfrm>
        <a:prstGeom prst="rect">
          <a:avLst/>
        </a:prstGeom>
        <a:noFill/>
        <a:ln w="1">
          <a:noFill/>
          <a:miter lim="800000"/>
          <a:headEnd/>
          <a:tailEnd/>
        </a:ln>
      </xdr:spPr>
      <xdr:txBody>
        <a:bodyPr vertOverflow="clip" vert="vert270" wrap="square" lIns="27432" tIns="27432" rIns="0" bIns="0" anchor="t" upright="1"/>
        <a:lstStyle/>
        <a:p>
          <a:pPr algn="r" rtl="0">
            <a:defRPr sz="1000"/>
          </a:pPr>
          <a:r>
            <a:rPr lang="en-US" sz="1200" b="0" i="0" strike="noStrike">
              <a:solidFill>
                <a:srgbClr val="FFFFFF"/>
              </a:solidFill>
              <a:latin typeface="CG Times"/>
            </a:rPr>
            <a:t> BIDC    </a:t>
          </a:r>
        </a:p>
        <a:p>
          <a:pPr algn="r" rtl="0">
            <a:defRPr sz="1000"/>
          </a:pPr>
          <a:endParaRPr lang="en-US" sz="1200" b="0" i="0" strike="noStrike">
            <a:solidFill>
              <a:srgbClr val="FFFFFF"/>
            </a:solidFill>
            <a:latin typeface="CG Times"/>
          </a:endParaRPr>
        </a:p>
      </xdr:txBody>
    </xdr:sp>
    <xdr:clientData/>
  </xdr:twoCellAnchor>
  <xdr:twoCellAnchor>
    <xdr:from>
      <xdr:col>5</xdr:col>
      <xdr:colOff>257175</xdr:colOff>
      <xdr:row>15</xdr:row>
      <xdr:rowOff>133350</xdr:rowOff>
    </xdr:from>
    <xdr:to>
      <xdr:col>6</xdr:col>
      <xdr:colOff>76200</xdr:colOff>
      <xdr:row>16</xdr:row>
      <xdr:rowOff>142875</xdr:rowOff>
    </xdr:to>
    <xdr:sp macro="" textlink="">
      <xdr:nvSpPr>
        <xdr:cNvPr id="16404" name="Texte 20"/>
        <xdr:cNvSpPr txBox="1">
          <a:spLocks noChangeArrowheads="1"/>
        </xdr:cNvSpPr>
      </xdr:nvSpPr>
      <xdr:spPr bwMode="auto">
        <a:xfrm>
          <a:off x="3686175" y="3133725"/>
          <a:ext cx="504825" cy="209550"/>
        </a:xfrm>
        <a:prstGeom prst="rect">
          <a:avLst/>
        </a:prstGeom>
        <a:no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CG Times"/>
            </a:rPr>
            <a:t>+28.9%</a:t>
          </a:r>
        </a:p>
      </xdr:txBody>
    </xdr:sp>
    <xdr:clientData/>
  </xdr:twoCellAnchor>
  <xdr:twoCellAnchor>
    <xdr:from>
      <xdr:col>0</xdr:col>
      <xdr:colOff>0</xdr:colOff>
      <xdr:row>26</xdr:row>
      <xdr:rowOff>0</xdr:rowOff>
    </xdr:from>
    <xdr:to>
      <xdr:col>17</xdr:col>
      <xdr:colOff>514350</xdr:colOff>
      <xdr:row>53</xdr:row>
      <xdr:rowOff>66675</xdr:rowOff>
    </xdr:to>
    <xdr:graphicFrame macro="">
      <xdr:nvGraphicFramePr>
        <xdr:cNvPr id="1569127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123825</xdr:colOff>
      <xdr:row>21</xdr:row>
      <xdr:rowOff>66675</xdr:rowOff>
    </xdr:from>
    <xdr:to>
      <xdr:col>7</xdr:col>
      <xdr:colOff>95250</xdr:colOff>
      <xdr:row>21</xdr:row>
      <xdr:rowOff>76201</xdr:rowOff>
    </xdr:to>
    <xdr:cxnSp macro="">
      <xdr:nvCxnSpPr>
        <xdr:cNvPr id="15691274" name="Connecteur droit 13"/>
        <xdr:cNvCxnSpPr>
          <a:cxnSpLocks noChangeShapeType="1"/>
        </xdr:cNvCxnSpPr>
      </xdr:nvCxnSpPr>
      <xdr:spPr bwMode="auto">
        <a:xfrm flipV="1">
          <a:off x="2867025" y="4267200"/>
          <a:ext cx="2028825" cy="9526"/>
        </a:xfrm>
        <a:prstGeom prst="line">
          <a:avLst/>
        </a:prstGeom>
        <a:noFill/>
        <a:ln w="15875" algn="ctr">
          <a:solidFill>
            <a:srgbClr val="000000"/>
          </a:solidFill>
          <a:round/>
          <a:headEnd/>
          <a:tailEnd/>
        </a:ln>
      </xdr:spPr>
    </xdr:cxnSp>
    <xdr:clientData/>
  </xdr:twoCellAnchor>
  <xdr:twoCellAnchor>
    <xdr:from>
      <xdr:col>11</xdr:col>
      <xdr:colOff>28575</xdr:colOff>
      <xdr:row>21</xdr:row>
      <xdr:rowOff>104775</xdr:rowOff>
    </xdr:from>
    <xdr:to>
      <xdr:col>14</xdr:col>
      <xdr:colOff>66675</xdr:colOff>
      <xdr:row>21</xdr:row>
      <xdr:rowOff>106364</xdr:rowOff>
    </xdr:to>
    <xdr:cxnSp macro="">
      <xdr:nvCxnSpPr>
        <xdr:cNvPr id="15691275" name="Connecteur droit 14"/>
        <xdr:cNvCxnSpPr>
          <a:cxnSpLocks noChangeShapeType="1"/>
        </xdr:cNvCxnSpPr>
      </xdr:nvCxnSpPr>
      <xdr:spPr bwMode="auto">
        <a:xfrm>
          <a:off x="7534275" y="4305300"/>
          <a:ext cx="2133600" cy="1589"/>
        </a:xfrm>
        <a:prstGeom prst="line">
          <a:avLst/>
        </a:prstGeom>
        <a:noFill/>
        <a:ln w="15875" algn="ctr">
          <a:solidFill>
            <a:srgbClr val="000000"/>
          </a:solidFill>
          <a:round/>
          <a:headEnd/>
          <a:tailEnd/>
        </a:ln>
      </xdr:spPr>
    </xdr:cxnSp>
    <xdr:clientData/>
  </xdr:twoCellAnchor>
  <xdr:twoCellAnchor>
    <xdr:from>
      <xdr:col>12</xdr:col>
      <xdr:colOff>123824</xdr:colOff>
      <xdr:row>15</xdr:row>
      <xdr:rowOff>57150</xdr:rowOff>
    </xdr:from>
    <xdr:to>
      <xdr:col>12</xdr:col>
      <xdr:colOff>621241</xdr:colOff>
      <xdr:row>16</xdr:row>
      <xdr:rowOff>115358</xdr:rowOff>
    </xdr:to>
    <xdr:sp macro="" textlink="">
      <xdr:nvSpPr>
        <xdr:cNvPr id="15" name="Texte 21"/>
        <xdr:cNvSpPr txBox="1">
          <a:spLocks noChangeArrowheads="1"/>
        </xdr:cNvSpPr>
      </xdr:nvSpPr>
      <xdr:spPr bwMode="auto">
        <a:xfrm>
          <a:off x="8315324" y="3057525"/>
          <a:ext cx="497417" cy="258233"/>
        </a:xfrm>
        <a:prstGeom prst="rect">
          <a:avLst/>
        </a:prstGeom>
        <a:no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CG Times"/>
            </a:rPr>
            <a:t>+28.9%</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cdr:x>
      <cdr:y>0</cdr:y>
    </cdr:from>
    <cdr:to>
      <cdr:x>0.002</cdr:x>
      <cdr:y>0.00446</cdr:y>
    </cdr:to>
    <cdr:pic>
      <cdr:nvPicPr>
        <cdr:cNvPr id="3"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cdr:x>
      <cdr:y>0</cdr:y>
    </cdr:from>
    <cdr:to>
      <cdr:x>0.002</cdr:x>
      <cdr:y>0.00446</cdr:y>
    </cdr:to>
    <cdr:pic>
      <cdr:nvPicPr>
        <cdr:cNvPr id="4"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0.70031</cdr:x>
      <cdr:y>0.64111</cdr:y>
    </cdr:from>
    <cdr:to>
      <cdr:x>0.71674</cdr:x>
      <cdr:y>0.76655</cdr:y>
    </cdr:to>
    <cdr:sp macro="" textlink="">
      <cdr:nvSpPr>
        <cdr:cNvPr id="5" name="Texte 14"/>
        <cdr:cNvSpPr txBox="1">
          <a:spLocks xmlns:a="http://schemas.openxmlformats.org/drawingml/2006/main" noChangeArrowheads="1"/>
        </cdr:cNvSpPr>
      </cdr:nvSpPr>
      <cdr:spPr bwMode="auto">
        <a:xfrm xmlns:a="http://schemas.openxmlformats.org/drawingml/2006/main">
          <a:off x="8524840" y="3505167"/>
          <a:ext cx="200002" cy="685824"/>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vert270" wrap="square" lIns="27432" tIns="22860" rIns="0"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r" rtl="0">
            <a:defRPr sz="1000"/>
          </a:pPr>
          <a:r>
            <a:rPr lang="en-US" sz="1000" b="1" i="0" strike="noStrike">
              <a:solidFill>
                <a:srgbClr val="000000"/>
              </a:solidFill>
              <a:latin typeface="CG Times"/>
            </a:rPr>
            <a:t>(14,241.7)</a:t>
          </a:r>
        </a:p>
      </cdr:txBody>
    </cdr:sp>
  </cdr:relSizeAnchor>
</c:userShapes>
</file>

<file path=xl/drawings/drawing18.xml><?xml version="1.0" encoding="utf-8"?>
<xdr:wsDr xmlns:xdr="http://schemas.openxmlformats.org/drawingml/2006/spreadsheetDrawing" xmlns:a="http://schemas.openxmlformats.org/drawingml/2006/main">
  <xdr:twoCellAnchor>
    <xdr:from>
      <xdr:col>3</xdr:col>
      <xdr:colOff>457200</xdr:colOff>
      <xdr:row>21</xdr:row>
      <xdr:rowOff>57150</xdr:rowOff>
    </xdr:from>
    <xdr:to>
      <xdr:col>3</xdr:col>
      <xdr:colOff>581025</xdr:colOff>
      <xdr:row>21</xdr:row>
      <xdr:rowOff>161925</xdr:rowOff>
    </xdr:to>
    <xdr:sp macro="" textlink="">
      <xdr:nvSpPr>
        <xdr:cNvPr id="16603225" name="Rectangle 1"/>
        <xdr:cNvSpPr>
          <a:spLocks noChangeArrowheads="1"/>
        </xdr:cNvSpPr>
      </xdr:nvSpPr>
      <xdr:spPr bwMode="auto">
        <a:xfrm>
          <a:off x="2514600" y="4410075"/>
          <a:ext cx="123825" cy="104775"/>
        </a:xfrm>
        <a:prstGeom prst="rect">
          <a:avLst/>
        </a:prstGeom>
        <a:solidFill>
          <a:srgbClr val="000000"/>
        </a:solidFill>
        <a:ln w="1">
          <a:noFill/>
          <a:miter lim="800000"/>
          <a:headEnd/>
          <a:tailEnd/>
        </a:ln>
      </xdr:spPr>
    </xdr:sp>
    <xdr:clientData/>
  </xdr:twoCellAnchor>
  <xdr:twoCellAnchor>
    <xdr:from>
      <xdr:col>3</xdr:col>
      <xdr:colOff>447675</xdr:colOff>
      <xdr:row>23</xdr:row>
      <xdr:rowOff>47625</xdr:rowOff>
    </xdr:from>
    <xdr:to>
      <xdr:col>3</xdr:col>
      <xdr:colOff>571500</xdr:colOff>
      <xdr:row>23</xdr:row>
      <xdr:rowOff>152400</xdr:rowOff>
    </xdr:to>
    <xdr:sp macro="" textlink="">
      <xdr:nvSpPr>
        <xdr:cNvPr id="16603226" name="Rectangle 2"/>
        <xdr:cNvSpPr>
          <a:spLocks noChangeArrowheads="1"/>
        </xdr:cNvSpPr>
      </xdr:nvSpPr>
      <xdr:spPr bwMode="auto">
        <a:xfrm>
          <a:off x="2505075" y="4714875"/>
          <a:ext cx="123825" cy="104775"/>
        </a:xfrm>
        <a:prstGeom prst="rect">
          <a:avLst/>
        </a:prstGeom>
        <a:solidFill>
          <a:srgbClr val="000000"/>
        </a:solidFill>
        <a:ln w="1">
          <a:noFill/>
          <a:miter lim="800000"/>
          <a:headEnd/>
          <a:tailEnd/>
        </a:ln>
      </xdr:spPr>
    </xdr:sp>
    <xdr:clientData/>
  </xdr:twoCellAnchor>
  <xdr:twoCellAnchor>
    <xdr:from>
      <xdr:col>3</xdr:col>
      <xdr:colOff>428625</xdr:colOff>
      <xdr:row>25</xdr:row>
      <xdr:rowOff>47625</xdr:rowOff>
    </xdr:from>
    <xdr:to>
      <xdr:col>3</xdr:col>
      <xdr:colOff>552450</xdr:colOff>
      <xdr:row>25</xdr:row>
      <xdr:rowOff>152400</xdr:rowOff>
    </xdr:to>
    <xdr:sp macro="" textlink="">
      <xdr:nvSpPr>
        <xdr:cNvPr id="16603227" name="Rectangle 3"/>
        <xdr:cNvSpPr>
          <a:spLocks noChangeArrowheads="1"/>
        </xdr:cNvSpPr>
      </xdr:nvSpPr>
      <xdr:spPr bwMode="auto">
        <a:xfrm>
          <a:off x="2486025" y="5029200"/>
          <a:ext cx="123825" cy="104775"/>
        </a:xfrm>
        <a:prstGeom prst="rect">
          <a:avLst/>
        </a:prstGeom>
        <a:solidFill>
          <a:srgbClr val="000000"/>
        </a:solidFill>
        <a:ln w="1">
          <a:noFill/>
          <a:miter lim="800000"/>
          <a:headEnd/>
          <a:tailEnd/>
        </a:ln>
      </xdr:spPr>
    </xdr:sp>
    <xdr:clientData/>
  </xdr:twoCellAnchor>
  <xdr:twoCellAnchor>
    <xdr:from>
      <xdr:col>3</xdr:col>
      <xdr:colOff>466725</xdr:colOff>
      <xdr:row>27</xdr:row>
      <xdr:rowOff>0</xdr:rowOff>
    </xdr:from>
    <xdr:to>
      <xdr:col>3</xdr:col>
      <xdr:colOff>590550</xdr:colOff>
      <xdr:row>27</xdr:row>
      <xdr:rowOff>0</xdr:rowOff>
    </xdr:to>
    <xdr:sp macro="" textlink="">
      <xdr:nvSpPr>
        <xdr:cNvPr id="16603228" name="Rectangle 4"/>
        <xdr:cNvSpPr>
          <a:spLocks noChangeArrowheads="1"/>
        </xdr:cNvSpPr>
      </xdr:nvSpPr>
      <xdr:spPr bwMode="auto">
        <a:xfrm>
          <a:off x="2524125" y="5295900"/>
          <a:ext cx="123825" cy="0"/>
        </a:xfrm>
        <a:prstGeom prst="rect">
          <a:avLst/>
        </a:prstGeom>
        <a:solidFill>
          <a:srgbClr val="000000"/>
        </a:solidFill>
        <a:ln w="1">
          <a:noFill/>
          <a:miter lim="800000"/>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476250</xdr:colOff>
      <xdr:row>4</xdr:row>
      <xdr:rowOff>76200</xdr:rowOff>
    </xdr:from>
    <xdr:to>
      <xdr:col>13</xdr:col>
      <xdr:colOff>304800</xdr:colOff>
      <xdr:row>15</xdr:row>
      <xdr:rowOff>0</xdr:rowOff>
    </xdr:to>
    <xdr:sp macro="" textlink="">
      <xdr:nvSpPr>
        <xdr:cNvPr id="51201" name="Texte 1"/>
        <xdr:cNvSpPr txBox="1">
          <a:spLocks noChangeArrowheads="1"/>
        </xdr:cNvSpPr>
      </xdr:nvSpPr>
      <xdr:spPr bwMode="auto">
        <a:xfrm>
          <a:off x="2952750" y="962025"/>
          <a:ext cx="8191500" cy="2124075"/>
        </a:xfrm>
        <a:prstGeom prst="rect">
          <a:avLst/>
        </a:prstGeom>
        <a:noFill/>
        <a:ln w="9525">
          <a:solidFill>
            <a:srgbClr val="000000"/>
          </a:solidFill>
          <a:miter lim="800000"/>
          <a:headEnd/>
          <a:tailEnd/>
        </a:ln>
      </xdr:spPr>
      <xdr:txBody>
        <a:bodyPr vertOverflow="clip" wrap="square" lIns="27432" tIns="27432" rIns="0" bIns="0" anchor="t" upright="1"/>
        <a:lstStyle/>
        <a:p>
          <a:pPr algn="l" rtl="0">
            <a:defRPr sz="1000"/>
          </a:pPr>
          <a:r>
            <a:rPr lang="en-US" sz="1200" b="1" i="0" strike="noStrike">
              <a:solidFill>
                <a:srgbClr val="000000"/>
              </a:solidFill>
              <a:latin typeface="CG Times"/>
            </a:rPr>
            <a:t>           </a:t>
          </a:r>
        </a:p>
        <a:p>
          <a:pPr algn="l" rtl="0">
            <a:defRPr sz="1000"/>
          </a:pPr>
          <a:endParaRPr lang="en-US" sz="1200" b="1" i="0" strike="noStrike">
            <a:solidFill>
              <a:srgbClr val="000000"/>
            </a:solidFill>
            <a:latin typeface="CG Times"/>
          </a:endParaRPr>
        </a:p>
        <a:p>
          <a:pPr algn="l" rtl="0">
            <a:defRPr sz="1000"/>
          </a:pPr>
          <a:r>
            <a:rPr lang="en-US" sz="1200" b="1" i="0" strike="noStrike">
              <a:solidFill>
                <a:srgbClr val="000000"/>
              </a:solidFill>
              <a:latin typeface="CG Times"/>
            </a:rPr>
            <a:t> </a:t>
          </a:r>
          <a:r>
            <a:rPr lang="en-US" sz="1200" b="1" i="0" u="sng" strike="noStrike">
              <a:solidFill>
                <a:srgbClr val="000000"/>
              </a:solidFill>
              <a:latin typeface="CG Times"/>
            </a:rPr>
            <a:t>Limite réglementaire </a:t>
          </a:r>
          <a:endParaRPr lang="en-US" sz="1200" b="1" i="0" strike="noStrike">
            <a:solidFill>
              <a:srgbClr val="000000"/>
            </a:solidFill>
            <a:latin typeface="CG Times"/>
          </a:endParaRPr>
        </a:p>
        <a:p>
          <a:pPr algn="l" rtl="0">
            <a:defRPr sz="1000"/>
          </a:pPr>
          <a:endParaRPr lang="en-US" sz="1200" b="1" i="0" strike="noStrike">
            <a:solidFill>
              <a:srgbClr val="000000"/>
            </a:solidFill>
            <a:latin typeface="CG Times"/>
          </a:endParaRPr>
        </a:p>
        <a:p>
          <a:pPr algn="l" rtl="0">
            <a:defRPr sz="1000"/>
          </a:pPr>
          <a:r>
            <a:rPr lang="en-US" sz="1200" b="1" i="0" strike="noStrike">
              <a:solidFill>
                <a:srgbClr val="000000"/>
              </a:solidFill>
              <a:latin typeface="CG Times"/>
            </a:rPr>
            <a:t> </a:t>
          </a:r>
          <a:r>
            <a:rPr lang="en-US" sz="1200" b="0" i="0" strike="noStrike">
              <a:solidFill>
                <a:srgbClr val="000000"/>
              </a:solidFill>
              <a:latin typeface="CG Times"/>
            </a:rPr>
            <a:t>Les établissements bancaires sont tenus de respecter la position de change réglementaire suivante en </a:t>
          </a:r>
          <a:r>
            <a:rPr lang="en-US" sz="1200" b="0" i="0" strike="noStrike">
              <a:solidFill>
                <a:srgbClr val="000000"/>
              </a:solidFill>
              <a:latin typeface="CG Times"/>
              <a:ea typeface="+mn-ea"/>
              <a:cs typeface="+mn-cs"/>
            </a:rPr>
            <a:t>tout temps : un                                                                    </a:t>
          </a:r>
        </a:p>
        <a:p>
          <a:pPr algn="l" rtl="0">
            <a:defRPr sz="1000"/>
          </a:pPr>
          <a:r>
            <a:rPr lang="en-US" sz="1200" b="0" i="0" strike="noStrike">
              <a:solidFill>
                <a:srgbClr val="000000"/>
              </a:solidFill>
              <a:latin typeface="CG Times"/>
            </a:rPr>
            <a:t> rapport maximum de 8% ramené à 2% par la lettre circulaire #3 du 16 mars 2009 entre le cumul des positions  longues (toutes devises confondues) et des positions courtes (toutes autres devises confondues) d'une  part et le total de leurs </a:t>
          </a:r>
          <a:r>
            <a:rPr lang="en-US" sz="1200" b="0" i="0" strike="noStrike" baseline="0">
              <a:solidFill>
                <a:srgbClr val="000000"/>
              </a:solidFill>
              <a:latin typeface="CG Times"/>
            </a:rPr>
            <a:t> </a:t>
          </a:r>
          <a:r>
            <a:rPr lang="en-US" sz="1200" b="0" i="0" strike="noStrike">
              <a:solidFill>
                <a:srgbClr val="000000"/>
              </a:solidFill>
              <a:latin typeface="CG Times"/>
            </a:rPr>
            <a:t>fonds propres d'autre part.</a:t>
          </a:r>
        </a:p>
        <a:p>
          <a:pPr algn="l" rtl="0">
            <a:defRPr sz="1000"/>
          </a:pPr>
          <a:endParaRPr lang="en-US" sz="1200" b="0" i="0" strike="noStrike">
            <a:solidFill>
              <a:srgbClr val="000000"/>
            </a:solidFill>
            <a:latin typeface="CG Times"/>
          </a:endParaRPr>
        </a:p>
        <a:p>
          <a:pPr algn="l" rtl="0">
            <a:defRPr sz="1000"/>
          </a:pPr>
          <a:r>
            <a:rPr lang="en-US" sz="1200" b="0" i="0" strike="noStrike">
              <a:solidFill>
                <a:srgbClr val="000000"/>
              </a:solidFill>
              <a:latin typeface="CG Times"/>
            </a:rPr>
            <a:t>                        </a:t>
          </a:r>
        </a:p>
      </xdr:txBody>
    </xdr:sp>
    <xdr:clientData/>
  </xdr:twoCellAnchor>
  <xdr:twoCellAnchor>
    <xdr:from>
      <xdr:col>3</xdr:col>
      <xdr:colOff>266700</xdr:colOff>
      <xdr:row>21</xdr:row>
      <xdr:rowOff>76200</xdr:rowOff>
    </xdr:from>
    <xdr:to>
      <xdr:col>13</xdr:col>
      <xdr:colOff>619125</xdr:colOff>
      <xdr:row>32</xdr:row>
      <xdr:rowOff>95250</xdr:rowOff>
    </xdr:to>
    <xdr:sp macro="" textlink="">
      <xdr:nvSpPr>
        <xdr:cNvPr id="51556" name="Texte 1"/>
        <xdr:cNvSpPr txBox="1">
          <a:spLocks noChangeArrowheads="1"/>
        </xdr:cNvSpPr>
      </xdr:nvSpPr>
      <xdr:spPr bwMode="auto">
        <a:xfrm>
          <a:off x="2743200" y="962025"/>
          <a:ext cx="8715375" cy="2219325"/>
        </a:xfrm>
        <a:prstGeom prst="rect">
          <a:avLst/>
        </a:prstGeom>
        <a:noFill/>
        <a:ln w="9525">
          <a:solidFill>
            <a:srgbClr val="000000"/>
          </a:solid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CG Times"/>
            </a:rPr>
            <a:t>           </a:t>
          </a:r>
        </a:p>
        <a:p>
          <a:pPr algn="l" rtl="1">
            <a:defRPr sz="1000"/>
          </a:pPr>
          <a:endParaRPr lang="en-US" sz="1200" b="1" i="0" strike="noStrike">
            <a:solidFill>
              <a:srgbClr val="000000"/>
            </a:solidFill>
            <a:latin typeface="CG Times"/>
          </a:endParaRPr>
        </a:p>
        <a:p>
          <a:pPr algn="l" rtl="1">
            <a:defRPr sz="1000"/>
          </a:pPr>
          <a:r>
            <a:rPr lang="en-US" sz="1200" b="1" i="0" strike="noStrike">
              <a:solidFill>
                <a:srgbClr val="000000"/>
              </a:solidFill>
              <a:latin typeface="CG Times"/>
            </a:rPr>
            <a:t>             </a:t>
          </a:r>
          <a:r>
            <a:rPr lang="en-US" sz="1200" b="1" i="0" u="sng" strike="noStrike">
              <a:solidFill>
                <a:srgbClr val="000000"/>
              </a:solidFill>
              <a:latin typeface="CG Times"/>
            </a:rPr>
            <a:t>Limite réglementaire </a:t>
          </a:r>
          <a:endParaRPr lang="en-US" sz="1200" b="1" i="0" strike="noStrike">
            <a:solidFill>
              <a:srgbClr val="000000"/>
            </a:solidFill>
            <a:latin typeface="CG Times"/>
          </a:endParaRPr>
        </a:p>
        <a:p>
          <a:pPr algn="l" rtl="1">
            <a:defRPr sz="1000"/>
          </a:pPr>
          <a:endParaRPr lang="en-US" sz="1200" b="1" i="0" strike="noStrike">
            <a:solidFill>
              <a:srgbClr val="000000"/>
            </a:solidFill>
            <a:latin typeface="CG Times"/>
          </a:endParaRPr>
        </a:p>
        <a:p>
          <a:pPr algn="l" rtl="1">
            <a:defRPr sz="1000"/>
          </a:pPr>
          <a:r>
            <a:rPr lang="en-US" sz="1200" b="1" i="0" strike="noStrike">
              <a:solidFill>
                <a:srgbClr val="000000"/>
              </a:solidFill>
              <a:latin typeface="CG Times"/>
            </a:rPr>
            <a:t>            </a:t>
          </a:r>
          <a:r>
            <a:rPr lang="en-US" sz="1200" b="0" i="0" strike="noStrike">
              <a:solidFill>
                <a:srgbClr val="000000"/>
              </a:solidFill>
              <a:latin typeface="CG Times"/>
            </a:rPr>
            <a:t>Les établissements bancaires sont tenus de respecter la position de change réglementaire suivante en tout temps :                                                                          </a:t>
          </a:r>
        </a:p>
        <a:p>
          <a:pPr algn="l" rtl="1">
            <a:defRPr sz="1000"/>
          </a:pPr>
          <a:r>
            <a:rPr lang="en-US" sz="1200" b="0" i="0" strike="noStrike">
              <a:solidFill>
                <a:srgbClr val="000000"/>
              </a:solidFill>
              <a:latin typeface="CG Times"/>
            </a:rPr>
            <a:t>             un rapport maximum de 8% ramené à 2% par la lettre circulaire #3 du 16 mars 2009 entre le cumul des positions</a:t>
          </a:r>
        </a:p>
        <a:p>
          <a:pPr algn="l" rtl="1">
            <a:defRPr sz="1000"/>
          </a:pPr>
          <a:r>
            <a:rPr lang="en-US" sz="1200" b="0" i="0" strike="noStrike">
              <a:solidFill>
                <a:srgbClr val="000000"/>
              </a:solidFill>
              <a:latin typeface="CG Times"/>
            </a:rPr>
            <a:t>            longues (toutes devises confondues) et des positions courtes (toutes autres devises confondues) d'une part et le total </a:t>
          </a:r>
        </a:p>
        <a:p>
          <a:pPr algn="l" rtl="1">
            <a:defRPr sz="1000"/>
          </a:pPr>
          <a:r>
            <a:rPr lang="en-US" sz="1200" b="0" i="0" strike="noStrike">
              <a:solidFill>
                <a:srgbClr val="000000"/>
              </a:solidFill>
              <a:latin typeface="CG Times"/>
            </a:rPr>
            <a:t>            de leurs fonds propres d'autre part.</a:t>
          </a:r>
        </a:p>
        <a:p>
          <a:pPr algn="l" rtl="1">
            <a:defRPr sz="1000"/>
          </a:pPr>
          <a:endParaRPr lang="en-US" sz="1200" b="0" i="0" strike="noStrike">
            <a:solidFill>
              <a:srgbClr val="000000"/>
            </a:solidFill>
            <a:latin typeface="CG Times"/>
          </a:endParaRPr>
        </a:p>
        <a:p>
          <a:pPr algn="l" rtl="1">
            <a:defRPr sz="1000"/>
          </a:pPr>
          <a:r>
            <a:rPr lang="en-US" sz="1200" b="0" i="0" strike="noStrike">
              <a:solidFill>
                <a:srgbClr val="000000"/>
              </a:solidFill>
              <a:latin typeface="CG Times"/>
            </a:rPr>
            <a:t>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2"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3"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4"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2"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3"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4"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2"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3"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4"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2"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3"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4"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2"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3"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4"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14399789"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14399790"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14399791"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15128795"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15128796"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15128797"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11978299"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11978300"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11978301"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838200</xdr:colOff>
      <xdr:row>6</xdr:row>
      <xdr:rowOff>0</xdr:rowOff>
    </xdr:from>
    <xdr:to>
      <xdr:col>10</xdr:col>
      <xdr:colOff>638175</xdr:colOff>
      <xdr:row>6</xdr:row>
      <xdr:rowOff>0</xdr:rowOff>
    </xdr:to>
    <xdr:sp macro="" textlink="">
      <xdr:nvSpPr>
        <xdr:cNvPr id="9121657" name="Line 1"/>
        <xdr:cNvSpPr>
          <a:spLocks noChangeShapeType="1"/>
        </xdr:cNvSpPr>
      </xdr:nvSpPr>
      <xdr:spPr bwMode="auto">
        <a:xfrm>
          <a:off x="13249275" y="1990725"/>
          <a:ext cx="647700" cy="0"/>
        </a:xfrm>
        <a:prstGeom prst="line">
          <a:avLst/>
        </a:prstGeom>
        <a:noFill/>
        <a:ln w="17145">
          <a:solidFill>
            <a:srgbClr val="000000"/>
          </a:solidFill>
          <a:round/>
          <a:headEnd/>
          <a:tailEnd/>
        </a:ln>
      </xdr:spPr>
    </xdr:sp>
    <xdr:clientData/>
  </xdr:twoCellAnchor>
  <xdr:twoCellAnchor>
    <xdr:from>
      <xdr:col>10</xdr:col>
      <xdr:colOff>0</xdr:colOff>
      <xdr:row>13</xdr:row>
      <xdr:rowOff>0</xdr:rowOff>
    </xdr:from>
    <xdr:to>
      <xdr:col>10</xdr:col>
      <xdr:colOff>676275</xdr:colOff>
      <xdr:row>13</xdr:row>
      <xdr:rowOff>0</xdr:rowOff>
    </xdr:to>
    <xdr:sp macro="" textlink="">
      <xdr:nvSpPr>
        <xdr:cNvPr id="9121658" name="Line 2"/>
        <xdr:cNvSpPr>
          <a:spLocks noChangeShapeType="1"/>
        </xdr:cNvSpPr>
      </xdr:nvSpPr>
      <xdr:spPr bwMode="auto">
        <a:xfrm>
          <a:off x="13258800" y="3600450"/>
          <a:ext cx="676275" cy="0"/>
        </a:xfrm>
        <a:prstGeom prst="line">
          <a:avLst/>
        </a:prstGeom>
        <a:noFill/>
        <a:ln w="17145">
          <a:solidFill>
            <a:srgbClr val="000000"/>
          </a:solidFill>
          <a:round/>
          <a:headEnd/>
          <a:tailEnd/>
        </a:ln>
      </xdr:spPr>
    </xdr:sp>
    <xdr:clientData/>
  </xdr:twoCellAnchor>
  <xdr:twoCellAnchor>
    <xdr:from>
      <xdr:col>10</xdr:col>
      <xdr:colOff>638175</xdr:colOff>
      <xdr:row>6</xdr:row>
      <xdr:rowOff>0</xdr:rowOff>
    </xdr:from>
    <xdr:to>
      <xdr:col>10</xdr:col>
      <xdr:colOff>647700</xdr:colOff>
      <xdr:row>12</xdr:row>
      <xdr:rowOff>228600</xdr:rowOff>
    </xdr:to>
    <xdr:sp macro="" textlink="">
      <xdr:nvSpPr>
        <xdr:cNvPr id="9121659" name="Line 3"/>
        <xdr:cNvSpPr>
          <a:spLocks noChangeShapeType="1"/>
        </xdr:cNvSpPr>
      </xdr:nvSpPr>
      <xdr:spPr bwMode="auto">
        <a:xfrm flipH="1">
          <a:off x="13896975" y="1990725"/>
          <a:ext cx="9525" cy="1600200"/>
        </a:xfrm>
        <a:prstGeom prst="line">
          <a:avLst/>
        </a:prstGeom>
        <a:noFill/>
        <a:ln w="17145">
          <a:solidFill>
            <a:srgbClr val="000000"/>
          </a:solidFill>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5</xdr:row>
      <xdr:rowOff>0</xdr:rowOff>
    </xdr:from>
    <xdr:to>
      <xdr:col>11</xdr:col>
      <xdr:colOff>695326</xdr:colOff>
      <xdr:row>15</xdr:row>
      <xdr:rowOff>142875</xdr:rowOff>
    </xdr:to>
    <xdr:sp macro="" textlink="">
      <xdr:nvSpPr>
        <xdr:cNvPr id="54626" name="Texte 1"/>
        <xdr:cNvSpPr txBox="1">
          <a:spLocks noChangeArrowheads="1"/>
        </xdr:cNvSpPr>
      </xdr:nvSpPr>
      <xdr:spPr bwMode="auto">
        <a:xfrm>
          <a:off x="3228976" y="1276350"/>
          <a:ext cx="11715750" cy="2143125"/>
        </a:xfrm>
        <a:prstGeom prst="rect">
          <a:avLst/>
        </a:prstGeom>
        <a:noFill/>
        <a:ln w="9525">
          <a:solidFill>
            <a:srgbClr val="000000"/>
          </a:solidFill>
          <a:miter lim="800000"/>
          <a:headEnd/>
          <a:tailEnd/>
        </a:ln>
      </xdr:spPr>
      <xdr:txBody>
        <a:bodyPr vertOverflow="clip" wrap="square" lIns="36576" tIns="36576" rIns="0" bIns="0" anchor="t" upright="1"/>
        <a:lstStyle/>
        <a:p>
          <a:pPr algn="l" rtl="1">
            <a:defRPr sz="1000"/>
          </a:pPr>
          <a:r>
            <a:rPr lang="en-US" sz="1800" b="0" i="0" strike="noStrike">
              <a:solidFill>
                <a:srgbClr val="000000"/>
              </a:solidFill>
              <a:latin typeface="CG Times"/>
            </a:rPr>
            <a:t>Tout établissement bancaire doit respecter en tout temps les deux normes suivantes en matière de fonds propres :</a:t>
          </a:r>
        </a:p>
        <a:p>
          <a:pPr algn="l" rtl="1">
            <a:defRPr sz="1000"/>
          </a:pPr>
          <a:endParaRPr lang="en-US" sz="1200" b="0" i="0" strike="noStrike">
            <a:solidFill>
              <a:srgbClr val="000000"/>
            </a:solidFill>
            <a:latin typeface="CG Times"/>
          </a:endParaRPr>
        </a:p>
        <a:p>
          <a:pPr algn="l" rtl="1">
            <a:defRPr sz="1000"/>
          </a:pPr>
          <a:r>
            <a:rPr lang="en-US" sz="1400" b="1" i="0" strike="noStrike">
              <a:solidFill>
                <a:srgbClr val="000000"/>
              </a:solidFill>
              <a:latin typeface="CG Times"/>
            </a:rPr>
            <a:t>. ratio actif/fonds propres</a:t>
          </a:r>
          <a:endParaRPr lang="en-US" sz="1200" b="1" i="0" strike="noStrike">
            <a:solidFill>
              <a:srgbClr val="000000"/>
            </a:solidFill>
            <a:latin typeface="CG Times"/>
          </a:endParaRPr>
        </a:p>
        <a:p>
          <a:pPr algn="l" rtl="1">
            <a:defRPr sz="1000"/>
          </a:pPr>
          <a:r>
            <a:rPr lang="en-US" sz="1200" b="1" i="0" strike="noStrike">
              <a:solidFill>
                <a:srgbClr val="000000"/>
              </a:solidFill>
              <a:latin typeface="CG Times"/>
            </a:rPr>
            <a:t>  un multiple maximum de [20 fois] entre l'ensemble des éléments d'actif et de certains éléments hors bilan d'une part, et les fonds propres réglementaires</a:t>
          </a:r>
        </a:p>
        <a:p>
          <a:pPr algn="l" rtl="1">
            <a:defRPr sz="1000"/>
          </a:pPr>
          <a:r>
            <a:rPr lang="en-US" sz="1200" b="1" i="0" strike="noStrike">
              <a:solidFill>
                <a:srgbClr val="000000"/>
              </a:solidFill>
              <a:latin typeface="CG Times"/>
            </a:rPr>
            <a:t>   d'autre part;</a:t>
          </a:r>
          <a:endParaRPr lang="en-US" sz="1000" b="1" i="0" strike="noStrike">
            <a:solidFill>
              <a:srgbClr val="000000"/>
            </a:solidFill>
            <a:latin typeface="CG Times"/>
          </a:endParaRPr>
        </a:p>
        <a:p>
          <a:pPr algn="l" rtl="1">
            <a:defRPr sz="1000"/>
          </a:pPr>
          <a:endParaRPr lang="en-US" sz="1000" b="1" i="0" strike="noStrike">
            <a:solidFill>
              <a:srgbClr val="000000"/>
            </a:solidFill>
            <a:latin typeface="CG Times"/>
          </a:endParaRPr>
        </a:p>
        <a:p>
          <a:pPr algn="l" rtl="1">
            <a:defRPr sz="1000"/>
          </a:pPr>
          <a:r>
            <a:rPr lang="en-US" sz="1400" b="1" i="0" strike="noStrike">
              <a:solidFill>
                <a:srgbClr val="000000"/>
              </a:solidFill>
              <a:latin typeface="CG Times"/>
            </a:rPr>
            <a:t>. ratio des fonds propres à risques</a:t>
          </a:r>
          <a:endParaRPr lang="en-US" sz="1200" b="1" i="0" strike="noStrike">
            <a:solidFill>
              <a:srgbClr val="000000"/>
            </a:solidFill>
            <a:latin typeface="CG Times"/>
          </a:endParaRPr>
        </a:p>
        <a:p>
          <a:pPr algn="l" rtl="1">
            <a:defRPr sz="1000"/>
          </a:pPr>
          <a:r>
            <a:rPr lang="en-US" sz="1200" b="1" i="0" strike="noStrike">
              <a:solidFill>
                <a:srgbClr val="000000"/>
              </a:solidFill>
              <a:latin typeface="CG Times"/>
            </a:rPr>
            <a:t>  un rapport minimum de [12%] entre les fonds propres réglementaires d'une part, et l'ensemble des éléments d'actif et de hors bilan pondérés en                    </a:t>
          </a:r>
        </a:p>
        <a:p>
          <a:pPr algn="l" rtl="1">
            <a:defRPr sz="1000"/>
          </a:pPr>
          <a:r>
            <a:rPr lang="en-US" sz="1200" b="1" i="0" strike="noStrike">
              <a:solidFill>
                <a:srgbClr val="000000"/>
              </a:solidFill>
              <a:latin typeface="CG Times"/>
            </a:rPr>
            <a:t>  fonction des risques d'autre part.  </a:t>
          </a:r>
        </a:p>
        <a:p>
          <a:pPr algn="l" rtl="1">
            <a:defRPr sz="1000"/>
          </a:pPr>
          <a:endParaRPr lang="en-US" sz="1200" b="1" i="0" strike="noStrike">
            <a:solidFill>
              <a:srgbClr val="000000"/>
            </a:solidFill>
            <a:latin typeface="CG Times"/>
          </a:endParaRPr>
        </a:p>
        <a:p>
          <a:pPr algn="l" rtl="1">
            <a:defRPr sz="1000"/>
          </a:pPr>
          <a:endParaRPr lang="en-US" sz="1200" b="1" i="0" strike="noStrike">
            <a:solidFill>
              <a:srgbClr val="000000"/>
            </a:solidFill>
            <a:latin typeface="CG Times"/>
          </a:endParaRPr>
        </a:p>
        <a:p>
          <a:pPr algn="l" rtl="1">
            <a:defRPr sz="1000"/>
          </a:pPr>
          <a:endParaRPr lang="en-US" sz="1200" b="1" i="0" strike="noStrike">
            <a:solidFill>
              <a:srgbClr val="000000"/>
            </a:solidFill>
            <a:latin typeface="CG Times"/>
          </a:endParaRPr>
        </a:p>
        <a:p>
          <a:pPr algn="l" rtl="1">
            <a:defRPr sz="1000"/>
          </a:pPr>
          <a:r>
            <a:rPr lang="en-US" sz="1400" b="1" i="0" strike="noStrike">
              <a:solidFill>
                <a:srgbClr val="000000"/>
              </a:solidFill>
              <a:latin typeface="CG Times"/>
            </a:rPr>
            <a:t>.</a:t>
          </a:r>
          <a:r>
            <a:rPr lang="en-US" sz="1200" b="1" i="0" strike="noStrike">
              <a:solidFill>
                <a:srgbClr val="000000"/>
              </a:solidFill>
              <a:latin typeface="CG Times"/>
            </a:rPr>
            <a:t> Les ratios de suffisance de fonds propres intérimaires applicables 30 septembre 2001 s'établissent ainsi:</a:t>
          </a:r>
        </a:p>
        <a:p>
          <a:pPr algn="l" rtl="1">
            <a:defRPr sz="1000"/>
          </a:pPr>
          <a:r>
            <a:rPr lang="en-US" sz="1200" b="1" i="0" strike="noStrike">
              <a:solidFill>
                <a:srgbClr val="000000"/>
              </a:solidFill>
              <a:latin typeface="CG Times"/>
            </a:rPr>
            <a:t>  20 fois (ratio actif/fonds propres)</a:t>
          </a:r>
        </a:p>
        <a:p>
          <a:pPr algn="l" rtl="1">
            <a:defRPr sz="1000"/>
          </a:pPr>
          <a:r>
            <a:rPr lang="en-US" sz="1200" b="1" i="0" strike="noStrike">
              <a:solidFill>
                <a:srgbClr val="000000"/>
              </a:solidFill>
              <a:latin typeface="CG Times"/>
            </a:rPr>
            <a:t>  12% (ratio fonds propres à risques)</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19050</xdr:colOff>
      <xdr:row>5</xdr:row>
      <xdr:rowOff>0</xdr:rowOff>
    </xdr:from>
    <xdr:to>
      <xdr:col>9</xdr:col>
      <xdr:colOff>0</xdr:colOff>
      <xdr:row>5</xdr:row>
      <xdr:rowOff>0</xdr:rowOff>
    </xdr:to>
    <xdr:sp macro="" textlink="">
      <xdr:nvSpPr>
        <xdr:cNvPr id="13827313" name="Line 1"/>
        <xdr:cNvSpPr>
          <a:spLocks noChangeShapeType="1"/>
        </xdr:cNvSpPr>
      </xdr:nvSpPr>
      <xdr:spPr bwMode="auto">
        <a:xfrm>
          <a:off x="4562475" y="1143000"/>
          <a:ext cx="2038350" cy="0"/>
        </a:xfrm>
        <a:prstGeom prst="line">
          <a:avLst/>
        </a:prstGeom>
        <a:noFill/>
        <a:ln w="9525">
          <a:solidFill>
            <a:srgbClr val="000000"/>
          </a:solidFill>
          <a:round/>
          <a:headEnd/>
          <a:tailEnd/>
        </a:ln>
      </xdr:spPr>
    </xdr:sp>
    <xdr:clientData/>
  </xdr:twoCellAnchor>
  <xdr:twoCellAnchor>
    <xdr:from>
      <xdr:col>6</xdr:col>
      <xdr:colOff>9525</xdr:colOff>
      <xdr:row>9</xdr:row>
      <xdr:rowOff>0</xdr:rowOff>
    </xdr:from>
    <xdr:to>
      <xdr:col>8</xdr:col>
      <xdr:colOff>676275</xdr:colOff>
      <xdr:row>9</xdr:row>
      <xdr:rowOff>0</xdr:rowOff>
    </xdr:to>
    <xdr:sp macro="" textlink="">
      <xdr:nvSpPr>
        <xdr:cNvPr id="13827314" name="Line 2"/>
        <xdr:cNvSpPr>
          <a:spLocks noChangeShapeType="1"/>
        </xdr:cNvSpPr>
      </xdr:nvSpPr>
      <xdr:spPr bwMode="auto">
        <a:xfrm>
          <a:off x="4552950" y="1943100"/>
          <a:ext cx="203835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tat_fin_ban\2014\12_D&#233;cembre\Bilan%20non%20consolid&#233;\CAPITALBK-BINC12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tat_fin_ban\2014\09_Septembre\Bilan%20non%20consolid&#233;\BUH-BINC09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erv\etat_fin_ban\2012\09_Septembre\Bilan%20non%20consolid&#233;\BUH-BINC0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erv\etat_fin_ban\2014\12_D&#233;cembre\Bilan%20non%20consolid&#233;\SCOTIA-BINC121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ileserv\etat_fin_ban\2014\12_D&#233;cembre\Bilan%20non%20consolid&#233;\SOGEBL-BINC121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ilan"/>
      <sheetName val="Annexe1"/>
      <sheetName val="Annexe2"/>
      <sheetName val="Annexe3"/>
      <sheetName val="Annexe4"/>
      <sheetName val="Annexe5"/>
      <sheetName val="Annexe6"/>
      <sheetName val="Annexe7"/>
      <sheetName val="Annexe7.1"/>
      <sheetName val="Annexe7.2"/>
      <sheetName val="Annexe7.3"/>
      <sheetName val="Annexe8"/>
      <sheetName val="Annexe9"/>
      <sheetName val="Annexe10"/>
      <sheetName val="Annexe11"/>
      <sheetName val="Annexe12"/>
      <sheetName val="Annexe13"/>
      <sheetName val="Annexe14"/>
      <sheetName val="Module1"/>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9">
          <cell r="F29">
            <v>1278050</v>
          </cell>
        </row>
        <row r="30">
          <cell r="F30">
            <v>49334</v>
          </cell>
        </row>
        <row r="31">
          <cell r="F31">
            <v>60014</v>
          </cell>
        </row>
        <row r="32">
          <cell r="F32">
            <v>494051</v>
          </cell>
        </row>
        <row r="33">
          <cell r="F33">
            <v>139692</v>
          </cell>
        </row>
        <row r="34">
          <cell r="F34">
            <v>17508</v>
          </cell>
        </row>
        <row r="35">
          <cell r="F35">
            <v>39763</v>
          </cell>
        </row>
        <row r="36">
          <cell r="F36">
            <v>33874</v>
          </cell>
        </row>
        <row r="37">
          <cell r="F37">
            <v>34475</v>
          </cell>
        </row>
        <row r="38">
          <cell r="F38">
            <v>3066</v>
          </cell>
        </row>
        <row r="39">
          <cell r="F39">
            <v>1624</v>
          </cell>
        </row>
        <row r="40">
          <cell r="F40">
            <v>927</v>
          </cell>
        </row>
        <row r="41">
          <cell r="F41">
            <v>46516</v>
          </cell>
        </row>
        <row r="42">
          <cell r="F42">
            <v>235</v>
          </cell>
        </row>
        <row r="43">
          <cell r="F43">
            <v>100</v>
          </cell>
        </row>
        <row r="44">
          <cell r="F44">
            <v>8429</v>
          </cell>
        </row>
      </sheetData>
      <sheetData sheetId="18" refreshError="1"/>
      <sheetData sheetId="1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EBAL FIN"/>
      <sheetName val="Distrib. Bilan &amp; Ratios Cles"/>
      <sheetName val="BILAN"/>
      <sheetName val="ANNEXE1"/>
      <sheetName val="ANNEXE2"/>
      <sheetName val="ANNEXE 3"/>
      <sheetName val="ANNEXE 4"/>
      <sheetName val="ANNEXE 5"/>
      <sheetName val="ANNEXE 6"/>
      <sheetName val="ANNEXE 7"/>
      <sheetName val="ANNEXE 7.1"/>
      <sheetName val="Anal Annexes 7.1 &amp; 7.2"/>
      <sheetName val="ANNEXE 7.2"/>
      <sheetName val="PRETS ARR.- ANNEXE 7.3"/>
      <sheetName val="ANNEXE 8"/>
      <sheetName val="ANNEXE 9"/>
      <sheetName val="ANNEXE 10"/>
      <sheetName val="ANNEXE 11"/>
      <sheetName val="ANNEXE 12"/>
      <sheetName val="ANNEXE 13"/>
      <sheetName val="ANNEXE 14"/>
      <sheetName val="Ajust MC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58">
          <cell r="F58">
            <v>0</v>
          </cell>
        </row>
      </sheetData>
      <sheetData sheetId="2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BILAN"/>
      <sheetName val="ANNEXE1"/>
      <sheetName val="ANNEXE2"/>
      <sheetName val="ANNEXE 3"/>
      <sheetName val="ANNEXE 4"/>
      <sheetName val="ANNEXE 5"/>
      <sheetName val="ANNEXE 6"/>
      <sheetName val="ANNEXE 7"/>
      <sheetName val="ANNEXE 7.1"/>
      <sheetName val="ANNEXE 7.2"/>
      <sheetName val="PRETS ARR.- ANNEXE 7.3"/>
      <sheetName val="ANNEXE 8"/>
      <sheetName val="ANNEXE 9"/>
      <sheetName val="ANNEXE 10"/>
      <sheetName val="ANNEXE 11"/>
      <sheetName val="ANNEXE 12"/>
      <sheetName val="ANNEXE 13"/>
      <sheetName val="ANNEXE 14"/>
    </sheetNames>
    <sheetDataSet>
      <sheetData sheetId="0"/>
      <sheetData sheetId="1"/>
      <sheetData sheetId="2"/>
      <sheetData sheetId="3"/>
      <sheetData sheetId="4"/>
      <sheetData sheetId="5"/>
      <sheetData sheetId="6"/>
      <sheetData sheetId="7"/>
      <sheetData sheetId="8"/>
      <sheetData sheetId="9"/>
      <sheetData sheetId="10">
        <row r="41">
          <cell r="F41">
            <v>9141</v>
          </cell>
          <cell r="G41">
            <v>718</v>
          </cell>
          <cell r="H41">
            <v>28418</v>
          </cell>
        </row>
      </sheetData>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Bilan"/>
      <sheetName val="Annexe1"/>
      <sheetName val="Annexe2"/>
      <sheetName val="Annexe3"/>
      <sheetName val="Annexe4"/>
      <sheetName val="Annexe5"/>
      <sheetName val="Annexe6"/>
      <sheetName val="Annexe7"/>
      <sheetName val="Annexe7.1"/>
      <sheetName val="Annexe7.2"/>
      <sheetName val="Annexe7.3"/>
      <sheetName val="Annexe8"/>
      <sheetName val="Annexe9"/>
      <sheetName val="Annexe10"/>
      <sheetName val="Annexe11"/>
      <sheetName val="Annexe12"/>
      <sheetName val="Annexe13"/>
      <sheetName val="Annexe14"/>
      <sheetName val="Module1"/>
      <sheetName val="Module2"/>
    </sheetNames>
    <sheetDataSet>
      <sheetData sheetId="0" refreshError="1"/>
      <sheetData sheetId="1">
        <row r="92">
          <cell r="K92">
            <v>229687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ilan"/>
      <sheetName val="Annexe1"/>
      <sheetName val="Annexe2"/>
      <sheetName val="Annexe3"/>
      <sheetName val="Annexe4"/>
      <sheetName val="Annexe5"/>
      <sheetName val="Annexe6"/>
      <sheetName val="Annexe7"/>
      <sheetName val="Annexe7.1"/>
      <sheetName val="Annexe7.2"/>
      <sheetName val="Annexe7.3"/>
      <sheetName val="Annexe8"/>
      <sheetName val="Annexe9"/>
      <sheetName val="Annexe10"/>
      <sheetName val="Annexe11"/>
      <sheetName val="Annexe12"/>
      <sheetName val="Annexe13"/>
      <sheetName val="Annexe14"/>
      <sheetName val="Annexe 15"/>
      <sheetName val="Module1"/>
      <sheetName val="Module2"/>
    </sheetNames>
    <sheetDataSet>
      <sheetData sheetId="0">
        <row r="72">
          <cell r="K72">
            <v>1083757.2214300002</v>
          </cell>
        </row>
        <row r="74">
          <cell r="K74">
            <v>508819.43869999994</v>
          </cell>
        </row>
        <row r="76">
          <cell r="K76">
            <v>2952640.3953400003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vert="vert270"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vert="vert270"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1.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63.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sheet1.xml><?xml version="1.0" encoding="utf-8"?>
<worksheet xmlns="http://schemas.openxmlformats.org/spreadsheetml/2006/main" xmlns:r="http://schemas.openxmlformats.org/officeDocument/2006/relationships">
  <dimension ref="A1"/>
  <sheetViews>
    <sheetView workbookViewId="0"/>
  </sheetViews>
  <sheetFormatPr baseColWidth="10" defaultColWidth="11" defaultRowHeight="15.75"/>
  <sheetData/>
  <phoneticPr fontId="0"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dimension ref="A1:M44"/>
  <sheetViews>
    <sheetView showGridLines="0" tabSelected="1" workbookViewId="0">
      <selection activeCell="L5" sqref="L5"/>
    </sheetView>
  </sheetViews>
  <sheetFormatPr baseColWidth="10" defaultColWidth="9" defaultRowHeight="15.75"/>
  <cols>
    <col min="5" max="5" width="7.75" customWidth="1"/>
    <col min="6" max="6" width="8.375" customWidth="1"/>
    <col min="10" max="10" width="10.5" customWidth="1"/>
    <col min="11" max="11" width="12.375" customWidth="1"/>
    <col min="12" max="12" width="9.75" customWidth="1"/>
    <col min="13" max="13" width="12.25" customWidth="1"/>
  </cols>
  <sheetData>
    <row r="1" spans="1:13">
      <c r="A1" s="448" t="s">
        <v>0</v>
      </c>
      <c r="B1" s="449"/>
      <c r="C1" s="449"/>
      <c r="D1" s="449"/>
      <c r="E1" s="449"/>
      <c r="F1" s="449"/>
      <c r="G1" s="449"/>
      <c r="H1" s="449"/>
      <c r="I1" s="449"/>
      <c r="J1" s="449"/>
      <c r="K1" s="449"/>
      <c r="L1" s="449"/>
      <c r="M1" s="450"/>
    </row>
    <row r="2" spans="1:13">
      <c r="A2" s="451"/>
      <c r="B2" s="452"/>
      <c r="C2" s="452"/>
      <c r="D2" s="452"/>
      <c r="E2" s="452"/>
      <c r="F2" s="452"/>
      <c r="G2" s="278"/>
      <c r="H2" s="278"/>
      <c r="I2" s="452"/>
      <c r="J2" s="452"/>
      <c r="K2" s="452"/>
      <c r="L2" s="452"/>
      <c r="M2" s="453"/>
    </row>
    <row r="3" spans="1:13">
      <c r="A3" s="454"/>
      <c r="B3" s="455"/>
      <c r="C3" s="455"/>
      <c r="D3" s="455"/>
      <c r="E3" s="455"/>
      <c r="F3" s="455"/>
      <c r="G3" s="465"/>
      <c r="H3" s="465"/>
      <c r="I3" s="455"/>
      <c r="J3" s="455"/>
      <c r="K3" s="455"/>
      <c r="L3" s="455"/>
      <c r="M3" s="456"/>
    </row>
    <row r="4" spans="1:13">
      <c r="A4" s="454"/>
      <c r="B4" s="455"/>
      <c r="C4" s="455"/>
      <c r="D4" s="455"/>
      <c r="E4" s="455"/>
      <c r="F4" s="455"/>
      <c r="G4" s="465"/>
      <c r="H4" s="465"/>
      <c r="I4" s="455"/>
      <c r="J4" s="455"/>
      <c r="K4" s="455"/>
      <c r="L4" s="455"/>
      <c r="M4" s="456"/>
    </row>
    <row r="5" spans="1:13">
      <c r="A5" s="451" t="s">
        <v>0</v>
      </c>
      <c r="B5" s="452"/>
      <c r="C5" s="452"/>
      <c r="D5" s="452"/>
      <c r="E5" s="452"/>
      <c r="F5" s="452"/>
      <c r="G5" s="278"/>
      <c r="H5" s="278"/>
      <c r="I5" s="452"/>
      <c r="J5" s="452"/>
      <c r="K5" s="452"/>
      <c r="L5" s="452"/>
      <c r="M5" s="453"/>
    </row>
    <row r="6" spans="1:13" ht="18.75">
      <c r="A6" s="470" t="s">
        <v>1</v>
      </c>
      <c r="B6" s="455"/>
      <c r="C6" s="455"/>
      <c r="D6" s="455"/>
      <c r="E6" s="455"/>
      <c r="F6" s="455"/>
      <c r="G6" s="455"/>
      <c r="H6" s="455"/>
      <c r="I6" s="455"/>
      <c r="J6" s="455"/>
      <c r="K6" s="455"/>
      <c r="L6" s="455"/>
      <c r="M6" s="456"/>
    </row>
    <row r="7" spans="1:13">
      <c r="A7" s="451"/>
      <c r="B7" s="452"/>
      <c r="C7" s="452"/>
      <c r="D7" s="452"/>
      <c r="E7" s="452"/>
      <c r="F7" s="452"/>
      <c r="G7" s="452"/>
      <c r="H7" s="452"/>
      <c r="I7" s="452"/>
      <c r="J7" s="452"/>
      <c r="K7" s="452"/>
      <c r="L7" s="452"/>
      <c r="M7" s="453"/>
    </row>
    <row r="8" spans="1:13">
      <c r="A8" s="451"/>
      <c r="B8" s="452"/>
      <c r="C8" s="452"/>
      <c r="D8" s="452"/>
      <c r="E8" s="452"/>
      <c r="F8" s="452"/>
      <c r="G8" s="452"/>
      <c r="H8" s="452"/>
      <c r="I8" s="452"/>
      <c r="J8" s="452"/>
      <c r="K8" s="452"/>
      <c r="L8" s="452"/>
      <c r="M8" s="453"/>
    </row>
    <row r="9" spans="1:13">
      <c r="A9" s="451"/>
      <c r="B9" s="452"/>
      <c r="C9" s="452"/>
      <c r="D9" s="452"/>
      <c r="E9" s="452"/>
      <c r="F9" s="452"/>
      <c r="G9" s="452"/>
      <c r="H9" s="452"/>
      <c r="I9" s="452"/>
      <c r="J9" s="452"/>
      <c r="K9" s="452"/>
      <c r="L9" s="452"/>
      <c r="M9" s="453"/>
    </row>
    <row r="10" spans="1:13">
      <c r="A10" s="451"/>
      <c r="B10" s="452"/>
      <c r="C10" s="452"/>
      <c r="D10" s="452"/>
      <c r="E10" s="452"/>
      <c r="F10" s="452"/>
      <c r="G10" s="452"/>
      <c r="H10" s="452"/>
      <c r="I10" s="452"/>
      <c r="J10" s="452"/>
      <c r="K10" s="452"/>
      <c r="L10" s="452"/>
      <c r="M10" s="453"/>
    </row>
    <row r="11" spans="1:13">
      <c r="A11" s="451"/>
      <c r="B11" s="452"/>
      <c r="C11" s="452"/>
      <c r="D11" s="452"/>
      <c r="E11" s="452"/>
      <c r="F11" s="452"/>
      <c r="G11" s="452"/>
      <c r="H11" s="452"/>
      <c r="I11" s="452"/>
      <c r="J11" s="452"/>
      <c r="K11" s="452"/>
      <c r="L11" s="452"/>
      <c r="M11" s="453"/>
    </row>
    <row r="12" spans="1:13" ht="15.75" customHeight="1">
      <c r="A12" s="451"/>
      <c r="B12" s="452"/>
      <c r="C12" s="1543" t="s">
        <v>0</v>
      </c>
      <c r="D12" s="1543"/>
      <c r="E12" s="1543"/>
      <c r="F12" s="1543"/>
      <c r="G12" s="1543"/>
      <c r="H12" s="1543"/>
      <c r="I12" s="1543"/>
      <c r="J12" s="1543"/>
      <c r="K12" s="1543"/>
      <c r="L12" s="452"/>
      <c r="M12" s="453"/>
    </row>
    <row r="13" spans="1:13" ht="15.75" customHeight="1">
      <c r="A13" s="451"/>
      <c r="B13" s="452"/>
      <c r="C13" s="1543"/>
      <c r="D13" s="1543"/>
      <c r="E13" s="1543"/>
      <c r="F13" s="1543"/>
      <c r="G13" s="1543"/>
      <c r="H13" s="1543"/>
      <c r="I13" s="1543"/>
      <c r="J13" s="1543"/>
      <c r="K13" s="1543"/>
      <c r="L13" s="452"/>
      <c r="M13" s="453"/>
    </row>
    <row r="14" spans="1:13" ht="15.75" customHeight="1">
      <c r="A14" s="451"/>
      <c r="B14" s="452"/>
      <c r="C14" s="1543"/>
      <c r="D14" s="1543"/>
      <c r="E14" s="1543"/>
      <c r="F14" s="1543"/>
      <c r="G14" s="1543"/>
      <c r="H14" s="1543"/>
      <c r="I14" s="1543"/>
      <c r="J14" s="1543"/>
      <c r="K14" s="1543"/>
      <c r="L14" s="452"/>
      <c r="M14" s="453"/>
    </row>
    <row r="15" spans="1:13" ht="61.5">
      <c r="A15" s="451"/>
      <c r="B15" s="452"/>
      <c r="C15" s="452"/>
      <c r="D15" s="1209"/>
      <c r="E15" s="452"/>
      <c r="F15" s="452"/>
      <c r="G15" s="452"/>
      <c r="H15" s="452"/>
      <c r="I15" s="452"/>
      <c r="J15" s="452"/>
      <c r="K15" s="452"/>
      <c r="L15" s="452"/>
      <c r="M15" s="453"/>
    </row>
    <row r="16" spans="1:13">
      <c r="A16" s="451"/>
      <c r="B16" s="452"/>
      <c r="C16" s="452"/>
      <c r="D16" s="452"/>
      <c r="E16" s="452"/>
      <c r="F16" s="452"/>
      <c r="G16" s="452"/>
      <c r="H16" s="452"/>
      <c r="I16" s="452"/>
      <c r="J16" s="452"/>
      <c r="K16" s="452"/>
      <c r="L16" s="452"/>
      <c r="M16" s="453"/>
    </row>
    <row r="17" spans="1:13">
      <c r="A17" s="451" t="s">
        <v>0</v>
      </c>
      <c r="B17" s="452"/>
      <c r="C17" s="452"/>
      <c r="D17" s="452"/>
      <c r="E17" s="452"/>
      <c r="F17" s="452"/>
      <c r="G17" s="452"/>
      <c r="H17" s="452"/>
      <c r="I17" s="452"/>
      <c r="J17" s="452"/>
      <c r="K17" s="452"/>
      <c r="L17" s="452"/>
      <c r="M17" s="453"/>
    </row>
    <row r="18" spans="1:13">
      <c r="A18" s="451"/>
      <c r="B18" s="452"/>
      <c r="C18" s="452"/>
      <c r="D18" s="452"/>
      <c r="E18" s="452"/>
      <c r="F18" s="452"/>
      <c r="G18" s="452"/>
      <c r="H18" s="452"/>
      <c r="I18" s="452"/>
      <c r="J18" s="452"/>
      <c r="K18" s="452"/>
      <c r="L18" s="452"/>
      <c r="M18" s="453"/>
    </row>
    <row r="19" spans="1:13" ht="22.5">
      <c r="A19" s="445" t="s">
        <v>719</v>
      </c>
      <c r="B19" s="446"/>
      <c r="C19" s="446"/>
      <c r="D19" s="446"/>
      <c r="E19" s="446"/>
      <c r="F19" s="446"/>
      <c r="G19" s="446"/>
      <c r="H19" s="446"/>
      <c r="I19" s="446"/>
      <c r="J19" s="446"/>
      <c r="K19" s="446"/>
      <c r="L19" s="446"/>
      <c r="M19" s="447"/>
    </row>
    <row r="20" spans="1:13">
      <c r="A20" s="451"/>
      <c r="B20" s="452"/>
      <c r="C20" s="452"/>
      <c r="D20" s="452"/>
      <c r="E20" s="452"/>
      <c r="F20" s="452"/>
      <c r="G20" s="452"/>
      <c r="H20" s="452"/>
      <c r="I20" s="452"/>
      <c r="J20" s="452"/>
      <c r="K20" s="452"/>
      <c r="L20" s="452"/>
      <c r="M20" s="453"/>
    </row>
    <row r="21" spans="1:13">
      <c r="A21" s="451"/>
      <c r="B21" s="452"/>
      <c r="C21" s="452"/>
      <c r="D21" s="452"/>
      <c r="E21" s="452"/>
      <c r="F21" s="452"/>
      <c r="G21" s="452"/>
      <c r="H21" s="452"/>
      <c r="I21" s="452"/>
      <c r="J21" s="452"/>
      <c r="K21" s="452"/>
      <c r="L21" s="452"/>
      <c r="M21" s="453"/>
    </row>
    <row r="22" spans="1:13">
      <c r="A22" s="451"/>
      <c r="B22" s="452"/>
      <c r="C22" s="452"/>
      <c r="D22" s="452"/>
      <c r="E22" s="452"/>
      <c r="F22" s="452"/>
      <c r="G22" s="452"/>
      <c r="H22" s="452"/>
      <c r="I22" s="452"/>
      <c r="J22" s="452"/>
      <c r="K22" s="452"/>
      <c r="L22" s="452"/>
      <c r="M22" s="453"/>
    </row>
    <row r="23" spans="1:13">
      <c r="A23" s="451"/>
      <c r="B23" s="452"/>
      <c r="C23" s="452"/>
      <c r="D23" s="452"/>
      <c r="E23" s="452"/>
      <c r="F23" s="452"/>
      <c r="G23" s="452"/>
      <c r="H23" s="452"/>
      <c r="I23" s="452"/>
      <c r="J23" s="452"/>
      <c r="K23" s="452"/>
      <c r="L23" s="452"/>
      <c r="M23" s="453"/>
    </row>
    <row r="24" spans="1:13">
      <c r="A24" s="451"/>
      <c r="B24" s="452"/>
      <c r="C24" s="452"/>
      <c r="D24" s="452"/>
      <c r="E24" s="452"/>
      <c r="F24" s="452"/>
      <c r="G24" s="452"/>
      <c r="H24" s="452"/>
      <c r="I24" s="452"/>
      <c r="J24" s="452"/>
      <c r="K24" s="452"/>
      <c r="L24" s="452"/>
      <c r="M24" s="453"/>
    </row>
    <row r="25" spans="1:13">
      <c r="A25" s="451"/>
      <c r="B25" s="452"/>
      <c r="C25" s="452"/>
      <c r="D25" s="452"/>
      <c r="E25" s="452"/>
      <c r="F25" s="452"/>
      <c r="G25" s="452"/>
      <c r="H25" s="452"/>
      <c r="I25" s="452"/>
      <c r="J25" s="452"/>
      <c r="K25" s="452"/>
      <c r="L25" s="452"/>
      <c r="M25" s="453"/>
    </row>
    <row r="26" spans="1:13">
      <c r="A26" s="451"/>
      <c r="B26" s="452"/>
      <c r="C26" s="452"/>
      <c r="D26" s="452"/>
      <c r="E26" s="452"/>
      <c r="F26" s="452"/>
      <c r="G26" s="452"/>
      <c r="H26" s="452"/>
      <c r="I26" s="452"/>
      <c r="J26" s="452"/>
      <c r="K26" s="452"/>
      <c r="L26" s="452"/>
      <c r="M26" s="453"/>
    </row>
    <row r="27" spans="1:13">
      <c r="A27" s="457" t="s">
        <v>2</v>
      </c>
      <c r="B27" s="458"/>
      <c r="C27" s="458"/>
      <c r="D27" s="458"/>
      <c r="E27" s="458"/>
      <c r="F27" s="458"/>
      <c r="G27" s="458"/>
      <c r="H27" s="458"/>
      <c r="I27" s="458"/>
      <c r="J27" s="458"/>
      <c r="K27" s="458"/>
      <c r="L27" s="458"/>
      <c r="M27" s="459"/>
    </row>
    <row r="28" spans="1:13">
      <c r="A28" s="457" t="s">
        <v>3</v>
      </c>
      <c r="B28" s="458"/>
      <c r="C28" s="458"/>
      <c r="D28" s="458"/>
      <c r="E28" s="458"/>
      <c r="F28" s="458"/>
      <c r="G28" s="458"/>
      <c r="H28" s="458"/>
      <c r="I28" s="458"/>
      <c r="J28" s="458"/>
      <c r="K28" s="458"/>
      <c r="L28" s="458"/>
      <c r="M28" s="459"/>
    </row>
    <row r="29" spans="1:13">
      <c r="A29" s="451"/>
      <c r="B29" s="452"/>
      <c r="C29" s="452"/>
      <c r="D29" s="452"/>
      <c r="E29" s="452"/>
      <c r="F29" s="452"/>
      <c r="G29" s="452"/>
      <c r="H29" s="452"/>
      <c r="I29" s="452"/>
      <c r="J29" s="452"/>
      <c r="K29" s="452"/>
      <c r="L29" s="452"/>
      <c r="M29" s="453"/>
    </row>
    <row r="30" spans="1:13">
      <c r="A30" s="451"/>
      <c r="B30" s="452"/>
      <c r="C30" s="452"/>
      <c r="D30" s="452"/>
      <c r="E30" s="452"/>
      <c r="F30" s="452"/>
      <c r="G30" s="452"/>
      <c r="H30" s="452"/>
      <c r="I30" s="452"/>
      <c r="J30" s="452"/>
      <c r="K30" s="452"/>
      <c r="L30" s="452"/>
      <c r="M30" s="453"/>
    </row>
    <row r="31" spans="1:13" ht="15" customHeight="1">
      <c r="A31" s="451"/>
      <c r="B31" s="452"/>
      <c r="C31" s="452"/>
      <c r="D31" s="452"/>
      <c r="E31" s="452"/>
      <c r="F31" s="452"/>
      <c r="G31" s="452"/>
      <c r="H31" s="452"/>
      <c r="I31" s="452"/>
      <c r="J31" s="452"/>
      <c r="K31" s="452"/>
      <c r="L31" s="452"/>
      <c r="M31" s="453"/>
    </row>
    <row r="32" spans="1:13" ht="18.75" customHeight="1">
      <c r="A32" s="451"/>
      <c r="B32" s="452"/>
      <c r="C32" s="452"/>
      <c r="D32" s="452" t="s">
        <v>0</v>
      </c>
      <c r="E32" s="452"/>
      <c r="F32" s="1544"/>
      <c r="G32" s="1544"/>
      <c r="H32" s="1544"/>
      <c r="I32" s="1544"/>
      <c r="J32" s="452"/>
      <c r="K32" s="452"/>
      <c r="L32" s="452"/>
      <c r="M32" s="453"/>
    </row>
    <row r="33" spans="1:13">
      <c r="A33" s="451"/>
      <c r="B33" s="452"/>
      <c r="C33" s="452"/>
      <c r="D33" s="452"/>
      <c r="E33" s="452"/>
      <c r="F33" s="452"/>
      <c r="G33" s="452"/>
      <c r="H33" s="452"/>
      <c r="I33" s="452"/>
      <c r="J33" s="452"/>
      <c r="K33" s="452"/>
      <c r="L33" s="452"/>
      <c r="M33" s="453"/>
    </row>
    <row r="34" spans="1:13">
      <c r="A34" s="451"/>
      <c r="B34" s="452"/>
      <c r="C34" s="452"/>
      <c r="D34" s="452"/>
      <c r="E34" s="452"/>
      <c r="F34" s="452"/>
      <c r="G34" s="452"/>
      <c r="H34" s="452"/>
      <c r="I34" s="452"/>
      <c r="J34" s="452"/>
      <c r="K34" s="452"/>
      <c r="L34" s="452"/>
      <c r="M34" s="453"/>
    </row>
    <row r="35" spans="1:13">
      <c r="A35" s="451"/>
      <c r="B35" s="452"/>
      <c r="C35" s="452"/>
      <c r="D35" s="452"/>
      <c r="E35" s="452"/>
      <c r="F35" s="452"/>
      <c r="G35" s="452"/>
      <c r="H35" s="452"/>
      <c r="I35" s="452"/>
      <c r="J35" s="452"/>
      <c r="K35" s="452"/>
      <c r="L35" s="452"/>
      <c r="M35" s="453"/>
    </row>
    <row r="36" spans="1:13">
      <c r="A36" s="451" t="s">
        <v>0</v>
      </c>
      <c r="B36" s="452"/>
      <c r="C36" s="452"/>
      <c r="D36" s="452"/>
      <c r="E36" s="452"/>
      <c r="F36" s="452"/>
      <c r="G36" s="452"/>
      <c r="H36" s="452"/>
      <c r="I36" s="452"/>
      <c r="J36" s="452"/>
      <c r="K36" s="452"/>
      <c r="L36" s="452"/>
      <c r="M36" s="453"/>
    </row>
    <row r="37" spans="1:13" ht="20.25">
      <c r="A37" s="451"/>
      <c r="B37" s="452"/>
      <c r="C37" s="452"/>
      <c r="D37" s="452"/>
      <c r="E37" s="452"/>
      <c r="F37" s="452"/>
      <c r="G37" s="452"/>
      <c r="H37" s="452"/>
      <c r="I37" s="452"/>
      <c r="J37" s="452"/>
      <c r="K37" s="452"/>
      <c r="L37" s="460" t="s">
        <v>986</v>
      </c>
      <c r="M37" s="453"/>
    </row>
    <row r="38" spans="1:13" ht="16.5" thickBot="1">
      <c r="A38" s="461"/>
      <c r="B38" s="462"/>
      <c r="C38" s="462"/>
      <c r="D38" s="462"/>
      <c r="E38" s="462"/>
      <c r="F38" s="462"/>
      <c r="G38" s="462"/>
      <c r="H38" s="462"/>
      <c r="I38" s="462"/>
      <c r="J38" s="463" t="s">
        <v>987</v>
      </c>
      <c r="K38" s="642"/>
      <c r="L38" s="462"/>
      <c r="M38" s="464"/>
    </row>
    <row r="43" spans="1:13">
      <c r="D43" t="s">
        <v>0</v>
      </c>
    </row>
    <row r="44" spans="1:13">
      <c r="D44" t="s">
        <v>0</v>
      </c>
    </row>
  </sheetData>
  <mergeCells count="2">
    <mergeCell ref="C12:K14"/>
    <mergeCell ref="F32:I32"/>
  </mergeCells>
  <phoneticPr fontId="0" type="noConversion"/>
  <pageMargins left="0.62" right="0.17" top="0.26" bottom="0.19" header="0.19" footer="0.11"/>
  <pageSetup scale="90" orientation="landscape" r:id="rId1"/>
  <headerFooter alignWithMargins="0"/>
  <legacyDrawing r:id="rId2"/>
  <oleObjects>
    <oleObject progId="Word.Picture.6" shapeId="1025" r:id="rId3"/>
  </oleObjects>
</worksheet>
</file>

<file path=xl/worksheets/sheet3.xml><?xml version="1.0" encoding="utf-8"?>
<worksheet xmlns="http://schemas.openxmlformats.org/spreadsheetml/2006/main" xmlns:r="http://schemas.openxmlformats.org/officeDocument/2006/relationships">
  <sheetPr>
    <pageSetUpPr fitToPage="1"/>
  </sheetPr>
  <dimension ref="A1:N70"/>
  <sheetViews>
    <sheetView workbookViewId="0">
      <selection activeCell="A2" sqref="A2"/>
    </sheetView>
  </sheetViews>
  <sheetFormatPr baseColWidth="10" defaultColWidth="9" defaultRowHeight="15.75"/>
  <cols>
    <col min="1" max="1" width="22.375" customWidth="1"/>
    <col min="2" max="2" width="67.875" customWidth="1"/>
    <col min="3" max="12" width="9" customWidth="1"/>
  </cols>
  <sheetData>
    <row r="1" spans="1:14" ht="27">
      <c r="A1" s="440" t="s">
        <v>4</v>
      </c>
      <c r="B1" s="435"/>
      <c r="C1" s="435"/>
      <c r="D1" s="435"/>
      <c r="E1" s="435"/>
      <c r="F1" s="435"/>
      <c r="G1" s="435"/>
      <c r="H1" s="435"/>
      <c r="I1" s="435"/>
      <c r="J1" s="435"/>
      <c r="K1" s="435"/>
      <c r="L1" s="435"/>
      <c r="M1" s="435"/>
      <c r="N1" s="435"/>
    </row>
    <row r="3" spans="1:14">
      <c r="B3" s="438" t="s">
        <v>5</v>
      </c>
      <c r="L3" s="439" t="s">
        <v>0</v>
      </c>
      <c r="N3" s="469" t="s">
        <v>6</v>
      </c>
    </row>
    <row r="5" spans="1:14">
      <c r="A5" s="86" t="s">
        <v>7</v>
      </c>
      <c r="B5" s="438" t="s">
        <v>8</v>
      </c>
    </row>
    <row r="6" spans="1:14">
      <c r="B6" s="11" t="s">
        <v>9</v>
      </c>
      <c r="C6" s="26"/>
      <c r="D6" s="26"/>
      <c r="E6" s="26"/>
      <c r="F6" s="26"/>
      <c r="G6" s="26"/>
      <c r="H6" s="26"/>
      <c r="I6" s="26"/>
      <c r="J6" s="26"/>
      <c r="K6" s="26"/>
      <c r="L6" s="26"/>
      <c r="M6" s="26"/>
      <c r="N6">
        <v>5</v>
      </c>
    </row>
    <row r="7" spans="1:14">
      <c r="B7" s="11" t="s">
        <v>10</v>
      </c>
      <c r="C7" s="26"/>
      <c r="D7" s="26"/>
      <c r="E7" s="26"/>
      <c r="F7" s="26"/>
      <c r="G7" s="26"/>
      <c r="H7" s="26"/>
      <c r="I7" s="26"/>
      <c r="J7" s="26"/>
      <c r="K7" s="26"/>
      <c r="L7" s="26"/>
      <c r="M7" s="26"/>
      <c r="N7">
        <v>12</v>
      </c>
    </row>
    <row r="8" spans="1:14">
      <c r="B8" s="11" t="s">
        <v>11</v>
      </c>
      <c r="C8" s="26"/>
      <c r="D8" s="26"/>
      <c r="E8" s="26"/>
      <c r="F8" s="26"/>
      <c r="G8" s="26"/>
      <c r="H8" s="26"/>
      <c r="I8" s="26"/>
      <c r="J8" s="26"/>
      <c r="K8" s="26"/>
      <c r="L8" s="26"/>
      <c r="M8" s="26"/>
      <c r="N8">
        <v>18</v>
      </c>
    </row>
    <row r="9" spans="1:14">
      <c r="B9" s="11" t="s">
        <v>12</v>
      </c>
      <c r="C9" s="26"/>
      <c r="D9" s="26"/>
      <c r="E9" s="26"/>
      <c r="F9" s="26"/>
      <c r="G9" s="26"/>
      <c r="H9" s="26"/>
      <c r="I9" s="26"/>
      <c r="J9" s="26"/>
      <c r="K9" s="26"/>
      <c r="L9" s="26"/>
      <c r="M9" s="26"/>
      <c r="N9">
        <v>19</v>
      </c>
    </row>
    <row r="10" spans="1:14">
      <c r="B10" s="11" t="s">
        <v>13</v>
      </c>
      <c r="C10" s="26"/>
      <c r="D10" s="26"/>
      <c r="E10" s="26"/>
      <c r="F10" s="26"/>
      <c r="G10" s="26"/>
      <c r="H10" s="26"/>
      <c r="I10" s="26"/>
      <c r="J10" s="26"/>
      <c r="K10" s="26"/>
      <c r="L10" s="26"/>
      <c r="M10" s="26"/>
      <c r="N10">
        <v>20</v>
      </c>
    </row>
    <row r="12" spans="1:14">
      <c r="A12" s="438" t="s">
        <v>14</v>
      </c>
      <c r="B12" s="438" t="s">
        <v>15</v>
      </c>
    </row>
    <row r="13" spans="1:14">
      <c r="B13" s="11" t="s">
        <v>16</v>
      </c>
      <c r="N13">
        <v>26</v>
      </c>
    </row>
    <row r="14" spans="1:14">
      <c r="B14" s="11" t="s">
        <v>17</v>
      </c>
      <c r="N14">
        <v>27</v>
      </c>
    </row>
    <row r="15" spans="1:14">
      <c r="B15" s="11" t="s">
        <v>18</v>
      </c>
    </row>
    <row r="16" spans="1:14">
      <c r="B16" s="11" t="s">
        <v>19</v>
      </c>
      <c r="N16">
        <v>32</v>
      </c>
    </row>
    <row r="17" spans="1:14">
      <c r="B17" s="11" t="s">
        <v>20</v>
      </c>
      <c r="N17">
        <v>33</v>
      </c>
    </row>
    <row r="18" spans="1:14">
      <c r="B18" s="11" t="s">
        <v>21</v>
      </c>
      <c r="N18">
        <v>34</v>
      </c>
    </row>
    <row r="19" spans="1:14">
      <c r="B19" s="11" t="s">
        <v>22</v>
      </c>
    </row>
    <row r="20" spans="1:14">
      <c r="B20" s="11" t="s">
        <v>23</v>
      </c>
      <c r="N20">
        <v>35</v>
      </c>
    </row>
    <row r="21" spans="1:14">
      <c r="B21" s="11" t="s">
        <v>24</v>
      </c>
      <c r="N21">
        <v>36</v>
      </c>
    </row>
    <row r="23" spans="1:14">
      <c r="A23" s="438" t="s">
        <v>25</v>
      </c>
      <c r="B23" s="438" t="s">
        <v>26</v>
      </c>
    </row>
    <row r="24" spans="1:14">
      <c r="B24" s="11" t="s">
        <v>27</v>
      </c>
      <c r="N24">
        <v>38</v>
      </c>
    </row>
    <row r="25" spans="1:14">
      <c r="B25" s="11" t="s">
        <v>1010</v>
      </c>
      <c r="N25">
        <v>39</v>
      </c>
    </row>
    <row r="26" spans="1:14">
      <c r="B26" s="11" t="s">
        <v>953</v>
      </c>
      <c r="N26">
        <v>40</v>
      </c>
    </row>
    <row r="27" spans="1:14">
      <c r="B27" s="11" t="s">
        <v>952</v>
      </c>
      <c r="N27">
        <v>41</v>
      </c>
    </row>
    <row r="28" spans="1:14">
      <c r="B28" s="11" t="s">
        <v>918</v>
      </c>
      <c r="N28">
        <v>42</v>
      </c>
    </row>
    <row r="29" spans="1:14">
      <c r="B29" s="11" t="s">
        <v>887</v>
      </c>
      <c r="N29">
        <v>43</v>
      </c>
    </row>
    <row r="30" spans="1:14">
      <c r="B30" s="11" t="s">
        <v>879</v>
      </c>
      <c r="N30">
        <v>44</v>
      </c>
    </row>
    <row r="31" spans="1:14">
      <c r="B31" s="11" t="s">
        <v>876</v>
      </c>
      <c r="N31">
        <v>45</v>
      </c>
    </row>
    <row r="32" spans="1:14">
      <c r="B32" s="11" t="s">
        <v>859</v>
      </c>
      <c r="N32">
        <v>46</v>
      </c>
    </row>
    <row r="33" spans="2:14">
      <c r="B33" s="11" t="s">
        <v>856</v>
      </c>
      <c r="N33">
        <v>47</v>
      </c>
    </row>
    <row r="34" spans="2:14">
      <c r="B34" s="11" t="s">
        <v>1009</v>
      </c>
      <c r="N34" t="s">
        <v>0</v>
      </c>
    </row>
    <row r="35" spans="2:14">
      <c r="B35" s="11" t="s">
        <v>28</v>
      </c>
      <c r="N35">
        <v>48</v>
      </c>
    </row>
    <row r="36" spans="2:14">
      <c r="B36" s="11" t="s">
        <v>29</v>
      </c>
      <c r="N36">
        <v>49</v>
      </c>
    </row>
    <row r="37" spans="2:14">
      <c r="B37" s="11" t="s">
        <v>30</v>
      </c>
      <c r="N37">
        <v>50</v>
      </c>
    </row>
    <row r="38" spans="2:14">
      <c r="B38" s="11" t="s">
        <v>951</v>
      </c>
      <c r="N38">
        <v>51</v>
      </c>
    </row>
    <row r="39" spans="2:14">
      <c r="B39" s="11" t="s">
        <v>950</v>
      </c>
      <c r="N39">
        <v>52</v>
      </c>
    </row>
    <row r="40" spans="2:14">
      <c r="B40" s="11" t="s">
        <v>919</v>
      </c>
      <c r="N40">
        <v>53</v>
      </c>
    </row>
    <row r="41" spans="2:14">
      <c r="B41" s="11" t="s">
        <v>888</v>
      </c>
      <c r="N41">
        <v>54</v>
      </c>
    </row>
    <row r="42" spans="2:14">
      <c r="B42" s="11" t="s">
        <v>875</v>
      </c>
      <c r="N42">
        <v>55</v>
      </c>
    </row>
    <row r="43" spans="2:14">
      <c r="B43" s="11" t="s">
        <v>860</v>
      </c>
      <c r="N43">
        <v>56</v>
      </c>
    </row>
    <row r="44" spans="2:14">
      <c r="B44" s="11" t="s">
        <v>857</v>
      </c>
      <c r="N44">
        <v>57</v>
      </c>
    </row>
    <row r="45" spans="2:14">
      <c r="B45" s="11" t="s">
        <v>880</v>
      </c>
      <c r="N45">
        <v>58</v>
      </c>
    </row>
    <row r="46" spans="2:14">
      <c r="B46" s="11" t="s">
        <v>844</v>
      </c>
      <c r="N46">
        <v>59</v>
      </c>
    </row>
    <row r="47" spans="2:14">
      <c r="B47" s="11" t="s">
        <v>810</v>
      </c>
      <c r="N47">
        <v>60</v>
      </c>
    </row>
    <row r="48" spans="2:14">
      <c r="B48" s="11" t="s">
        <v>720</v>
      </c>
      <c r="N48">
        <v>61</v>
      </c>
    </row>
    <row r="49" spans="1:14">
      <c r="B49" s="11" t="s">
        <v>939</v>
      </c>
      <c r="N49">
        <v>62</v>
      </c>
    </row>
    <row r="50" spans="1:14">
      <c r="B50" s="11" t="s">
        <v>940</v>
      </c>
      <c r="N50">
        <v>63</v>
      </c>
    </row>
    <row r="51" spans="1:14">
      <c r="N51" t="s">
        <v>0</v>
      </c>
    </row>
    <row r="52" spans="1:14">
      <c r="A52" s="438" t="s">
        <v>31</v>
      </c>
      <c r="B52" s="438" t="s">
        <v>32</v>
      </c>
      <c r="N52" t="s">
        <v>0</v>
      </c>
    </row>
    <row r="53" spans="1:14">
      <c r="B53" s="11" t="s">
        <v>33</v>
      </c>
      <c r="N53">
        <v>65</v>
      </c>
    </row>
    <row r="54" spans="1:14">
      <c r="B54" s="11" t="s">
        <v>34</v>
      </c>
      <c r="N54">
        <v>71</v>
      </c>
    </row>
    <row r="55" spans="1:14">
      <c r="B55" s="11" t="s">
        <v>35</v>
      </c>
      <c r="N55">
        <v>77</v>
      </c>
    </row>
    <row r="56" spans="1:14">
      <c r="B56" s="11" t="s">
        <v>36</v>
      </c>
      <c r="N56">
        <v>83</v>
      </c>
    </row>
    <row r="57" spans="1:14">
      <c r="B57" s="11" t="s">
        <v>771</v>
      </c>
      <c r="N57">
        <v>89</v>
      </c>
    </row>
    <row r="58" spans="1:14">
      <c r="B58" s="11" t="s">
        <v>772</v>
      </c>
      <c r="N58">
        <v>95</v>
      </c>
    </row>
    <row r="59" spans="1:14">
      <c r="B59" s="11" t="s">
        <v>773</v>
      </c>
      <c r="N59">
        <v>101</v>
      </c>
    </row>
    <row r="60" spans="1:14">
      <c r="B60" s="11" t="s">
        <v>774</v>
      </c>
      <c r="N60">
        <v>107</v>
      </c>
    </row>
    <row r="61" spans="1:14">
      <c r="B61" s="11" t="s">
        <v>775</v>
      </c>
      <c r="N61">
        <v>113</v>
      </c>
    </row>
    <row r="62" spans="1:14">
      <c r="N62" t="s">
        <v>0</v>
      </c>
    </row>
    <row r="63" spans="1:14">
      <c r="A63" s="438" t="s">
        <v>37</v>
      </c>
      <c r="B63" s="438" t="s">
        <v>38</v>
      </c>
      <c r="N63" t="s">
        <v>0</v>
      </c>
    </row>
    <row r="64" spans="1:14">
      <c r="B64" s="11" t="s">
        <v>39</v>
      </c>
      <c r="N64">
        <v>120</v>
      </c>
    </row>
    <row r="65" spans="1:14">
      <c r="B65" s="11" t="s">
        <v>40</v>
      </c>
      <c r="N65">
        <v>121</v>
      </c>
    </row>
    <row r="66" spans="1:14">
      <c r="A66" s="438" t="s">
        <v>42</v>
      </c>
      <c r="B66" s="11" t="s">
        <v>41</v>
      </c>
      <c r="N66">
        <v>161</v>
      </c>
    </row>
    <row r="67" spans="1:14">
      <c r="N67" t="s">
        <v>0</v>
      </c>
    </row>
    <row r="68" spans="1:14">
      <c r="B68" s="11" t="s">
        <v>43</v>
      </c>
      <c r="N68">
        <v>163</v>
      </c>
    </row>
    <row r="70" spans="1:14">
      <c r="N70" t="s">
        <v>0</v>
      </c>
    </row>
  </sheetData>
  <phoneticPr fontId="0" type="noConversion"/>
  <pageMargins left="0.78740157499999996" right="0.49" top="0.61" bottom="0.46" header="0.31" footer="0.27"/>
  <pageSetup scale="4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sheetPr>
    <pageSetUpPr fitToPage="1"/>
  </sheetPr>
  <dimension ref="A1:M41"/>
  <sheetViews>
    <sheetView workbookViewId="0">
      <selection activeCell="C3" sqref="C3"/>
    </sheetView>
  </sheetViews>
  <sheetFormatPr baseColWidth="10" defaultColWidth="9" defaultRowHeight="15.75"/>
  <cols>
    <col min="13" max="13" width="12.625" customWidth="1"/>
  </cols>
  <sheetData>
    <row r="1" spans="1:13" ht="20.25">
      <c r="A1" s="436" t="s">
        <v>5</v>
      </c>
      <c r="B1" s="435"/>
      <c r="C1" s="435"/>
      <c r="D1" s="435"/>
      <c r="E1" s="435"/>
      <c r="F1" s="435"/>
      <c r="G1" s="435"/>
      <c r="H1" s="435"/>
      <c r="I1" s="435"/>
      <c r="J1" s="435"/>
      <c r="K1" s="435"/>
      <c r="L1" s="435"/>
      <c r="M1" s="643"/>
    </row>
    <row r="4" spans="1:13">
      <c r="B4" s="437"/>
      <c r="C4" s="433" t="s">
        <v>44</v>
      </c>
    </row>
    <row r="5" spans="1:13">
      <c r="C5" s="433" t="s">
        <v>45</v>
      </c>
    </row>
    <row r="6" spans="1:13">
      <c r="C6" t="s">
        <v>0</v>
      </c>
    </row>
    <row r="7" spans="1:13">
      <c r="C7" t="s">
        <v>46</v>
      </c>
    </row>
    <row r="8" spans="1:13">
      <c r="C8" t="s">
        <v>47</v>
      </c>
    </row>
    <row r="9" spans="1:13">
      <c r="C9" t="s">
        <v>0</v>
      </c>
    </row>
    <row r="10" spans="1:13">
      <c r="C10" t="s">
        <v>48</v>
      </c>
    </row>
    <row r="11" spans="1:13">
      <c r="C11" s="10" t="s">
        <v>49</v>
      </c>
    </row>
    <row r="12" spans="1:13">
      <c r="C12" s="10" t="s">
        <v>50</v>
      </c>
    </row>
    <row r="13" spans="1:13">
      <c r="C13" s="10" t="s">
        <v>51</v>
      </c>
    </row>
    <row r="14" spans="1:13">
      <c r="C14" s="10" t="s">
        <v>52</v>
      </c>
    </row>
    <row r="15" spans="1:13">
      <c r="C15" s="10" t="s">
        <v>53</v>
      </c>
    </row>
    <row r="16" spans="1:13" ht="8.25" customHeight="1"/>
    <row r="17" spans="3:3">
      <c r="C17" t="s">
        <v>1004</v>
      </c>
    </row>
    <row r="18" spans="3:3">
      <c r="C18" s="100" t="s">
        <v>1005</v>
      </c>
    </row>
    <row r="19" spans="3:3">
      <c r="C19" s="285" t="s">
        <v>0</v>
      </c>
    </row>
    <row r="20" spans="3:3" ht="8.25" customHeight="1">
      <c r="C20" t="s">
        <v>0</v>
      </c>
    </row>
    <row r="21" spans="3:3">
      <c r="C21" t="s">
        <v>1006</v>
      </c>
    </row>
    <row r="22" spans="3:3">
      <c r="C22" t="s">
        <v>1007</v>
      </c>
    </row>
    <row r="24" spans="3:3" ht="10.5" customHeight="1">
      <c r="C24" t="s">
        <v>0</v>
      </c>
    </row>
    <row r="25" spans="3:3" ht="21" customHeight="1">
      <c r="C25" s="1305"/>
    </row>
    <row r="26" spans="3:3" ht="20.25" customHeight="1">
      <c r="C26" s="1305"/>
    </row>
    <row r="27" spans="3:3" ht="18.75">
      <c r="C27" s="974" t="s">
        <v>0</v>
      </c>
    </row>
    <row r="28" spans="3:3" ht="18.75">
      <c r="C28" s="974"/>
    </row>
    <row r="29" spans="3:3" ht="8.25" customHeight="1">
      <c r="C29" t="s">
        <v>54</v>
      </c>
    </row>
    <row r="30" spans="3:3">
      <c r="C30" s="11" t="s">
        <v>0</v>
      </c>
    </row>
    <row r="31" spans="3:3">
      <c r="C31" s="11" t="s">
        <v>0</v>
      </c>
    </row>
    <row r="32" spans="3:3" ht="8.25" customHeight="1">
      <c r="C32" t="s">
        <v>0</v>
      </c>
    </row>
    <row r="33" spans="3:3">
      <c r="C33" s="11" t="s">
        <v>0</v>
      </c>
    </row>
    <row r="34" spans="3:3">
      <c r="C34" s="11" t="s">
        <v>0</v>
      </c>
    </row>
    <row r="35" spans="3:3" ht="11.25" customHeight="1">
      <c r="C35" s="11" t="s">
        <v>0</v>
      </c>
    </row>
    <row r="36" spans="3:3">
      <c r="C36" s="11" t="s">
        <v>0</v>
      </c>
    </row>
    <row r="37" spans="3:3">
      <c r="C37" s="11" t="s">
        <v>0</v>
      </c>
    </row>
    <row r="38" spans="3:3">
      <c r="C38" s="11" t="s">
        <v>0</v>
      </c>
    </row>
    <row r="39" spans="3:3">
      <c r="C39" s="11" t="s">
        <v>0</v>
      </c>
    </row>
    <row r="40" spans="3:3">
      <c r="C40" s="11"/>
    </row>
    <row r="41" spans="3:3">
      <c r="C41" s="11" t="s">
        <v>0</v>
      </c>
    </row>
  </sheetData>
  <phoneticPr fontId="0" type="noConversion"/>
  <pageMargins left="0.2" right="0.22" top="0.57999999999999996" bottom="0.21" header="0.17" footer="0.17"/>
  <pageSetup orientation="landscape" r:id="rId1"/>
  <headerFooter alignWithMargins="0">
    <oddFooter>&amp;R&amp;"CG Times,Bold"&amp;16i</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I34"/>
  <sheetViews>
    <sheetView workbookViewId="0">
      <selection activeCell="J8" sqref="J8"/>
    </sheetView>
  </sheetViews>
  <sheetFormatPr baseColWidth="10" defaultColWidth="9" defaultRowHeight="15.75"/>
  <cols>
    <col min="5" max="5" width="55.875" customWidth="1"/>
    <col min="6" max="6" width="13.125" customWidth="1"/>
  </cols>
  <sheetData>
    <row r="1" spans="1:9">
      <c r="A1" s="466"/>
      <c r="B1" s="466"/>
      <c r="C1" s="466"/>
      <c r="D1" s="466"/>
      <c r="E1" s="466"/>
      <c r="F1" s="466"/>
      <c r="G1" s="466"/>
      <c r="H1" s="466"/>
      <c r="I1" s="466"/>
    </row>
    <row r="2" spans="1:9">
      <c r="A2" s="466"/>
      <c r="B2" s="466"/>
      <c r="C2" s="466"/>
      <c r="D2" s="466"/>
      <c r="E2" s="466"/>
      <c r="F2" s="466"/>
      <c r="G2" s="466"/>
      <c r="H2" s="466"/>
      <c r="I2" s="466"/>
    </row>
    <row r="3" spans="1:9">
      <c r="A3" s="466"/>
      <c r="B3" s="466"/>
      <c r="C3" s="466"/>
      <c r="D3" s="466"/>
      <c r="E3" s="466"/>
      <c r="F3" s="466"/>
      <c r="G3" s="466"/>
      <c r="H3" s="466"/>
      <c r="I3" s="466"/>
    </row>
    <row r="4" spans="1:9">
      <c r="A4" s="466"/>
      <c r="B4" s="466"/>
      <c r="C4" s="466"/>
      <c r="D4" s="466"/>
      <c r="E4" s="466"/>
      <c r="F4" s="466"/>
      <c r="G4" s="466"/>
      <c r="H4" s="466"/>
      <c r="I4" s="466"/>
    </row>
    <row r="5" spans="1:9">
      <c r="A5" s="466"/>
      <c r="B5" s="466"/>
      <c r="C5" s="466"/>
      <c r="D5" s="466"/>
      <c r="E5" s="466"/>
      <c r="F5" s="466"/>
      <c r="G5" s="466"/>
      <c r="H5" s="466"/>
      <c r="I5" s="466"/>
    </row>
    <row r="6" spans="1:9">
      <c r="A6" s="466"/>
      <c r="B6" s="466"/>
      <c r="C6" s="466"/>
      <c r="D6" s="466"/>
      <c r="E6" s="466"/>
      <c r="F6" s="466"/>
      <c r="G6" s="466"/>
      <c r="H6" s="466"/>
      <c r="I6" s="466"/>
    </row>
    <row r="7" spans="1:9">
      <c r="A7" s="466"/>
      <c r="B7" s="466"/>
      <c r="C7" s="466"/>
      <c r="D7" s="466"/>
      <c r="E7" s="466"/>
      <c r="F7" s="466"/>
      <c r="G7" s="466"/>
      <c r="H7" s="466"/>
      <c r="I7" s="466"/>
    </row>
    <row r="8" spans="1:9">
      <c r="A8" s="466"/>
      <c r="B8" s="466"/>
      <c r="C8" s="466"/>
      <c r="D8" s="466"/>
      <c r="E8" s="466"/>
      <c r="F8" s="466"/>
      <c r="G8" s="466"/>
      <c r="H8" s="466"/>
      <c r="I8" s="466"/>
    </row>
    <row r="9" spans="1:9">
      <c r="A9" s="466"/>
      <c r="B9" s="466"/>
      <c r="C9" s="466"/>
      <c r="D9" s="466"/>
      <c r="E9" s="466"/>
      <c r="F9" s="466"/>
      <c r="G9" s="466"/>
      <c r="H9" s="466"/>
      <c r="I9" s="466"/>
    </row>
    <row r="10" spans="1:9">
      <c r="A10" s="466"/>
      <c r="B10" s="466"/>
      <c r="C10" s="466"/>
      <c r="D10" s="466"/>
      <c r="E10" s="466"/>
      <c r="F10" s="466"/>
      <c r="G10" s="466"/>
      <c r="H10" s="466"/>
      <c r="I10" s="466"/>
    </row>
    <row r="11" spans="1:9">
      <c r="A11" s="466"/>
      <c r="B11" s="466"/>
      <c r="C11" s="466"/>
      <c r="D11" s="466"/>
      <c r="E11" s="466"/>
      <c r="F11" s="466"/>
      <c r="G11" s="466"/>
      <c r="H11" s="466"/>
      <c r="I11" s="466"/>
    </row>
    <row r="12" spans="1:9">
      <c r="A12" s="466"/>
      <c r="B12" s="466"/>
      <c r="C12" s="466"/>
      <c r="D12" s="466"/>
      <c r="E12" s="466"/>
      <c r="F12" s="466"/>
      <c r="G12" s="466"/>
      <c r="H12" s="466"/>
      <c r="I12" s="466"/>
    </row>
    <row r="13" spans="1:9">
      <c r="A13" s="466"/>
      <c r="B13" s="466"/>
      <c r="C13" s="466"/>
      <c r="D13" s="466"/>
      <c r="E13" s="466"/>
      <c r="F13" s="466"/>
      <c r="G13" s="466"/>
      <c r="H13" s="466"/>
      <c r="I13" s="466"/>
    </row>
    <row r="14" spans="1:9">
      <c r="A14" s="466"/>
      <c r="B14" s="466"/>
      <c r="C14" s="466"/>
      <c r="D14" s="466"/>
      <c r="E14" s="466"/>
      <c r="F14" s="466"/>
      <c r="G14" s="466"/>
      <c r="H14" s="466"/>
      <c r="I14" s="466"/>
    </row>
    <row r="15" spans="1:9">
      <c r="A15" s="466"/>
      <c r="B15" s="466"/>
      <c r="C15" s="466"/>
      <c r="D15" s="466"/>
      <c r="E15" s="466"/>
      <c r="F15" s="466"/>
      <c r="G15" s="466"/>
      <c r="H15" s="466"/>
      <c r="I15" s="466"/>
    </row>
    <row r="16" spans="1:9" ht="25.5">
      <c r="A16" s="441" t="s">
        <v>55</v>
      </c>
      <c r="B16" s="435"/>
      <c r="C16" s="435"/>
      <c r="D16" s="435"/>
      <c r="E16" s="435"/>
      <c r="F16" s="435"/>
      <c r="G16" s="435"/>
      <c r="H16" s="435"/>
      <c r="I16" s="435"/>
    </row>
    <row r="17" spans="1:9">
      <c r="A17" s="466"/>
      <c r="B17" s="466"/>
      <c r="C17" s="466"/>
      <c r="D17" s="466"/>
      <c r="E17" s="466"/>
      <c r="F17" s="466"/>
      <c r="G17" s="466"/>
      <c r="H17" s="466"/>
      <c r="I17" s="466"/>
    </row>
    <row r="18" spans="1:9">
      <c r="A18" s="466"/>
      <c r="B18" s="466"/>
      <c r="C18" s="466"/>
      <c r="D18" s="466"/>
      <c r="E18" s="466"/>
      <c r="F18" s="466"/>
      <c r="G18" s="466"/>
      <c r="H18" s="466"/>
      <c r="I18" s="466"/>
    </row>
    <row r="19" spans="1:9" ht="20.25">
      <c r="A19" s="468" t="s">
        <v>56</v>
      </c>
      <c r="B19" s="467"/>
      <c r="C19" s="467"/>
      <c r="D19" s="467"/>
      <c r="E19" s="467"/>
      <c r="F19" s="467"/>
      <c r="G19" s="467"/>
      <c r="H19" s="467"/>
      <c r="I19" s="467"/>
    </row>
    <row r="20" spans="1:9">
      <c r="A20" s="466"/>
      <c r="B20" s="466"/>
      <c r="C20" s="466"/>
      <c r="D20" s="466"/>
      <c r="E20" s="466"/>
      <c r="F20" s="466"/>
      <c r="G20" s="466"/>
      <c r="H20" s="466"/>
      <c r="I20" s="466"/>
    </row>
    <row r="21" spans="1:9">
      <c r="A21" s="466"/>
      <c r="B21" s="466"/>
      <c r="C21" s="466"/>
      <c r="D21" s="466"/>
      <c r="E21" s="466"/>
      <c r="F21" s="466"/>
      <c r="G21" s="466"/>
      <c r="H21" s="466"/>
      <c r="I21" s="466"/>
    </row>
    <row r="22" spans="1:9">
      <c r="A22" s="466"/>
      <c r="B22" s="466"/>
      <c r="C22" s="466"/>
      <c r="D22" s="466"/>
      <c r="E22" s="466"/>
      <c r="F22" s="466"/>
      <c r="G22" s="466"/>
      <c r="H22" s="466"/>
      <c r="I22" s="466"/>
    </row>
    <row r="23" spans="1:9">
      <c r="A23" s="466"/>
      <c r="B23" s="467"/>
      <c r="C23" s="467"/>
      <c r="D23" s="467"/>
      <c r="E23" s="467"/>
      <c r="F23" s="467"/>
      <c r="G23" s="467"/>
      <c r="H23" s="467"/>
      <c r="I23" s="467"/>
    </row>
    <row r="24" spans="1:9">
      <c r="A24" s="466"/>
      <c r="B24" s="466"/>
      <c r="C24" s="466"/>
      <c r="D24" s="466"/>
      <c r="E24" s="466"/>
      <c r="F24" s="466"/>
      <c r="G24" s="466"/>
      <c r="H24" s="466"/>
      <c r="I24" s="466"/>
    </row>
    <row r="25" spans="1:9">
      <c r="A25" s="466"/>
      <c r="B25" s="466"/>
      <c r="C25" s="466"/>
      <c r="D25" s="466"/>
      <c r="E25" s="466"/>
      <c r="F25" s="466"/>
      <c r="G25" s="466"/>
      <c r="H25" s="466"/>
      <c r="I25" s="466"/>
    </row>
    <row r="26" spans="1:9">
      <c r="A26" s="466"/>
      <c r="B26" s="466"/>
      <c r="C26" s="466"/>
      <c r="D26" s="466"/>
      <c r="E26" s="466"/>
      <c r="F26" s="466"/>
      <c r="G26" s="466"/>
      <c r="H26" s="466"/>
      <c r="I26" s="466"/>
    </row>
    <row r="27" spans="1:9">
      <c r="A27" s="466"/>
      <c r="B27" s="466"/>
      <c r="C27" s="466"/>
      <c r="D27" s="466"/>
      <c r="E27" s="466"/>
      <c r="F27" s="466"/>
      <c r="G27" s="466"/>
      <c r="H27" s="466"/>
      <c r="I27" s="466"/>
    </row>
    <row r="28" spans="1:9">
      <c r="A28" s="466"/>
      <c r="B28" s="466"/>
      <c r="C28" s="466"/>
      <c r="D28" s="466"/>
      <c r="E28" s="466"/>
      <c r="F28" s="466"/>
      <c r="G28" s="466"/>
      <c r="H28" s="466"/>
      <c r="I28" s="466"/>
    </row>
    <row r="29" spans="1:9">
      <c r="A29" s="466"/>
      <c r="B29" s="466"/>
      <c r="C29" s="466"/>
      <c r="D29" s="466"/>
      <c r="E29" s="466"/>
      <c r="F29" s="466"/>
      <c r="G29" s="466"/>
      <c r="H29" s="466"/>
      <c r="I29" s="466"/>
    </row>
    <row r="30" spans="1:9">
      <c r="A30" s="466"/>
      <c r="B30" s="466"/>
      <c r="C30" s="466"/>
      <c r="D30" s="466"/>
      <c r="E30" s="466"/>
      <c r="F30" s="466"/>
      <c r="G30" s="466"/>
      <c r="H30" s="466"/>
      <c r="I30" s="466"/>
    </row>
    <row r="31" spans="1:9">
      <c r="A31" s="466"/>
      <c r="B31" s="466"/>
      <c r="C31" s="466"/>
      <c r="D31" s="466"/>
      <c r="E31" s="466"/>
      <c r="F31" s="466"/>
      <c r="G31" s="466"/>
      <c r="H31" s="466"/>
      <c r="I31" s="466"/>
    </row>
    <row r="32" spans="1:9">
      <c r="A32" s="466"/>
      <c r="B32" s="466"/>
      <c r="C32" s="466"/>
      <c r="D32" s="466"/>
      <c r="E32" s="466"/>
      <c r="F32" s="466"/>
      <c r="G32" s="466"/>
      <c r="H32" s="466"/>
      <c r="I32" s="466"/>
    </row>
    <row r="33" spans="1:9">
      <c r="A33" s="466"/>
      <c r="B33" s="466"/>
      <c r="C33" s="466"/>
      <c r="D33" s="466"/>
      <c r="E33" s="466"/>
      <c r="F33" s="466"/>
      <c r="G33" s="466"/>
      <c r="H33" s="466"/>
      <c r="I33" s="466"/>
    </row>
    <row r="34" spans="1:9">
      <c r="A34" s="466"/>
      <c r="B34" s="466"/>
      <c r="C34" s="466"/>
      <c r="D34" s="466"/>
      <c r="E34" s="466"/>
      <c r="F34" s="466"/>
      <c r="G34" s="466"/>
      <c r="H34" s="466"/>
      <c r="I34" s="466"/>
    </row>
  </sheetData>
  <sheetProtection password="C7D6" sheet="1" objects="1" scenarios="1"/>
  <phoneticPr fontId="0" type="noConversion"/>
  <pageMargins left="0.56999999999999995" right="0.38" top="0.81" bottom="0.85" header="0.5" footer="0.44"/>
  <pageSetup scale="91" orientation="landscape"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J17:T27"/>
  <sheetViews>
    <sheetView workbookViewId="0">
      <selection activeCell="K27" sqref="K27"/>
    </sheetView>
  </sheetViews>
  <sheetFormatPr baseColWidth="10" defaultColWidth="9" defaultRowHeight="15.75"/>
  <cols>
    <col min="8" max="8" width="9.25" customWidth="1"/>
    <col min="12" max="12" width="8.25" customWidth="1"/>
  </cols>
  <sheetData>
    <row r="17" spans="10:20">
      <c r="T17" t="s">
        <v>0</v>
      </c>
    </row>
    <row r="27" spans="10:20">
      <c r="J27" t="s">
        <v>0</v>
      </c>
    </row>
  </sheetData>
  <phoneticPr fontId="0" type="noConversion"/>
  <pageMargins left="1.42" right="0.62" top="1.08" bottom="0.41" header="0.68" footer="0.2"/>
  <pageSetup scale="59" orientation="landscape" r:id="rId1"/>
  <headerFooter alignWithMargins="0">
    <oddHeader>&amp;C&amp;"CG Times,Bold"              &amp;16SOMMAIRE FINANCIER EN GRAPHES
              ÉVOLUTION DU BILAN</oddHeader>
    <oddFooter>&amp;L &amp;R&amp;P</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
  <sheetViews>
    <sheetView workbookViewId="0">
      <selection activeCell="L27" sqref="L27"/>
    </sheetView>
  </sheetViews>
  <sheetFormatPr baseColWidth="10" defaultColWidth="9" defaultRowHeight="15.75"/>
  <sheetData/>
  <phoneticPr fontId="0" type="noConversion"/>
  <pageMargins left="1.42" right="0.62" top="0.78" bottom="0.36" header="0.47" footer="0.2"/>
  <pageSetup scale="66" orientation="landscape" r:id="rId1"/>
  <headerFooter alignWithMargins="0">
    <oddHeader>&amp;C&amp;"CG Times,Bold"&amp;16              SOMMAIRE FINANCIER EN GRAPHES
              ÉVOLUTION DU BILAN</oddHeader>
    <oddFooter>&amp;R&amp;P</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S23"/>
  <sheetViews>
    <sheetView workbookViewId="0">
      <selection activeCell="A2" sqref="A2"/>
    </sheetView>
  </sheetViews>
  <sheetFormatPr baseColWidth="10" defaultColWidth="9" defaultRowHeight="15.75"/>
  <sheetData>
    <row r="23" spans="19:19">
      <c r="S23" t="s">
        <v>0</v>
      </c>
    </row>
  </sheetData>
  <phoneticPr fontId="0" type="noConversion"/>
  <pageMargins left="1.58" right="0.62" top="0.98" bottom="0.41" header="0.62" footer="0.2"/>
  <pageSetup scale="61" orientation="landscape" r:id="rId1"/>
  <headerFooter alignWithMargins="0">
    <oddHeader>&amp;C&amp;"CG Times,Bold"              &amp;16SOMMAIRE FINANCIER EN GRAPHES
              ÉVOLUTION DU BILAN</oddHeader>
    <oddFooter>&amp;R&amp;P</oddFooter>
  </headerFooter>
  <drawing r:id="rId2"/>
</worksheet>
</file>

<file path=xl/worksheets/sheet9.xml><?xml version="1.0" encoding="utf-8"?>
<worksheet xmlns="http://schemas.openxmlformats.org/spreadsheetml/2006/main" xmlns:r="http://schemas.openxmlformats.org/officeDocument/2006/relationships">
  <sheetPr>
    <pageSetUpPr fitToPage="1"/>
  </sheetPr>
  <dimension ref="S20"/>
  <sheetViews>
    <sheetView zoomScale="93" zoomScaleNormal="93" workbookViewId="0">
      <selection activeCell="J27" sqref="J27"/>
    </sheetView>
  </sheetViews>
  <sheetFormatPr baseColWidth="10" defaultColWidth="9" defaultRowHeight="15.75"/>
  <cols>
    <col min="9" max="9" width="9.25" customWidth="1"/>
  </cols>
  <sheetData>
    <row r="20" spans="19:19">
      <c r="S20" t="s">
        <v>0</v>
      </c>
    </row>
  </sheetData>
  <phoneticPr fontId="0" type="noConversion"/>
  <pageMargins left="1.69" right="0.62" top="0.984251969" bottom="0.41" header="0.66" footer="0.2"/>
  <pageSetup scale="60" orientation="landscape" r:id="rId1"/>
  <headerFooter alignWithMargins="0">
    <oddHeader>&amp;C&amp;"CG Times,Bold"              &amp;16SOMMAIRE FINANCIER EN GRAPHES
              ÉVOLUTION DU BILAN</oddHeader>
    <oddFooter>&amp;R&amp;P</oddFooter>
  </headerFooter>
  <drawing r:id="rId2"/>
</worksheet>
</file>

<file path=xl/worksheets/sheet10.xml><?xml version="1.0" encoding="utf-8"?>
<worksheet xmlns="http://schemas.openxmlformats.org/spreadsheetml/2006/main" xmlns:r="http://schemas.openxmlformats.org/officeDocument/2006/relationships">
  <sheetPr>
    <pageSetUpPr fitToPage="1"/>
  </sheetPr>
  <dimension ref="I24:T27"/>
  <sheetViews>
    <sheetView zoomScale="91" zoomScaleNormal="91" workbookViewId="0">
      <selection activeCell="J27" sqref="J27"/>
    </sheetView>
  </sheetViews>
  <sheetFormatPr baseColWidth="10" defaultColWidth="9" defaultRowHeight="15.75"/>
  <sheetData>
    <row r="24" spans="9:20">
      <c r="S24" t="s">
        <v>0</v>
      </c>
      <c r="T24" t="s">
        <v>0</v>
      </c>
    </row>
    <row r="27" spans="9:20">
      <c r="I27" t="s">
        <v>0</v>
      </c>
      <c r="J27" t="s">
        <v>0</v>
      </c>
    </row>
  </sheetData>
  <phoneticPr fontId="0" type="noConversion"/>
  <pageMargins left="1.69" right="0.62" top="0.88" bottom="0.33" header="0.54" footer="0.17"/>
  <pageSetup scale="57" orientation="landscape" r:id="rId1"/>
  <headerFooter alignWithMargins="0">
    <oddHeader>&amp;C&amp;"CG Times,Bold"             &amp;16SOMMAIRE FINANCIER EN GRAPHES
              ÉVOLUTION DU BILAN</oddHeader>
    <oddFooter>&amp;R&amp;P</oddFooter>
  </headerFooter>
  <drawing r:id="rId2"/>
</worksheet>
</file>

<file path=xl/worksheets/sheet11.xml><?xml version="1.0" encoding="utf-8"?>
<worksheet xmlns="http://schemas.openxmlformats.org/spreadsheetml/2006/main" xmlns:r="http://schemas.openxmlformats.org/officeDocument/2006/relationships">
  <sheetPr>
    <pageSetUpPr fitToPage="1"/>
  </sheetPr>
  <dimension ref="J23:S26"/>
  <sheetViews>
    <sheetView workbookViewId="0">
      <selection activeCell="L27" sqref="L27"/>
    </sheetView>
  </sheetViews>
  <sheetFormatPr baseColWidth="10" defaultColWidth="9" defaultRowHeight="15.75"/>
  <cols>
    <col min="11" max="11" width="9.125" customWidth="1"/>
  </cols>
  <sheetData>
    <row r="23" spans="10:19">
      <c r="S23" t="s">
        <v>0</v>
      </c>
    </row>
    <row r="26" spans="10:19">
      <c r="J26" t="s">
        <v>0</v>
      </c>
      <c r="L26" t="s">
        <v>0</v>
      </c>
    </row>
  </sheetData>
  <phoneticPr fontId="0" type="noConversion"/>
  <pageMargins left="1.57" right="0.62" top="0.73" bottom="0.34" header="0.41" footer="0.2"/>
  <pageSetup scale="61" orientation="landscape" r:id="rId1"/>
  <headerFooter alignWithMargins="0">
    <oddHeader>&amp;C             &amp;"CG Times,Bold"&amp;16SOMMAIRE FINANCIER EN GRAPHES
              ÉVOLUTION DU BILAN</oddHeader>
    <oddFooter>&amp;R&amp;P</oddFooter>
  </headerFooter>
  <drawing r:id="rId2"/>
</worksheet>
</file>

<file path=xl/worksheets/sheet12.xml><?xml version="1.0" encoding="utf-8"?>
<worksheet xmlns="http://schemas.openxmlformats.org/spreadsheetml/2006/main" xmlns:r="http://schemas.openxmlformats.org/officeDocument/2006/relationships">
  <sheetPr>
    <pageSetUpPr fitToPage="1"/>
  </sheetPr>
  <dimension ref="H27:M27"/>
  <sheetViews>
    <sheetView workbookViewId="0">
      <selection activeCell="A26" sqref="A26"/>
    </sheetView>
  </sheetViews>
  <sheetFormatPr baseColWidth="10" defaultColWidth="9" defaultRowHeight="15.75"/>
  <sheetData>
    <row r="27" spans="8:13">
      <c r="H27" t="s">
        <v>0</v>
      </c>
      <c r="I27" t="s">
        <v>0</v>
      </c>
      <c r="M27" t="s">
        <v>0</v>
      </c>
    </row>
  </sheetData>
  <phoneticPr fontId="0" type="noConversion"/>
  <pageMargins left="1.69" right="0.62" top="0.96" bottom="0.41" header="0.66" footer="0.2"/>
  <pageSetup scale="63" orientation="landscape" r:id="rId1"/>
  <headerFooter alignWithMargins="0">
    <oddHeader>&amp;C&amp;"CG Times,Bold"              &amp;16SOMMAIRE FINANCIER EN GRAPHES
              ÉVOLUTION DU BILAN</oddHeader>
    <oddFooter>&amp;R&amp;P</oddFooter>
  </headerFooter>
  <drawing r:id="rId2"/>
</worksheet>
</file>

<file path=xl/worksheets/sheet13.xml><?xml version="1.0" encoding="utf-8"?>
<worksheet xmlns="http://schemas.openxmlformats.org/spreadsheetml/2006/main" xmlns:r="http://schemas.openxmlformats.org/officeDocument/2006/relationships">
  <sheetPr>
    <pageSetUpPr fitToPage="1"/>
  </sheetPr>
  <dimension ref="G26"/>
  <sheetViews>
    <sheetView workbookViewId="0">
      <selection activeCell="K25" sqref="K25"/>
    </sheetView>
  </sheetViews>
  <sheetFormatPr baseColWidth="10" defaultColWidth="9" defaultRowHeight="15.75"/>
  <cols>
    <col min="6" max="6" width="8.625" customWidth="1"/>
  </cols>
  <sheetData>
    <row r="26" spans="7:7">
      <c r="G26" s="133" t="s">
        <v>0</v>
      </c>
    </row>
  </sheetData>
  <phoneticPr fontId="0" type="noConversion"/>
  <pageMargins left="1.67" right="0.59" top="0.984251969" bottom="0.53" header="0.62" footer="0.36"/>
  <pageSetup scale="60" orientation="landscape" r:id="rId1"/>
  <headerFooter alignWithMargins="0">
    <oddHeader>&amp;C&amp;"CG Times,Bold"              &amp;16SOMMAIRE FINANCIER EN GRAPHES
              ÉVOLUTION DES  RÉSULTATS</oddHeader>
    <oddFooter>&amp;R&amp;P</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F26:L27"/>
  <sheetViews>
    <sheetView workbookViewId="0">
      <selection activeCell="K25" sqref="K25"/>
    </sheetView>
  </sheetViews>
  <sheetFormatPr baseColWidth="10" defaultColWidth="9" defaultRowHeight="15.75"/>
  <sheetData>
    <row r="26" spans="6:12">
      <c r="F26" s="133" t="s">
        <v>0</v>
      </c>
      <c r="K26" t="s">
        <v>0</v>
      </c>
    </row>
    <row r="27" spans="6:12">
      <c r="L27" t="s">
        <v>0</v>
      </c>
    </row>
  </sheetData>
  <phoneticPr fontId="0" type="noConversion"/>
  <pageMargins left="1.67" right="0.59" top="0.984251969" bottom="0.53" header="0.68" footer="0.36"/>
  <pageSetup scale="61" orientation="landscape" r:id="rId1"/>
  <headerFooter alignWithMargins="0">
    <oddHeader>&amp;C&amp;"CG Times,Bold"             &amp;16 SOMMAIRE FINANCIER EN GRAPHES
              ÉVOLUTION DES RÉSULTATS</oddHeader>
    <oddFooter>&amp;R&amp;P</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E26:L27"/>
  <sheetViews>
    <sheetView workbookViewId="0">
      <selection activeCell="A26" sqref="A26"/>
    </sheetView>
  </sheetViews>
  <sheetFormatPr baseColWidth="10" defaultColWidth="9" defaultRowHeight="15.75"/>
  <sheetData>
    <row r="26" spans="5:12">
      <c r="E26" s="133" t="s">
        <v>0</v>
      </c>
      <c r="F26" s="11"/>
      <c r="L26" t="s">
        <v>57</v>
      </c>
    </row>
    <row r="27" spans="5:12">
      <c r="E27" s="18"/>
    </row>
  </sheetData>
  <phoneticPr fontId="0" type="noConversion"/>
  <pageMargins left="0.59" right="0.27" top="0.85" bottom="0.42" header="0.41" footer="0.28999999999999998"/>
  <pageSetup scale="63" orientation="landscape" r:id="rId1"/>
  <headerFooter alignWithMargins="0">
    <oddHeader>&amp;C&amp;"CG Times,Bold"             &amp;16 SOMMAIRE FINANCIER EN GRAPHES
              ÉVOLUTION DES  RÉSULTATS</oddHeader>
    <oddFooter>&amp;R&amp;P</oddFooter>
  </headerFooter>
  <drawing r:id="rId2"/>
</worksheet>
</file>

<file path=xl/worksheets/sheet16.xml><?xml version="1.0" encoding="utf-8"?>
<worksheet xmlns="http://schemas.openxmlformats.org/spreadsheetml/2006/main" xmlns:r="http://schemas.openxmlformats.org/officeDocument/2006/relationships">
  <sheetPr>
    <pageSetUpPr fitToPage="1"/>
  </sheetPr>
  <dimension ref="E27"/>
  <sheetViews>
    <sheetView zoomScale="90" zoomScaleNormal="90" workbookViewId="0">
      <selection activeCell="M27" sqref="M27"/>
    </sheetView>
  </sheetViews>
  <sheetFormatPr baseColWidth="10" defaultColWidth="9" defaultRowHeight="15.75"/>
  <cols>
    <col min="5" max="5" width="9.625" customWidth="1"/>
  </cols>
  <sheetData>
    <row r="27" spans="5:5">
      <c r="E27" s="50" t="s">
        <v>0</v>
      </c>
    </row>
  </sheetData>
  <phoneticPr fontId="0" type="noConversion"/>
  <pageMargins left="1.28" right="0.59" top="0.98" bottom="0.53" header="0.59" footer="0.36"/>
  <pageSetup scale="60" orientation="landscape" r:id="rId1"/>
  <headerFooter alignWithMargins="0">
    <oddHeader>&amp;C&amp;"CG Times,Bold"             &amp;16 SOMMAIRE FINANCIER EN GRAPHES
              ÉVOLUTION DES  RÉSULTATS</oddHeader>
    <oddFooter>&amp;R&amp;P</oddFooter>
  </headerFooter>
  <drawing r:id="rId2"/>
</worksheet>
</file>

<file path=xl/worksheets/sheet17.xml><?xml version="1.0" encoding="utf-8"?>
<worksheet xmlns="http://schemas.openxmlformats.org/spreadsheetml/2006/main" xmlns:r="http://schemas.openxmlformats.org/officeDocument/2006/relationships">
  <dimension ref="F26:Z38"/>
  <sheetViews>
    <sheetView workbookViewId="0">
      <selection activeCell="I26" sqref="I26"/>
    </sheetView>
  </sheetViews>
  <sheetFormatPr baseColWidth="10" defaultColWidth="9" defaultRowHeight="15.75"/>
  <cols>
    <col min="26" max="26" width="10.125" bestFit="1" customWidth="1"/>
  </cols>
  <sheetData>
    <row r="26" spans="6:12">
      <c r="F26" s="50" t="s">
        <v>0</v>
      </c>
      <c r="L26" t="s">
        <v>0</v>
      </c>
    </row>
    <row r="33" spans="26:26">
      <c r="Z33" s="46" t="s">
        <v>0</v>
      </c>
    </row>
    <row r="35" spans="26:26">
      <c r="Z35" s="46" t="s">
        <v>0</v>
      </c>
    </row>
    <row r="38" spans="26:26">
      <c r="Z38" s="46" t="s">
        <v>0</v>
      </c>
    </row>
  </sheetData>
  <phoneticPr fontId="0" type="noConversion"/>
  <pageMargins left="2.0299999999999998" right="0.27" top="0.984251969" bottom="0.44" header="0.62" footer="0.2"/>
  <pageSetup scale="50" orientation="landscape" r:id="rId1"/>
  <headerFooter alignWithMargins="0">
    <oddHeader>&amp;C&amp;"CG Times,Bold"              &amp;16SOMMAIRE FINANCIER EN GRAPHES
              ÉVOLUTION DES  RÉSULTATS</oddHeader>
    <oddFooter>&amp;R&amp;P</oddFooter>
  </headerFooter>
  <drawing r:id="rId2"/>
</worksheet>
</file>

<file path=xl/worksheets/sheet18.xml><?xml version="1.0" encoding="utf-8"?>
<worksheet xmlns="http://schemas.openxmlformats.org/spreadsheetml/2006/main" xmlns:r="http://schemas.openxmlformats.org/officeDocument/2006/relationships">
  <sheetPr>
    <pageSetUpPr fitToPage="1"/>
  </sheetPr>
  <dimension ref="H26:M27"/>
  <sheetViews>
    <sheetView workbookViewId="0">
      <selection activeCell="A26" sqref="A26"/>
    </sheetView>
  </sheetViews>
  <sheetFormatPr baseColWidth="10" defaultColWidth="9" defaultRowHeight="15.75"/>
  <cols>
    <col min="10" max="10" width="8.5" customWidth="1"/>
    <col min="14" max="14" width="9.5" customWidth="1"/>
  </cols>
  <sheetData>
    <row r="26" spans="8:13">
      <c r="H26" s="50" t="s">
        <v>0</v>
      </c>
    </row>
    <row r="27" spans="8:13">
      <c r="M27" t="s">
        <v>0</v>
      </c>
    </row>
  </sheetData>
  <phoneticPr fontId="0" type="noConversion"/>
  <pageMargins left="1.67" right="0.59" top="0.984251969" bottom="0.46" header="0.68" footer="0.31"/>
  <pageSetup scale="62" orientation="landscape" r:id="rId1"/>
  <headerFooter alignWithMargins="0">
    <oddHeader>&amp;C&amp;"CG Times,Bold"             &amp;16 SOMMAIRE FINANCIER EN GRAPHES
              ÉVOLUTION DES  RÉSULTATS</oddHeader>
    <oddFooter>&amp;R&amp;P</oddFooter>
  </headerFooter>
  <drawing r:id="rId2"/>
</worksheet>
</file>

<file path=xl/worksheets/sheet19.xml><?xml version="1.0" encoding="utf-8"?>
<worksheet xmlns="http://schemas.openxmlformats.org/spreadsheetml/2006/main" xmlns:r="http://schemas.openxmlformats.org/officeDocument/2006/relationships">
  <sheetPr>
    <pageSetUpPr fitToPage="1"/>
  </sheetPr>
  <dimension ref="A2:AD150"/>
  <sheetViews>
    <sheetView topLeftCell="A5" zoomScale="90" zoomScaleNormal="90" workbookViewId="0">
      <pane xSplit="2" ySplit="19" topLeftCell="C105" activePane="bottomRight" state="frozen"/>
      <selection activeCell="A39" sqref="A39:K39"/>
      <selection pane="topRight" activeCell="A39" sqref="A39:K39"/>
      <selection pane="bottomLeft" activeCell="A39" sqref="A39:K39"/>
      <selection pane="bottomRight" activeCell="E138" sqref="E138"/>
    </sheetView>
  </sheetViews>
  <sheetFormatPr baseColWidth="10" defaultColWidth="9" defaultRowHeight="15.75"/>
  <cols>
    <col min="1" max="1" width="13.75" customWidth="1"/>
    <col min="2" max="2" width="3.125" customWidth="1"/>
    <col min="4" max="4" width="3.125" customWidth="1"/>
    <col min="6" max="6" width="3.125" customWidth="1"/>
    <col min="7" max="7" width="9.125" bestFit="1" customWidth="1"/>
    <col min="8" max="8" width="3.125" customWidth="1"/>
    <col min="10" max="10" width="3.25" customWidth="1"/>
    <col min="11" max="11" width="12.5" customWidth="1"/>
    <col min="12" max="12" width="2.125" customWidth="1"/>
    <col min="13" max="13" width="10.625" customWidth="1"/>
    <col min="14" max="14" width="2" customWidth="1"/>
    <col min="15" max="15" width="10.625" customWidth="1"/>
    <col min="16" max="16" width="1.75" customWidth="1"/>
    <col min="17" max="17" width="9.875" customWidth="1"/>
    <col min="18" max="18" width="3" customWidth="1"/>
    <col min="20" max="20" width="2" customWidth="1"/>
    <col min="21" max="21" width="12.75" customWidth="1"/>
    <col min="22" max="22" width="1.75" customWidth="1"/>
    <col min="23" max="24" width="9.5" customWidth="1"/>
    <col min="25" max="25" width="3.125" customWidth="1"/>
    <col min="26" max="26" width="10.375" customWidth="1"/>
    <col min="27" max="27" width="2" customWidth="1"/>
    <col min="28" max="28" width="11.25" customWidth="1"/>
    <col min="29" max="29" width="9.875" customWidth="1"/>
  </cols>
  <sheetData>
    <row r="2" spans="1:29" ht="20.25">
      <c r="A2" s="1545" t="s">
        <v>56</v>
      </c>
      <c r="B2" s="1545"/>
      <c r="C2" s="1545"/>
      <c r="D2" s="1545"/>
      <c r="E2" s="1545"/>
      <c r="F2" s="1545"/>
      <c r="G2" s="1545"/>
      <c r="H2" s="1545"/>
      <c r="I2" s="1545"/>
      <c r="J2" s="1545"/>
      <c r="K2" s="1545"/>
      <c r="L2" s="1545"/>
      <c r="M2" s="1545"/>
      <c r="N2" s="1545"/>
      <c r="O2" s="1545"/>
      <c r="P2" s="1545"/>
      <c r="Q2" s="1545"/>
      <c r="R2" s="1545"/>
      <c r="S2" s="1545"/>
      <c r="T2" s="1545"/>
      <c r="U2" s="1545"/>
      <c r="V2" s="1545"/>
      <c r="W2" s="1545"/>
      <c r="X2" s="1545"/>
      <c r="Y2" s="1545"/>
      <c r="Z2" s="1545"/>
      <c r="AA2" s="1545"/>
      <c r="AB2" s="1545"/>
      <c r="AC2" s="1545"/>
    </row>
    <row r="3" spans="1:29" ht="20.25">
      <c r="A3" s="399" t="s">
        <v>77</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row>
    <row r="4" spans="1:29" ht="20.25">
      <c r="A4" s="39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row>
    <row r="5" spans="1:29" ht="16.5" thickBot="1">
      <c r="A5" s="111"/>
      <c r="B5" s="39"/>
      <c r="C5" s="39"/>
      <c r="D5" s="39"/>
      <c r="E5" s="39"/>
      <c r="F5" s="39"/>
      <c r="G5" s="39"/>
      <c r="H5" s="39"/>
      <c r="I5" s="39"/>
      <c r="J5" s="39"/>
      <c r="K5" s="39"/>
      <c r="L5" s="39"/>
      <c r="M5" s="39"/>
      <c r="N5" s="39"/>
      <c r="O5" s="39"/>
      <c r="P5" s="39"/>
      <c r="Q5" s="39"/>
      <c r="R5" s="39"/>
    </row>
    <row r="6" spans="1:29" s="11" customFormat="1" ht="16.5" thickBot="1">
      <c r="A6" s="380"/>
      <c r="B6" s="381"/>
      <c r="C6" s="1313" t="s">
        <v>58</v>
      </c>
      <c r="D6" s="1113"/>
      <c r="E6" s="1112" t="s">
        <v>59</v>
      </c>
      <c r="F6" s="1113"/>
      <c r="G6" s="1112" t="s">
        <v>60</v>
      </c>
      <c r="H6" s="1113"/>
      <c r="I6" s="1112" t="s">
        <v>61</v>
      </c>
      <c r="J6" s="1113"/>
      <c r="K6" s="1112" t="s">
        <v>780</v>
      </c>
      <c r="L6" s="1113"/>
      <c r="M6" s="1112" t="s">
        <v>63</v>
      </c>
      <c r="N6" s="1113"/>
      <c r="O6" s="1112" t="s">
        <v>80</v>
      </c>
      <c r="P6" s="1113"/>
      <c r="Q6" s="1112" t="s">
        <v>64</v>
      </c>
      <c r="R6" s="1113"/>
      <c r="S6" s="1112" t="s">
        <v>65</v>
      </c>
      <c r="T6" s="1113"/>
      <c r="U6" s="1112" t="s">
        <v>66</v>
      </c>
      <c r="V6" s="1113"/>
      <c r="W6" s="1112" t="s">
        <v>67</v>
      </c>
      <c r="X6" s="1114" t="s">
        <v>81</v>
      </c>
      <c r="Y6" s="1113"/>
      <c r="Z6" s="1112" t="s">
        <v>68</v>
      </c>
      <c r="AA6" s="1113"/>
      <c r="AB6" s="1314" t="s">
        <v>69</v>
      </c>
      <c r="AC6" s="397" t="s">
        <v>70</v>
      </c>
    </row>
    <row r="7" spans="1:29" s="11" customFormat="1" ht="16.5" hidden="1" thickTop="1">
      <c r="A7" s="382"/>
      <c r="B7" s="383"/>
      <c r="C7" s="390"/>
      <c r="D7" s="386"/>
      <c r="E7" s="384"/>
      <c r="F7" s="386"/>
      <c r="G7" s="384"/>
      <c r="H7" s="386"/>
      <c r="I7" s="384"/>
      <c r="J7" s="386"/>
      <c r="K7" s="384"/>
      <c r="L7" s="386"/>
      <c r="M7" s="384"/>
      <c r="N7" s="386"/>
      <c r="O7" s="384"/>
      <c r="P7" s="386"/>
      <c r="Q7" s="384"/>
      <c r="R7" s="386"/>
      <c r="S7" s="384"/>
      <c r="T7" s="386"/>
      <c r="U7" s="384"/>
      <c r="V7" s="386"/>
      <c r="W7" s="384"/>
      <c r="X7" s="593"/>
      <c r="Y7" s="386"/>
      <c r="Z7" s="384"/>
      <c r="AA7" s="386"/>
      <c r="AB7" s="388"/>
      <c r="AC7" s="385"/>
    </row>
    <row r="8" spans="1:29" ht="24.75" hidden="1" customHeight="1">
      <c r="A8" s="471" t="s">
        <v>73</v>
      </c>
      <c r="B8" s="393"/>
      <c r="C8" s="411">
        <v>10</v>
      </c>
      <c r="D8" s="407"/>
      <c r="E8" s="26">
        <v>543</v>
      </c>
      <c r="F8" s="472" t="s">
        <v>0</v>
      </c>
      <c r="G8" s="393">
        <v>102</v>
      </c>
      <c r="H8" s="407"/>
      <c r="I8" s="393">
        <v>335</v>
      </c>
      <c r="J8" s="407"/>
      <c r="K8" s="393">
        <v>165</v>
      </c>
      <c r="L8" s="407"/>
      <c r="M8" s="393">
        <v>144</v>
      </c>
      <c r="N8" s="407"/>
      <c r="O8" s="518">
        <v>0</v>
      </c>
      <c r="P8" s="407"/>
      <c r="Q8" s="393">
        <v>515</v>
      </c>
      <c r="R8" s="407"/>
      <c r="S8" s="393">
        <v>326</v>
      </c>
      <c r="T8" s="407"/>
      <c r="U8" s="393">
        <v>94</v>
      </c>
      <c r="V8" s="407"/>
      <c r="W8" s="393">
        <v>44</v>
      </c>
      <c r="X8" s="598">
        <v>0</v>
      </c>
      <c r="Y8" s="407"/>
      <c r="Z8" s="393">
        <v>53</v>
      </c>
      <c r="AA8" s="407"/>
      <c r="AB8" s="479">
        <v>80</v>
      </c>
      <c r="AC8" s="409">
        <f>SUM(C8:AB8)</f>
        <v>2411</v>
      </c>
    </row>
    <row r="9" spans="1:29" ht="9" hidden="1" customHeight="1">
      <c r="A9" s="713"/>
      <c r="B9" s="416"/>
      <c r="C9" s="391"/>
      <c r="D9" s="387"/>
      <c r="E9" s="26"/>
      <c r="F9" s="387"/>
      <c r="G9" s="26"/>
      <c r="H9" s="387"/>
      <c r="I9" s="26"/>
      <c r="J9" s="387"/>
      <c r="K9" s="26"/>
      <c r="L9" s="387"/>
      <c r="M9" s="26"/>
      <c r="N9" s="387"/>
      <c r="O9" s="26"/>
      <c r="P9" s="387"/>
      <c r="Q9" s="26"/>
      <c r="R9" s="387"/>
      <c r="S9" s="26"/>
      <c r="T9" s="387"/>
      <c r="U9" s="26"/>
      <c r="V9" s="387"/>
      <c r="W9" s="26"/>
      <c r="X9" s="597"/>
      <c r="Y9" s="387"/>
      <c r="Z9" s="26"/>
      <c r="AA9" s="387"/>
      <c r="AB9" s="389"/>
      <c r="AC9" s="432"/>
    </row>
    <row r="10" spans="1:29" ht="25.15" hidden="1" customHeight="1">
      <c r="A10" s="394" t="s">
        <v>82</v>
      </c>
      <c r="B10" s="393"/>
      <c r="C10" s="474">
        <v>10</v>
      </c>
      <c r="D10" s="475"/>
      <c r="E10" s="491">
        <v>452</v>
      </c>
      <c r="F10" s="475" t="s">
        <v>0</v>
      </c>
      <c r="G10" s="476">
        <v>111</v>
      </c>
      <c r="H10" s="475"/>
      <c r="I10" s="476">
        <v>364</v>
      </c>
      <c r="J10" s="475"/>
      <c r="K10" s="628" t="s">
        <v>83</v>
      </c>
      <c r="L10" s="629"/>
      <c r="M10" s="476">
        <v>150</v>
      </c>
      <c r="N10" s="475"/>
      <c r="O10" s="659">
        <v>0</v>
      </c>
      <c r="P10" s="475"/>
      <c r="Q10" s="476">
        <v>514</v>
      </c>
      <c r="R10" s="475"/>
      <c r="S10" s="492">
        <v>368</v>
      </c>
      <c r="T10" s="478"/>
      <c r="U10" s="476">
        <v>97</v>
      </c>
      <c r="V10" s="475"/>
      <c r="W10" s="476">
        <v>46</v>
      </c>
      <c r="X10" s="596">
        <v>0</v>
      </c>
      <c r="Y10" s="475"/>
      <c r="Z10" s="476">
        <v>54</v>
      </c>
      <c r="AA10" s="475"/>
      <c r="AB10" s="477">
        <v>81</v>
      </c>
      <c r="AC10" s="409">
        <v>2591</v>
      </c>
    </row>
    <row r="11" spans="1:29" ht="9" hidden="1" customHeight="1">
      <c r="A11" s="714"/>
      <c r="B11" s="410"/>
      <c r="C11" s="494"/>
      <c r="D11" s="410"/>
      <c r="E11" s="495"/>
      <c r="F11" s="410"/>
      <c r="G11" s="494"/>
      <c r="H11" s="486"/>
      <c r="I11" s="494"/>
      <c r="J11" s="410"/>
      <c r="K11" s="496"/>
      <c r="L11" s="412"/>
      <c r="M11" s="494"/>
      <c r="N11" s="410"/>
      <c r="O11" s="486"/>
      <c r="P11" s="410"/>
      <c r="Q11" s="486"/>
      <c r="R11" s="410"/>
      <c r="S11" s="496"/>
      <c r="T11" s="412"/>
      <c r="U11" s="494"/>
      <c r="V11" s="410"/>
      <c r="W11" s="494"/>
      <c r="X11" s="599"/>
      <c r="Y11" s="410"/>
      <c r="Z11" s="494"/>
      <c r="AA11" s="410"/>
      <c r="AB11" s="493"/>
      <c r="AC11" s="488"/>
    </row>
    <row r="12" spans="1:29" ht="24.75" hidden="1" customHeight="1">
      <c r="A12" s="394" t="s">
        <v>84</v>
      </c>
      <c r="B12" s="407"/>
      <c r="C12" s="393">
        <v>10</v>
      </c>
      <c r="D12" s="407"/>
      <c r="E12" s="502">
        <v>454</v>
      </c>
      <c r="F12" s="407"/>
      <c r="G12" s="415">
        <v>105</v>
      </c>
      <c r="H12" s="407"/>
      <c r="I12" s="393">
        <v>371</v>
      </c>
      <c r="J12" s="407"/>
      <c r="K12" s="628" t="s">
        <v>85</v>
      </c>
      <c r="L12" s="629"/>
      <c r="M12" s="474">
        <v>152</v>
      </c>
      <c r="N12" s="475"/>
      <c r="O12" s="518">
        <v>0</v>
      </c>
      <c r="P12" s="407"/>
      <c r="Q12" s="393">
        <v>543</v>
      </c>
      <c r="R12" s="407"/>
      <c r="S12" s="556">
        <v>392</v>
      </c>
      <c r="T12" s="557"/>
      <c r="U12" s="393">
        <v>120</v>
      </c>
      <c r="V12" s="407"/>
      <c r="W12" s="393">
        <v>49</v>
      </c>
      <c r="X12" s="598">
        <v>0</v>
      </c>
      <c r="Y12" s="407"/>
      <c r="Z12" s="393">
        <v>56</v>
      </c>
      <c r="AA12" s="407"/>
      <c r="AB12" s="408">
        <v>82</v>
      </c>
      <c r="AC12" s="409">
        <v>2670</v>
      </c>
    </row>
    <row r="13" spans="1:29" ht="9" hidden="1" customHeight="1">
      <c r="A13" s="715"/>
      <c r="B13" s="410"/>
      <c r="C13" s="494"/>
      <c r="D13" s="410"/>
      <c r="E13" s="497"/>
      <c r="F13" s="410"/>
      <c r="G13" s="413"/>
      <c r="H13" s="410"/>
      <c r="I13" s="486"/>
      <c r="J13" s="410"/>
      <c r="K13" s="539"/>
      <c r="L13" s="412"/>
      <c r="M13" s="413"/>
      <c r="N13" s="410"/>
      <c r="O13" s="486"/>
      <c r="P13" s="410"/>
      <c r="Q13" s="486"/>
      <c r="R13" s="410"/>
      <c r="S13" s="539"/>
      <c r="T13" s="412"/>
      <c r="U13" s="486"/>
      <c r="V13" s="410"/>
      <c r="W13" s="486"/>
      <c r="X13" s="599"/>
      <c r="Y13" s="410"/>
      <c r="Z13" s="486"/>
      <c r="AA13" s="410"/>
      <c r="AB13" s="540"/>
      <c r="AC13" s="541"/>
    </row>
    <row r="14" spans="1:29" ht="24.75" hidden="1" customHeight="1">
      <c r="A14" s="718" t="s">
        <v>86</v>
      </c>
      <c r="B14" s="719"/>
      <c r="C14" s="621">
        <v>10</v>
      </c>
      <c r="D14" s="398"/>
      <c r="E14" s="497">
        <v>452</v>
      </c>
      <c r="F14" s="410"/>
      <c r="G14" s="413">
        <v>106</v>
      </c>
      <c r="H14" s="410"/>
      <c r="I14" s="624" t="s">
        <v>87</v>
      </c>
      <c r="J14" s="625"/>
      <c r="K14" s="624" t="s">
        <v>88</v>
      </c>
      <c r="L14" s="625"/>
      <c r="M14" s="621">
        <v>164</v>
      </c>
      <c r="N14" s="398"/>
      <c r="O14" s="658">
        <v>0</v>
      </c>
      <c r="P14" s="410"/>
      <c r="Q14" s="486">
        <v>694</v>
      </c>
      <c r="R14" s="410"/>
      <c r="S14" s="539">
        <v>381</v>
      </c>
      <c r="T14" s="412"/>
      <c r="U14" s="560">
        <v>124</v>
      </c>
      <c r="V14" s="412"/>
      <c r="W14" s="486">
        <v>49</v>
      </c>
      <c r="X14" s="600">
        <v>0</v>
      </c>
      <c r="Y14" s="410"/>
      <c r="Z14" s="486">
        <v>56</v>
      </c>
      <c r="AA14" s="410"/>
      <c r="AB14" s="500">
        <v>82</v>
      </c>
      <c r="AC14" s="488">
        <v>2654</v>
      </c>
    </row>
    <row r="15" spans="1:29" ht="9" hidden="1" customHeight="1">
      <c r="A15" s="717"/>
      <c r="B15" s="415"/>
      <c r="C15" s="393"/>
      <c r="D15" s="557"/>
      <c r="E15" s="502"/>
      <c r="F15" s="407"/>
      <c r="G15" s="415"/>
      <c r="H15" s="407"/>
      <c r="I15" s="575"/>
      <c r="J15" s="557"/>
      <c r="K15" s="556"/>
      <c r="L15" s="557"/>
      <c r="M15" s="415"/>
      <c r="N15" s="407"/>
      <c r="O15" s="393"/>
      <c r="P15" s="407"/>
      <c r="Q15" s="393"/>
      <c r="R15" s="407"/>
      <c r="S15" s="556"/>
      <c r="T15" s="557"/>
      <c r="U15" s="575"/>
      <c r="V15" s="557"/>
      <c r="W15" s="393"/>
      <c r="X15" s="601"/>
      <c r="Y15" s="475"/>
      <c r="Z15" s="393"/>
      <c r="AA15" s="407"/>
      <c r="AB15" s="198"/>
      <c r="AC15" s="576"/>
    </row>
    <row r="16" spans="1:29" ht="24.75" hidden="1" customHeight="1" thickTop="1">
      <c r="A16" s="716" t="s">
        <v>74</v>
      </c>
      <c r="B16" s="412"/>
      <c r="C16" s="494">
        <v>10</v>
      </c>
      <c r="D16" s="410"/>
      <c r="E16" s="497">
        <v>316</v>
      </c>
      <c r="F16" s="410"/>
      <c r="G16" s="413">
        <v>107</v>
      </c>
      <c r="H16" s="410"/>
      <c r="I16" s="622" t="s">
        <v>89</v>
      </c>
      <c r="J16" s="623"/>
      <c r="K16" s="622" t="s">
        <v>90</v>
      </c>
      <c r="L16" s="623"/>
      <c r="M16" s="494">
        <v>177</v>
      </c>
      <c r="N16" s="410"/>
      <c r="O16" s="658">
        <v>0</v>
      </c>
      <c r="P16" s="410"/>
      <c r="Q16" s="486">
        <v>750</v>
      </c>
      <c r="R16" s="410"/>
      <c r="S16" s="539">
        <v>412</v>
      </c>
      <c r="T16" s="412"/>
      <c r="U16" s="560">
        <v>157</v>
      </c>
      <c r="V16" s="412"/>
      <c r="W16" s="486">
        <v>48</v>
      </c>
      <c r="X16" s="600">
        <v>0</v>
      </c>
      <c r="Y16" s="410"/>
      <c r="Z16" s="494">
        <v>51</v>
      </c>
      <c r="AA16" s="410"/>
      <c r="AB16" s="540">
        <v>84</v>
      </c>
      <c r="AC16" s="488">
        <v>2659</v>
      </c>
    </row>
    <row r="17" spans="1:29" ht="9" hidden="1" customHeight="1">
      <c r="A17" s="717"/>
      <c r="B17" s="415"/>
      <c r="C17" s="393"/>
      <c r="D17" s="557"/>
      <c r="E17" s="502"/>
      <c r="F17" s="407"/>
      <c r="G17" s="415"/>
      <c r="H17" s="407"/>
      <c r="I17" s="575"/>
      <c r="J17" s="557"/>
      <c r="K17" s="556"/>
      <c r="L17" s="557"/>
      <c r="M17" s="415"/>
      <c r="N17" s="407"/>
      <c r="O17" s="393"/>
      <c r="P17" s="407"/>
      <c r="Q17" s="393"/>
      <c r="R17" s="407"/>
      <c r="S17" s="556"/>
      <c r="T17" s="557"/>
      <c r="U17" s="575"/>
      <c r="V17" s="557"/>
      <c r="W17" s="393"/>
      <c r="X17" s="594"/>
      <c r="Y17" s="407"/>
      <c r="Z17" s="198"/>
      <c r="AA17" s="407"/>
      <c r="AB17" s="198"/>
      <c r="AC17" s="576"/>
    </row>
    <row r="18" spans="1:29" ht="24.75" hidden="1" customHeight="1">
      <c r="A18" s="716" t="s">
        <v>91</v>
      </c>
      <c r="B18" s="412"/>
      <c r="C18" s="494">
        <v>9</v>
      </c>
      <c r="D18" s="410"/>
      <c r="E18" s="497">
        <v>233</v>
      </c>
      <c r="F18" s="410"/>
      <c r="G18" s="413">
        <v>111</v>
      </c>
      <c r="H18" s="410"/>
      <c r="I18" s="622" t="s">
        <v>92</v>
      </c>
      <c r="J18" s="623"/>
      <c r="K18" s="622" t="s">
        <v>90</v>
      </c>
      <c r="L18" s="623"/>
      <c r="M18" s="494">
        <v>188</v>
      </c>
      <c r="N18" s="410"/>
      <c r="O18" s="658">
        <v>0</v>
      </c>
      <c r="P18" s="410"/>
      <c r="Q18" s="486">
        <v>806</v>
      </c>
      <c r="R18" s="410"/>
      <c r="S18" s="539">
        <v>455</v>
      </c>
      <c r="T18" s="412"/>
      <c r="U18" s="560">
        <v>146</v>
      </c>
      <c r="V18" s="412"/>
      <c r="W18" s="486">
        <v>50</v>
      </c>
      <c r="X18" s="493">
        <v>22</v>
      </c>
      <c r="Y18" s="410"/>
      <c r="Z18" s="494">
        <v>59</v>
      </c>
      <c r="AA18" s="410"/>
      <c r="AB18" s="540">
        <v>84</v>
      </c>
      <c r="AC18" s="488">
        <v>2712</v>
      </c>
    </row>
    <row r="19" spans="1:29" ht="9" hidden="1" customHeight="1">
      <c r="A19" s="717"/>
      <c r="B19" s="415"/>
      <c r="C19" s="393"/>
      <c r="D19" s="557"/>
      <c r="E19" s="502"/>
      <c r="F19" s="407"/>
      <c r="G19" s="415"/>
      <c r="H19" s="407"/>
      <c r="I19" s="575"/>
      <c r="J19" s="557"/>
      <c r="K19" s="556"/>
      <c r="L19" s="557"/>
      <c r="M19" s="415"/>
      <c r="N19" s="407"/>
      <c r="O19" s="393"/>
      <c r="P19" s="407"/>
      <c r="Q19" s="393"/>
      <c r="R19" s="407"/>
      <c r="S19" s="556"/>
      <c r="T19" s="557"/>
      <c r="U19" s="575"/>
      <c r="V19" s="557"/>
      <c r="W19" s="393"/>
      <c r="X19" s="607"/>
      <c r="Y19" s="407"/>
      <c r="Z19" s="198"/>
      <c r="AA19" s="407"/>
      <c r="AB19" s="198"/>
      <c r="AC19" s="576"/>
    </row>
    <row r="20" spans="1:29" ht="24.75" hidden="1" customHeight="1">
      <c r="A20" s="716" t="s">
        <v>93</v>
      </c>
      <c r="B20" s="412"/>
      <c r="C20" s="494">
        <v>10</v>
      </c>
      <c r="D20" s="410"/>
      <c r="E20" s="497">
        <v>233</v>
      </c>
      <c r="F20" s="410"/>
      <c r="G20" s="413">
        <v>110</v>
      </c>
      <c r="H20" s="410"/>
      <c r="I20" s="622" t="s">
        <v>94</v>
      </c>
      <c r="J20" s="623"/>
      <c r="K20" s="622" t="s">
        <v>90</v>
      </c>
      <c r="L20" s="623"/>
      <c r="M20" s="494">
        <v>206</v>
      </c>
      <c r="N20" s="410"/>
      <c r="O20" s="658">
        <v>0</v>
      </c>
      <c r="P20" s="410"/>
      <c r="Q20" s="486">
        <v>826</v>
      </c>
      <c r="R20" s="410"/>
      <c r="S20" s="539">
        <v>492</v>
      </c>
      <c r="T20" s="412"/>
      <c r="U20" s="560">
        <v>146</v>
      </c>
      <c r="V20" s="412"/>
      <c r="W20" s="486">
        <v>56</v>
      </c>
      <c r="X20" s="493">
        <v>23</v>
      </c>
      <c r="Y20" s="410"/>
      <c r="Z20" s="494">
        <v>60</v>
      </c>
      <c r="AA20" s="410"/>
      <c r="AB20" s="540">
        <v>84</v>
      </c>
      <c r="AC20" s="488">
        <v>2799</v>
      </c>
    </row>
    <row r="21" spans="1:29" ht="9" hidden="1" customHeight="1">
      <c r="A21" s="573"/>
      <c r="B21" s="415"/>
      <c r="C21" s="411"/>
      <c r="D21" s="557"/>
      <c r="E21" s="502"/>
      <c r="F21" s="407"/>
      <c r="G21" s="415"/>
      <c r="H21" s="407"/>
      <c r="I21" s="575"/>
      <c r="J21" s="557"/>
      <c r="K21" s="556"/>
      <c r="L21" s="557"/>
      <c r="M21" s="415"/>
      <c r="N21" s="407"/>
      <c r="O21" s="393"/>
      <c r="P21" s="407"/>
      <c r="Q21" s="393"/>
      <c r="R21" s="407"/>
      <c r="S21" s="556"/>
      <c r="T21" s="557"/>
      <c r="U21" s="575"/>
      <c r="V21" s="557"/>
      <c r="W21" s="393"/>
      <c r="X21" s="607"/>
      <c r="Y21" s="407"/>
      <c r="Z21" s="198"/>
      <c r="AA21" s="407"/>
      <c r="AB21" s="198"/>
      <c r="AC21" s="576"/>
    </row>
    <row r="22" spans="1:29" ht="24.75" hidden="1" customHeight="1">
      <c r="A22" s="716" t="s">
        <v>95</v>
      </c>
      <c r="B22" s="412"/>
      <c r="C22" s="494">
        <v>10</v>
      </c>
      <c r="D22" s="410"/>
      <c r="E22" s="497">
        <v>195</v>
      </c>
      <c r="F22" s="410"/>
      <c r="G22" s="413">
        <v>105</v>
      </c>
      <c r="H22" s="410"/>
      <c r="I22" s="622" t="s">
        <v>96</v>
      </c>
      <c r="J22" s="623"/>
      <c r="K22" s="622" t="s">
        <v>97</v>
      </c>
      <c r="L22" s="623"/>
      <c r="M22" s="494">
        <v>218</v>
      </c>
      <c r="N22" s="410"/>
      <c r="O22" s="658">
        <v>0</v>
      </c>
      <c r="P22" s="410"/>
      <c r="Q22" s="486">
        <v>890</v>
      </c>
      <c r="R22" s="410"/>
      <c r="S22" s="539">
        <v>547</v>
      </c>
      <c r="T22" s="412"/>
      <c r="U22" s="560">
        <v>154</v>
      </c>
      <c r="V22" s="412"/>
      <c r="W22" s="486">
        <v>55</v>
      </c>
      <c r="X22" s="493">
        <v>18</v>
      </c>
      <c r="Y22" s="410"/>
      <c r="Z22" s="494">
        <v>59</v>
      </c>
      <c r="AA22" s="410"/>
      <c r="AB22" s="540">
        <v>87</v>
      </c>
      <c r="AC22" s="488">
        <v>2880</v>
      </c>
    </row>
    <row r="23" spans="1:29" ht="9" customHeight="1" thickTop="1">
      <c r="A23" s="573"/>
      <c r="B23" s="415"/>
      <c r="C23" s="411"/>
      <c r="D23" s="557"/>
      <c r="E23" s="502"/>
      <c r="F23" s="407"/>
      <c r="G23" s="415"/>
      <c r="H23" s="407"/>
      <c r="I23" s="575"/>
      <c r="J23" s="557"/>
      <c r="K23" s="556"/>
      <c r="L23" s="557"/>
      <c r="M23" s="415"/>
      <c r="N23" s="407"/>
      <c r="O23" s="393"/>
      <c r="P23" s="407"/>
      <c r="Q23" s="393"/>
      <c r="R23" s="407"/>
      <c r="S23" s="556"/>
      <c r="T23" s="557"/>
      <c r="U23" s="575"/>
      <c r="V23" s="557"/>
      <c r="W23" s="393"/>
      <c r="X23" s="607"/>
      <c r="Y23" s="407"/>
      <c r="Z23" s="198"/>
      <c r="AA23" s="407"/>
      <c r="AB23" s="198"/>
      <c r="AC23" s="576"/>
    </row>
    <row r="24" spans="1:29" ht="24.75" customHeight="1">
      <c r="A24" s="716" t="s">
        <v>75</v>
      </c>
      <c r="B24" s="412"/>
      <c r="C24" s="494">
        <v>10</v>
      </c>
      <c r="D24" s="410"/>
      <c r="E24" s="497">
        <v>213</v>
      </c>
      <c r="F24" s="410"/>
      <c r="G24" s="413">
        <v>103</v>
      </c>
      <c r="H24" s="410"/>
      <c r="I24" s="622" t="s">
        <v>98</v>
      </c>
      <c r="J24" s="623"/>
      <c r="K24" s="622" t="s">
        <v>99</v>
      </c>
      <c r="L24" s="623"/>
      <c r="M24" s="494">
        <v>230</v>
      </c>
      <c r="N24" s="410"/>
      <c r="O24" s="658">
        <v>0</v>
      </c>
      <c r="P24" s="410"/>
      <c r="Q24" s="486">
        <v>969</v>
      </c>
      <c r="R24" s="410"/>
      <c r="S24" s="539">
        <v>570</v>
      </c>
      <c r="T24" s="412"/>
      <c r="U24" s="560">
        <v>190</v>
      </c>
      <c r="V24" s="412"/>
      <c r="W24" s="486">
        <v>55</v>
      </c>
      <c r="X24" s="493">
        <v>22</v>
      </c>
      <c r="Y24" s="410"/>
      <c r="Z24" s="494">
        <v>60</v>
      </c>
      <c r="AA24" s="410"/>
      <c r="AB24" s="540">
        <v>89</v>
      </c>
      <c r="AC24" s="488">
        <f>+C24+E24+G24+I24+K24+M24+Q24+S24+U24+W24+X24+Z24+AB24</f>
        <v>2989</v>
      </c>
    </row>
    <row r="25" spans="1:29" ht="9" customHeight="1">
      <c r="A25" s="573"/>
      <c r="B25" s="415"/>
      <c r="C25" s="411"/>
      <c r="D25" s="557"/>
      <c r="E25" s="502"/>
      <c r="F25" s="407"/>
      <c r="G25" s="415"/>
      <c r="H25" s="407"/>
      <c r="I25" s="575"/>
      <c r="J25" s="557"/>
      <c r="K25" s="556"/>
      <c r="L25" s="557"/>
      <c r="M25" s="415"/>
      <c r="N25" s="407"/>
      <c r="O25" s="393"/>
      <c r="P25" s="407"/>
      <c r="Q25" s="393"/>
      <c r="R25" s="407"/>
      <c r="S25" s="556"/>
      <c r="T25" s="557"/>
      <c r="U25" s="575"/>
      <c r="V25" s="557"/>
      <c r="W25" s="393"/>
      <c r="X25" s="607"/>
      <c r="Y25" s="407"/>
      <c r="Z25" s="198"/>
      <c r="AA25" s="407"/>
      <c r="AB25" s="198"/>
      <c r="AC25" s="576"/>
    </row>
    <row r="26" spans="1:29" ht="24.75" customHeight="1">
      <c r="A26" s="716" t="s">
        <v>100</v>
      </c>
      <c r="B26" s="412"/>
      <c r="C26" s="622" t="s">
        <v>101</v>
      </c>
      <c r="D26" s="623"/>
      <c r="E26" s="497">
        <v>213</v>
      </c>
      <c r="F26" s="410"/>
      <c r="G26" s="497">
        <v>102</v>
      </c>
      <c r="H26" s="410"/>
      <c r="I26" s="626" t="s">
        <v>102</v>
      </c>
      <c r="J26" s="627"/>
      <c r="K26" s="622" t="s">
        <v>103</v>
      </c>
      <c r="L26" s="623"/>
      <c r="M26" s="622" t="s">
        <v>104</v>
      </c>
      <c r="N26" s="623"/>
      <c r="O26" s="638">
        <v>0</v>
      </c>
      <c r="P26" s="623"/>
      <c r="Q26" s="487">
        <v>986</v>
      </c>
      <c r="R26" s="480" t="s">
        <v>72</v>
      </c>
      <c r="S26" s="539">
        <v>596</v>
      </c>
      <c r="T26" s="609"/>
      <c r="U26" s="560">
        <v>184</v>
      </c>
      <c r="V26" s="609"/>
      <c r="W26" s="486">
        <v>56</v>
      </c>
      <c r="X26" s="630" t="s">
        <v>105</v>
      </c>
      <c r="Y26" s="480"/>
      <c r="Z26" s="494">
        <v>63</v>
      </c>
      <c r="AA26" s="410"/>
      <c r="AB26" s="631" t="s">
        <v>106</v>
      </c>
      <c r="AC26" s="488">
        <f>+C26+E26+G26+I26+K26+M26+Q26+S26+U26+X26+Z26+AB26</f>
        <v>2991</v>
      </c>
    </row>
    <row r="27" spans="1:29" ht="9" customHeight="1">
      <c r="A27" s="573"/>
      <c r="B27" s="415"/>
      <c r="C27" s="617"/>
      <c r="D27" s="557"/>
      <c r="E27" s="502"/>
      <c r="F27" s="407"/>
      <c r="G27" s="502"/>
      <c r="H27" s="407"/>
      <c r="I27" s="575"/>
      <c r="J27" s="557"/>
      <c r="K27" s="556"/>
      <c r="L27" s="608"/>
      <c r="M27" s="502"/>
      <c r="N27" s="490"/>
      <c r="O27" s="575"/>
      <c r="P27" s="490"/>
      <c r="Q27" s="505"/>
      <c r="R27" s="490"/>
      <c r="S27" s="556"/>
      <c r="T27" s="608"/>
      <c r="U27" s="575"/>
      <c r="V27" s="608"/>
      <c r="W27" s="393"/>
      <c r="X27" s="618"/>
      <c r="Y27" s="490"/>
      <c r="Z27" s="505"/>
      <c r="AA27" s="490"/>
      <c r="AB27" s="619"/>
      <c r="AC27" s="409"/>
    </row>
    <row r="28" spans="1:29" ht="24.75" customHeight="1">
      <c r="A28" s="716" t="s">
        <v>107</v>
      </c>
      <c r="B28" s="412"/>
      <c r="C28" s="622" t="s">
        <v>101</v>
      </c>
      <c r="D28" s="623"/>
      <c r="E28" s="497">
        <v>238</v>
      </c>
      <c r="F28" s="410"/>
      <c r="G28" s="497">
        <v>100</v>
      </c>
      <c r="H28" s="410"/>
      <c r="I28" s="622" t="s">
        <v>108</v>
      </c>
      <c r="J28" s="623"/>
      <c r="K28" s="622" t="s">
        <v>109</v>
      </c>
      <c r="L28" s="623"/>
      <c r="M28" s="622" t="s">
        <v>110</v>
      </c>
      <c r="N28" s="623"/>
      <c r="O28" s="638">
        <v>0</v>
      </c>
      <c r="P28" s="623"/>
      <c r="Q28" s="487">
        <v>1130</v>
      </c>
      <c r="R28" s="480" t="s">
        <v>72</v>
      </c>
      <c r="S28" s="539">
        <v>597</v>
      </c>
      <c r="T28" s="609"/>
      <c r="U28" s="560">
        <v>195</v>
      </c>
      <c r="V28" s="609"/>
      <c r="W28" s="486">
        <v>58</v>
      </c>
      <c r="X28" s="630" t="s">
        <v>111</v>
      </c>
      <c r="Y28" s="480"/>
      <c r="Z28" s="494">
        <v>65</v>
      </c>
      <c r="AA28" s="410"/>
      <c r="AB28" s="631" t="s">
        <v>106</v>
      </c>
      <c r="AC28" s="488">
        <f>+C28+E28+G28+I28+K28+M28+Q28+S28+U28+X28+Z28+AB28</f>
        <v>3179</v>
      </c>
    </row>
    <row r="29" spans="1:29" ht="9" customHeight="1">
      <c r="A29" s="573"/>
      <c r="B29" s="415"/>
      <c r="C29" s="633"/>
      <c r="D29" s="634"/>
      <c r="E29" s="502"/>
      <c r="F29" s="407"/>
      <c r="G29" s="502"/>
      <c r="H29" s="407"/>
      <c r="I29" s="635"/>
      <c r="J29" s="634"/>
      <c r="K29" s="635"/>
      <c r="L29" s="634"/>
      <c r="M29" s="635"/>
      <c r="N29" s="634"/>
      <c r="O29" s="635"/>
      <c r="P29" s="634"/>
      <c r="Q29" s="505"/>
      <c r="R29" s="490"/>
      <c r="S29" s="556"/>
      <c r="T29" s="608"/>
      <c r="U29" s="575"/>
      <c r="V29" s="608"/>
      <c r="W29" s="393"/>
      <c r="X29" s="636"/>
      <c r="Y29" s="490"/>
      <c r="Z29" s="393"/>
      <c r="AA29" s="407"/>
      <c r="AB29" s="637"/>
      <c r="AC29" s="576"/>
    </row>
    <row r="30" spans="1:29" ht="24.75" customHeight="1">
      <c r="A30" s="716" t="s">
        <v>112</v>
      </c>
      <c r="B30" s="412"/>
      <c r="C30" s="7">
        <v>10</v>
      </c>
      <c r="D30" s="623"/>
      <c r="E30" s="497">
        <v>214</v>
      </c>
      <c r="F30" s="410"/>
      <c r="G30" s="497">
        <v>98</v>
      </c>
      <c r="H30" s="410"/>
      <c r="I30" s="638">
        <v>287</v>
      </c>
      <c r="J30" s="623"/>
      <c r="K30" s="638" t="s">
        <v>113</v>
      </c>
      <c r="L30" s="623"/>
      <c r="M30" s="638" t="s">
        <v>787</v>
      </c>
      <c r="N30" s="623"/>
      <c r="O30" s="656">
        <v>0</v>
      </c>
      <c r="P30" s="6"/>
      <c r="Q30" s="487">
        <v>997</v>
      </c>
      <c r="R30" s="480"/>
      <c r="S30" s="539">
        <v>621</v>
      </c>
      <c r="T30" s="609"/>
      <c r="U30" s="560">
        <v>203</v>
      </c>
      <c r="V30" s="609"/>
      <c r="W30" s="486">
        <v>61</v>
      </c>
      <c r="X30" s="630" t="s">
        <v>114</v>
      </c>
      <c r="Y30" s="480"/>
      <c r="Z30" s="486">
        <v>65</v>
      </c>
      <c r="AA30" s="410"/>
      <c r="AB30" s="638" t="s">
        <v>106</v>
      </c>
      <c r="AC30" s="488">
        <f>+C30+E30+G30+I30+K30+M30+Q30+S30+U30+X30+Z30+AB30</f>
        <v>3077</v>
      </c>
    </row>
    <row r="31" spans="1:29" ht="9" customHeight="1">
      <c r="A31" s="573"/>
      <c r="B31" s="415"/>
      <c r="C31" s="641"/>
      <c r="D31" s="634"/>
      <c r="E31" s="502"/>
      <c r="F31" s="407"/>
      <c r="G31" s="502"/>
      <c r="H31" s="407"/>
      <c r="I31" s="637"/>
      <c r="J31" s="634"/>
      <c r="K31" s="502"/>
      <c r="L31" s="634"/>
      <c r="M31" s="637"/>
      <c r="N31" s="634"/>
      <c r="O31" s="635"/>
      <c r="P31" s="634"/>
      <c r="Q31" s="505"/>
      <c r="R31" s="490"/>
      <c r="S31" s="556"/>
      <c r="T31" s="608"/>
      <c r="U31" s="575"/>
      <c r="V31" s="608"/>
      <c r="W31" s="393"/>
      <c r="X31" s="636"/>
      <c r="Y31" s="490"/>
      <c r="Z31" s="393"/>
      <c r="AA31" s="407"/>
      <c r="AB31" s="637"/>
      <c r="AC31" s="576"/>
    </row>
    <row r="32" spans="1:29" ht="24.75" customHeight="1">
      <c r="A32" s="716" t="s">
        <v>76</v>
      </c>
      <c r="B32" s="412"/>
      <c r="C32" s="7">
        <v>10</v>
      </c>
      <c r="D32" s="623"/>
      <c r="E32" s="497">
        <v>208</v>
      </c>
      <c r="F32" s="410"/>
      <c r="G32" s="497">
        <v>96</v>
      </c>
      <c r="H32" s="410"/>
      <c r="I32" s="638">
        <v>257</v>
      </c>
      <c r="J32" s="623"/>
      <c r="K32" s="638" t="s">
        <v>115</v>
      </c>
      <c r="L32" s="623"/>
      <c r="M32" s="638" t="s">
        <v>788</v>
      </c>
      <c r="N32" s="623"/>
      <c r="O32" s="656">
        <v>0</v>
      </c>
      <c r="P32" s="6"/>
      <c r="Q32" s="487">
        <v>1100</v>
      </c>
      <c r="R32" s="480"/>
      <c r="S32" s="539">
        <v>688</v>
      </c>
      <c r="T32" s="609"/>
      <c r="U32" s="560">
        <v>216</v>
      </c>
      <c r="V32" s="609"/>
      <c r="W32" s="486">
        <v>58</v>
      </c>
      <c r="X32" s="630" t="s">
        <v>116</v>
      </c>
      <c r="Y32" s="480"/>
      <c r="Z32" s="486">
        <v>66</v>
      </c>
      <c r="AA32" s="410"/>
      <c r="AB32" s="638" t="s">
        <v>106</v>
      </c>
      <c r="AC32" s="488">
        <f>+C32+E32+G32+I32+K32+M32+Q32+S32+U32+W32+X32+Z32+AB32+W32</f>
        <v>3351</v>
      </c>
    </row>
    <row r="33" spans="1:29" ht="9" customHeight="1">
      <c r="A33" s="573"/>
      <c r="B33" s="415"/>
      <c r="C33" s="641"/>
      <c r="D33" s="634"/>
      <c r="E33" s="502"/>
      <c r="F33" s="407"/>
      <c r="G33" s="502"/>
      <c r="H33" s="407"/>
      <c r="I33" s="637"/>
      <c r="J33" s="634"/>
      <c r="K33" s="505"/>
      <c r="L33" s="634"/>
      <c r="M33" s="637"/>
      <c r="N33" s="634"/>
      <c r="O33" s="635"/>
      <c r="P33" s="634"/>
      <c r="Q33" s="505"/>
      <c r="R33" s="490"/>
      <c r="S33" s="556"/>
      <c r="T33" s="608"/>
      <c r="U33" s="575"/>
      <c r="V33" s="608"/>
      <c r="W33" s="393"/>
      <c r="X33" s="636"/>
      <c r="Y33" s="490"/>
      <c r="Z33" s="393"/>
      <c r="AA33" s="407"/>
      <c r="AB33" s="637"/>
      <c r="AC33" s="576"/>
    </row>
    <row r="34" spans="1:29" ht="24.75" customHeight="1">
      <c r="A34" s="716" t="s">
        <v>117</v>
      </c>
      <c r="B34" s="412"/>
      <c r="C34" s="7">
        <v>10</v>
      </c>
      <c r="D34" s="623"/>
      <c r="E34" s="497">
        <v>194</v>
      </c>
      <c r="F34" s="410"/>
      <c r="G34" s="497">
        <v>99</v>
      </c>
      <c r="H34" s="410"/>
      <c r="I34" s="638">
        <v>263</v>
      </c>
      <c r="J34" s="623"/>
      <c r="K34" s="638" t="s">
        <v>118</v>
      </c>
      <c r="L34" s="623"/>
      <c r="M34" s="638" t="s">
        <v>789</v>
      </c>
      <c r="N34" s="623"/>
      <c r="O34" s="656">
        <v>0</v>
      </c>
      <c r="P34" s="6"/>
      <c r="Q34" s="487">
        <v>1042</v>
      </c>
      <c r="R34" s="480"/>
      <c r="S34" s="539">
        <v>720</v>
      </c>
      <c r="T34" s="609"/>
      <c r="U34" s="560">
        <v>225</v>
      </c>
      <c r="V34" s="609"/>
      <c r="W34" s="486">
        <v>59</v>
      </c>
      <c r="X34" s="630" t="s">
        <v>119</v>
      </c>
      <c r="Y34" s="480"/>
      <c r="Z34" s="486">
        <v>62</v>
      </c>
      <c r="AA34" s="410"/>
      <c r="AB34" s="638" t="s">
        <v>106</v>
      </c>
      <c r="AC34" s="488">
        <f>+C34+E34+G34+I34+K34+M34+Q34+S34+U34+W34+X34+Z34+AB34+W34</f>
        <v>3351</v>
      </c>
    </row>
    <row r="35" spans="1:29" ht="9" customHeight="1">
      <c r="A35" s="573"/>
      <c r="B35" s="415"/>
      <c r="C35" s="641"/>
      <c r="D35" s="634"/>
      <c r="E35" s="502"/>
      <c r="F35" s="407"/>
      <c r="G35" s="502"/>
      <c r="H35" s="407"/>
      <c r="I35" s="637"/>
      <c r="J35" s="634"/>
      <c r="K35" s="502"/>
      <c r="L35" s="634"/>
      <c r="M35" s="637"/>
      <c r="N35" s="634"/>
      <c r="O35" s="635"/>
      <c r="P35" s="634"/>
      <c r="Q35" s="505"/>
      <c r="R35" s="490"/>
      <c r="S35" s="556"/>
      <c r="T35" s="608"/>
      <c r="U35" s="575"/>
      <c r="V35" s="608"/>
      <c r="W35" s="393"/>
      <c r="X35" s="636"/>
      <c r="Y35" s="490"/>
      <c r="Z35" s="393"/>
      <c r="AA35" s="407"/>
      <c r="AB35" s="637"/>
      <c r="AC35" s="576"/>
    </row>
    <row r="36" spans="1:29" ht="24.75" customHeight="1">
      <c r="A36" s="716" t="s">
        <v>120</v>
      </c>
      <c r="B36" s="412"/>
      <c r="C36" s="7">
        <v>10</v>
      </c>
      <c r="D36" s="623"/>
      <c r="E36" s="497">
        <v>215</v>
      </c>
      <c r="F36" s="410"/>
      <c r="G36" s="497">
        <v>99</v>
      </c>
      <c r="H36" s="410"/>
      <c r="I36" s="638">
        <v>249</v>
      </c>
      <c r="J36" s="623"/>
      <c r="K36" s="638" t="s">
        <v>99</v>
      </c>
      <c r="L36" s="623"/>
      <c r="M36" s="638" t="s">
        <v>790</v>
      </c>
      <c r="N36" s="623"/>
      <c r="O36" s="656">
        <v>0</v>
      </c>
      <c r="P36" s="6"/>
      <c r="Q36" s="487">
        <v>1055</v>
      </c>
      <c r="R36" s="480"/>
      <c r="S36" s="539">
        <v>830</v>
      </c>
      <c r="T36" s="609"/>
      <c r="U36" s="560">
        <v>227</v>
      </c>
      <c r="V36" s="609"/>
      <c r="W36" s="486">
        <v>60</v>
      </c>
      <c r="X36" s="630">
        <v>0</v>
      </c>
      <c r="Y36" s="709"/>
      <c r="Z36" s="486">
        <v>58</v>
      </c>
      <c r="AA36" s="410"/>
      <c r="AB36" s="638" t="s">
        <v>121</v>
      </c>
      <c r="AC36" s="488">
        <f>+C36+E36+G36+I36+K36+M36+Q36+S36+U36+W36+Z36+AB36+W36</f>
        <v>3434</v>
      </c>
    </row>
    <row r="37" spans="1:29" ht="9" customHeight="1">
      <c r="A37" s="573"/>
      <c r="B37" s="415"/>
      <c r="C37" s="641"/>
      <c r="D37" s="634"/>
      <c r="E37" s="502"/>
      <c r="F37" s="407"/>
      <c r="G37" s="502"/>
      <c r="H37" s="407"/>
      <c r="I37" s="637"/>
      <c r="J37" s="634"/>
      <c r="K37" s="502"/>
      <c r="L37" s="634"/>
      <c r="M37" s="637"/>
      <c r="N37" s="634"/>
      <c r="O37" s="635"/>
      <c r="P37" s="634"/>
      <c r="Q37" s="505"/>
      <c r="R37" s="490"/>
      <c r="S37" s="556"/>
      <c r="T37" s="608"/>
      <c r="U37" s="575"/>
      <c r="V37" s="608"/>
      <c r="W37" s="393"/>
      <c r="X37" s="652"/>
      <c r="Y37" s="490"/>
      <c r="Z37" s="393"/>
      <c r="AA37" s="407"/>
      <c r="AB37" s="637"/>
      <c r="AC37" s="576"/>
    </row>
    <row r="38" spans="1:29" ht="24.75" customHeight="1">
      <c r="A38" s="716" t="s">
        <v>122</v>
      </c>
      <c r="B38" s="412"/>
      <c r="C38" s="7">
        <v>10</v>
      </c>
      <c r="D38" s="623"/>
      <c r="E38" s="497">
        <v>231</v>
      </c>
      <c r="F38" s="410"/>
      <c r="G38" s="497">
        <v>104</v>
      </c>
      <c r="H38" s="410"/>
      <c r="I38" s="638">
        <v>244</v>
      </c>
      <c r="J38" s="623"/>
      <c r="K38" s="638" t="s">
        <v>97</v>
      </c>
      <c r="L38" s="623"/>
      <c r="M38" s="638" t="s">
        <v>791</v>
      </c>
      <c r="N38" s="623"/>
      <c r="O38" s="638" t="s">
        <v>781</v>
      </c>
      <c r="P38" s="6"/>
      <c r="Q38" s="487">
        <v>988</v>
      </c>
      <c r="R38" s="480"/>
      <c r="S38" s="539">
        <v>749</v>
      </c>
      <c r="T38" s="609"/>
      <c r="U38" s="560">
        <v>222</v>
      </c>
      <c r="V38" s="609"/>
      <c r="W38" s="486">
        <v>59</v>
      </c>
      <c r="X38" s="630">
        <v>0</v>
      </c>
      <c r="Y38" s="480"/>
      <c r="Z38" s="486">
        <v>57</v>
      </c>
      <c r="AA38" s="410"/>
      <c r="AB38" s="638" t="s">
        <v>106</v>
      </c>
      <c r="AC38" s="488">
        <f>+C38+E38+G38+I38+K38+M38+O38+Q38+S38+U38+W38+Z38+AB38+W38</f>
        <v>3324</v>
      </c>
    </row>
    <row r="39" spans="1:29" ht="9" customHeight="1">
      <c r="A39" s="573"/>
      <c r="B39" s="415"/>
      <c r="C39" s="641"/>
      <c r="D39" s="634"/>
      <c r="E39" s="502"/>
      <c r="F39" s="407"/>
      <c r="G39" s="502"/>
      <c r="H39" s="407"/>
      <c r="I39" s="637"/>
      <c r="J39" s="634"/>
      <c r="K39" s="637"/>
      <c r="L39" s="634"/>
      <c r="M39" s="637"/>
      <c r="N39" s="634"/>
      <c r="O39" s="637"/>
      <c r="P39" s="657"/>
      <c r="Q39" s="505"/>
      <c r="R39" s="490"/>
      <c r="S39" s="556"/>
      <c r="T39" s="608"/>
      <c r="U39" s="575"/>
      <c r="V39" s="608"/>
      <c r="W39" s="393"/>
      <c r="X39" s="652"/>
      <c r="Y39" s="490"/>
      <c r="Z39" s="393"/>
      <c r="AA39" s="407"/>
      <c r="AB39" s="637"/>
      <c r="AC39" s="576"/>
    </row>
    <row r="40" spans="1:29" ht="24.75" customHeight="1">
      <c r="A40" s="716" t="s">
        <v>458</v>
      </c>
      <c r="B40" s="412"/>
      <c r="C40" s="7">
        <v>10</v>
      </c>
      <c r="D40" s="623"/>
      <c r="E40" s="497">
        <v>237</v>
      </c>
      <c r="F40" s="410"/>
      <c r="G40" s="497">
        <v>109</v>
      </c>
      <c r="H40" s="410"/>
      <c r="I40" s="638">
        <v>249</v>
      </c>
      <c r="J40" s="623"/>
      <c r="K40" s="638" t="s">
        <v>461</v>
      </c>
      <c r="L40" s="623"/>
      <c r="M40" s="638" t="s">
        <v>792</v>
      </c>
      <c r="N40" s="623"/>
      <c r="O40" s="638" t="s">
        <v>781</v>
      </c>
      <c r="P40" s="6"/>
      <c r="Q40" s="487">
        <v>972</v>
      </c>
      <c r="R40" s="480"/>
      <c r="S40" s="539">
        <v>753</v>
      </c>
      <c r="T40" s="609"/>
      <c r="U40" s="560">
        <v>216</v>
      </c>
      <c r="V40" s="609"/>
      <c r="W40" s="486">
        <v>60</v>
      </c>
      <c r="X40" s="630">
        <v>0</v>
      </c>
      <c r="Y40" s="480"/>
      <c r="Z40" s="486">
        <v>60</v>
      </c>
      <c r="AA40" s="410"/>
      <c r="AB40" s="638" t="s">
        <v>121</v>
      </c>
      <c r="AC40" s="488">
        <f>+C40+E40+G40+I40+K40+M40+O40+Q40+S40+U40+W40+Z40+AB40</f>
        <v>3265</v>
      </c>
    </row>
    <row r="41" spans="1:29" ht="9" customHeight="1">
      <c r="A41" s="573"/>
      <c r="B41" s="415"/>
      <c r="C41" s="641"/>
      <c r="D41" s="634"/>
      <c r="E41" s="502"/>
      <c r="F41" s="407"/>
      <c r="G41" s="502"/>
      <c r="H41" s="407"/>
      <c r="I41" s="637"/>
      <c r="J41" s="634"/>
      <c r="K41" s="637"/>
      <c r="L41" s="634"/>
      <c r="M41" s="637"/>
      <c r="N41" s="634"/>
      <c r="O41" s="637"/>
      <c r="P41" s="657"/>
      <c r="Q41" s="505"/>
      <c r="R41" s="490"/>
      <c r="S41" s="556"/>
      <c r="T41" s="608"/>
      <c r="U41" s="575"/>
      <c r="V41" s="608"/>
      <c r="W41" s="393"/>
      <c r="X41" s="636"/>
      <c r="Y41" s="490"/>
      <c r="Z41" s="393"/>
      <c r="AA41" s="407"/>
      <c r="AB41" s="637"/>
      <c r="AC41" s="576"/>
    </row>
    <row r="42" spans="1:29" ht="24.75" customHeight="1">
      <c r="A42" s="716" t="s">
        <v>462</v>
      </c>
      <c r="B42" s="412"/>
      <c r="C42" s="7">
        <v>9</v>
      </c>
      <c r="D42" s="623"/>
      <c r="E42" s="497">
        <v>243</v>
      </c>
      <c r="F42" s="410"/>
      <c r="G42" s="497">
        <v>112</v>
      </c>
      <c r="H42" s="410"/>
      <c r="I42" s="638">
        <v>358</v>
      </c>
      <c r="J42" s="623"/>
      <c r="K42" s="638" t="s">
        <v>463</v>
      </c>
      <c r="L42" s="623"/>
      <c r="M42" s="638" t="s">
        <v>793</v>
      </c>
      <c r="N42" s="623"/>
      <c r="O42" s="638" t="s">
        <v>781</v>
      </c>
      <c r="P42" s="6"/>
      <c r="Q42" s="487">
        <v>836</v>
      </c>
      <c r="R42" s="480"/>
      <c r="S42" s="539">
        <v>662</v>
      </c>
      <c r="T42" s="609"/>
      <c r="U42" s="560">
        <v>237</v>
      </c>
      <c r="V42" s="609"/>
      <c r="W42" s="486">
        <v>58</v>
      </c>
      <c r="X42" s="630">
        <v>0</v>
      </c>
      <c r="Y42" s="480"/>
      <c r="Z42" s="486">
        <v>57</v>
      </c>
      <c r="AA42" s="410"/>
      <c r="AB42" s="638" t="s">
        <v>121</v>
      </c>
      <c r="AC42" s="488">
        <f>+C42+E42+G42+I42+K42+M42+O42+Q42+S42+U42+W42+Z42+AB42</f>
        <v>3185</v>
      </c>
    </row>
    <row r="43" spans="1:29" ht="9" customHeight="1">
      <c r="A43" s="573"/>
      <c r="B43" s="415"/>
      <c r="C43" s="641"/>
      <c r="D43" s="634"/>
      <c r="E43" s="502"/>
      <c r="F43" s="407"/>
      <c r="G43" s="502"/>
      <c r="H43" s="407"/>
      <c r="I43" s="637"/>
      <c r="J43" s="634"/>
      <c r="K43" s="637"/>
      <c r="L43" s="634"/>
      <c r="M43" s="637"/>
      <c r="N43" s="634"/>
      <c r="O43" s="637"/>
      <c r="P43" s="657"/>
      <c r="Q43" s="505"/>
      <c r="R43" s="490"/>
      <c r="S43" s="556"/>
      <c r="T43" s="608"/>
      <c r="U43" s="575"/>
      <c r="V43" s="608"/>
      <c r="W43" s="393"/>
      <c r="X43" s="636"/>
      <c r="Y43" s="490"/>
      <c r="Z43" s="393"/>
      <c r="AA43" s="407"/>
      <c r="AB43" s="637"/>
      <c r="AC43" s="576"/>
    </row>
    <row r="44" spans="1:29" ht="24.75" customHeight="1">
      <c r="A44" s="716" t="s">
        <v>464</v>
      </c>
      <c r="B44" s="412"/>
      <c r="C44" s="7">
        <v>10</v>
      </c>
      <c r="D44" s="623"/>
      <c r="E44" s="497">
        <v>261</v>
      </c>
      <c r="F44" s="410"/>
      <c r="G44" s="497">
        <v>119</v>
      </c>
      <c r="H44" s="410"/>
      <c r="I44" s="638">
        <v>343</v>
      </c>
      <c r="J44" s="623"/>
      <c r="K44" s="638" t="s">
        <v>465</v>
      </c>
      <c r="L44" s="623"/>
      <c r="M44" s="638" t="s">
        <v>794</v>
      </c>
      <c r="N44" s="623"/>
      <c r="O44" s="638" t="s">
        <v>781</v>
      </c>
      <c r="P44" s="6"/>
      <c r="Q44" s="487">
        <v>831</v>
      </c>
      <c r="R44" s="480"/>
      <c r="S44" s="539">
        <v>676</v>
      </c>
      <c r="T44" s="609"/>
      <c r="U44" s="560">
        <v>220</v>
      </c>
      <c r="V44" s="609"/>
      <c r="W44" s="486">
        <v>60</v>
      </c>
      <c r="X44" s="630">
        <v>0</v>
      </c>
      <c r="Y44" s="480"/>
      <c r="Z44" s="486">
        <v>50</v>
      </c>
      <c r="AA44" s="410"/>
      <c r="AB44" s="638" t="s">
        <v>121</v>
      </c>
      <c r="AC44" s="488">
        <f>+C44+E44+G44+I44+K44+M44+O44+Q44+S44+U44+W44+Z44+AB44</f>
        <v>3200</v>
      </c>
    </row>
    <row r="45" spans="1:29" ht="9" customHeight="1">
      <c r="A45" s="573"/>
      <c r="B45" s="415"/>
      <c r="C45" s="641"/>
      <c r="D45" s="634"/>
      <c r="E45" s="502"/>
      <c r="F45" s="407"/>
      <c r="G45" s="502"/>
      <c r="H45" s="407"/>
      <c r="I45" s="637"/>
      <c r="J45" s="634"/>
      <c r="K45" s="637"/>
      <c r="L45" s="634"/>
      <c r="M45" s="637"/>
      <c r="N45" s="634"/>
      <c r="O45" s="637"/>
      <c r="P45" s="657"/>
      <c r="Q45" s="505"/>
      <c r="R45" s="490"/>
      <c r="S45" s="556"/>
      <c r="T45" s="608"/>
      <c r="U45" s="575"/>
      <c r="V45" s="608"/>
      <c r="W45" s="393"/>
      <c r="X45" s="636"/>
      <c r="Y45" s="490"/>
      <c r="Z45" s="393"/>
      <c r="AA45" s="407"/>
      <c r="AB45" s="637"/>
      <c r="AC45" s="576"/>
    </row>
    <row r="46" spans="1:29" ht="24.75" customHeight="1">
      <c r="A46" s="716" t="s">
        <v>467</v>
      </c>
      <c r="B46" s="412"/>
      <c r="C46" s="7">
        <v>9</v>
      </c>
      <c r="D46" s="623"/>
      <c r="E46" s="497">
        <v>260</v>
      </c>
      <c r="F46" s="410"/>
      <c r="G46" s="497">
        <v>116</v>
      </c>
      <c r="H46" s="410"/>
      <c r="I46" s="638">
        <v>345</v>
      </c>
      <c r="J46" s="623"/>
      <c r="K46" s="638" t="s">
        <v>468</v>
      </c>
      <c r="L46" s="623"/>
      <c r="M46" s="638" t="s">
        <v>795</v>
      </c>
      <c r="N46" s="623"/>
      <c r="O46" s="638" t="s">
        <v>782</v>
      </c>
      <c r="P46" s="6"/>
      <c r="Q46" s="487">
        <v>831</v>
      </c>
      <c r="R46" s="480"/>
      <c r="S46" s="539">
        <v>686</v>
      </c>
      <c r="T46" s="609"/>
      <c r="U46" s="560">
        <v>231</v>
      </c>
      <c r="V46" s="609"/>
      <c r="W46" s="486">
        <v>61</v>
      </c>
      <c r="X46" s="630">
        <v>0</v>
      </c>
      <c r="Y46" s="480"/>
      <c r="Z46" s="486">
        <v>48</v>
      </c>
      <c r="AA46" s="410"/>
      <c r="AB46" s="638" t="s">
        <v>106</v>
      </c>
      <c r="AC46" s="488">
        <f>+C46+E46+G46+I46+K46+M46+O46+Q46+S46+U46+W46+Z46+AB46</f>
        <v>3250</v>
      </c>
    </row>
    <row r="47" spans="1:29" ht="9" customHeight="1">
      <c r="A47" s="573"/>
      <c r="B47" s="415"/>
      <c r="C47" s="641"/>
      <c r="D47" s="634"/>
      <c r="E47" s="502"/>
      <c r="F47" s="407"/>
      <c r="G47" s="502"/>
      <c r="H47" s="407"/>
      <c r="I47" s="637"/>
      <c r="J47" s="634"/>
      <c r="K47" s="637"/>
      <c r="L47" s="634"/>
      <c r="M47" s="637"/>
      <c r="N47" s="634"/>
      <c r="O47" s="637"/>
      <c r="P47" s="657"/>
      <c r="Q47" s="505"/>
      <c r="R47" s="490"/>
      <c r="S47" s="556"/>
      <c r="T47" s="608"/>
      <c r="U47" s="575"/>
      <c r="V47" s="608"/>
      <c r="W47" s="393"/>
      <c r="X47" s="636"/>
      <c r="Y47" s="490"/>
      <c r="Z47" s="393"/>
      <c r="AA47" s="407"/>
      <c r="AB47" s="637"/>
      <c r="AC47" s="576"/>
    </row>
    <row r="48" spans="1:29" ht="24.75" customHeight="1">
      <c r="A48" s="716" t="s">
        <v>469</v>
      </c>
      <c r="B48" s="412"/>
      <c r="C48" s="7">
        <v>10</v>
      </c>
      <c r="D48" s="623"/>
      <c r="E48" s="497">
        <v>269</v>
      </c>
      <c r="F48" s="410"/>
      <c r="G48" s="497">
        <v>131</v>
      </c>
      <c r="H48" s="410"/>
      <c r="I48" s="638">
        <v>362</v>
      </c>
      <c r="J48" s="623"/>
      <c r="K48" s="638" t="s">
        <v>109</v>
      </c>
      <c r="L48" s="623"/>
      <c r="M48" s="638" t="s">
        <v>796</v>
      </c>
      <c r="N48" s="623"/>
      <c r="O48" s="638" t="s">
        <v>782</v>
      </c>
      <c r="P48" s="6"/>
      <c r="Q48" s="487">
        <v>841</v>
      </c>
      <c r="R48" s="480"/>
      <c r="S48" s="539">
        <v>695</v>
      </c>
      <c r="T48" s="609"/>
      <c r="U48" s="560">
        <v>247</v>
      </c>
      <c r="V48" s="609"/>
      <c r="W48" s="486">
        <v>57</v>
      </c>
      <c r="X48" s="630">
        <v>0</v>
      </c>
      <c r="Y48" s="480"/>
      <c r="Z48" s="486">
        <v>48</v>
      </c>
      <c r="AA48" s="410"/>
      <c r="AB48" s="638" t="s">
        <v>480</v>
      </c>
      <c r="AC48" s="488">
        <f>+C48+E48+G48+I48+K48+M48+O48+Q48+S48+U48+W48+Z48+AB48</f>
        <v>3305</v>
      </c>
    </row>
    <row r="49" spans="1:29" ht="9" customHeight="1">
      <c r="A49" s="573"/>
      <c r="B49" s="415"/>
      <c r="C49" s="641"/>
      <c r="D49" s="634"/>
      <c r="E49" s="502"/>
      <c r="F49" s="407"/>
      <c r="G49" s="502"/>
      <c r="H49" s="407"/>
      <c r="I49" s="637"/>
      <c r="J49" s="634"/>
      <c r="K49" s="637"/>
      <c r="L49" s="634"/>
      <c r="M49" s="637"/>
      <c r="N49" s="634"/>
      <c r="O49" s="637"/>
      <c r="P49" s="657"/>
      <c r="Q49" s="505"/>
      <c r="R49" s="490"/>
      <c r="S49" s="556"/>
      <c r="T49" s="608"/>
      <c r="U49" s="575"/>
      <c r="V49" s="608"/>
      <c r="W49" s="393"/>
      <c r="X49" s="636"/>
      <c r="Y49" s="490"/>
      <c r="Z49" s="393"/>
      <c r="AA49" s="407"/>
      <c r="AB49" s="637"/>
      <c r="AC49" s="576"/>
    </row>
    <row r="50" spans="1:29" ht="24.75" customHeight="1">
      <c r="A50" s="716" t="s">
        <v>484</v>
      </c>
      <c r="B50" s="413"/>
      <c r="C50" s="7">
        <v>10</v>
      </c>
      <c r="D50" s="623"/>
      <c r="E50" s="495">
        <v>270</v>
      </c>
      <c r="F50" s="410"/>
      <c r="G50" s="497">
        <v>120</v>
      </c>
      <c r="H50" s="410"/>
      <c r="I50" s="638">
        <v>365</v>
      </c>
      <c r="J50" s="623"/>
      <c r="K50" s="638" t="s">
        <v>113</v>
      </c>
      <c r="L50" s="623"/>
      <c r="M50" s="638" t="s">
        <v>96</v>
      </c>
      <c r="N50" s="623"/>
      <c r="O50" s="638" t="s">
        <v>782</v>
      </c>
      <c r="P50" s="6"/>
      <c r="Q50" s="487">
        <v>868</v>
      </c>
      <c r="R50" s="480"/>
      <c r="S50" s="539">
        <v>741</v>
      </c>
      <c r="T50" s="609"/>
      <c r="U50" s="560">
        <v>264</v>
      </c>
      <c r="V50" s="609"/>
      <c r="W50" s="486">
        <v>61</v>
      </c>
      <c r="X50" s="630">
        <v>0</v>
      </c>
      <c r="Y50" s="480"/>
      <c r="Z50" s="486">
        <v>48</v>
      </c>
      <c r="AA50" s="410"/>
      <c r="AB50" s="638" t="s">
        <v>121</v>
      </c>
      <c r="AC50" s="488">
        <f>+C50+E50+G50+I50+K50+M50+O50+Q50+S50+U50+W50+Z50+AB50</f>
        <v>3417</v>
      </c>
    </row>
    <row r="51" spans="1:29" ht="9" customHeight="1">
      <c r="A51" s="573"/>
      <c r="B51" s="415"/>
      <c r="C51" s="641"/>
      <c r="D51" s="634"/>
      <c r="E51" s="502"/>
      <c r="F51" s="407"/>
      <c r="G51" s="502"/>
      <c r="H51" s="407"/>
      <c r="I51" s="637"/>
      <c r="J51" s="634"/>
      <c r="K51" s="637"/>
      <c r="L51" s="634"/>
      <c r="M51" s="637"/>
      <c r="N51" s="634"/>
      <c r="O51" s="637"/>
      <c r="P51" s="657"/>
      <c r="Q51" s="505"/>
      <c r="R51" s="490"/>
      <c r="S51" s="556"/>
      <c r="T51" s="608"/>
      <c r="U51" s="575"/>
      <c r="V51" s="608"/>
      <c r="W51" s="393"/>
      <c r="X51" s="636"/>
      <c r="Y51" s="490"/>
      <c r="Z51" s="393"/>
      <c r="AA51" s="407"/>
      <c r="AB51" s="637"/>
      <c r="AC51" s="576"/>
    </row>
    <row r="52" spans="1:29" ht="24.75" customHeight="1">
      <c r="A52" s="716" t="s">
        <v>487</v>
      </c>
      <c r="B52" s="413"/>
      <c r="C52" s="7">
        <v>8</v>
      </c>
      <c r="D52" s="623"/>
      <c r="E52" s="497">
        <v>287</v>
      </c>
      <c r="F52" s="410"/>
      <c r="G52" s="497">
        <v>118</v>
      </c>
      <c r="H52" s="410"/>
      <c r="I52" s="638">
        <v>371</v>
      </c>
      <c r="J52" s="623"/>
      <c r="K52" s="638" t="s">
        <v>488</v>
      </c>
      <c r="L52" s="623"/>
      <c r="M52" s="638" t="s">
        <v>797</v>
      </c>
      <c r="N52" s="623"/>
      <c r="O52" s="638" t="s">
        <v>782</v>
      </c>
      <c r="P52" s="6"/>
      <c r="Q52" s="487">
        <v>863</v>
      </c>
      <c r="R52" s="480"/>
      <c r="S52" s="539">
        <v>751</v>
      </c>
      <c r="T52" s="609"/>
      <c r="U52" s="560">
        <v>268</v>
      </c>
      <c r="V52" s="609"/>
      <c r="W52" s="486">
        <v>61</v>
      </c>
      <c r="X52" s="630">
        <v>0</v>
      </c>
      <c r="Y52" s="480"/>
      <c r="Z52" s="486">
        <v>49</v>
      </c>
      <c r="AA52" s="410"/>
      <c r="AB52" s="638" t="s">
        <v>121</v>
      </c>
      <c r="AC52" s="488">
        <f>+C52+E52+G52+I52+K52+M52+O52+Q52+S52+U52+W52+Z52+AB52</f>
        <v>3447</v>
      </c>
    </row>
    <row r="53" spans="1:29" ht="9" customHeight="1">
      <c r="A53" s="573"/>
      <c r="B53" s="415"/>
      <c r="C53" s="641"/>
      <c r="D53" s="634"/>
      <c r="E53" s="502"/>
      <c r="F53" s="407"/>
      <c r="G53" s="502"/>
      <c r="H53" s="407"/>
      <c r="I53" s="637"/>
      <c r="J53" s="634"/>
      <c r="K53" s="637"/>
      <c r="L53" s="634"/>
      <c r="M53" s="637"/>
      <c r="N53" s="634"/>
      <c r="O53" s="637"/>
      <c r="P53" s="657"/>
      <c r="Q53" s="505"/>
      <c r="R53" s="490"/>
      <c r="S53" s="556"/>
      <c r="T53" s="608"/>
      <c r="U53" s="575"/>
      <c r="V53" s="608"/>
      <c r="W53" s="393"/>
      <c r="X53" s="636"/>
      <c r="Y53" s="490"/>
      <c r="Z53" s="393"/>
      <c r="AA53" s="407"/>
      <c r="AB53" s="637"/>
      <c r="AC53" s="576"/>
    </row>
    <row r="54" spans="1:29" ht="24.75" customHeight="1">
      <c r="A54" s="716" t="s">
        <v>489</v>
      </c>
      <c r="B54" s="412"/>
      <c r="C54" s="7">
        <v>9</v>
      </c>
      <c r="D54" s="623"/>
      <c r="E54" s="497">
        <v>293</v>
      </c>
      <c r="F54" s="410"/>
      <c r="G54" s="497">
        <v>119</v>
      </c>
      <c r="H54" s="410"/>
      <c r="I54" s="638">
        <v>379</v>
      </c>
      <c r="J54" s="623"/>
      <c r="K54" s="638" t="s">
        <v>491</v>
      </c>
      <c r="L54" s="623"/>
      <c r="M54" s="638" t="s">
        <v>798</v>
      </c>
      <c r="N54" s="623"/>
      <c r="O54" s="638" t="s">
        <v>782</v>
      </c>
      <c r="P54" s="6"/>
      <c r="Q54" s="487">
        <v>820</v>
      </c>
      <c r="R54" s="480"/>
      <c r="S54" s="539">
        <v>756</v>
      </c>
      <c r="T54" s="609"/>
      <c r="U54" s="560">
        <v>271</v>
      </c>
      <c r="V54" s="609"/>
      <c r="W54" s="486">
        <v>59</v>
      </c>
      <c r="X54" s="630">
        <v>0</v>
      </c>
      <c r="Y54" s="480"/>
      <c r="Z54" s="486">
        <v>45</v>
      </c>
      <c r="AA54" s="410"/>
      <c r="AB54" s="638" t="s">
        <v>480</v>
      </c>
      <c r="AC54" s="488">
        <f>+C54+E54+G54+I54+K54+M54+O54+Q54+S54+U54+W54+Z54+AB54</f>
        <v>3418</v>
      </c>
    </row>
    <row r="55" spans="1:29" ht="9" customHeight="1">
      <c r="A55" s="573"/>
      <c r="B55" s="415"/>
      <c r="C55" s="641"/>
      <c r="D55" s="634"/>
      <c r="E55" s="502"/>
      <c r="F55" s="407"/>
      <c r="G55" s="502"/>
      <c r="H55" s="407"/>
      <c r="I55" s="637"/>
      <c r="J55" s="634"/>
      <c r="K55" s="637"/>
      <c r="L55" s="634"/>
      <c r="M55" s="637"/>
      <c r="N55" s="634"/>
      <c r="O55" s="637"/>
      <c r="P55" s="657"/>
      <c r="Q55" s="505"/>
      <c r="R55" s="490"/>
      <c r="S55" s="556"/>
      <c r="T55" s="608"/>
      <c r="U55" s="575"/>
      <c r="V55" s="608"/>
      <c r="W55" s="393"/>
      <c r="X55" s="636"/>
      <c r="Y55" s="490"/>
      <c r="Z55" s="393"/>
      <c r="AA55" s="407"/>
      <c r="AB55" s="637"/>
      <c r="AC55" s="576"/>
    </row>
    <row r="56" spans="1:29" ht="24.75" customHeight="1">
      <c r="A56" s="716" t="s">
        <v>499</v>
      </c>
      <c r="B56" s="413"/>
      <c r="C56" s="7">
        <v>9</v>
      </c>
      <c r="D56" s="623"/>
      <c r="E56" s="497">
        <v>293</v>
      </c>
      <c r="F56" s="410"/>
      <c r="G56" s="497">
        <v>118</v>
      </c>
      <c r="H56" s="410"/>
      <c r="I56" s="638">
        <v>376</v>
      </c>
      <c r="J56" s="623"/>
      <c r="K56" s="638" t="s">
        <v>488</v>
      </c>
      <c r="L56" s="623"/>
      <c r="M56" s="638" t="s">
        <v>799</v>
      </c>
      <c r="N56" s="623"/>
      <c r="O56" s="638" t="s">
        <v>782</v>
      </c>
      <c r="P56" s="6"/>
      <c r="Q56" s="487">
        <v>898</v>
      </c>
      <c r="R56" s="480"/>
      <c r="S56" s="539">
        <v>762</v>
      </c>
      <c r="T56" s="609"/>
      <c r="U56" s="560">
        <v>299</v>
      </c>
      <c r="V56" s="609"/>
      <c r="W56" s="486">
        <v>62</v>
      </c>
      <c r="X56" s="630">
        <v>0</v>
      </c>
      <c r="Y56" s="480"/>
      <c r="Z56" s="486">
        <v>47</v>
      </c>
      <c r="AA56" s="410"/>
      <c r="AB56" s="638" t="s">
        <v>500</v>
      </c>
      <c r="AC56" s="488">
        <f>+C56+E56+G56+I56+K56+M56+O56+Q56+S56+U56+W56+Z56+AB56</f>
        <v>3532</v>
      </c>
    </row>
    <row r="57" spans="1:29" ht="9" customHeight="1">
      <c r="A57" s="573"/>
      <c r="B57" s="415"/>
      <c r="C57" s="641"/>
      <c r="D57" s="634"/>
      <c r="E57" s="502"/>
      <c r="F57" s="407"/>
      <c r="G57" s="502"/>
      <c r="H57" s="407"/>
      <c r="I57" s="637"/>
      <c r="J57" s="634"/>
      <c r="K57" s="637"/>
      <c r="L57" s="634"/>
      <c r="M57" s="637"/>
      <c r="N57" s="634"/>
      <c r="O57" s="637"/>
      <c r="P57" s="657"/>
      <c r="Q57" s="505"/>
      <c r="R57" s="490"/>
      <c r="S57" s="556"/>
      <c r="T57" s="608"/>
      <c r="U57" s="575"/>
      <c r="V57" s="608"/>
      <c r="W57" s="393"/>
      <c r="X57" s="636"/>
      <c r="Y57" s="490"/>
      <c r="Z57" s="393"/>
      <c r="AA57" s="407"/>
      <c r="AB57" s="637"/>
      <c r="AC57" s="576"/>
    </row>
    <row r="58" spans="1:29" ht="24.75" customHeight="1">
      <c r="A58" s="716" t="s">
        <v>503</v>
      </c>
      <c r="B58" s="413"/>
      <c r="C58" s="7">
        <v>10</v>
      </c>
      <c r="D58" s="623"/>
      <c r="E58" s="497">
        <v>308</v>
      </c>
      <c r="F58" s="410"/>
      <c r="G58" s="497">
        <v>119</v>
      </c>
      <c r="H58" s="410"/>
      <c r="I58" s="638">
        <v>390</v>
      </c>
      <c r="J58" s="623"/>
      <c r="K58" s="638" t="s">
        <v>505</v>
      </c>
      <c r="L58" s="623"/>
      <c r="M58" s="638" t="s">
        <v>800</v>
      </c>
      <c r="N58" s="623"/>
      <c r="O58" s="638" t="s">
        <v>783</v>
      </c>
      <c r="P58" s="6"/>
      <c r="Q58" s="487">
        <v>911</v>
      </c>
      <c r="R58" s="480"/>
      <c r="S58" s="539">
        <v>726</v>
      </c>
      <c r="T58" s="609"/>
      <c r="U58" s="560">
        <v>280</v>
      </c>
      <c r="V58" s="609"/>
      <c r="W58" s="486">
        <v>55</v>
      </c>
      <c r="X58" s="630">
        <v>0</v>
      </c>
      <c r="Y58" s="480"/>
      <c r="Z58" s="486">
        <v>49</v>
      </c>
      <c r="AA58" s="410"/>
      <c r="AB58" s="638" t="s">
        <v>504</v>
      </c>
      <c r="AC58" s="488">
        <f>+C58+E58+G58+I58+K58+M58+O58+Q58+S58+U58+W58+Z58+AB58</f>
        <v>3549</v>
      </c>
    </row>
    <row r="59" spans="1:29" ht="9" customHeight="1">
      <c r="A59" s="573"/>
      <c r="B59" s="415"/>
      <c r="C59" s="641"/>
      <c r="D59" s="634"/>
      <c r="E59" s="502"/>
      <c r="F59" s="407"/>
      <c r="G59" s="502"/>
      <c r="H59" s="407"/>
      <c r="I59" s="637"/>
      <c r="J59" s="634"/>
      <c r="K59" s="637"/>
      <c r="L59" s="634"/>
      <c r="M59" s="637"/>
      <c r="N59" s="634"/>
      <c r="O59" s="637"/>
      <c r="P59" s="657"/>
      <c r="Q59" s="505"/>
      <c r="R59" s="490"/>
      <c r="S59" s="556"/>
      <c r="T59" s="608"/>
      <c r="U59" s="575"/>
      <c r="V59" s="608"/>
      <c r="W59" s="393"/>
      <c r="X59" s="636"/>
      <c r="Y59" s="490"/>
      <c r="Z59" s="393"/>
      <c r="AA59" s="407"/>
      <c r="AB59" s="637"/>
      <c r="AC59" s="576"/>
    </row>
    <row r="60" spans="1:29" ht="23.25" customHeight="1">
      <c r="A60" s="716" t="s">
        <v>507</v>
      </c>
      <c r="B60" s="413"/>
      <c r="C60" s="7">
        <v>10</v>
      </c>
      <c r="D60" s="623"/>
      <c r="E60" s="497">
        <v>308</v>
      </c>
      <c r="F60" s="410"/>
      <c r="G60" s="497">
        <v>118</v>
      </c>
      <c r="H60" s="410"/>
      <c r="I60" s="638">
        <v>384</v>
      </c>
      <c r="J60" s="623"/>
      <c r="K60" s="638" t="s">
        <v>615</v>
      </c>
      <c r="L60" s="623"/>
      <c r="M60" s="638" t="s">
        <v>801</v>
      </c>
      <c r="N60" s="623"/>
      <c r="O60" s="638" t="s">
        <v>784</v>
      </c>
      <c r="P60" s="6"/>
      <c r="Q60" s="487">
        <v>912</v>
      </c>
      <c r="R60" s="480"/>
      <c r="S60" s="539">
        <v>754</v>
      </c>
      <c r="T60" s="609"/>
      <c r="U60" s="560">
        <v>294</v>
      </c>
      <c r="V60" s="609"/>
      <c r="W60" s="486">
        <v>54</v>
      </c>
      <c r="X60" s="630">
        <v>0</v>
      </c>
      <c r="Y60" s="480"/>
      <c r="Z60" s="486">
        <v>46</v>
      </c>
      <c r="AA60" s="410"/>
      <c r="AB60" s="732" t="s">
        <v>617</v>
      </c>
      <c r="AC60" s="488">
        <f>+C60+E60+G60+I60+K60+M60+O60+Q60+S60+U60+W60+Z60+AB60</f>
        <v>3601</v>
      </c>
    </row>
    <row r="61" spans="1:29" ht="9" customHeight="1">
      <c r="A61" s="573"/>
      <c r="B61" s="415"/>
      <c r="C61" s="641"/>
      <c r="D61" s="634"/>
      <c r="E61" s="502"/>
      <c r="F61" s="407"/>
      <c r="G61" s="502"/>
      <c r="H61" s="407"/>
      <c r="I61" s="637"/>
      <c r="J61" s="634"/>
      <c r="K61" s="637"/>
      <c r="L61" s="634"/>
      <c r="M61" s="637"/>
      <c r="N61" s="634"/>
      <c r="O61" s="637"/>
      <c r="P61" s="657"/>
      <c r="Q61" s="505"/>
      <c r="R61" s="490"/>
      <c r="S61" s="556"/>
      <c r="T61" s="608"/>
      <c r="U61" s="575"/>
      <c r="V61" s="608"/>
      <c r="W61" s="393"/>
      <c r="X61" s="636"/>
      <c r="Y61" s="490"/>
      <c r="Z61" s="393"/>
      <c r="AA61" s="407"/>
      <c r="AB61" s="637"/>
      <c r="AC61" s="576"/>
    </row>
    <row r="62" spans="1:29" ht="24.75" customHeight="1">
      <c r="A62" s="716" t="s">
        <v>616</v>
      </c>
      <c r="B62" s="413"/>
      <c r="C62" s="7">
        <v>9</v>
      </c>
      <c r="D62" s="623"/>
      <c r="E62" s="497">
        <v>350</v>
      </c>
      <c r="F62" s="410"/>
      <c r="G62" s="497">
        <v>117</v>
      </c>
      <c r="H62" s="410"/>
      <c r="I62" s="638">
        <v>391</v>
      </c>
      <c r="J62" s="623"/>
      <c r="K62" s="638" t="s">
        <v>488</v>
      </c>
      <c r="L62" s="623"/>
      <c r="M62" s="638" t="s">
        <v>802</v>
      </c>
      <c r="N62" s="623"/>
      <c r="O62" s="638" t="s">
        <v>783</v>
      </c>
      <c r="P62" s="6"/>
      <c r="Q62" s="487">
        <v>922</v>
      </c>
      <c r="R62" s="480"/>
      <c r="S62" s="539">
        <v>748</v>
      </c>
      <c r="T62" s="609"/>
      <c r="U62" s="560">
        <v>279</v>
      </c>
      <c r="V62" s="609"/>
      <c r="W62" s="486">
        <v>55</v>
      </c>
      <c r="X62" s="630">
        <v>0</v>
      </c>
      <c r="Y62" s="480"/>
      <c r="Z62" s="486">
        <v>47</v>
      </c>
      <c r="AA62" s="410"/>
      <c r="AB62" s="638" t="s">
        <v>618</v>
      </c>
      <c r="AC62" s="488">
        <f>+C62+E62+G62+I62+K62+M62+O62+Q62+S62+U62+W62+Z62+AB62</f>
        <v>3616</v>
      </c>
    </row>
    <row r="63" spans="1:29" ht="9" customHeight="1">
      <c r="A63" s="573"/>
      <c r="B63" s="415"/>
      <c r="C63" s="641"/>
      <c r="D63" s="634"/>
      <c r="E63" s="502"/>
      <c r="F63" s="407"/>
      <c r="G63" s="502"/>
      <c r="H63" s="407"/>
      <c r="I63" s="637"/>
      <c r="J63" s="634"/>
      <c r="K63" s="637"/>
      <c r="L63" s="634"/>
      <c r="M63" s="637"/>
      <c r="N63" s="634"/>
      <c r="O63" s="637"/>
      <c r="P63" s="657"/>
      <c r="Q63" s="505"/>
      <c r="R63" s="490"/>
      <c r="S63" s="556"/>
      <c r="T63" s="608"/>
      <c r="U63" s="575"/>
      <c r="V63" s="608"/>
      <c r="W63" s="393"/>
      <c r="X63" s="636"/>
      <c r="Y63" s="490"/>
      <c r="Z63" s="393"/>
      <c r="AA63" s="407"/>
      <c r="AB63" s="637"/>
      <c r="AC63" s="576"/>
    </row>
    <row r="64" spans="1:29" ht="24.75" customHeight="1">
      <c r="A64" s="716" t="s">
        <v>619</v>
      </c>
      <c r="B64" s="413"/>
      <c r="C64" s="7">
        <v>9</v>
      </c>
      <c r="D64" s="623"/>
      <c r="E64" s="497">
        <v>350</v>
      </c>
      <c r="F64" s="410"/>
      <c r="G64" s="497">
        <v>117</v>
      </c>
      <c r="H64" s="410"/>
      <c r="I64" s="638">
        <v>456</v>
      </c>
      <c r="J64" s="623"/>
      <c r="K64" s="638" t="s">
        <v>620</v>
      </c>
      <c r="L64" s="623"/>
      <c r="M64" s="638" t="s">
        <v>803</v>
      </c>
      <c r="N64" s="623"/>
      <c r="O64" s="638" t="s">
        <v>783</v>
      </c>
      <c r="P64" s="6"/>
      <c r="Q64" s="487">
        <v>942</v>
      </c>
      <c r="R64" s="480"/>
      <c r="S64" s="539">
        <v>772</v>
      </c>
      <c r="T64" s="609"/>
      <c r="U64" s="560">
        <v>290</v>
      </c>
      <c r="V64" s="609"/>
      <c r="W64" s="486">
        <v>53</v>
      </c>
      <c r="X64" s="630">
        <v>0</v>
      </c>
      <c r="Y64" s="480"/>
      <c r="Z64" s="486">
        <v>46</v>
      </c>
      <c r="AA64" s="410"/>
      <c r="AB64" s="638" t="s">
        <v>618</v>
      </c>
      <c r="AC64" s="488">
        <f>+C64+E64+G64+I64+K64+M64+O64+Q64+S64+U64+W64+Z64+AB64</f>
        <v>3936</v>
      </c>
    </row>
    <row r="65" spans="1:29" ht="9" customHeight="1">
      <c r="A65" s="573"/>
      <c r="B65" s="415"/>
      <c r="C65" s="641"/>
      <c r="D65" s="634"/>
      <c r="E65" s="502"/>
      <c r="F65" s="407"/>
      <c r="G65" s="502"/>
      <c r="H65" s="407"/>
      <c r="I65" s="637"/>
      <c r="J65" s="634"/>
      <c r="K65" s="637"/>
      <c r="L65" s="634"/>
      <c r="M65" s="637"/>
      <c r="N65" s="634"/>
      <c r="O65" s="637"/>
      <c r="P65" s="657"/>
      <c r="Q65" s="505"/>
      <c r="R65" s="490"/>
      <c r="S65" s="556"/>
      <c r="T65" s="608"/>
      <c r="U65" s="575"/>
      <c r="V65" s="608"/>
      <c r="W65" s="393"/>
      <c r="X65" s="636"/>
      <c r="Y65" s="490"/>
      <c r="Z65" s="393"/>
      <c r="AA65" s="407"/>
      <c r="AB65" s="637"/>
      <c r="AC65" s="576"/>
    </row>
    <row r="66" spans="1:29" ht="24.75" customHeight="1">
      <c r="A66" s="716" t="s">
        <v>623</v>
      </c>
      <c r="B66" s="413"/>
      <c r="C66" s="7">
        <v>9</v>
      </c>
      <c r="D66" s="623"/>
      <c r="E66" s="497">
        <v>305</v>
      </c>
      <c r="F66" s="410"/>
      <c r="G66" s="497">
        <v>127</v>
      </c>
      <c r="H66" s="410"/>
      <c r="I66" s="638">
        <v>477</v>
      </c>
      <c r="J66" s="623"/>
      <c r="K66" s="638" t="s">
        <v>624</v>
      </c>
      <c r="L66" s="623"/>
      <c r="M66" s="638" t="s">
        <v>804</v>
      </c>
      <c r="N66" s="623"/>
      <c r="O66" s="638" t="s">
        <v>785</v>
      </c>
      <c r="P66" s="6"/>
      <c r="Q66" s="487">
        <v>953</v>
      </c>
      <c r="R66" s="480"/>
      <c r="S66" s="539">
        <v>789</v>
      </c>
      <c r="T66" s="609"/>
      <c r="U66" s="560">
        <v>267</v>
      </c>
      <c r="V66" s="609"/>
      <c r="W66" s="486">
        <v>57</v>
      </c>
      <c r="X66" s="630">
        <v>0</v>
      </c>
      <c r="Y66" s="480"/>
      <c r="Z66" s="486">
        <v>44</v>
      </c>
      <c r="AA66" s="410"/>
      <c r="AB66" s="638" t="s">
        <v>618</v>
      </c>
      <c r="AC66" s="488">
        <f>+C66+E66+G66+I66+K66+M66+O66+Q66+S66+U66+W66+Z66+AB66</f>
        <v>3834</v>
      </c>
    </row>
    <row r="67" spans="1:29" ht="9" customHeight="1">
      <c r="A67" s="573"/>
      <c r="B67" s="415"/>
      <c r="C67" s="641"/>
      <c r="D67" s="634"/>
      <c r="E67" s="502"/>
      <c r="F67" s="407"/>
      <c r="G67" s="502"/>
      <c r="H67" s="407"/>
      <c r="I67" s="637"/>
      <c r="J67" s="634"/>
      <c r="K67" s="637"/>
      <c r="L67" s="634"/>
      <c r="M67" s="637"/>
      <c r="N67" s="634"/>
      <c r="O67" s="637"/>
      <c r="P67" s="657"/>
      <c r="Q67" s="505"/>
      <c r="R67" s="490"/>
      <c r="S67" s="556"/>
      <c r="T67" s="608"/>
      <c r="U67" s="575"/>
      <c r="V67" s="608"/>
      <c r="W67" s="393"/>
      <c r="X67" s="636"/>
      <c r="Y67" s="490"/>
      <c r="Z67" s="393"/>
      <c r="AA67" s="407"/>
      <c r="AB67" s="637"/>
      <c r="AC67" s="576"/>
    </row>
    <row r="68" spans="1:29" ht="24.75" customHeight="1">
      <c r="A68" s="715" t="s">
        <v>626</v>
      </c>
      <c r="B68" s="413"/>
      <c r="C68" s="7">
        <v>9</v>
      </c>
      <c r="D68" s="623"/>
      <c r="E68" s="497">
        <v>306</v>
      </c>
      <c r="F68" s="410"/>
      <c r="G68" s="497">
        <v>124</v>
      </c>
      <c r="H68" s="410"/>
      <c r="I68" s="638">
        <v>486</v>
      </c>
      <c r="J68" s="623"/>
      <c r="K68" s="638" t="s">
        <v>625</v>
      </c>
      <c r="L68" s="623"/>
      <c r="M68" s="638" t="s">
        <v>805</v>
      </c>
      <c r="N68" s="623"/>
      <c r="O68" s="638" t="s">
        <v>786</v>
      </c>
      <c r="P68" s="6"/>
      <c r="Q68" s="487">
        <v>956</v>
      </c>
      <c r="R68" s="480"/>
      <c r="S68" s="539">
        <v>817</v>
      </c>
      <c r="T68" s="609"/>
      <c r="U68" s="560">
        <v>284</v>
      </c>
      <c r="V68" s="609"/>
      <c r="W68" s="486">
        <v>55</v>
      </c>
      <c r="X68" s="630">
        <v>0</v>
      </c>
      <c r="Y68" s="480"/>
      <c r="Z68" s="486">
        <v>45</v>
      </c>
      <c r="AA68" s="410"/>
      <c r="AB68" s="638" t="s">
        <v>618</v>
      </c>
      <c r="AC68" s="488">
        <f>+C68+E68+G68+I68+K68+M68+O68+Q68+S68+U68+W68+Z68+AB68</f>
        <v>3829</v>
      </c>
    </row>
    <row r="69" spans="1:29" ht="9" customHeight="1">
      <c r="A69" s="394"/>
      <c r="B69" s="415"/>
      <c r="C69" s="641"/>
      <c r="D69" s="634"/>
      <c r="E69" s="502"/>
      <c r="F69" s="407"/>
      <c r="G69" s="502"/>
      <c r="H69" s="407"/>
      <c r="I69" s="637"/>
      <c r="J69" s="634"/>
      <c r="K69" s="637"/>
      <c r="L69" s="634"/>
      <c r="M69" s="637"/>
      <c r="N69" s="634"/>
      <c r="O69" s="635"/>
      <c r="P69" s="657"/>
      <c r="Q69" s="505"/>
      <c r="R69" s="490"/>
      <c r="S69" s="556"/>
      <c r="T69" s="608"/>
      <c r="U69" s="575"/>
      <c r="V69" s="608"/>
      <c r="W69" s="393"/>
      <c r="X69" s="636"/>
      <c r="Y69" s="490"/>
      <c r="Z69" s="393"/>
      <c r="AA69" s="407"/>
      <c r="AB69" s="637"/>
      <c r="AC69" s="576"/>
    </row>
    <row r="70" spans="1:29" ht="24.75" customHeight="1">
      <c r="A70" s="715" t="s">
        <v>627</v>
      </c>
      <c r="B70" s="413"/>
      <c r="C70" s="7">
        <v>0</v>
      </c>
      <c r="D70" s="623"/>
      <c r="E70" s="497">
        <v>329</v>
      </c>
      <c r="F70" s="410"/>
      <c r="G70" s="497">
        <v>125</v>
      </c>
      <c r="H70" s="410"/>
      <c r="I70" s="638">
        <v>476</v>
      </c>
      <c r="J70" s="623"/>
      <c r="K70" s="638" t="s">
        <v>628</v>
      </c>
      <c r="L70" s="623"/>
      <c r="M70" s="638" t="s">
        <v>806</v>
      </c>
      <c r="N70" s="623"/>
      <c r="O70" s="560" t="s">
        <v>71</v>
      </c>
      <c r="P70" s="6"/>
      <c r="Q70" s="487">
        <v>975</v>
      </c>
      <c r="R70" s="480"/>
      <c r="S70" s="539">
        <v>842</v>
      </c>
      <c r="T70" s="609"/>
      <c r="U70" s="560">
        <v>277</v>
      </c>
      <c r="V70" s="609"/>
      <c r="W70" s="486">
        <v>52</v>
      </c>
      <c r="X70" s="630">
        <v>0</v>
      </c>
      <c r="Y70" s="480"/>
      <c r="Z70" s="486">
        <v>41</v>
      </c>
      <c r="AA70" s="410"/>
      <c r="AB70" s="638" t="s">
        <v>106</v>
      </c>
      <c r="AC70" s="488">
        <f>+C70+E70+G70+I70+K70+M70+Q70+S70+U70+W70+Z70+AB70</f>
        <v>3812</v>
      </c>
    </row>
    <row r="71" spans="1:29" ht="9" customHeight="1">
      <c r="A71" s="394"/>
      <c r="B71" s="415"/>
      <c r="C71" s="641"/>
      <c r="D71" s="634"/>
      <c r="E71" s="502"/>
      <c r="F71" s="407"/>
      <c r="G71" s="502"/>
      <c r="H71" s="407"/>
      <c r="I71" s="637"/>
      <c r="J71" s="634"/>
      <c r="K71" s="637"/>
      <c r="L71" s="634"/>
      <c r="M71" s="637"/>
      <c r="N71" s="634"/>
      <c r="O71" s="635"/>
      <c r="P71" s="657"/>
      <c r="Q71" s="505"/>
      <c r="R71" s="490"/>
      <c r="S71" s="556"/>
      <c r="T71" s="608"/>
      <c r="U71" s="575"/>
      <c r="V71" s="608"/>
      <c r="W71" s="393"/>
      <c r="X71" s="636"/>
      <c r="Y71" s="490"/>
      <c r="Z71" s="393"/>
      <c r="AA71" s="407"/>
      <c r="AB71" s="637"/>
      <c r="AC71" s="576"/>
    </row>
    <row r="72" spans="1:29" ht="23.25" customHeight="1">
      <c r="A72" s="716" t="s">
        <v>629</v>
      </c>
      <c r="B72" s="413"/>
      <c r="C72" s="7">
        <v>0</v>
      </c>
      <c r="D72" s="623"/>
      <c r="E72" s="497">
        <v>314</v>
      </c>
      <c r="F72" s="410"/>
      <c r="G72" s="497">
        <v>126</v>
      </c>
      <c r="H72" s="410"/>
      <c r="I72" s="638">
        <v>348</v>
      </c>
      <c r="J72" s="623"/>
      <c r="K72" s="487" t="s">
        <v>71</v>
      </c>
      <c r="L72" s="623"/>
      <c r="M72" s="638" t="s">
        <v>807</v>
      </c>
      <c r="N72" s="623"/>
      <c r="O72" s="560" t="s">
        <v>71</v>
      </c>
      <c r="P72" s="6"/>
      <c r="Q72" s="487">
        <v>1192</v>
      </c>
      <c r="R72" s="480"/>
      <c r="S72" s="539">
        <v>874</v>
      </c>
      <c r="T72" s="609"/>
      <c r="U72" s="560">
        <v>281</v>
      </c>
      <c r="V72" s="609"/>
      <c r="W72" s="486">
        <v>57</v>
      </c>
      <c r="X72" s="630">
        <v>0</v>
      </c>
      <c r="Y72" s="480"/>
      <c r="Z72" s="486">
        <v>47</v>
      </c>
      <c r="AA72" s="410"/>
      <c r="AB72" s="732" t="s">
        <v>618</v>
      </c>
      <c r="AC72" s="488">
        <f>+C72+E72+G72+I72+M72+Q72+S72+U72+W72+Z72+AB72</f>
        <v>3749</v>
      </c>
    </row>
    <row r="73" spans="1:29" ht="8.25" customHeight="1">
      <c r="A73" s="573"/>
      <c r="B73" s="415"/>
      <c r="C73" s="641"/>
      <c r="D73" s="634"/>
      <c r="E73" s="502"/>
      <c r="F73" s="407"/>
      <c r="G73" s="502"/>
      <c r="H73" s="407"/>
      <c r="I73" s="637"/>
      <c r="J73" s="634"/>
      <c r="K73" s="637"/>
      <c r="L73" s="634"/>
      <c r="M73" s="637"/>
      <c r="N73" s="634"/>
      <c r="O73" s="635"/>
      <c r="P73" s="657"/>
      <c r="Q73" s="505"/>
      <c r="R73" s="490"/>
      <c r="S73" s="556"/>
      <c r="T73" s="608"/>
      <c r="U73" s="575"/>
      <c r="V73" s="608"/>
      <c r="W73" s="393"/>
      <c r="X73" s="636"/>
      <c r="Y73" s="490"/>
      <c r="Z73" s="393"/>
      <c r="AA73" s="407"/>
      <c r="AB73" s="637"/>
      <c r="AC73" s="576"/>
    </row>
    <row r="74" spans="1:29" ht="23.25" customHeight="1">
      <c r="A74" s="716" t="s">
        <v>631</v>
      </c>
      <c r="B74" s="413" t="s">
        <v>0</v>
      </c>
      <c r="C74" s="7">
        <v>0</v>
      </c>
      <c r="D74" s="623"/>
      <c r="E74" s="497">
        <v>323</v>
      </c>
      <c r="F74" s="410"/>
      <c r="G74" s="497">
        <v>128</v>
      </c>
      <c r="H74" s="410"/>
      <c r="I74" s="638">
        <v>328</v>
      </c>
      <c r="J74" s="623"/>
      <c r="K74" s="487" t="s">
        <v>71</v>
      </c>
      <c r="L74" s="623"/>
      <c r="M74" s="638" t="s">
        <v>808</v>
      </c>
      <c r="N74" s="623"/>
      <c r="O74" s="560" t="s">
        <v>71</v>
      </c>
      <c r="P74" s="6"/>
      <c r="Q74" s="487">
        <v>1216</v>
      </c>
      <c r="R74" s="480"/>
      <c r="S74" s="539">
        <v>919</v>
      </c>
      <c r="T74" s="609"/>
      <c r="U74" s="560">
        <v>280</v>
      </c>
      <c r="V74" s="609"/>
      <c r="W74" s="486">
        <v>57</v>
      </c>
      <c r="X74" s="630">
        <v>0</v>
      </c>
      <c r="Y74" s="480"/>
      <c r="Z74" s="486">
        <v>46</v>
      </c>
      <c r="AA74" s="410"/>
      <c r="AB74" s="638" t="s">
        <v>618</v>
      </c>
      <c r="AC74" s="488">
        <f>+C74+E74+G74+I74+M74+Q74+S74+U74+W74+Z74+AB74</f>
        <v>3818</v>
      </c>
    </row>
    <row r="75" spans="1:29" ht="9" customHeight="1">
      <c r="A75" s="573"/>
      <c r="B75" s="415"/>
      <c r="C75" s="641"/>
      <c r="D75" s="634"/>
      <c r="E75" s="502"/>
      <c r="F75" s="407"/>
      <c r="G75" s="502"/>
      <c r="H75" s="407"/>
      <c r="I75" s="637"/>
      <c r="J75" s="634"/>
      <c r="K75" s="637"/>
      <c r="L75" s="634"/>
      <c r="M75" s="637"/>
      <c r="N75" s="634"/>
      <c r="O75" s="635"/>
      <c r="P75" s="657"/>
      <c r="Q75" s="505"/>
      <c r="R75" s="490"/>
      <c r="S75" s="556"/>
      <c r="T75" s="608"/>
      <c r="U75" s="575"/>
      <c r="V75" s="608"/>
      <c r="W75" s="393"/>
      <c r="X75" s="636"/>
      <c r="Y75" s="490"/>
      <c r="Z75" s="393"/>
      <c r="AA75" s="407"/>
      <c r="AB75" s="637"/>
      <c r="AC75" s="576"/>
    </row>
    <row r="76" spans="1:29" ht="24" customHeight="1">
      <c r="A76" s="715" t="s">
        <v>638</v>
      </c>
      <c r="B76" s="413"/>
      <c r="C76" s="7">
        <v>0</v>
      </c>
      <c r="D76" s="623"/>
      <c r="E76" s="497">
        <v>737</v>
      </c>
      <c r="F76" s="410"/>
      <c r="G76" s="497">
        <v>132</v>
      </c>
      <c r="H76" s="410"/>
      <c r="I76" s="638">
        <v>354</v>
      </c>
      <c r="J76" s="623"/>
      <c r="K76" s="487" t="s">
        <v>71</v>
      </c>
      <c r="L76" s="623"/>
      <c r="M76" s="487" t="s">
        <v>71</v>
      </c>
      <c r="N76" s="623"/>
      <c r="O76" s="560" t="s">
        <v>71</v>
      </c>
      <c r="P76" s="6"/>
      <c r="Q76" s="487">
        <v>1192</v>
      </c>
      <c r="R76" s="480"/>
      <c r="S76" s="539">
        <v>920</v>
      </c>
      <c r="T76" s="609"/>
      <c r="U76" s="560">
        <v>295</v>
      </c>
      <c r="V76" s="609"/>
      <c r="W76" s="656" t="s">
        <v>636</v>
      </c>
      <c r="X76" s="630">
        <v>0</v>
      </c>
      <c r="Y76" s="480"/>
      <c r="Z76" s="656" t="s">
        <v>635</v>
      </c>
      <c r="AA76" s="410"/>
      <c r="AB76" s="638" t="s">
        <v>618</v>
      </c>
      <c r="AC76" s="488">
        <f>+C76+E76+G76+I76+Q76+S76+U76+W76+Z76+AB76</f>
        <v>3831</v>
      </c>
    </row>
    <row r="77" spans="1:29" ht="9" customHeight="1">
      <c r="A77" s="394"/>
      <c r="B77" s="415"/>
      <c r="C77" s="641"/>
      <c r="D77" s="634"/>
      <c r="E77" s="502"/>
      <c r="F77" s="407"/>
      <c r="G77" s="502"/>
      <c r="H77" s="407"/>
      <c r="I77" s="637"/>
      <c r="J77" s="634"/>
      <c r="K77" s="637"/>
      <c r="L77" s="634"/>
      <c r="M77" s="637"/>
      <c r="N77" s="634"/>
      <c r="O77" s="635"/>
      <c r="P77" s="657"/>
      <c r="Q77" s="505"/>
      <c r="R77" s="490"/>
      <c r="S77" s="556"/>
      <c r="T77" s="608"/>
      <c r="U77" s="575"/>
      <c r="V77" s="608"/>
      <c r="W77" s="635"/>
      <c r="X77" s="636"/>
      <c r="Y77" s="490"/>
      <c r="Z77" s="635"/>
      <c r="AA77" s="407"/>
      <c r="AB77" s="637"/>
      <c r="AC77" s="576"/>
    </row>
    <row r="78" spans="1:29" ht="24.75" customHeight="1">
      <c r="A78" s="715" t="s">
        <v>641</v>
      </c>
      <c r="B78" s="413"/>
      <c r="C78" s="7">
        <v>0</v>
      </c>
      <c r="D78" s="623"/>
      <c r="E78" s="497">
        <v>677</v>
      </c>
      <c r="F78" s="410"/>
      <c r="G78" s="497">
        <v>128</v>
      </c>
      <c r="H78" s="410"/>
      <c r="I78" s="638">
        <v>360</v>
      </c>
      <c r="J78" s="623"/>
      <c r="K78" s="487" t="s">
        <v>71</v>
      </c>
      <c r="L78" s="623"/>
      <c r="M78" s="487" t="s">
        <v>71</v>
      </c>
      <c r="N78" s="623"/>
      <c r="O78" s="560" t="s">
        <v>71</v>
      </c>
      <c r="P78" s="6"/>
      <c r="Q78" s="487">
        <v>1212</v>
      </c>
      <c r="R78" s="480"/>
      <c r="S78" s="539">
        <v>929</v>
      </c>
      <c r="T78" s="609"/>
      <c r="U78" s="560">
        <v>302</v>
      </c>
      <c r="V78" s="609"/>
      <c r="W78" s="656" t="s">
        <v>645</v>
      </c>
      <c r="X78" s="630">
        <v>0</v>
      </c>
      <c r="Y78" s="480"/>
      <c r="Z78" s="1546" t="s">
        <v>644</v>
      </c>
      <c r="AA78" s="1547"/>
      <c r="AB78" s="638" t="s">
        <v>618</v>
      </c>
      <c r="AC78" s="488">
        <f>+C78+E78+G78+I78+Q78+S78+U78+W78+Z78+AB78</f>
        <v>3809</v>
      </c>
    </row>
    <row r="79" spans="1:29" ht="9" customHeight="1">
      <c r="A79" s="394"/>
      <c r="B79" s="415"/>
      <c r="C79" s="641"/>
      <c r="D79" s="634"/>
      <c r="E79" s="502"/>
      <c r="F79" s="407"/>
      <c r="G79" s="502"/>
      <c r="H79" s="407"/>
      <c r="I79" s="637"/>
      <c r="J79" s="634"/>
      <c r="K79" s="505"/>
      <c r="L79" s="634"/>
      <c r="M79" s="505"/>
      <c r="N79" s="634"/>
      <c r="O79" s="575"/>
      <c r="P79" s="657"/>
      <c r="Q79" s="505"/>
      <c r="R79" s="490"/>
      <c r="S79" s="556"/>
      <c r="T79" s="608"/>
      <c r="U79" s="575"/>
      <c r="V79" s="608"/>
      <c r="W79" s="635"/>
      <c r="X79" s="636"/>
      <c r="Y79" s="490"/>
      <c r="Z79" s="637"/>
      <c r="AA79" s="657"/>
      <c r="AB79" s="637"/>
      <c r="AC79" s="576"/>
    </row>
    <row r="80" spans="1:29" ht="24.75" customHeight="1">
      <c r="A80" s="716" t="s">
        <v>647</v>
      </c>
      <c r="B80" s="413"/>
      <c r="C80" s="7">
        <v>0</v>
      </c>
      <c r="D80" s="623"/>
      <c r="E80" s="497">
        <v>884</v>
      </c>
      <c r="F80" s="410"/>
      <c r="G80" s="497">
        <v>126</v>
      </c>
      <c r="H80" s="410"/>
      <c r="I80" s="638">
        <v>380</v>
      </c>
      <c r="J80" s="623"/>
      <c r="K80" s="487" t="s">
        <v>71</v>
      </c>
      <c r="L80" s="623"/>
      <c r="M80" s="487" t="s">
        <v>71</v>
      </c>
      <c r="N80" s="623"/>
      <c r="O80" s="560" t="s">
        <v>71</v>
      </c>
      <c r="P80" s="6"/>
      <c r="Q80" s="487">
        <v>1168</v>
      </c>
      <c r="R80" s="480"/>
      <c r="S80" s="539">
        <v>994</v>
      </c>
      <c r="T80" s="609"/>
      <c r="U80" s="560">
        <v>309</v>
      </c>
      <c r="V80" s="609"/>
      <c r="W80" s="656" t="s">
        <v>648</v>
      </c>
      <c r="X80" s="630">
        <v>0</v>
      </c>
      <c r="Y80" s="480"/>
      <c r="Z80" s="1546" t="s">
        <v>635</v>
      </c>
      <c r="AA80" s="1547"/>
      <c r="AB80" s="638" t="s">
        <v>618</v>
      </c>
      <c r="AC80" s="488">
        <f>+C80+E80+G80+I80+Q80+S80+U80+W80+Z80+AB80</f>
        <v>4063</v>
      </c>
    </row>
    <row r="81" spans="1:29" ht="9" customHeight="1">
      <c r="A81" s="573"/>
      <c r="B81" s="415"/>
      <c r="C81" s="641"/>
      <c r="D81" s="634"/>
      <c r="E81" s="502"/>
      <c r="F81" s="407"/>
      <c r="G81" s="502"/>
      <c r="H81" s="407"/>
      <c r="I81" s="637"/>
      <c r="J81" s="634"/>
      <c r="K81" s="505"/>
      <c r="L81" s="634"/>
      <c r="M81" s="505"/>
      <c r="N81" s="634"/>
      <c r="O81" s="575"/>
      <c r="P81" s="657"/>
      <c r="Q81" s="505"/>
      <c r="R81" s="490"/>
      <c r="S81" s="556"/>
      <c r="T81" s="608"/>
      <c r="U81" s="575"/>
      <c r="V81" s="608"/>
      <c r="W81" s="635"/>
      <c r="X81" s="636"/>
      <c r="Y81" s="490"/>
      <c r="Z81" s="637"/>
      <c r="AA81" s="657"/>
      <c r="AB81" s="637"/>
      <c r="AC81" s="576"/>
    </row>
    <row r="82" spans="1:29" ht="24.75" customHeight="1">
      <c r="A82" s="716" t="s">
        <v>651</v>
      </c>
      <c r="B82" s="413"/>
      <c r="C82" s="7">
        <v>0</v>
      </c>
      <c r="D82" s="623"/>
      <c r="E82" s="495">
        <v>526</v>
      </c>
      <c r="F82" s="410"/>
      <c r="G82" s="497">
        <v>133</v>
      </c>
      <c r="H82" s="410"/>
      <c r="I82" s="487">
        <v>513</v>
      </c>
      <c r="J82" s="623"/>
      <c r="K82" s="487" t="s">
        <v>71</v>
      </c>
      <c r="L82" s="623"/>
      <c r="M82" s="487" t="s">
        <v>71</v>
      </c>
      <c r="N82" s="623"/>
      <c r="O82" s="560" t="s">
        <v>71</v>
      </c>
      <c r="P82" s="6"/>
      <c r="Q82" s="710">
        <v>1155</v>
      </c>
      <c r="R82" s="480"/>
      <c r="S82" s="539">
        <v>1073</v>
      </c>
      <c r="T82" s="609"/>
      <c r="U82" s="560">
        <v>312</v>
      </c>
      <c r="V82" s="609"/>
      <c r="W82" s="656" t="s">
        <v>645</v>
      </c>
      <c r="X82" s="630">
        <v>0</v>
      </c>
      <c r="Y82" s="480"/>
      <c r="Z82" s="1546" t="s">
        <v>652</v>
      </c>
      <c r="AA82" s="1547"/>
      <c r="AB82" s="638" t="s">
        <v>106</v>
      </c>
      <c r="AC82" s="488">
        <f>+C82+E82+G82+I82+Q82+S82+U82+W82+Z82+AB82</f>
        <v>3909</v>
      </c>
    </row>
    <row r="83" spans="1:29" ht="9" customHeight="1">
      <c r="A83" s="573"/>
      <c r="B83" s="415"/>
      <c r="C83" s="641"/>
      <c r="D83" s="634"/>
      <c r="E83" s="502"/>
      <c r="F83" s="407"/>
      <c r="G83" s="502"/>
      <c r="H83" s="407"/>
      <c r="I83" s="505"/>
      <c r="J83" s="634"/>
      <c r="K83" s="505"/>
      <c r="L83" s="634"/>
      <c r="M83" s="505"/>
      <c r="N83" s="634"/>
      <c r="O83" s="575"/>
      <c r="P83" s="657"/>
      <c r="Q83" s="505"/>
      <c r="R83" s="490"/>
      <c r="S83" s="556"/>
      <c r="T83" s="608"/>
      <c r="U83" s="575"/>
      <c r="V83" s="608"/>
      <c r="W83" s="635"/>
      <c r="X83" s="636"/>
      <c r="Y83" s="490"/>
      <c r="Z83" s="637"/>
      <c r="AA83" s="657"/>
      <c r="AB83" s="637"/>
      <c r="AC83" s="576"/>
    </row>
    <row r="84" spans="1:29" ht="23.25" customHeight="1">
      <c r="A84" s="715" t="s">
        <v>654</v>
      </c>
      <c r="B84" s="412"/>
      <c r="C84" s="7">
        <v>0</v>
      </c>
      <c r="D84" s="623"/>
      <c r="E84" s="495">
        <v>526</v>
      </c>
      <c r="F84" s="410"/>
      <c r="G84" s="497">
        <v>135</v>
      </c>
      <c r="H84" s="410"/>
      <c r="I84" s="487">
        <v>365</v>
      </c>
      <c r="J84" s="623"/>
      <c r="K84" s="487" t="s">
        <v>71</v>
      </c>
      <c r="L84" s="623"/>
      <c r="M84" s="487" t="s">
        <v>71</v>
      </c>
      <c r="N84" s="623"/>
      <c r="O84" s="560" t="s">
        <v>71</v>
      </c>
      <c r="P84" s="6"/>
      <c r="Q84" s="487">
        <v>1214</v>
      </c>
      <c r="R84" s="480"/>
      <c r="S84" s="539">
        <v>1122</v>
      </c>
      <c r="T84" s="609"/>
      <c r="U84" s="560">
        <v>317</v>
      </c>
      <c r="V84" s="609"/>
      <c r="W84" s="656" t="s">
        <v>655</v>
      </c>
      <c r="X84" s="630">
        <v>0</v>
      </c>
      <c r="Y84" s="480"/>
      <c r="Z84" s="1546" t="s">
        <v>644</v>
      </c>
      <c r="AA84" s="1547"/>
      <c r="AB84" s="638" t="s">
        <v>106</v>
      </c>
      <c r="AC84" s="488">
        <f>+C84+E84+G84+I84+Q84+S84+U84+W84+Z84+AB84</f>
        <v>3876</v>
      </c>
    </row>
    <row r="85" spans="1:29" ht="9" customHeight="1">
      <c r="A85" s="394"/>
      <c r="B85" s="415"/>
      <c r="C85" s="641"/>
      <c r="D85" s="634"/>
      <c r="E85" s="502"/>
      <c r="F85" s="407"/>
      <c r="G85" s="502"/>
      <c r="H85" s="407"/>
      <c r="I85" s="505"/>
      <c r="J85" s="634"/>
      <c r="K85" s="505"/>
      <c r="L85" s="634"/>
      <c r="M85" s="505"/>
      <c r="N85" s="634"/>
      <c r="O85" s="575"/>
      <c r="P85" s="657"/>
      <c r="Q85" s="505"/>
      <c r="R85" s="490"/>
      <c r="S85" s="556"/>
      <c r="T85" s="608"/>
      <c r="U85" s="575"/>
      <c r="V85" s="608"/>
      <c r="W85" s="635"/>
      <c r="X85" s="636"/>
      <c r="Y85" s="490"/>
      <c r="Z85" s="637"/>
      <c r="AA85" s="657"/>
      <c r="AB85" s="637"/>
      <c r="AC85" s="576"/>
    </row>
    <row r="86" spans="1:29" ht="24" customHeight="1">
      <c r="A86" s="715" t="s">
        <v>656</v>
      </c>
      <c r="B86" s="413"/>
      <c r="C86" s="7">
        <v>0</v>
      </c>
      <c r="D86" s="623"/>
      <c r="E86" s="497">
        <v>494</v>
      </c>
      <c r="F86" s="410"/>
      <c r="G86" s="497">
        <v>131</v>
      </c>
      <c r="H86" s="410"/>
      <c r="I86" s="487">
        <v>356</v>
      </c>
      <c r="J86" s="623"/>
      <c r="K86" s="487" t="s">
        <v>71</v>
      </c>
      <c r="L86" s="623"/>
      <c r="M86" s="487" t="s">
        <v>71</v>
      </c>
      <c r="N86" s="623"/>
      <c r="O86" s="560" t="s">
        <v>71</v>
      </c>
      <c r="P86" s="6"/>
      <c r="Q86" s="487">
        <v>1246</v>
      </c>
      <c r="R86" s="480"/>
      <c r="S86" s="539">
        <v>1116</v>
      </c>
      <c r="T86" s="609"/>
      <c r="U86" s="560">
        <v>349</v>
      </c>
      <c r="V86" s="609"/>
      <c r="W86" s="656" t="s">
        <v>659</v>
      </c>
      <c r="X86" s="630">
        <v>0</v>
      </c>
      <c r="Y86" s="480"/>
      <c r="Z86" s="1546" t="s">
        <v>644</v>
      </c>
      <c r="AA86" s="1547"/>
      <c r="AB86" s="638" t="s">
        <v>617</v>
      </c>
      <c r="AC86" s="488">
        <f>+C86+E86+G86+I86+Q86+S86+U86+W86+Z86+AB86</f>
        <v>3888</v>
      </c>
    </row>
    <row r="87" spans="1:29" ht="9" customHeight="1">
      <c r="A87" s="394"/>
      <c r="B87" s="415"/>
      <c r="C87" s="641"/>
      <c r="D87" s="634"/>
      <c r="E87" s="502"/>
      <c r="F87" s="407"/>
      <c r="G87" s="502"/>
      <c r="H87" s="407"/>
      <c r="I87" s="505"/>
      <c r="J87" s="634"/>
      <c r="K87" s="505"/>
      <c r="L87" s="634"/>
      <c r="M87" s="505"/>
      <c r="N87" s="634"/>
      <c r="O87" s="575"/>
      <c r="P87" s="657"/>
      <c r="Q87" s="505"/>
      <c r="R87" s="490"/>
      <c r="S87" s="556"/>
      <c r="T87" s="608"/>
      <c r="U87" s="575"/>
      <c r="V87" s="608"/>
      <c r="W87" s="635"/>
      <c r="X87" s="636"/>
      <c r="Y87" s="490"/>
      <c r="Z87" s="637"/>
      <c r="AA87" s="657"/>
      <c r="AB87" s="637"/>
      <c r="AC87" s="576"/>
    </row>
    <row r="88" spans="1:29" ht="24" customHeight="1">
      <c r="A88" s="716" t="s">
        <v>657</v>
      </c>
      <c r="B88" s="413"/>
      <c r="C88" s="7">
        <v>0</v>
      </c>
      <c r="D88" s="623"/>
      <c r="E88" s="497">
        <v>545</v>
      </c>
      <c r="F88" s="410"/>
      <c r="G88" s="497">
        <v>138</v>
      </c>
      <c r="H88" s="410"/>
      <c r="I88" s="487">
        <v>353</v>
      </c>
      <c r="J88" s="623"/>
      <c r="K88" s="487" t="s">
        <v>71</v>
      </c>
      <c r="L88" s="623"/>
      <c r="M88" s="487" t="s">
        <v>71</v>
      </c>
      <c r="N88" s="623"/>
      <c r="O88" s="560" t="s">
        <v>71</v>
      </c>
      <c r="P88" s="6"/>
      <c r="Q88" s="487">
        <v>1245</v>
      </c>
      <c r="R88" s="480"/>
      <c r="S88" s="539">
        <v>1120</v>
      </c>
      <c r="T88" s="609"/>
      <c r="U88" s="560">
        <v>314</v>
      </c>
      <c r="V88" s="609"/>
      <c r="W88" s="656" t="s">
        <v>660</v>
      </c>
      <c r="X88" s="630">
        <v>0</v>
      </c>
      <c r="Y88" s="480"/>
      <c r="Z88" s="1546" t="s">
        <v>658</v>
      </c>
      <c r="AA88" s="1547"/>
      <c r="AB88" s="638" t="s">
        <v>617</v>
      </c>
      <c r="AC88" s="488">
        <f>+C88+E88+G88+I88+Q88+S88+U88+W88+Z88+AB88</f>
        <v>3909</v>
      </c>
    </row>
    <row r="89" spans="1:29" ht="8.25" customHeight="1">
      <c r="A89" s="573"/>
      <c r="B89" s="415"/>
      <c r="C89" s="641"/>
      <c r="D89" s="634"/>
      <c r="E89" s="502"/>
      <c r="F89" s="407"/>
      <c r="G89" s="502"/>
      <c r="H89" s="407"/>
      <c r="I89" s="505"/>
      <c r="J89" s="634"/>
      <c r="K89" s="505"/>
      <c r="L89" s="634"/>
      <c r="M89" s="505"/>
      <c r="N89" s="634"/>
      <c r="O89" s="575"/>
      <c r="P89" s="657"/>
      <c r="Q89" s="505"/>
      <c r="R89" s="490"/>
      <c r="S89" s="556"/>
      <c r="T89" s="608"/>
      <c r="U89" s="575"/>
      <c r="V89" s="608"/>
      <c r="W89" s="635"/>
      <c r="X89" s="636"/>
      <c r="Y89" s="490"/>
      <c r="Z89" s="637"/>
      <c r="AA89" s="657"/>
      <c r="AB89" s="637"/>
      <c r="AC89" s="576"/>
    </row>
    <row r="90" spans="1:29" ht="24.75" customHeight="1">
      <c r="A90" s="716" t="s">
        <v>661</v>
      </c>
      <c r="B90" s="413"/>
      <c r="C90" s="7">
        <v>0</v>
      </c>
      <c r="D90" s="623"/>
      <c r="E90" s="497">
        <v>525</v>
      </c>
      <c r="F90" s="410"/>
      <c r="G90" s="497">
        <v>139</v>
      </c>
      <c r="H90" s="410"/>
      <c r="I90" s="487">
        <v>307</v>
      </c>
      <c r="J90" s="623"/>
      <c r="K90" s="487" t="s">
        <v>71</v>
      </c>
      <c r="L90" s="623"/>
      <c r="M90" s="487" t="s">
        <v>71</v>
      </c>
      <c r="N90" s="623"/>
      <c r="O90" s="560" t="s">
        <v>71</v>
      </c>
      <c r="P90" s="6"/>
      <c r="Q90" s="487">
        <v>1264</v>
      </c>
      <c r="R90" s="480"/>
      <c r="S90" s="539">
        <v>1159</v>
      </c>
      <c r="T90" s="609"/>
      <c r="U90" s="560">
        <v>345</v>
      </c>
      <c r="V90" s="609"/>
      <c r="W90" s="656" t="s">
        <v>655</v>
      </c>
      <c r="X90" s="630">
        <v>0</v>
      </c>
      <c r="Y90" s="480"/>
      <c r="Z90" s="1546" t="s">
        <v>658</v>
      </c>
      <c r="AA90" s="1547"/>
      <c r="AB90" s="638" t="s">
        <v>617</v>
      </c>
      <c r="AC90" s="488">
        <f>+C90+E90+G90+I90+Q90+S90+U90+W90+Z90+AB90</f>
        <v>3934</v>
      </c>
    </row>
    <row r="91" spans="1:29" ht="8.25" customHeight="1">
      <c r="A91" s="573"/>
      <c r="B91" s="415"/>
      <c r="C91" s="641"/>
      <c r="D91" s="634"/>
      <c r="E91" s="502"/>
      <c r="F91" s="407"/>
      <c r="G91" s="502"/>
      <c r="H91" s="407"/>
      <c r="I91" s="505"/>
      <c r="J91" s="634"/>
      <c r="K91" s="505"/>
      <c r="L91" s="634"/>
      <c r="M91" s="505"/>
      <c r="N91" s="634"/>
      <c r="O91" s="575"/>
      <c r="P91" s="657"/>
      <c r="Q91" s="505"/>
      <c r="R91" s="490"/>
      <c r="S91" s="556"/>
      <c r="T91" s="608"/>
      <c r="U91" s="575"/>
      <c r="V91" s="608"/>
      <c r="W91" s="635"/>
      <c r="X91" s="636"/>
      <c r="Y91" s="490"/>
      <c r="Z91" s="637"/>
      <c r="AA91" s="657"/>
      <c r="AB91" s="637"/>
      <c r="AC91" s="576"/>
    </row>
    <row r="92" spans="1:29" ht="24.75" customHeight="1">
      <c r="A92" s="715" t="s">
        <v>673</v>
      </c>
      <c r="B92" s="413"/>
      <c r="C92" s="7">
        <v>0</v>
      </c>
      <c r="D92" s="623"/>
      <c r="E92" s="495">
        <v>518</v>
      </c>
      <c r="F92" s="410"/>
      <c r="G92" s="497">
        <v>138</v>
      </c>
      <c r="H92" s="410"/>
      <c r="I92" s="487">
        <v>295</v>
      </c>
      <c r="J92" s="623"/>
      <c r="K92" s="487" t="s">
        <v>71</v>
      </c>
      <c r="L92" s="623"/>
      <c r="M92" s="487" t="s">
        <v>71</v>
      </c>
      <c r="N92" s="623"/>
      <c r="O92" s="560" t="s">
        <v>71</v>
      </c>
      <c r="P92" s="6"/>
      <c r="Q92" s="710">
        <v>1263</v>
      </c>
      <c r="R92" s="480"/>
      <c r="S92" s="539">
        <v>1156</v>
      </c>
      <c r="T92" s="609"/>
      <c r="U92" s="560">
        <v>346</v>
      </c>
      <c r="V92" s="609"/>
      <c r="W92" s="656" t="s">
        <v>648</v>
      </c>
      <c r="X92" s="630">
        <v>0</v>
      </c>
      <c r="Y92" s="480"/>
      <c r="Z92" s="1546" t="s">
        <v>674</v>
      </c>
      <c r="AA92" s="1547"/>
      <c r="AB92" s="638" t="s">
        <v>121</v>
      </c>
      <c r="AC92" s="488">
        <f>+C92+E92+G92+I92+Q92+S92+U92+W92+Z92+AB92</f>
        <v>3901</v>
      </c>
    </row>
    <row r="93" spans="1:29" ht="8.25" customHeight="1">
      <c r="A93" s="394"/>
      <c r="B93" s="415"/>
      <c r="C93" s="641"/>
      <c r="D93" s="634"/>
      <c r="E93" s="502"/>
      <c r="F93" s="407"/>
      <c r="G93" s="502"/>
      <c r="H93" s="407"/>
      <c r="I93" s="505"/>
      <c r="J93" s="634"/>
      <c r="K93" s="505"/>
      <c r="L93" s="634"/>
      <c r="M93" s="505"/>
      <c r="N93" s="634"/>
      <c r="O93" s="575"/>
      <c r="P93" s="657"/>
      <c r="Q93" s="505"/>
      <c r="R93" s="490"/>
      <c r="S93" s="556"/>
      <c r="T93" s="608"/>
      <c r="U93" s="575"/>
      <c r="V93" s="608"/>
      <c r="W93" s="635"/>
      <c r="X93" s="636"/>
      <c r="Y93" s="490"/>
      <c r="Z93" s="637"/>
      <c r="AA93" s="657"/>
      <c r="AB93" s="637"/>
      <c r="AC93" s="576"/>
    </row>
    <row r="94" spans="1:29" ht="24.75" customHeight="1">
      <c r="A94" s="715" t="s">
        <v>676</v>
      </c>
      <c r="B94" s="413"/>
      <c r="C94" s="7">
        <v>0</v>
      </c>
      <c r="D94" s="623"/>
      <c r="E94" s="495">
        <v>570</v>
      </c>
      <c r="F94" s="410"/>
      <c r="G94" s="497">
        <v>137</v>
      </c>
      <c r="H94" s="410"/>
      <c r="I94" s="487">
        <v>289</v>
      </c>
      <c r="J94" s="623"/>
      <c r="K94" s="487" t="s">
        <v>71</v>
      </c>
      <c r="L94" s="623"/>
      <c r="M94" s="487" t="s">
        <v>71</v>
      </c>
      <c r="N94" s="623"/>
      <c r="O94" s="560" t="s">
        <v>71</v>
      </c>
      <c r="P94" s="6"/>
      <c r="Q94" s="710">
        <v>1256</v>
      </c>
      <c r="R94" s="480"/>
      <c r="S94" s="539">
        <v>1125</v>
      </c>
      <c r="T94" s="609"/>
      <c r="U94" s="560">
        <v>368</v>
      </c>
      <c r="V94" s="609"/>
      <c r="W94" s="656" t="s">
        <v>659</v>
      </c>
      <c r="X94" s="630">
        <v>0</v>
      </c>
      <c r="Y94" s="480"/>
      <c r="Z94" s="1546" t="s">
        <v>677</v>
      </c>
      <c r="AA94" s="1547"/>
      <c r="AB94" s="638" t="s">
        <v>121</v>
      </c>
      <c r="AC94" s="488">
        <f>+C94+E94+G94+I94+Q94+S94+U94+W94+Z94+AB94</f>
        <v>3936</v>
      </c>
    </row>
    <row r="95" spans="1:29" ht="8.25" customHeight="1">
      <c r="A95" s="394"/>
      <c r="B95" s="415"/>
      <c r="C95" s="641"/>
      <c r="D95" s="634"/>
      <c r="E95" s="502"/>
      <c r="F95" s="407"/>
      <c r="G95" s="502"/>
      <c r="H95" s="407"/>
      <c r="I95" s="505"/>
      <c r="J95" s="634"/>
      <c r="K95" s="505"/>
      <c r="L95" s="634"/>
      <c r="M95" s="505"/>
      <c r="N95" s="634"/>
      <c r="O95" s="575"/>
      <c r="P95" s="657"/>
      <c r="Q95" s="505"/>
      <c r="R95" s="490"/>
      <c r="S95" s="556"/>
      <c r="T95" s="608"/>
      <c r="U95" s="575"/>
      <c r="V95" s="608"/>
      <c r="W95" s="635"/>
      <c r="X95" s="636"/>
      <c r="Y95" s="490"/>
      <c r="Z95" s="637"/>
      <c r="AA95" s="657"/>
      <c r="AB95" s="637"/>
      <c r="AC95" s="576"/>
    </row>
    <row r="96" spans="1:29" ht="27.75" customHeight="1">
      <c r="A96" s="716" t="s">
        <v>678</v>
      </c>
      <c r="B96" s="413"/>
      <c r="C96" s="7">
        <v>0</v>
      </c>
      <c r="D96" s="623"/>
      <c r="E96" s="495">
        <v>560</v>
      </c>
      <c r="F96" s="410"/>
      <c r="G96" s="497">
        <v>135</v>
      </c>
      <c r="H96" s="410"/>
      <c r="I96" s="487">
        <v>270</v>
      </c>
      <c r="J96" s="623"/>
      <c r="K96" s="487" t="s">
        <v>71</v>
      </c>
      <c r="L96" s="623"/>
      <c r="M96" s="487" t="s">
        <v>71</v>
      </c>
      <c r="N96" s="623"/>
      <c r="O96" s="560" t="s">
        <v>71</v>
      </c>
      <c r="P96" s="6"/>
      <c r="Q96" s="487">
        <v>1272</v>
      </c>
      <c r="R96" s="480"/>
      <c r="S96" s="539">
        <v>1111</v>
      </c>
      <c r="T96" s="609"/>
      <c r="U96" s="560">
        <v>379</v>
      </c>
      <c r="V96" s="609"/>
      <c r="W96" s="656" t="s">
        <v>645</v>
      </c>
      <c r="X96" s="630">
        <v>0</v>
      </c>
      <c r="Y96" s="480"/>
      <c r="Z96" s="1546" t="s">
        <v>644</v>
      </c>
      <c r="AA96" s="1547"/>
      <c r="AB96" s="638" t="s">
        <v>121</v>
      </c>
      <c r="AC96" s="488">
        <f>+C96+E96+G96+I96+Q96+S96+U96+W96+Z96+AB96</f>
        <v>3919</v>
      </c>
    </row>
    <row r="97" spans="1:30" ht="8.25" customHeight="1">
      <c r="A97" s="394"/>
      <c r="B97" s="415"/>
      <c r="C97" s="641"/>
      <c r="D97" s="634"/>
      <c r="E97" s="502"/>
      <c r="F97" s="407"/>
      <c r="G97" s="502"/>
      <c r="H97" s="407"/>
      <c r="I97" s="505"/>
      <c r="J97" s="634"/>
      <c r="K97" s="505"/>
      <c r="L97" s="634"/>
      <c r="M97" s="505"/>
      <c r="N97" s="634"/>
      <c r="O97" s="575"/>
      <c r="P97" s="657"/>
      <c r="Q97" s="505"/>
      <c r="R97" s="490"/>
      <c r="S97" s="556"/>
      <c r="T97" s="608"/>
      <c r="U97" s="575"/>
      <c r="V97" s="608"/>
      <c r="W97" s="635"/>
      <c r="X97" s="636"/>
      <c r="Y97" s="490"/>
      <c r="Z97" s="637"/>
      <c r="AA97" s="657"/>
      <c r="AB97" s="637"/>
      <c r="AC97" s="576"/>
    </row>
    <row r="98" spans="1:30" ht="24" customHeight="1">
      <c r="A98" s="716" t="s">
        <v>679</v>
      </c>
      <c r="B98" s="413"/>
      <c r="C98" s="7">
        <v>0</v>
      </c>
      <c r="D98" s="623"/>
      <c r="E98" s="1049">
        <v>560</v>
      </c>
      <c r="F98" s="1034"/>
      <c r="G98" s="1033">
        <v>137</v>
      </c>
      <c r="H98" s="1034"/>
      <c r="I98" s="1035">
        <v>272</v>
      </c>
      <c r="J98" s="1036"/>
      <c r="K98" s="1035" t="s">
        <v>71</v>
      </c>
      <c r="L98" s="1036"/>
      <c r="M98" s="1035" t="s">
        <v>71</v>
      </c>
      <c r="N98" s="1036"/>
      <c r="O98" s="1037" t="s">
        <v>71</v>
      </c>
      <c r="P98" s="8"/>
      <c r="Q98" s="1035">
        <v>1304</v>
      </c>
      <c r="R98" s="1044"/>
      <c r="S98" s="1054">
        <v>1084</v>
      </c>
      <c r="T98" s="1045"/>
      <c r="U98" s="1037">
        <v>382</v>
      </c>
      <c r="V98" s="1045"/>
      <c r="W98" s="1046" t="s">
        <v>660</v>
      </c>
      <c r="X98" s="1052">
        <v>0</v>
      </c>
      <c r="Y98" s="1044"/>
      <c r="Z98" s="1550" t="s">
        <v>644</v>
      </c>
      <c r="AA98" s="1551"/>
      <c r="AB98" s="1047" t="s">
        <v>618</v>
      </c>
      <c r="AC98" s="488">
        <f>+C98+E98+G98+I98+Q98+S98+U98+W98+Z98+AB98</f>
        <v>3942</v>
      </c>
    </row>
    <row r="99" spans="1:30" ht="6.75" customHeight="1">
      <c r="A99" s="717"/>
      <c r="B99" s="415"/>
      <c r="C99" s="637"/>
      <c r="D99" s="635"/>
      <c r="E99" s="1097"/>
      <c r="F99" s="465"/>
      <c r="G99" s="1097"/>
      <c r="H99" s="465"/>
      <c r="I99" s="1098"/>
      <c r="J99" s="1095"/>
      <c r="K99" s="1098"/>
      <c r="L99" s="1095"/>
      <c r="M99" s="1098"/>
      <c r="N99" s="1095"/>
      <c r="O99" s="1099"/>
      <c r="P99" s="1096"/>
      <c r="Q99" s="1098"/>
      <c r="R99" s="1092"/>
      <c r="S99" s="1100"/>
      <c r="T99" s="1090"/>
      <c r="U99" s="1099"/>
      <c r="V99" s="1090"/>
      <c r="W99" s="1101"/>
      <c r="X99" s="1102"/>
      <c r="Y99" s="1099"/>
      <c r="Z99" s="1102"/>
      <c r="AA99" s="1096"/>
      <c r="AB99" s="1102"/>
      <c r="AC99" s="1103"/>
      <c r="AD99" s="1104"/>
    </row>
    <row r="100" spans="1:30" ht="24" customHeight="1">
      <c r="A100" s="716" t="s">
        <v>682</v>
      </c>
      <c r="B100" s="413"/>
      <c r="C100" s="7">
        <v>0</v>
      </c>
      <c r="D100" s="623"/>
      <c r="E100" s="1049">
        <v>511</v>
      </c>
      <c r="F100" s="1034"/>
      <c r="G100" s="1033">
        <v>129</v>
      </c>
      <c r="H100" s="1034"/>
      <c r="I100" s="1035">
        <v>256</v>
      </c>
      <c r="J100" s="1036"/>
      <c r="K100" s="1035" t="s">
        <v>71</v>
      </c>
      <c r="L100" s="1036"/>
      <c r="M100" s="1035" t="s">
        <v>71</v>
      </c>
      <c r="N100" s="1036"/>
      <c r="O100" s="1037" t="s">
        <v>71</v>
      </c>
      <c r="P100" s="8"/>
      <c r="Q100" s="1035">
        <v>1187</v>
      </c>
      <c r="R100" s="1044"/>
      <c r="S100" s="1054">
        <v>928</v>
      </c>
      <c r="T100" s="1045"/>
      <c r="U100" s="1037">
        <v>362</v>
      </c>
      <c r="V100" s="1045"/>
      <c r="W100" s="1046" t="s">
        <v>683</v>
      </c>
      <c r="X100" s="1052">
        <v>0</v>
      </c>
      <c r="Y100" s="1044"/>
      <c r="Z100" s="1550" t="s">
        <v>684</v>
      </c>
      <c r="AA100" s="1551"/>
      <c r="AB100" s="1047" t="s">
        <v>106</v>
      </c>
      <c r="AC100" s="488">
        <f>+C100+E100+G100+I100+Q100+S100+U100+W100+Z100+AB100</f>
        <v>3555</v>
      </c>
    </row>
    <row r="101" spans="1:30" ht="7.5" customHeight="1">
      <c r="A101" s="573"/>
      <c r="B101" s="415"/>
      <c r="C101" s="641"/>
      <c r="D101" s="629"/>
      <c r="E101" s="1097"/>
      <c r="F101" s="1210"/>
      <c r="G101" s="1097"/>
      <c r="H101" s="1210"/>
      <c r="I101" s="1091"/>
      <c r="J101" s="1211"/>
      <c r="K101" s="1098"/>
      <c r="L101" s="1212"/>
      <c r="M101" s="1091"/>
      <c r="N101" s="1212"/>
      <c r="O101" s="1099"/>
      <c r="P101" s="1213"/>
      <c r="Q101" s="1098"/>
      <c r="R101" s="1214"/>
      <c r="S101" s="1100"/>
      <c r="T101" s="1215"/>
      <c r="U101" s="1099"/>
      <c r="V101" s="1094"/>
      <c r="W101" s="1095"/>
      <c r="X101" s="1216"/>
      <c r="Y101" s="1093"/>
      <c r="Z101" s="1096"/>
      <c r="AA101" s="1213"/>
      <c r="AB101" s="1096"/>
      <c r="AC101" s="1218"/>
    </row>
    <row r="102" spans="1:30" ht="22.5" customHeight="1">
      <c r="A102" s="716" t="s">
        <v>686</v>
      </c>
      <c r="B102" s="413"/>
      <c r="C102" s="7">
        <v>0</v>
      </c>
      <c r="D102" s="623"/>
      <c r="E102" s="1049">
        <v>503</v>
      </c>
      <c r="F102" s="1034"/>
      <c r="G102" s="1033">
        <v>129</v>
      </c>
      <c r="H102" s="1034"/>
      <c r="I102" s="1038">
        <v>247</v>
      </c>
      <c r="J102" s="1036"/>
      <c r="K102" s="1035" t="s">
        <v>71</v>
      </c>
      <c r="L102" s="1036"/>
      <c r="M102" s="1035" t="s">
        <v>71</v>
      </c>
      <c r="N102" s="1036"/>
      <c r="O102" s="1220" t="s">
        <v>71</v>
      </c>
      <c r="P102" s="8"/>
      <c r="Q102" s="1035">
        <v>1142</v>
      </c>
      <c r="R102" s="1044"/>
      <c r="S102" s="1222">
        <v>913</v>
      </c>
      <c r="T102" s="1045"/>
      <c r="U102" s="1220">
        <v>351</v>
      </c>
      <c r="V102" s="1045"/>
      <c r="W102" s="1046" t="s">
        <v>687</v>
      </c>
      <c r="X102" s="1052">
        <v>0</v>
      </c>
      <c r="Y102" s="1043"/>
      <c r="Z102" s="1550" t="s">
        <v>684</v>
      </c>
      <c r="AA102" s="1551"/>
      <c r="AB102" s="1217" t="s">
        <v>504</v>
      </c>
      <c r="AC102" s="488">
        <f>+C102+E102+G102+I102+Q102+S102+U102+W102+Z102+AB102</f>
        <v>3458</v>
      </c>
    </row>
    <row r="103" spans="1:30" ht="6" customHeight="1">
      <c r="A103" s="1219"/>
      <c r="B103" s="478"/>
      <c r="C103" s="641"/>
      <c r="D103" s="629"/>
      <c r="E103" s="1088"/>
      <c r="F103" s="1210"/>
      <c r="G103" s="1097"/>
      <c r="H103" s="1210"/>
      <c r="I103" s="1091"/>
      <c r="J103" s="1211"/>
      <c r="K103" s="1098"/>
      <c r="L103" s="1211"/>
      <c r="M103" s="1098"/>
      <c r="N103" s="1211"/>
      <c r="O103" s="1092"/>
      <c r="P103" s="1213"/>
      <c r="Q103" s="1098"/>
      <c r="R103" s="1214"/>
      <c r="S103" s="1221"/>
      <c r="T103" s="1094"/>
      <c r="U103" s="1092"/>
      <c r="V103" s="1215"/>
      <c r="W103" s="1223"/>
      <c r="X103" s="1216"/>
      <c r="Y103" s="1093"/>
      <c r="Z103" s="1102"/>
      <c r="AA103" s="1213"/>
      <c r="AB103" s="1096"/>
      <c r="AC103" s="576"/>
    </row>
    <row r="104" spans="1:30" ht="27" customHeight="1">
      <c r="A104" s="716" t="s">
        <v>722</v>
      </c>
      <c r="B104" s="413"/>
      <c r="C104" s="7">
        <v>0</v>
      </c>
      <c r="D104" s="623"/>
      <c r="E104" s="1049">
        <v>496</v>
      </c>
      <c r="F104" s="1034"/>
      <c r="G104" s="1033">
        <v>123</v>
      </c>
      <c r="H104" s="1034"/>
      <c r="I104" s="1038">
        <v>249</v>
      </c>
      <c r="J104" s="1036"/>
      <c r="K104" s="1035" t="s">
        <v>71</v>
      </c>
      <c r="L104" s="1036"/>
      <c r="M104" s="1035" t="s">
        <v>71</v>
      </c>
      <c r="N104" s="1036"/>
      <c r="O104" s="1220" t="s">
        <v>71</v>
      </c>
      <c r="P104" s="8"/>
      <c r="Q104" s="1035">
        <v>1108</v>
      </c>
      <c r="R104" s="1044"/>
      <c r="S104" s="1222">
        <v>899</v>
      </c>
      <c r="T104" s="1045"/>
      <c r="U104" s="1220">
        <v>347</v>
      </c>
      <c r="V104" s="1045"/>
      <c r="W104" s="1046" t="s">
        <v>723</v>
      </c>
      <c r="X104" s="1052">
        <v>0</v>
      </c>
      <c r="Y104" s="1043"/>
      <c r="Z104" s="1550" t="s">
        <v>674</v>
      </c>
      <c r="AA104" s="1551"/>
      <c r="AB104" s="1217" t="s">
        <v>504</v>
      </c>
      <c r="AC104" s="488">
        <f>+C104+E104+G104+I104+Q104+S104+U104+W104+Z104+AB104</f>
        <v>3395</v>
      </c>
    </row>
    <row r="105" spans="1:30" ht="7.5" customHeight="1">
      <c r="A105" s="573"/>
      <c r="B105" s="415"/>
      <c r="C105" s="641"/>
      <c r="D105" s="634"/>
      <c r="E105" s="1088"/>
      <c r="F105" s="1089"/>
      <c r="G105" s="1090"/>
      <c r="H105" s="1089"/>
      <c r="I105" s="1091"/>
      <c r="J105" s="1212"/>
      <c r="K105" s="1091"/>
      <c r="L105" s="1212"/>
      <c r="M105" s="1091"/>
      <c r="N105" s="1212"/>
      <c r="O105" s="1092"/>
      <c r="P105" s="1309"/>
      <c r="Q105" s="1091"/>
      <c r="R105" s="1093"/>
      <c r="S105" s="1221"/>
      <c r="T105" s="1094"/>
      <c r="U105" s="1092"/>
      <c r="V105" s="1094"/>
      <c r="W105" s="1095"/>
      <c r="X105" s="1310"/>
      <c r="Y105" s="1093"/>
      <c r="Z105" s="1096"/>
      <c r="AA105" s="1309"/>
      <c r="AB105" s="1096"/>
      <c r="AC105" s="576"/>
    </row>
    <row r="106" spans="1:30" ht="24.75" customHeight="1">
      <c r="A106" s="716" t="s">
        <v>776</v>
      </c>
      <c r="B106" s="413"/>
      <c r="C106" s="7">
        <v>0</v>
      </c>
      <c r="D106" s="623"/>
      <c r="E106" s="1049">
        <v>489</v>
      </c>
      <c r="F106" s="1034"/>
      <c r="G106" s="1033">
        <v>117</v>
      </c>
      <c r="H106" s="1034"/>
      <c r="I106" s="1038">
        <v>252</v>
      </c>
      <c r="J106" s="1036"/>
      <c r="K106" s="1035" t="s">
        <v>71</v>
      </c>
      <c r="L106" s="1036"/>
      <c r="M106" s="1035" t="s">
        <v>71</v>
      </c>
      <c r="N106" s="1036"/>
      <c r="O106" s="1220" t="s">
        <v>71</v>
      </c>
      <c r="P106" s="8"/>
      <c r="Q106" s="1035">
        <v>1086</v>
      </c>
      <c r="R106" s="1044"/>
      <c r="S106" s="1222">
        <v>917</v>
      </c>
      <c r="T106" s="1045"/>
      <c r="U106" s="1220">
        <v>359</v>
      </c>
      <c r="V106" s="1045"/>
      <c r="W106" s="1046" t="s">
        <v>778</v>
      </c>
      <c r="X106" s="1052">
        <v>0</v>
      </c>
      <c r="Y106" s="1043"/>
      <c r="Z106" s="1550" t="s">
        <v>777</v>
      </c>
      <c r="AA106" s="1551"/>
      <c r="AB106" s="1217" t="s">
        <v>504</v>
      </c>
      <c r="AC106" s="488">
        <f>+C106+E106+G106+I106+Q106+S106+U106+W106+Z106+AB106</f>
        <v>3393</v>
      </c>
    </row>
    <row r="107" spans="1:30" ht="6" customHeight="1">
      <c r="A107" s="573"/>
      <c r="B107" s="415"/>
      <c r="C107" s="641"/>
      <c r="D107" s="634"/>
      <c r="E107" s="1090"/>
      <c r="F107" s="1089"/>
      <c r="G107" s="1090"/>
      <c r="H107" s="1089"/>
      <c r="I107" s="1091"/>
      <c r="J107" s="1212"/>
      <c r="K107" s="1091"/>
      <c r="L107" s="1212"/>
      <c r="M107" s="1091"/>
      <c r="N107" s="1212"/>
      <c r="O107" s="1092"/>
      <c r="P107" s="1309"/>
      <c r="Q107" s="1091"/>
      <c r="R107" s="1093"/>
      <c r="S107" s="1221"/>
      <c r="T107" s="1094"/>
      <c r="U107" s="1092"/>
      <c r="V107" s="1094"/>
      <c r="W107" s="1095"/>
      <c r="X107" s="1310"/>
      <c r="Y107" s="1093"/>
      <c r="Z107" s="1096"/>
      <c r="AA107" s="1309"/>
      <c r="AB107" s="1096"/>
      <c r="AC107" s="576"/>
    </row>
    <row r="108" spans="1:30" ht="24.75" customHeight="1">
      <c r="A108" s="716" t="s">
        <v>814</v>
      </c>
      <c r="B108" s="413"/>
      <c r="C108" s="7">
        <v>0</v>
      </c>
      <c r="D108" s="623"/>
      <c r="E108" s="1049">
        <v>480</v>
      </c>
      <c r="F108" s="1034"/>
      <c r="G108" s="1033">
        <v>112</v>
      </c>
      <c r="H108" s="1034"/>
      <c r="I108" s="1038">
        <v>246</v>
      </c>
      <c r="J108" s="1036"/>
      <c r="K108" s="1035" t="s">
        <v>71</v>
      </c>
      <c r="L108" s="1036"/>
      <c r="M108" s="1035" t="s">
        <v>71</v>
      </c>
      <c r="N108" s="1036"/>
      <c r="O108" s="1220" t="s">
        <v>71</v>
      </c>
      <c r="P108" s="8"/>
      <c r="Q108" s="1035">
        <v>1096</v>
      </c>
      <c r="R108" s="1044"/>
      <c r="S108" s="1222">
        <v>947</v>
      </c>
      <c r="T108" s="1045"/>
      <c r="U108" s="1220">
        <v>371</v>
      </c>
      <c r="V108" s="1045"/>
      <c r="W108" s="1046" t="s">
        <v>818</v>
      </c>
      <c r="X108" s="1052">
        <v>0</v>
      </c>
      <c r="Y108" s="1043"/>
      <c r="Z108" s="1550" t="s">
        <v>819</v>
      </c>
      <c r="AA108" s="1551"/>
      <c r="AB108" s="1217" t="s">
        <v>820</v>
      </c>
      <c r="AC108" s="488">
        <f>+C108+E108+G108+I108+Q108+S108+U108+W108+Z108+AB108</f>
        <v>3428</v>
      </c>
    </row>
    <row r="109" spans="1:30" ht="5.25" customHeight="1">
      <c r="A109" s="573"/>
      <c r="B109" s="415"/>
      <c r="C109" s="641"/>
      <c r="D109" s="634"/>
      <c r="E109" s="1090"/>
      <c r="F109" s="1089"/>
      <c r="G109" s="1090"/>
      <c r="H109" s="1089"/>
      <c r="I109" s="1091"/>
      <c r="J109" s="1212"/>
      <c r="K109" s="1091"/>
      <c r="L109" s="1212"/>
      <c r="M109" s="1091"/>
      <c r="N109" s="1212"/>
      <c r="O109" s="1092"/>
      <c r="P109" s="1309"/>
      <c r="Q109" s="1091"/>
      <c r="R109" s="1093"/>
      <c r="S109" s="1221"/>
      <c r="T109" s="1094"/>
      <c r="U109" s="1092"/>
      <c r="V109" s="1094"/>
      <c r="W109" s="1095"/>
      <c r="X109" s="1310"/>
      <c r="Y109" s="1093"/>
      <c r="Z109" s="1096"/>
      <c r="AA109" s="1309"/>
      <c r="AB109" s="1096"/>
      <c r="AC109" s="576"/>
    </row>
    <row r="110" spans="1:30" ht="21.75" customHeight="1">
      <c r="A110" s="716" t="s">
        <v>815</v>
      </c>
      <c r="B110" s="413"/>
      <c r="C110" s="7">
        <v>0</v>
      </c>
      <c r="D110" s="1036"/>
      <c r="E110" s="1049">
        <v>493</v>
      </c>
      <c r="F110" s="1034"/>
      <c r="G110" s="1033">
        <v>119</v>
      </c>
      <c r="H110" s="1034"/>
      <c r="I110" s="1038">
        <v>244</v>
      </c>
      <c r="J110" s="1036"/>
      <c r="K110" s="1035" t="s">
        <v>71</v>
      </c>
      <c r="L110" s="1036"/>
      <c r="M110" s="1035" t="s">
        <v>71</v>
      </c>
      <c r="N110" s="1036"/>
      <c r="O110" s="1220" t="s">
        <v>71</v>
      </c>
      <c r="P110" s="8"/>
      <c r="Q110" s="1342">
        <v>1114</v>
      </c>
      <c r="R110" s="1338"/>
      <c r="S110" s="1343">
        <v>1555</v>
      </c>
      <c r="T110" s="1340"/>
      <c r="U110" s="1220">
        <v>390</v>
      </c>
      <c r="V110" s="1045"/>
      <c r="W110" s="1046" t="s">
        <v>723</v>
      </c>
      <c r="X110" s="1052">
        <v>0</v>
      </c>
      <c r="Y110" s="1344"/>
      <c r="Z110" s="1548" t="s">
        <v>819</v>
      </c>
      <c r="AA110" s="1549"/>
      <c r="AB110" s="1217" t="s">
        <v>821</v>
      </c>
      <c r="AC110" s="488">
        <f>+C110+E110+G110+I110+Q110+S110+U110+W110+Z110+AB110</f>
        <v>4087</v>
      </c>
    </row>
    <row r="111" spans="1:30" ht="5.25" customHeight="1">
      <c r="A111" s="573"/>
      <c r="B111" s="415"/>
      <c r="C111" s="641"/>
      <c r="D111" s="634"/>
      <c r="E111" s="1090"/>
      <c r="F111" s="1089"/>
      <c r="G111" s="1090"/>
      <c r="H111" s="1089"/>
      <c r="I111" s="1091"/>
      <c r="J111" s="1212"/>
      <c r="K111" s="1091"/>
      <c r="L111" s="1212"/>
      <c r="M111" s="1091"/>
      <c r="N111" s="1212"/>
      <c r="O111" s="1092"/>
      <c r="P111" s="1309"/>
      <c r="Q111" s="1091"/>
      <c r="R111" s="1093"/>
      <c r="S111" s="1221"/>
      <c r="T111" s="1094"/>
      <c r="U111" s="1092"/>
      <c r="V111" s="1094"/>
      <c r="W111" s="1095"/>
      <c r="X111" s="1310"/>
      <c r="Y111" s="1093"/>
      <c r="Z111" s="1096"/>
      <c r="AA111" s="1309"/>
      <c r="AB111" s="1096"/>
      <c r="AC111" s="576"/>
    </row>
    <row r="112" spans="1:30" ht="20.25" customHeight="1">
      <c r="A112" s="716" t="s">
        <v>816</v>
      </c>
      <c r="B112" s="413"/>
      <c r="C112" s="7">
        <v>0</v>
      </c>
      <c r="D112" s="1036"/>
      <c r="E112" s="1049">
        <v>490</v>
      </c>
      <c r="F112" s="1034"/>
      <c r="G112" s="1033">
        <v>128</v>
      </c>
      <c r="H112" s="1034"/>
      <c r="I112" s="1038">
        <v>238</v>
      </c>
      <c r="J112" s="1036"/>
      <c r="K112" s="1035" t="s">
        <v>71</v>
      </c>
      <c r="L112" s="1036"/>
      <c r="M112" s="1035" t="s">
        <v>71</v>
      </c>
      <c r="N112" s="1036"/>
      <c r="O112" s="1220" t="s">
        <v>71</v>
      </c>
      <c r="P112" s="8"/>
      <c r="Q112" s="1342">
        <v>1150</v>
      </c>
      <c r="R112" s="1338"/>
      <c r="S112" s="1343">
        <v>949</v>
      </c>
      <c r="T112" s="1340"/>
      <c r="U112" s="1220">
        <v>446</v>
      </c>
      <c r="V112" s="1045"/>
      <c r="W112" s="1046" t="s">
        <v>822</v>
      </c>
      <c r="X112" s="1052">
        <v>0</v>
      </c>
      <c r="Y112" s="1344"/>
      <c r="Z112" s="1548" t="s">
        <v>819</v>
      </c>
      <c r="AA112" s="1549"/>
      <c r="AB112" s="1217" t="s">
        <v>821</v>
      </c>
      <c r="AC112" s="488">
        <f>+C112+E112+G112+I112+Q112+S112+U112+W112+Z112+AB112</f>
        <v>3572</v>
      </c>
    </row>
    <row r="113" spans="1:29" ht="5.25" customHeight="1">
      <c r="A113" s="573"/>
      <c r="B113" s="415"/>
      <c r="C113" s="641"/>
      <c r="D113" s="634"/>
      <c r="E113" s="1090"/>
      <c r="F113" s="1089"/>
      <c r="G113" s="1090"/>
      <c r="H113" s="1089"/>
      <c r="I113" s="1091"/>
      <c r="J113" s="1212"/>
      <c r="K113" s="1091"/>
      <c r="L113" s="1212"/>
      <c r="M113" s="1091"/>
      <c r="N113" s="1212"/>
      <c r="O113" s="1092"/>
      <c r="P113" s="1309"/>
      <c r="Q113" s="1091"/>
      <c r="R113" s="1093"/>
      <c r="S113" s="1221"/>
      <c r="T113" s="1094"/>
      <c r="U113" s="1092"/>
      <c r="V113" s="1094"/>
      <c r="W113" s="1095"/>
      <c r="X113" s="1310"/>
      <c r="Y113" s="1093"/>
      <c r="Z113" s="1096"/>
      <c r="AA113" s="1309"/>
      <c r="AB113" s="1096"/>
      <c r="AC113" s="576"/>
    </row>
    <row r="114" spans="1:29" ht="19.5" customHeight="1">
      <c r="A114" s="716" t="s">
        <v>817</v>
      </c>
      <c r="B114" s="413"/>
      <c r="C114" s="7">
        <v>0</v>
      </c>
      <c r="D114" s="1036"/>
      <c r="E114" s="1049">
        <v>547</v>
      </c>
      <c r="F114" s="1034"/>
      <c r="G114" s="1033">
        <v>124</v>
      </c>
      <c r="H114" s="1034"/>
      <c r="I114" s="1038">
        <v>213</v>
      </c>
      <c r="J114" s="1036"/>
      <c r="K114" s="1035" t="s">
        <v>71</v>
      </c>
      <c r="L114" s="1036"/>
      <c r="M114" s="1035" t="s">
        <v>71</v>
      </c>
      <c r="N114" s="1036"/>
      <c r="O114" s="1220" t="s">
        <v>71</v>
      </c>
      <c r="P114" s="8"/>
      <c r="Q114" s="1342">
        <v>1190</v>
      </c>
      <c r="R114" s="1338"/>
      <c r="S114" s="1343">
        <v>949</v>
      </c>
      <c r="T114" s="1340"/>
      <c r="U114" s="1220">
        <v>456</v>
      </c>
      <c r="V114" s="1045"/>
      <c r="W114" s="1046" t="s">
        <v>778</v>
      </c>
      <c r="X114" s="1052">
        <v>0</v>
      </c>
      <c r="Y114" s="1344"/>
      <c r="Z114" s="1548" t="s">
        <v>819</v>
      </c>
      <c r="AA114" s="1549"/>
      <c r="AB114" s="1349" t="s">
        <v>821</v>
      </c>
      <c r="AC114" s="488">
        <f>+C114+E114+G114+I114+Q114+S114+U114+W114+Z114+AB114</f>
        <v>3649</v>
      </c>
    </row>
    <row r="115" spans="1:29" ht="6.75" customHeight="1">
      <c r="A115" s="573"/>
      <c r="B115" s="415"/>
      <c r="C115" s="641"/>
      <c r="D115" s="1212"/>
      <c r="E115" s="1090"/>
      <c r="F115" s="1089"/>
      <c r="G115" s="1090"/>
      <c r="H115" s="1089"/>
      <c r="I115" s="1091"/>
      <c r="J115" s="1212"/>
      <c r="K115" s="1091"/>
      <c r="L115" s="1212"/>
      <c r="M115" s="1091"/>
      <c r="N115" s="1212"/>
      <c r="O115" s="1092"/>
      <c r="P115" s="1309"/>
      <c r="Q115" s="1376"/>
      <c r="R115" s="1377"/>
      <c r="S115" s="1378"/>
      <c r="T115" s="1379"/>
      <c r="U115" s="1092"/>
      <c r="V115" s="1094"/>
      <c r="W115" s="1095"/>
      <c r="X115" s="1310"/>
      <c r="Y115" s="1377"/>
      <c r="Z115" s="1380"/>
      <c r="AA115" s="1381"/>
      <c r="AB115" s="1382"/>
      <c r="AC115" s="576"/>
    </row>
    <row r="116" spans="1:29" ht="19.5" customHeight="1">
      <c r="A116" s="716" t="s">
        <v>824</v>
      </c>
      <c r="B116" s="413"/>
      <c r="C116" s="7">
        <v>0</v>
      </c>
      <c r="D116" s="1036"/>
      <c r="E116" s="1033">
        <v>543</v>
      </c>
      <c r="F116" s="1034"/>
      <c r="G116" s="1033">
        <v>127</v>
      </c>
      <c r="H116" s="1034"/>
      <c r="I116" s="1035">
        <v>211</v>
      </c>
      <c r="J116" s="1036"/>
      <c r="K116" s="1035" t="s">
        <v>71</v>
      </c>
      <c r="L116" s="1036"/>
      <c r="M116" s="1035" t="s">
        <v>71</v>
      </c>
      <c r="N116" s="1036"/>
      <c r="O116" s="1220" t="s">
        <v>71</v>
      </c>
      <c r="P116" s="8"/>
      <c r="Q116" s="1342">
        <v>1218</v>
      </c>
      <c r="R116" s="1338"/>
      <c r="S116" s="1383">
        <v>983</v>
      </c>
      <c r="T116" s="1340"/>
      <c r="U116" s="1037">
        <v>469</v>
      </c>
      <c r="V116" s="1045"/>
      <c r="W116" s="1046" t="s">
        <v>828</v>
      </c>
      <c r="X116" s="1052">
        <v>0</v>
      </c>
      <c r="Y116" s="1338"/>
      <c r="Z116" s="1047" t="s">
        <v>777</v>
      </c>
      <c r="AA116" s="9"/>
      <c r="AB116" s="1384" t="s">
        <v>821</v>
      </c>
      <c r="AC116" s="488">
        <f>+C116+E116+G116+I116+Q116+S116+U116+W116+Z116+AB116</f>
        <v>3728</v>
      </c>
    </row>
    <row r="117" spans="1:29" ht="6.75" customHeight="1">
      <c r="A117" s="573"/>
      <c r="B117" s="415"/>
      <c r="C117" s="641"/>
      <c r="D117" s="1212"/>
      <c r="E117" s="1090"/>
      <c r="F117" s="1089"/>
      <c r="G117" s="1090"/>
      <c r="H117" s="1089"/>
      <c r="I117" s="1091"/>
      <c r="J117" s="1212"/>
      <c r="K117" s="1091"/>
      <c r="L117" s="1212"/>
      <c r="M117" s="1091"/>
      <c r="N117" s="1212"/>
      <c r="O117" s="1092"/>
      <c r="P117" s="1309"/>
      <c r="Q117" s="1376"/>
      <c r="R117" s="1377"/>
      <c r="S117" s="1378"/>
      <c r="T117" s="1379"/>
      <c r="U117" s="1092"/>
      <c r="V117" s="1094"/>
      <c r="W117" s="1095"/>
      <c r="X117" s="1310"/>
      <c r="Y117" s="1377"/>
      <c r="Z117" s="1380"/>
      <c r="AA117" s="1381"/>
      <c r="AB117" s="1382"/>
      <c r="AC117" s="576"/>
    </row>
    <row r="118" spans="1:29" ht="19.5" customHeight="1">
      <c r="A118" s="716" t="s">
        <v>830</v>
      </c>
      <c r="B118" s="413"/>
      <c r="C118" s="7">
        <v>0</v>
      </c>
      <c r="D118" s="1036"/>
      <c r="E118" s="1033">
        <v>535</v>
      </c>
      <c r="F118" s="1034"/>
      <c r="G118" s="1033">
        <v>133</v>
      </c>
      <c r="H118" s="1034"/>
      <c r="I118" s="1035">
        <v>213</v>
      </c>
      <c r="J118" s="1036"/>
      <c r="K118" s="1035" t="s">
        <v>71</v>
      </c>
      <c r="L118" s="1036"/>
      <c r="M118" s="1035" t="s">
        <v>71</v>
      </c>
      <c r="N118" s="1036"/>
      <c r="O118" s="1220" t="s">
        <v>71</v>
      </c>
      <c r="P118" s="8"/>
      <c r="Q118" s="1386">
        <v>1241</v>
      </c>
      <c r="R118" s="1338"/>
      <c r="S118" s="1383">
        <v>1027</v>
      </c>
      <c r="T118" s="1340"/>
      <c r="U118" s="1037">
        <v>474</v>
      </c>
      <c r="V118" s="1045"/>
      <c r="W118" s="1046" t="s">
        <v>818</v>
      </c>
      <c r="X118" s="1052">
        <v>0</v>
      </c>
      <c r="Y118" s="1338"/>
      <c r="Z118" s="1047" t="s">
        <v>819</v>
      </c>
      <c r="AA118" s="9"/>
      <c r="AB118" s="1387" t="s">
        <v>821</v>
      </c>
      <c r="AC118" s="488">
        <f>+C118+E118+G118+I118+Q118+S118+U118+W118+Z118+AB118</f>
        <v>3796</v>
      </c>
    </row>
    <row r="119" spans="1:29" ht="6.75" customHeight="1">
      <c r="A119" s="573"/>
      <c r="B119" s="415"/>
      <c r="C119" s="641"/>
      <c r="D119" s="1212"/>
      <c r="E119" s="1090"/>
      <c r="F119" s="1089"/>
      <c r="G119" s="1090"/>
      <c r="H119" s="1089"/>
      <c r="I119" s="1091"/>
      <c r="J119" s="1212"/>
      <c r="K119" s="1091"/>
      <c r="L119" s="1212"/>
      <c r="M119" s="1091"/>
      <c r="N119" s="1212"/>
      <c r="O119" s="1092"/>
      <c r="P119" s="1309"/>
      <c r="Q119" s="1376"/>
      <c r="R119" s="1377"/>
      <c r="S119" s="1378"/>
      <c r="T119" s="1379"/>
      <c r="U119" s="1092"/>
      <c r="V119" s="1094"/>
      <c r="W119" s="1095"/>
      <c r="X119" s="1310"/>
      <c r="Y119" s="1377"/>
      <c r="Z119" s="1096"/>
      <c r="AA119" s="1381"/>
      <c r="AB119" s="1382"/>
      <c r="AC119" s="576"/>
    </row>
    <row r="120" spans="1:29" ht="19.5" customHeight="1">
      <c r="A120" s="716" t="s">
        <v>838</v>
      </c>
      <c r="B120" s="413"/>
      <c r="C120" s="7">
        <v>0</v>
      </c>
      <c r="D120" s="1036"/>
      <c r="E120" s="1033">
        <v>531</v>
      </c>
      <c r="F120" s="1034"/>
      <c r="G120" s="1033">
        <v>144</v>
      </c>
      <c r="H120" s="1034"/>
      <c r="I120" s="1035">
        <v>213</v>
      </c>
      <c r="J120" s="1036"/>
      <c r="K120" s="1035" t="s">
        <v>71</v>
      </c>
      <c r="L120" s="1036"/>
      <c r="M120" s="1035" t="s">
        <v>71</v>
      </c>
      <c r="N120" s="1036"/>
      <c r="O120" s="1220" t="s">
        <v>71</v>
      </c>
      <c r="P120" s="8"/>
      <c r="Q120" s="1342">
        <v>1258</v>
      </c>
      <c r="R120" s="1338"/>
      <c r="S120" s="1383">
        <v>1034</v>
      </c>
      <c r="T120" s="1340"/>
      <c r="U120" s="1037">
        <v>469</v>
      </c>
      <c r="V120" s="1045"/>
      <c r="W120" s="1046" t="s">
        <v>843</v>
      </c>
      <c r="X120" s="1052">
        <v>0</v>
      </c>
      <c r="Y120" s="1338"/>
      <c r="Z120" s="1047" t="s">
        <v>674</v>
      </c>
      <c r="AA120" s="9"/>
      <c r="AB120" s="1384" t="s">
        <v>121</v>
      </c>
      <c r="AC120" s="488">
        <f>+C120+E120+G120+I120+Q120+S120+U120+W120+Z120+AB120</f>
        <v>3832</v>
      </c>
    </row>
    <row r="121" spans="1:29" ht="6.75" customHeight="1">
      <c r="A121" s="573"/>
      <c r="B121" s="415"/>
      <c r="C121" s="641"/>
      <c r="D121" s="1212"/>
      <c r="E121" s="1090"/>
      <c r="F121" s="1089"/>
      <c r="G121" s="1090"/>
      <c r="H121" s="1089"/>
      <c r="I121" s="1091"/>
      <c r="J121" s="1212"/>
      <c r="K121" s="1091"/>
      <c r="L121" s="1212"/>
      <c r="M121" s="1091"/>
      <c r="N121" s="1212"/>
      <c r="O121" s="1092"/>
      <c r="P121" s="1309"/>
      <c r="Q121" s="1376"/>
      <c r="R121" s="1377"/>
      <c r="S121" s="1378"/>
      <c r="T121" s="1379"/>
      <c r="U121" s="1092"/>
      <c r="V121" s="1094"/>
      <c r="W121" s="1095"/>
      <c r="X121" s="1310"/>
      <c r="Y121" s="1377"/>
      <c r="Z121" s="1096"/>
      <c r="AA121" s="1381"/>
      <c r="AB121" s="1382"/>
      <c r="AC121" s="576"/>
    </row>
    <row r="122" spans="1:29" ht="19.5" customHeight="1">
      <c r="A122" s="716" t="s">
        <v>852</v>
      </c>
      <c r="B122" s="413"/>
      <c r="C122" s="7">
        <v>0</v>
      </c>
      <c r="D122" s="1036"/>
      <c r="E122" s="1033">
        <v>583</v>
      </c>
      <c r="F122" s="1034"/>
      <c r="G122" s="1033">
        <v>144</v>
      </c>
      <c r="H122" s="1034"/>
      <c r="I122" s="1035">
        <v>211</v>
      </c>
      <c r="J122" s="1036"/>
      <c r="K122" s="1035" t="s">
        <v>71</v>
      </c>
      <c r="L122" s="1036"/>
      <c r="M122" s="1035" t="s">
        <v>71</v>
      </c>
      <c r="N122" s="1036"/>
      <c r="O122" s="1220" t="s">
        <v>71</v>
      </c>
      <c r="P122" s="8"/>
      <c r="Q122" s="1342">
        <v>1278</v>
      </c>
      <c r="R122" s="1338"/>
      <c r="S122" s="1383">
        <v>1025</v>
      </c>
      <c r="T122" s="1340"/>
      <c r="U122" s="1037">
        <v>478</v>
      </c>
      <c r="V122" s="1045"/>
      <c r="W122" s="1046" t="s">
        <v>843</v>
      </c>
      <c r="X122" s="1052">
        <v>0</v>
      </c>
      <c r="Y122" s="1338"/>
      <c r="Z122" s="1047" t="s">
        <v>674</v>
      </c>
      <c r="AA122" s="9"/>
      <c r="AB122" s="1384" t="s">
        <v>853</v>
      </c>
      <c r="AC122" s="488">
        <f>+C122+E122+G122+I122+Q122+S122+U122+W122+Z122+AB122</f>
        <v>3906</v>
      </c>
    </row>
    <row r="123" spans="1:29" ht="6.75" customHeight="1">
      <c r="A123" s="573"/>
      <c r="B123" s="415"/>
      <c r="C123" s="641"/>
      <c r="D123" s="1212"/>
      <c r="E123" s="1090"/>
      <c r="F123" s="1089"/>
      <c r="G123" s="1090"/>
      <c r="H123" s="1089"/>
      <c r="I123" s="1091"/>
      <c r="J123" s="1212"/>
      <c r="K123" s="1091"/>
      <c r="L123" s="1212"/>
      <c r="M123" s="1091"/>
      <c r="N123" s="1212"/>
      <c r="O123" s="1092"/>
      <c r="P123" s="1309"/>
      <c r="Q123" s="1376"/>
      <c r="R123" s="1377"/>
      <c r="S123" s="1378"/>
      <c r="T123" s="1379"/>
      <c r="U123" s="1092"/>
      <c r="V123" s="1094"/>
      <c r="W123" s="1095"/>
      <c r="X123" s="1310"/>
      <c r="Y123" s="1377"/>
      <c r="Z123" s="1096"/>
      <c r="AA123" s="1381"/>
      <c r="AB123" s="1382"/>
      <c r="AC123" s="576"/>
    </row>
    <row r="124" spans="1:29" ht="19.5" customHeight="1">
      <c r="A124" s="716" t="s">
        <v>861</v>
      </c>
      <c r="B124" s="413"/>
      <c r="C124" s="7">
        <v>0</v>
      </c>
      <c r="D124" s="1036"/>
      <c r="E124" s="1033">
        <v>568</v>
      </c>
      <c r="F124" s="1034"/>
      <c r="G124" s="1033">
        <v>141</v>
      </c>
      <c r="H124" s="1034"/>
      <c r="I124" s="1035">
        <v>217</v>
      </c>
      <c r="J124" s="1036"/>
      <c r="K124" s="1035" t="s">
        <v>71</v>
      </c>
      <c r="L124" s="1036"/>
      <c r="M124" s="1035" t="s">
        <v>71</v>
      </c>
      <c r="N124" s="1036"/>
      <c r="O124" s="1220" t="s">
        <v>71</v>
      </c>
      <c r="P124" s="8"/>
      <c r="Q124" s="1342">
        <v>1280</v>
      </c>
      <c r="R124" s="1338"/>
      <c r="S124" s="1383">
        <v>1015</v>
      </c>
      <c r="T124" s="1340"/>
      <c r="U124" s="1037">
        <v>463</v>
      </c>
      <c r="V124" s="1045"/>
      <c r="W124" s="1046" t="s">
        <v>843</v>
      </c>
      <c r="X124" s="1052">
        <v>0</v>
      </c>
      <c r="Y124" s="1338"/>
      <c r="Z124" s="1047" t="s">
        <v>819</v>
      </c>
      <c r="AA124" s="9"/>
      <c r="AB124" s="1384" t="s">
        <v>853</v>
      </c>
      <c r="AC124" s="488">
        <f>+C124+E124+G124+I124+Q124+S124+U124+W124+Z124+AB124</f>
        <v>3872</v>
      </c>
    </row>
    <row r="125" spans="1:29" ht="6.75" customHeight="1">
      <c r="A125" s="573"/>
      <c r="B125" s="415"/>
      <c r="C125" s="641"/>
      <c r="D125" s="1212"/>
      <c r="E125" s="1090"/>
      <c r="F125" s="1089"/>
      <c r="G125" s="1090"/>
      <c r="H125" s="1089"/>
      <c r="I125" s="1091"/>
      <c r="J125" s="1212"/>
      <c r="K125" s="1091"/>
      <c r="L125" s="1212"/>
      <c r="M125" s="1091"/>
      <c r="N125" s="1212"/>
      <c r="O125" s="1092"/>
      <c r="P125" s="1309"/>
      <c r="Q125" s="1376"/>
      <c r="R125" s="1377"/>
      <c r="S125" s="1378"/>
      <c r="T125" s="1379"/>
      <c r="U125" s="1092"/>
      <c r="V125" s="1094"/>
      <c r="W125" s="1095"/>
      <c r="X125" s="1310"/>
      <c r="Y125" s="1377"/>
      <c r="Z125" s="1096"/>
      <c r="AA125" s="1381"/>
      <c r="AB125" s="1382"/>
      <c r="AC125" s="576"/>
    </row>
    <row r="126" spans="1:29" ht="19.5" customHeight="1">
      <c r="A126" s="716" t="s">
        <v>871</v>
      </c>
      <c r="B126" s="413"/>
      <c r="C126" s="7">
        <v>0</v>
      </c>
      <c r="D126" s="1036"/>
      <c r="E126" s="1033">
        <v>575</v>
      </c>
      <c r="F126" s="1034"/>
      <c r="G126" s="1033">
        <v>138</v>
      </c>
      <c r="H126" s="1034"/>
      <c r="I126" s="1035">
        <v>213</v>
      </c>
      <c r="J126" s="1036"/>
      <c r="K126" s="1035" t="s">
        <v>71</v>
      </c>
      <c r="L126" s="1036"/>
      <c r="M126" s="1035" t="s">
        <v>71</v>
      </c>
      <c r="N126" s="1036"/>
      <c r="O126" s="1220" t="s">
        <v>71</v>
      </c>
      <c r="P126" s="8"/>
      <c r="Q126" s="1342">
        <v>1302</v>
      </c>
      <c r="R126" s="1338"/>
      <c r="S126" s="1383">
        <v>1046</v>
      </c>
      <c r="T126" s="1340"/>
      <c r="U126" s="1037">
        <v>467</v>
      </c>
      <c r="V126" s="1045"/>
      <c r="W126" s="1046" t="s">
        <v>843</v>
      </c>
      <c r="X126" s="1052">
        <v>0</v>
      </c>
      <c r="Y126" s="1338"/>
      <c r="Z126" s="1047" t="s">
        <v>877</v>
      </c>
      <c r="AA126" s="9"/>
      <c r="AB126" s="1384" t="s">
        <v>617</v>
      </c>
      <c r="AC126" s="488">
        <f>+C126+E126+G126+I126+Q126+S126+U126+W126+Z126+AB126</f>
        <v>3926</v>
      </c>
    </row>
    <row r="127" spans="1:29" ht="6.75" customHeight="1">
      <c r="A127" s="573"/>
      <c r="B127" s="415"/>
      <c r="C127" s="641"/>
      <c r="D127" s="1212"/>
      <c r="E127" s="1090"/>
      <c r="F127" s="1089"/>
      <c r="G127" s="1090"/>
      <c r="H127" s="1089"/>
      <c r="I127" s="1091"/>
      <c r="J127" s="1212"/>
      <c r="K127" s="1091"/>
      <c r="L127" s="1212"/>
      <c r="M127" s="1091"/>
      <c r="N127" s="1212"/>
      <c r="O127" s="1092"/>
      <c r="P127" s="1309"/>
      <c r="Q127" s="1376"/>
      <c r="R127" s="1377"/>
      <c r="S127" s="1378"/>
      <c r="T127" s="1379"/>
      <c r="U127" s="1092"/>
      <c r="V127" s="1094"/>
      <c r="W127" s="1095"/>
      <c r="X127" s="1310"/>
      <c r="Y127" s="1377"/>
      <c r="Z127" s="1096"/>
      <c r="AA127" s="1381"/>
      <c r="AB127" s="1382"/>
      <c r="AC127" s="576"/>
    </row>
    <row r="128" spans="1:29" ht="19.5" customHeight="1">
      <c r="A128" s="716" t="s">
        <v>881</v>
      </c>
      <c r="B128" s="413"/>
      <c r="C128" s="7">
        <v>0</v>
      </c>
      <c r="D128" s="1036"/>
      <c r="E128" s="1033">
        <v>574</v>
      </c>
      <c r="F128" s="1034"/>
      <c r="G128" s="1033">
        <v>141</v>
      </c>
      <c r="H128" s="1034"/>
      <c r="I128" s="1035">
        <v>208</v>
      </c>
      <c r="J128" s="1036"/>
      <c r="K128" s="1035" t="s">
        <v>71</v>
      </c>
      <c r="L128" s="1036"/>
      <c r="M128" s="1035" t="s">
        <v>71</v>
      </c>
      <c r="N128" s="1036"/>
      <c r="O128" s="1220" t="s">
        <v>71</v>
      </c>
      <c r="P128" s="8"/>
      <c r="Q128" s="1386">
        <v>1344</v>
      </c>
      <c r="R128" s="1338"/>
      <c r="S128" s="1383">
        <v>1038</v>
      </c>
      <c r="T128" s="1340"/>
      <c r="U128" s="1037">
        <v>497</v>
      </c>
      <c r="V128" s="1045"/>
      <c r="W128" s="1046" t="s">
        <v>648</v>
      </c>
      <c r="X128" s="1052">
        <v>0</v>
      </c>
      <c r="Y128" s="1338"/>
      <c r="Z128" s="1047" t="s">
        <v>877</v>
      </c>
      <c r="AA128" s="9"/>
      <c r="AB128" s="1384" t="s">
        <v>106</v>
      </c>
      <c r="AC128" s="488">
        <f>+C128+E128+G128+I128+Q128+S128+U128+W128+Z128+AB128</f>
        <v>3988</v>
      </c>
    </row>
    <row r="129" spans="1:29" ht="6.75" customHeight="1">
      <c r="A129" s="573"/>
      <c r="B129" s="415"/>
      <c r="C129" s="641"/>
      <c r="D129" s="1212"/>
      <c r="E129" s="1090"/>
      <c r="F129" s="1089"/>
      <c r="G129" s="1090"/>
      <c r="H129" s="1089"/>
      <c r="I129" s="1091"/>
      <c r="J129" s="1212"/>
      <c r="K129" s="1091"/>
      <c r="L129" s="1212"/>
      <c r="M129" s="1091"/>
      <c r="N129" s="1212"/>
      <c r="O129" s="1092"/>
      <c r="P129" s="1309"/>
      <c r="Q129" s="1376"/>
      <c r="R129" s="1377"/>
      <c r="S129" s="1378"/>
      <c r="T129" s="1379"/>
      <c r="U129" s="1092"/>
      <c r="V129" s="1094"/>
      <c r="W129" s="1095"/>
      <c r="X129" s="1310"/>
      <c r="Y129" s="1377"/>
      <c r="Z129" s="1096"/>
      <c r="AA129" s="1381"/>
      <c r="AB129" s="1382"/>
      <c r="AC129" s="576"/>
    </row>
    <row r="130" spans="1:29" ht="19.5" customHeight="1">
      <c r="A130" s="716" t="s">
        <v>903</v>
      </c>
      <c r="B130" s="413"/>
      <c r="C130" s="1462">
        <v>0</v>
      </c>
      <c r="D130" s="1036"/>
      <c r="E130" s="1033">
        <v>575</v>
      </c>
      <c r="F130" s="1034"/>
      <c r="G130" s="1033">
        <v>143</v>
      </c>
      <c r="H130" s="1034"/>
      <c r="I130" s="1035">
        <v>206</v>
      </c>
      <c r="J130" s="1036"/>
      <c r="K130" s="1035" t="s">
        <v>71</v>
      </c>
      <c r="L130" s="1036"/>
      <c r="M130" s="1035" t="s">
        <v>71</v>
      </c>
      <c r="N130" s="1036"/>
      <c r="O130" s="1220" t="s">
        <v>71</v>
      </c>
      <c r="P130" s="1464"/>
      <c r="Q130" s="1342">
        <v>1362</v>
      </c>
      <c r="R130" s="1338"/>
      <c r="S130" s="1383">
        <v>1035</v>
      </c>
      <c r="T130" s="1340"/>
      <c r="U130" s="1037">
        <v>496</v>
      </c>
      <c r="V130" s="1045"/>
      <c r="W130" s="1046" t="s">
        <v>910</v>
      </c>
      <c r="X130" s="1052">
        <v>0</v>
      </c>
      <c r="Y130" s="1338"/>
      <c r="Z130" s="1047" t="s">
        <v>819</v>
      </c>
      <c r="AA130" s="1463"/>
      <c r="AB130" s="1384" t="s">
        <v>617</v>
      </c>
      <c r="AC130" s="488">
        <f>+C130+E130+G130+I130+Q130+S130+U130+W130+Z130+AB130</f>
        <v>4012</v>
      </c>
    </row>
    <row r="131" spans="1:29" ht="6.75" customHeight="1">
      <c r="A131" s="573"/>
      <c r="B131" s="415"/>
      <c r="C131" s="641"/>
      <c r="D131" s="1212"/>
      <c r="E131" s="1090"/>
      <c r="F131" s="1089"/>
      <c r="G131" s="1090"/>
      <c r="H131" s="1089"/>
      <c r="I131" s="1091"/>
      <c r="J131" s="1212"/>
      <c r="K131" s="1091"/>
      <c r="L131" s="1212"/>
      <c r="M131" s="1091"/>
      <c r="N131" s="1212"/>
      <c r="O131" s="1092"/>
      <c r="P131" s="1309"/>
      <c r="Q131" s="1376"/>
      <c r="R131" s="1377"/>
      <c r="S131" s="1378"/>
      <c r="T131" s="1379"/>
      <c r="U131" s="1092"/>
      <c r="V131" s="1094"/>
      <c r="W131" s="1095"/>
      <c r="X131" s="1310"/>
      <c r="Y131" s="1377"/>
      <c r="Z131" s="1096"/>
      <c r="AA131" s="1381"/>
      <c r="AB131" s="1382"/>
      <c r="AC131" s="576"/>
    </row>
    <row r="132" spans="1:29" ht="19.5" customHeight="1">
      <c r="A132" s="716" t="s">
        <v>912</v>
      </c>
      <c r="B132" s="413"/>
      <c r="C132" s="1476">
        <v>0</v>
      </c>
      <c r="D132" s="1036"/>
      <c r="E132" s="1033">
        <v>635</v>
      </c>
      <c r="F132" s="1034"/>
      <c r="G132" s="1033">
        <v>143</v>
      </c>
      <c r="H132" s="1034"/>
      <c r="I132" s="1035">
        <v>195</v>
      </c>
      <c r="J132" s="1036"/>
      <c r="K132" s="1035" t="s">
        <v>71</v>
      </c>
      <c r="L132" s="1036"/>
      <c r="M132" s="1035" t="s">
        <v>71</v>
      </c>
      <c r="N132" s="1036"/>
      <c r="O132" s="1220" t="s">
        <v>71</v>
      </c>
      <c r="P132" s="1475"/>
      <c r="Q132" s="1342">
        <v>1401</v>
      </c>
      <c r="R132" s="1338"/>
      <c r="S132" s="1383">
        <v>1084</v>
      </c>
      <c r="T132" s="1340"/>
      <c r="U132" s="1037">
        <v>503</v>
      </c>
      <c r="V132" s="1045"/>
      <c r="W132" s="1046" t="s">
        <v>920</v>
      </c>
      <c r="X132" s="1052">
        <v>0</v>
      </c>
      <c r="Y132" s="1338"/>
      <c r="Z132" s="1047" t="s">
        <v>819</v>
      </c>
      <c r="AA132" s="1474"/>
      <c r="AB132" s="1384" t="s">
        <v>106</v>
      </c>
      <c r="AC132" s="488">
        <f>+C132+E132+G132+I132+Q132+S132+U132+W132+Z132+AB132</f>
        <v>4156</v>
      </c>
    </row>
    <row r="133" spans="1:29" ht="6.75" customHeight="1">
      <c r="A133" s="573"/>
      <c r="B133" s="415"/>
      <c r="C133" s="641"/>
      <c r="D133" s="1212"/>
      <c r="E133" s="1090"/>
      <c r="F133" s="1089"/>
      <c r="G133" s="1090"/>
      <c r="H133" s="1089"/>
      <c r="I133" s="1091"/>
      <c r="J133" s="1212"/>
      <c r="K133" s="1091"/>
      <c r="L133" s="1212"/>
      <c r="M133" s="1091"/>
      <c r="N133" s="1212"/>
      <c r="O133" s="1092"/>
      <c r="P133" s="1309"/>
      <c r="Q133" s="1376"/>
      <c r="R133" s="1377"/>
      <c r="S133" s="1378"/>
      <c r="T133" s="1379"/>
      <c r="U133" s="1092"/>
      <c r="V133" s="1094"/>
      <c r="W133" s="1095"/>
      <c r="X133" s="1310"/>
      <c r="Y133" s="1377"/>
      <c r="Z133" s="1096"/>
      <c r="AA133" s="1381"/>
      <c r="AB133" s="1382"/>
      <c r="AC133" s="576"/>
    </row>
    <row r="134" spans="1:29" ht="19.5" customHeight="1">
      <c r="A134" s="716" t="s">
        <v>932</v>
      </c>
      <c r="B134" s="413"/>
      <c r="C134" s="1504">
        <v>0</v>
      </c>
      <c r="D134" s="1036"/>
      <c r="E134" s="1033">
        <v>626</v>
      </c>
      <c r="F134" s="1034"/>
      <c r="G134" s="1033">
        <v>152</v>
      </c>
      <c r="H134" s="1034"/>
      <c r="I134" s="1035">
        <v>192</v>
      </c>
      <c r="J134" s="1036"/>
      <c r="K134" s="1035" t="s">
        <v>71</v>
      </c>
      <c r="L134" s="1036"/>
      <c r="M134" s="1035" t="s">
        <v>71</v>
      </c>
      <c r="N134" s="1036"/>
      <c r="O134" s="1220" t="s">
        <v>71</v>
      </c>
      <c r="P134" s="1506"/>
      <c r="Q134" s="1342">
        <v>1428</v>
      </c>
      <c r="R134" s="1338"/>
      <c r="S134" s="1383">
        <v>1101</v>
      </c>
      <c r="T134" s="1340"/>
      <c r="U134" s="1037">
        <v>489</v>
      </c>
      <c r="V134" s="1045"/>
      <c r="W134" s="1046" t="s">
        <v>938</v>
      </c>
      <c r="X134" s="1052">
        <v>0</v>
      </c>
      <c r="Y134" s="1338"/>
      <c r="Z134" s="1047" t="s">
        <v>114</v>
      </c>
      <c r="AA134" s="1505"/>
      <c r="AB134" s="1384" t="s">
        <v>106</v>
      </c>
      <c r="AC134" s="488">
        <f>+C134+E134+G134+I134+Q134+S134+U134+W134+Z134+AB134</f>
        <v>4178</v>
      </c>
    </row>
    <row r="135" spans="1:29" ht="6.75" customHeight="1">
      <c r="A135" s="573"/>
      <c r="B135" s="415"/>
      <c r="C135" s="641"/>
      <c r="D135" s="1212"/>
      <c r="E135" s="1090"/>
      <c r="F135" s="1089"/>
      <c r="G135" s="1090"/>
      <c r="H135" s="1089"/>
      <c r="I135" s="1091"/>
      <c r="J135" s="1212"/>
      <c r="K135" s="1091"/>
      <c r="L135" s="1212"/>
      <c r="M135" s="1091"/>
      <c r="N135" s="1212"/>
      <c r="O135" s="1092"/>
      <c r="P135" s="1309"/>
      <c r="Q135" s="1376"/>
      <c r="R135" s="1377"/>
      <c r="S135" s="1378"/>
      <c r="T135" s="1379"/>
      <c r="U135" s="1092"/>
      <c r="V135" s="1094"/>
      <c r="W135" s="1095"/>
      <c r="X135" s="1310"/>
      <c r="Y135" s="1377"/>
      <c r="Z135" s="1096"/>
      <c r="AA135" s="1381"/>
      <c r="AB135" s="1382"/>
      <c r="AC135" s="576"/>
    </row>
    <row r="136" spans="1:29" ht="19.5" customHeight="1">
      <c r="A136" s="716" t="s">
        <v>941</v>
      </c>
      <c r="B136" s="413"/>
      <c r="C136" s="1513">
        <v>0</v>
      </c>
      <c r="D136" s="1036"/>
      <c r="E136" s="1033">
        <v>655</v>
      </c>
      <c r="F136" s="1034"/>
      <c r="G136" s="1033">
        <v>155</v>
      </c>
      <c r="H136" s="1034"/>
      <c r="I136" s="1035">
        <v>191</v>
      </c>
      <c r="J136" s="1036"/>
      <c r="K136" s="1035" t="s">
        <v>71</v>
      </c>
      <c r="L136" s="1036"/>
      <c r="M136" s="1035" t="s">
        <v>71</v>
      </c>
      <c r="N136" s="1036"/>
      <c r="O136" s="1220" t="s">
        <v>71</v>
      </c>
      <c r="P136" s="1515"/>
      <c r="Q136" s="1342">
        <v>1450</v>
      </c>
      <c r="R136" s="1338"/>
      <c r="S136" s="1383">
        <v>1107</v>
      </c>
      <c r="T136" s="1340"/>
      <c r="U136" s="1037">
        <v>531</v>
      </c>
      <c r="V136" s="1045"/>
      <c r="W136" s="1046" t="s">
        <v>938</v>
      </c>
      <c r="X136" s="1052">
        <v>0</v>
      </c>
      <c r="Y136" s="1338"/>
      <c r="Z136" s="1047" t="s">
        <v>114</v>
      </c>
      <c r="AA136" s="1514"/>
      <c r="AB136" s="1384" t="s">
        <v>106</v>
      </c>
      <c r="AC136" s="488">
        <f>+C136+E136+G136+I136+Q136+S136+U136+W136+Z136+AB136</f>
        <v>4279</v>
      </c>
    </row>
    <row r="137" spans="1:29" ht="6.75" customHeight="1">
      <c r="A137" s="573"/>
      <c r="B137" s="415"/>
      <c r="C137" s="641"/>
      <c r="D137" s="1212"/>
      <c r="E137" s="1090"/>
      <c r="F137" s="1089"/>
      <c r="G137" s="1090"/>
      <c r="H137" s="1089"/>
      <c r="I137" s="1091"/>
      <c r="J137" s="1212"/>
      <c r="K137" s="1091"/>
      <c r="L137" s="1212"/>
      <c r="M137" s="1091"/>
      <c r="N137" s="1212"/>
      <c r="O137" s="1092"/>
      <c r="P137" s="1309"/>
      <c r="Q137" s="1376"/>
      <c r="R137" s="1377"/>
      <c r="S137" s="1378"/>
      <c r="T137" s="1379"/>
      <c r="U137" s="1092"/>
      <c r="V137" s="1094"/>
      <c r="W137" s="1095"/>
      <c r="X137" s="1310"/>
      <c r="Y137" s="1377"/>
      <c r="Z137" s="1096"/>
      <c r="AA137" s="1381"/>
      <c r="AB137" s="1382"/>
      <c r="AC137" s="576"/>
    </row>
    <row r="138" spans="1:29" ht="19.5" customHeight="1">
      <c r="A138" s="716" t="s">
        <v>985</v>
      </c>
      <c r="B138" s="413"/>
      <c r="C138" s="1529">
        <v>0</v>
      </c>
      <c r="D138" s="1036"/>
      <c r="E138" s="1033">
        <v>647</v>
      </c>
      <c r="F138" s="1034"/>
      <c r="G138" s="1033">
        <v>155</v>
      </c>
      <c r="H138" s="1034"/>
      <c r="I138" s="1035">
        <v>192</v>
      </c>
      <c r="J138" s="1036"/>
      <c r="K138" s="1035" t="s">
        <v>71</v>
      </c>
      <c r="L138" s="1036"/>
      <c r="M138" s="1035" t="s">
        <v>71</v>
      </c>
      <c r="N138" s="1036"/>
      <c r="O138" s="1220" t="s">
        <v>71</v>
      </c>
      <c r="P138" s="1528"/>
      <c r="Q138" s="1342">
        <v>1454</v>
      </c>
      <c r="R138" s="1338"/>
      <c r="S138" s="1383">
        <v>1124</v>
      </c>
      <c r="T138" s="1340"/>
      <c r="U138" s="1037">
        <v>531</v>
      </c>
      <c r="V138" s="1045"/>
      <c r="W138" s="1046" t="s">
        <v>990</v>
      </c>
      <c r="X138" s="1052">
        <v>0</v>
      </c>
      <c r="Y138" s="1338"/>
      <c r="Z138" s="1047" t="s">
        <v>989</v>
      </c>
      <c r="AA138" s="1527"/>
      <c r="AB138" s="1384" t="s">
        <v>820</v>
      </c>
      <c r="AC138" s="488">
        <f>+C138+E138+G138+I138+Q138+S138+U138+W138+Z138+AB138</f>
        <v>4288</v>
      </c>
    </row>
    <row r="139" spans="1:29" ht="6.75" customHeight="1" thickBot="1">
      <c r="A139" s="574"/>
      <c r="B139" s="25"/>
      <c r="C139" s="482"/>
      <c r="D139" s="483"/>
      <c r="E139" s="25"/>
      <c r="F139" s="483"/>
      <c r="G139" s="25"/>
      <c r="H139" s="483"/>
      <c r="I139" s="25"/>
      <c r="J139" s="483"/>
      <c r="K139" s="25"/>
      <c r="L139" s="483"/>
      <c r="M139" s="25"/>
      <c r="N139" s="483"/>
      <c r="O139" s="25"/>
      <c r="P139" s="483"/>
      <c r="Q139" s="25"/>
      <c r="R139" s="483"/>
      <c r="S139" s="25"/>
      <c r="T139" s="483"/>
      <c r="U139" s="25"/>
      <c r="V139" s="483"/>
      <c r="W139" s="25"/>
      <c r="X139" s="595"/>
      <c r="Y139" s="483"/>
      <c r="Z139" s="25"/>
      <c r="AA139" s="483"/>
      <c r="AB139" s="25"/>
      <c r="AC139" s="558"/>
    </row>
    <row r="140" spans="1:29" ht="9"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row>
    <row r="141" spans="1:29">
      <c r="A141" s="164" t="s">
        <v>0</v>
      </c>
      <c r="Q141" t="s">
        <v>0</v>
      </c>
    </row>
    <row r="142" spans="1:29">
      <c r="A142" s="611"/>
      <c r="E142" s="990" t="s">
        <v>0</v>
      </c>
      <c r="F142" s="990" t="s">
        <v>0</v>
      </c>
      <c r="G142" s="990" t="s">
        <v>0</v>
      </c>
      <c r="I142" s="731" t="s">
        <v>0</v>
      </c>
      <c r="K142" t="s">
        <v>0</v>
      </c>
    </row>
    <row r="143" spans="1:29">
      <c r="A143" s="11" t="s">
        <v>0</v>
      </c>
      <c r="E143" s="731" t="s">
        <v>0</v>
      </c>
      <c r="G143" s="731" t="s">
        <v>0</v>
      </c>
      <c r="I143" s="731" t="s">
        <v>0</v>
      </c>
      <c r="K143" s="731" t="s">
        <v>0</v>
      </c>
      <c r="M143" s="731"/>
      <c r="O143" s="731"/>
    </row>
    <row r="144" spans="1:29">
      <c r="E144" s="990" t="s">
        <v>0</v>
      </c>
      <c r="F144" t="s">
        <v>0</v>
      </c>
      <c r="G144" s="989" t="s">
        <v>0</v>
      </c>
      <c r="K144" s="731" t="s">
        <v>0</v>
      </c>
      <c r="M144" s="731"/>
      <c r="O144" s="731"/>
      <c r="Q144" s="731" t="s">
        <v>0</v>
      </c>
      <c r="Z144" t="s">
        <v>0</v>
      </c>
    </row>
    <row r="145" spans="7:11">
      <c r="G145" s="731" t="s">
        <v>0</v>
      </c>
      <c r="K145" s="731" t="s">
        <v>0</v>
      </c>
    </row>
    <row r="146" spans="7:11">
      <c r="G146" s="731" t="s">
        <v>0</v>
      </c>
      <c r="K146" s="731" t="s">
        <v>0</v>
      </c>
    </row>
    <row r="147" spans="7:11">
      <c r="G147" s="731" t="s">
        <v>0</v>
      </c>
      <c r="K147" s="731" t="s">
        <v>0</v>
      </c>
    </row>
    <row r="148" spans="7:11">
      <c r="K148" s="731" t="s">
        <v>0</v>
      </c>
    </row>
    <row r="149" spans="7:11">
      <c r="G149" s="731" t="s">
        <v>0</v>
      </c>
      <c r="K149" s="731" t="s">
        <v>0</v>
      </c>
    </row>
    <row r="150" spans="7:11">
      <c r="K150" s="731" t="s">
        <v>0</v>
      </c>
    </row>
  </sheetData>
  <mergeCells count="20">
    <mergeCell ref="Z114:AA114"/>
    <mergeCell ref="Z104:AA104"/>
    <mergeCell ref="Z86:AA86"/>
    <mergeCell ref="Z88:AA88"/>
    <mergeCell ref="Z90:AA90"/>
    <mergeCell ref="Z94:AA94"/>
    <mergeCell ref="Z92:AA92"/>
    <mergeCell ref="Z102:AA102"/>
    <mergeCell ref="Z106:AA106"/>
    <mergeCell ref="Z96:AA96"/>
    <mergeCell ref="A2:AC2"/>
    <mergeCell ref="Z78:AA78"/>
    <mergeCell ref="Z80:AA80"/>
    <mergeCell ref="Z82:AA82"/>
    <mergeCell ref="Z112:AA112"/>
    <mergeCell ref="Z110:AA110"/>
    <mergeCell ref="Z84:AA84"/>
    <mergeCell ref="Z98:AA98"/>
    <mergeCell ref="Z100:AA100"/>
    <mergeCell ref="Z108:AA108"/>
  </mergeCells>
  <phoneticPr fontId="0" type="noConversion"/>
  <pageMargins left="0.77" right="0.28000000000000003" top="0.22" bottom="0.23" header="0.17" footer="0.18"/>
  <pageSetup scale="40" orientation="portrait"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sheetPr>
    <pageSetUpPr fitToPage="1"/>
  </sheetPr>
  <dimension ref="A3:AE195"/>
  <sheetViews>
    <sheetView topLeftCell="A6" workbookViewId="0">
      <pane xSplit="1" ySplit="17" topLeftCell="B115" activePane="bottomRight" state="frozen"/>
      <selection activeCell="A39" sqref="A39:K39"/>
      <selection pane="topRight" activeCell="A39" sqref="A39:K39"/>
      <selection pane="bottomLeft" activeCell="A39" sqref="A39:K39"/>
      <selection pane="bottomRight" activeCell="F136" sqref="F136"/>
    </sheetView>
  </sheetViews>
  <sheetFormatPr baseColWidth="10" defaultColWidth="9" defaultRowHeight="15.75"/>
  <cols>
    <col min="1" max="1" width="14.5" customWidth="1"/>
    <col min="3" max="3" width="3.125" customWidth="1"/>
    <col min="5" max="5" width="3.125" customWidth="1"/>
    <col min="7" max="7" width="3.125" customWidth="1"/>
    <col min="9" max="9" width="2" customWidth="1"/>
    <col min="10" max="10" width="12.5" customWidth="1"/>
    <col min="11" max="11" width="3" customWidth="1"/>
    <col min="12" max="12" width="10.625" customWidth="1"/>
    <col min="13" max="13" width="3.125" customWidth="1"/>
    <col min="14" max="14" width="9.875" customWidth="1"/>
    <col min="15" max="15" width="3.125" customWidth="1"/>
    <col min="16" max="16" width="9.875" customWidth="1"/>
    <col min="17" max="17" width="3" customWidth="1"/>
    <col min="19" max="19" width="3.125" customWidth="1"/>
    <col min="20" max="20" width="12.75" customWidth="1"/>
    <col min="21" max="21" width="3.25" customWidth="1"/>
    <col min="22" max="23" width="9.5" customWidth="1"/>
    <col min="24" max="24" width="3.125" customWidth="1"/>
    <col min="25" max="25" width="10.375" customWidth="1"/>
    <col min="26" max="26" width="3.125" customWidth="1"/>
    <col min="27" max="27" width="11.25" customWidth="1"/>
    <col min="28" max="28" width="9.875" customWidth="1"/>
  </cols>
  <sheetData>
    <row r="3" spans="1:31" ht="22.5">
      <c r="A3" s="1552" t="s">
        <v>56</v>
      </c>
      <c r="B3" s="1552"/>
      <c r="C3" s="1552"/>
      <c r="D3" s="1552"/>
      <c r="E3" s="1552"/>
      <c r="F3" s="1552"/>
      <c r="G3" s="1552"/>
      <c r="H3" s="1552"/>
      <c r="I3" s="1552"/>
      <c r="J3" s="1552"/>
      <c r="K3" s="1552"/>
      <c r="L3" s="1552"/>
      <c r="M3" s="1552"/>
      <c r="N3" s="1552"/>
      <c r="O3" s="1552"/>
      <c r="P3" s="1552"/>
      <c r="Q3" s="1552"/>
      <c r="R3" s="1552"/>
      <c r="S3" s="1552"/>
      <c r="T3" s="1552"/>
      <c r="U3" s="1552"/>
      <c r="V3" s="1552"/>
      <c r="W3" s="1552"/>
      <c r="X3" s="1552"/>
      <c r="Y3" s="1552"/>
      <c r="Z3" s="1552"/>
      <c r="AA3" s="1552"/>
      <c r="AB3" s="1552"/>
    </row>
    <row r="4" spans="1:31" ht="22.5">
      <c r="A4" s="1552" t="s">
        <v>124</v>
      </c>
      <c r="B4" s="1552"/>
      <c r="C4" s="1552"/>
      <c r="D4" s="1552"/>
      <c r="E4" s="1552"/>
      <c r="F4" s="1552"/>
      <c r="G4" s="1552"/>
      <c r="H4" s="1552"/>
      <c r="I4" s="1552"/>
      <c r="J4" s="1552"/>
      <c r="K4" s="1552"/>
      <c r="L4" s="1552"/>
      <c r="M4" s="1552"/>
      <c r="N4" s="1552"/>
      <c r="O4" s="1552"/>
      <c r="P4" s="1552"/>
      <c r="Q4" s="1552"/>
      <c r="R4" s="1552"/>
      <c r="S4" s="1552"/>
      <c r="T4" s="1552"/>
      <c r="U4" s="1552"/>
      <c r="V4" s="1552"/>
      <c r="W4" s="1552"/>
      <c r="X4" s="1552"/>
      <c r="Y4" s="1552"/>
      <c r="Z4" s="1552"/>
      <c r="AA4" s="1552"/>
      <c r="AB4" s="1552"/>
      <c r="AC4" s="983"/>
      <c r="AD4" s="983"/>
      <c r="AE4" s="983"/>
    </row>
    <row r="5" spans="1:31" ht="22.5">
      <c r="A5" s="5"/>
      <c r="B5" s="5"/>
      <c r="C5" s="5"/>
      <c r="D5" s="5"/>
      <c r="E5" s="5"/>
      <c r="F5" s="5"/>
      <c r="G5" s="5"/>
      <c r="H5" s="5"/>
      <c r="I5" s="5"/>
      <c r="J5" s="5"/>
      <c r="K5" s="5"/>
      <c r="L5" s="5"/>
      <c r="M5" s="5"/>
      <c r="N5" s="5"/>
      <c r="O5" s="5"/>
      <c r="P5" s="5"/>
      <c r="Q5" s="5"/>
      <c r="R5" s="5"/>
      <c r="S5" s="5"/>
      <c r="T5" s="5"/>
      <c r="U5" s="5"/>
      <c r="V5" s="5"/>
      <c r="W5" s="5"/>
      <c r="X5" s="5"/>
      <c r="Y5" s="5"/>
      <c r="Z5" s="5"/>
      <c r="AA5" s="5"/>
      <c r="AB5" s="5"/>
      <c r="AC5" s="983"/>
      <c r="AD5" s="983"/>
      <c r="AE5" s="983"/>
    </row>
    <row r="6" spans="1:31" ht="16.5" thickBot="1">
      <c r="A6" s="111"/>
      <c r="B6" s="39"/>
      <c r="C6" s="39"/>
      <c r="D6" s="39"/>
      <c r="E6" s="39"/>
      <c r="F6" s="39"/>
      <c r="G6" s="39"/>
      <c r="H6" s="39"/>
      <c r="I6" s="39"/>
      <c r="J6" s="39"/>
      <c r="K6" s="39"/>
      <c r="L6" s="39"/>
      <c r="M6" s="39"/>
      <c r="N6" s="39"/>
      <c r="O6" s="39"/>
      <c r="P6" s="39"/>
      <c r="Q6" s="39"/>
    </row>
    <row r="7" spans="1:31" s="11" customFormat="1" ht="16.5" thickBot="1">
      <c r="A7" s="1083"/>
      <c r="B7" s="395" t="s">
        <v>58</v>
      </c>
      <c r="C7" s="396"/>
      <c r="D7" s="1112" t="s">
        <v>125</v>
      </c>
      <c r="E7" s="1113"/>
      <c r="F7" s="1112" t="s">
        <v>60</v>
      </c>
      <c r="G7" s="1113"/>
      <c r="H7" s="1112" t="s">
        <v>126</v>
      </c>
      <c r="I7" s="1113"/>
      <c r="J7" s="1113" t="s">
        <v>780</v>
      </c>
      <c r="K7" s="1113"/>
      <c r="L7" s="1112" t="s">
        <v>63</v>
      </c>
      <c r="M7" s="1113"/>
      <c r="N7" s="1112" t="s">
        <v>80</v>
      </c>
      <c r="O7" s="1113"/>
      <c r="P7" s="1112" t="s">
        <v>64</v>
      </c>
      <c r="Q7" s="1113"/>
      <c r="R7" s="1112" t="s">
        <v>65</v>
      </c>
      <c r="S7" s="1113"/>
      <c r="T7" s="1112" t="s">
        <v>66</v>
      </c>
      <c r="U7" s="1113"/>
      <c r="V7" s="1112" t="s">
        <v>67</v>
      </c>
      <c r="W7" s="1114" t="s">
        <v>81</v>
      </c>
      <c r="X7" s="1113"/>
      <c r="Y7" s="1112" t="s">
        <v>68</v>
      </c>
      <c r="Z7" s="1113"/>
      <c r="AA7" s="1314" t="s">
        <v>69</v>
      </c>
      <c r="AB7" s="397" t="s">
        <v>70</v>
      </c>
    </row>
    <row r="8" spans="1:31" s="11" customFormat="1" ht="16.5" hidden="1" thickTop="1">
      <c r="A8" s="1084"/>
      <c r="B8" s="390"/>
      <c r="C8" s="386"/>
      <c r="D8" s="699"/>
      <c r="E8" s="1249"/>
      <c r="F8" s="699"/>
      <c r="G8" s="1249"/>
      <c r="H8" s="699"/>
      <c r="I8" s="1249"/>
      <c r="J8" s="699"/>
      <c r="K8" s="1249"/>
      <c r="L8" s="699"/>
      <c r="M8" s="1249"/>
      <c r="N8" s="699"/>
      <c r="O8" s="1249"/>
      <c r="P8" s="699"/>
      <c r="Q8" s="1249"/>
      <c r="R8" s="699"/>
      <c r="S8" s="1249"/>
      <c r="T8" s="699"/>
      <c r="U8" s="1249"/>
      <c r="V8" s="699"/>
      <c r="W8" s="1250"/>
      <c r="X8" s="1249"/>
      <c r="Y8" s="699"/>
      <c r="Z8" s="1249"/>
      <c r="AA8" s="1251"/>
      <c r="AB8" s="385"/>
    </row>
    <row r="9" spans="1:31" ht="25.15" hidden="1" customHeight="1">
      <c r="A9" s="1085" t="s">
        <v>82</v>
      </c>
      <c r="B9" s="513">
        <v>160</v>
      </c>
      <c r="C9" s="398"/>
      <c r="D9" s="1252">
        <f>8476+50</f>
        <v>8526</v>
      </c>
      <c r="E9" s="1253"/>
      <c r="F9" s="1254">
        <f>1353+314</f>
        <v>1667</v>
      </c>
      <c r="G9" s="1253"/>
      <c r="H9" s="1254">
        <v>2858</v>
      </c>
      <c r="I9" s="1253"/>
      <c r="J9" s="1254">
        <f>1017+503</f>
        <v>1520</v>
      </c>
      <c r="K9" s="1255"/>
      <c r="L9" s="1256">
        <f>416+299</f>
        <v>715</v>
      </c>
      <c r="M9" s="1257"/>
      <c r="N9" s="1258">
        <v>0</v>
      </c>
      <c r="O9" s="1257"/>
      <c r="P9" s="1252">
        <f>651+1041</f>
        <v>1692</v>
      </c>
      <c r="Q9" s="1253"/>
      <c r="R9" s="1252">
        <f>624+350</f>
        <v>974</v>
      </c>
      <c r="S9" s="1253"/>
      <c r="T9" s="1259">
        <f>624+63</f>
        <v>687</v>
      </c>
      <c r="U9" s="1253"/>
      <c r="V9" s="1260">
        <f>547+16</f>
        <v>563</v>
      </c>
      <c r="W9" s="1261">
        <v>0</v>
      </c>
      <c r="X9" s="1253"/>
      <c r="Y9" s="1256">
        <f>156+69</f>
        <v>225</v>
      </c>
      <c r="Z9" s="1257"/>
      <c r="AA9" s="1262">
        <f>1290+193</f>
        <v>1483</v>
      </c>
      <c r="AB9" s="400">
        <f>SUM(B9:AA9)</f>
        <v>21070</v>
      </c>
    </row>
    <row r="10" spans="1:31" ht="10.5" hidden="1" customHeight="1">
      <c r="A10" s="1082"/>
      <c r="B10" s="503"/>
      <c r="C10" s="407"/>
      <c r="D10" s="1090"/>
      <c r="E10" s="1089"/>
      <c r="F10" s="1091"/>
      <c r="G10" s="1089"/>
      <c r="H10" s="1091"/>
      <c r="I10" s="1089"/>
      <c r="J10" s="1091"/>
      <c r="K10" s="1106"/>
      <c r="L10" s="465"/>
      <c r="M10" s="1089"/>
      <c r="N10" s="465"/>
      <c r="O10" s="1089"/>
      <c r="P10" s="465"/>
      <c r="Q10" s="1089"/>
      <c r="R10" s="1090"/>
      <c r="S10" s="1089"/>
      <c r="T10" s="1263"/>
      <c r="U10" s="1089"/>
      <c r="V10" s="465"/>
      <c r="W10" s="1264"/>
      <c r="X10" s="1089"/>
      <c r="Y10" s="465"/>
      <c r="Z10" s="1089"/>
      <c r="AA10" s="1111"/>
      <c r="AB10" s="409"/>
    </row>
    <row r="11" spans="1:31" ht="25.15" hidden="1" customHeight="1">
      <c r="A11" s="1082" t="s">
        <v>84</v>
      </c>
      <c r="B11" s="542">
        <v>0</v>
      </c>
      <c r="C11" s="410"/>
      <c r="D11" s="1033">
        <f>7299+50</f>
        <v>7349</v>
      </c>
      <c r="E11" s="1034"/>
      <c r="F11" s="1035">
        <f>1374+318</f>
        <v>1692</v>
      </c>
      <c r="G11" s="1034"/>
      <c r="H11" s="1035">
        <f>2475+767</f>
        <v>3242</v>
      </c>
      <c r="I11" s="1034"/>
      <c r="J11" s="1035">
        <f>1035+516</f>
        <v>1551</v>
      </c>
      <c r="K11" s="1039"/>
      <c r="L11" s="1033">
        <f>476+302</f>
        <v>778</v>
      </c>
      <c r="M11" s="1034"/>
      <c r="N11" s="1265">
        <v>0</v>
      </c>
      <c r="O11" s="1266"/>
      <c r="P11" s="1033">
        <f>662+942</f>
        <v>1604</v>
      </c>
      <c r="Q11" s="1034"/>
      <c r="R11" s="1033">
        <f>621+402</f>
        <v>1023</v>
      </c>
      <c r="S11" s="1034"/>
      <c r="T11" s="1267">
        <f>564+109</f>
        <v>673</v>
      </c>
      <c r="U11" s="1268"/>
      <c r="V11" s="1033">
        <f>505+15</f>
        <v>520</v>
      </c>
      <c r="W11" s="1269">
        <v>0</v>
      </c>
      <c r="X11" s="1034"/>
      <c r="Y11" s="1033">
        <f>152+68</f>
        <v>220</v>
      </c>
      <c r="Z11" s="1034"/>
      <c r="AA11" s="1048">
        <f>1461+196</f>
        <v>1657</v>
      </c>
      <c r="AB11" s="541">
        <f>SUM(B11:AA11)</f>
        <v>20309</v>
      </c>
    </row>
    <row r="12" spans="1:31" ht="10.5" hidden="1" customHeight="1">
      <c r="A12" s="1082"/>
      <c r="B12" s="559"/>
      <c r="C12" s="407"/>
      <c r="D12" s="1090"/>
      <c r="E12" s="1089"/>
      <c r="F12" s="1091"/>
      <c r="G12" s="1089"/>
      <c r="H12" s="1091"/>
      <c r="I12" s="1089"/>
      <c r="J12" s="1091"/>
      <c r="K12" s="1106"/>
      <c r="L12" s="1090"/>
      <c r="M12" s="1089"/>
      <c r="N12" s="465"/>
      <c r="O12" s="1089"/>
      <c r="P12" s="1090"/>
      <c r="Q12" s="1089"/>
      <c r="R12" s="1090"/>
      <c r="S12" s="1089"/>
      <c r="T12" s="1263"/>
      <c r="U12" s="1270"/>
      <c r="V12" s="1090"/>
      <c r="W12" s="1271"/>
      <c r="X12" s="1089"/>
      <c r="Y12" s="1090"/>
      <c r="Z12" s="1089"/>
      <c r="AA12" s="1111"/>
      <c r="AB12" s="409"/>
    </row>
    <row r="13" spans="1:31" ht="25.15" hidden="1" customHeight="1">
      <c r="A13" s="1082" t="s">
        <v>86</v>
      </c>
      <c r="B13" s="542">
        <v>0</v>
      </c>
      <c r="C13" s="410"/>
      <c r="D13" s="1033">
        <f>5962+50</f>
        <v>6012</v>
      </c>
      <c r="E13" s="1034"/>
      <c r="F13" s="1035">
        <f>1472+331</f>
        <v>1803</v>
      </c>
      <c r="G13" s="1034"/>
      <c r="H13" s="1035">
        <f>686+2533</f>
        <v>3219</v>
      </c>
      <c r="I13" s="1034"/>
      <c r="J13" s="1035">
        <f>932+533</f>
        <v>1465</v>
      </c>
      <c r="K13" s="1039"/>
      <c r="L13" s="1033">
        <f>531+267</f>
        <v>798</v>
      </c>
      <c r="M13" s="1034"/>
      <c r="N13" s="1265">
        <v>0</v>
      </c>
      <c r="O13" s="1266"/>
      <c r="P13" s="1033">
        <f>1214+1070</f>
        <v>2284</v>
      </c>
      <c r="Q13" s="1034"/>
      <c r="R13" s="1033">
        <f>573+402</f>
        <v>975</v>
      </c>
      <c r="S13" s="1034"/>
      <c r="T13" s="1035">
        <f>1306+134</f>
        <v>1440</v>
      </c>
      <c r="U13" s="1268"/>
      <c r="V13" s="1033">
        <f>495+13</f>
        <v>508</v>
      </c>
      <c r="W13" s="1269">
        <v>0</v>
      </c>
      <c r="X13" s="1034"/>
      <c r="Y13" s="1033">
        <f>256+76</f>
        <v>332</v>
      </c>
      <c r="Z13" s="1034"/>
      <c r="AA13" s="1048">
        <f>1425+200</f>
        <v>1625</v>
      </c>
      <c r="AB13" s="541">
        <f>SUM(B13:AA13)</f>
        <v>20461</v>
      </c>
    </row>
    <row r="14" spans="1:31" ht="10.5" hidden="1" customHeight="1">
      <c r="A14" s="1082"/>
      <c r="B14" s="559"/>
      <c r="C14" s="407"/>
      <c r="D14" s="1090"/>
      <c r="E14" s="1089"/>
      <c r="F14" s="1091"/>
      <c r="G14" s="1089"/>
      <c r="H14" s="1091"/>
      <c r="I14" s="1089"/>
      <c r="J14" s="1091"/>
      <c r="K14" s="1106"/>
      <c r="L14" s="1090"/>
      <c r="M14" s="1089"/>
      <c r="N14" s="465"/>
      <c r="O14" s="1089"/>
      <c r="P14" s="1090"/>
      <c r="Q14" s="1089"/>
      <c r="R14" s="1090"/>
      <c r="S14" s="1089"/>
      <c r="T14" s="1091"/>
      <c r="U14" s="1270"/>
      <c r="V14" s="1090"/>
      <c r="W14" s="1271"/>
      <c r="X14" s="1089"/>
      <c r="Y14" s="1090"/>
      <c r="Z14" s="1089"/>
      <c r="AA14" s="1111"/>
      <c r="AB14" s="409"/>
    </row>
    <row r="15" spans="1:31" ht="25.15" hidden="1" customHeight="1" thickTop="1">
      <c r="A15" s="1082" t="s">
        <v>74</v>
      </c>
      <c r="B15" s="710">
        <v>232</v>
      </c>
      <c r="C15" s="410"/>
      <c r="D15" s="1033">
        <f>3906+50</f>
        <v>3956</v>
      </c>
      <c r="E15" s="1034"/>
      <c r="F15" s="1035">
        <f>1528+304</f>
        <v>1832</v>
      </c>
      <c r="G15" s="1034"/>
      <c r="H15" s="1035">
        <f>580+3149</f>
        <v>3729</v>
      </c>
      <c r="I15" s="1034"/>
      <c r="J15" s="1035">
        <f>1095+497</f>
        <v>1592</v>
      </c>
      <c r="K15" s="1039"/>
      <c r="L15" s="1033">
        <f>577+258</f>
        <v>835</v>
      </c>
      <c r="M15" s="1034"/>
      <c r="N15" s="1265">
        <v>0</v>
      </c>
      <c r="O15" s="1266"/>
      <c r="P15" s="1033">
        <f>1181+428</f>
        <v>1609</v>
      </c>
      <c r="Q15" s="1034"/>
      <c r="R15" s="1033">
        <f>622+434</f>
        <v>1056</v>
      </c>
      <c r="S15" s="1034"/>
      <c r="T15" s="1035">
        <f>712+110</f>
        <v>822</v>
      </c>
      <c r="U15" s="1268"/>
      <c r="V15" s="1033">
        <f>552+14</f>
        <v>566</v>
      </c>
      <c r="W15" s="1272">
        <v>0</v>
      </c>
      <c r="X15" s="1034"/>
      <c r="Y15" s="1033">
        <f>175+81</f>
        <v>256</v>
      </c>
      <c r="Z15" s="1034"/>
      <c r="AA15" s="1048">
        <f>1450+200</f>
        <v>1650</v>
      </c>
      <c r="AB15" s="488">
        <f>SUM(B15:AA15)</f>
        <v>18135</v>
      </c>
    </row>
    <row r="16" spans="1:31" ht="10.5" hidden="1" customHeight="1">
      <c r="A16" s="1082"/>
      <c r="B16" s="577"/>
      <c r="C16" s="407"/>
      <c r="D16" s="1090"/>
      <c r="E16" s="1089"/>
      <c r="F16" s="1091"/>
      <c r="G16" s="1089"/>
      <c r="H16" s="1091"/>
      <c r="I16" s="1089"/>
      <c r="J16" s="1091"/>
      <c r="K16" s="1106"/>
      <c r="L16" s="1090"/>
      <c r="M16" s="1089"/>
      <c r="N16" s="465"/>
      <c r="O16" s="1089"/>
      <c r="P16" s="1090"/>
      <c r="Q16" s="1089"/>
      <c r="R16" s="1090"/>
      <c r="S16" s="1089"/>
      <c r="T16" s="1091"/>
      <c r="U16" s="1270"/>
      <c r="V16" s="1090"/>
      <c r="W16" s="1271"/>
      <c r="X16" s="1089"/>
      <c r="Y16" s="1090"/>
      <c r="Z16" s="1089"/>
      <c r="AA16" s="1111"/>
      <c r="AB16" s="409"/>
    </row>
    <row r="17" spans="1:28" ht="21.75" hidden="1" customHeight="1">
      <c r="A17" s="1082" t="s">
        <v>91</v>
      </c>
      <c r="B17" s="710">
        <f>226+4</f>
        <v>230</v>
      </c>
      <c r="C17" s="410"/>
      <c r="D17" s="1033">
        <f>3717+50</f>
        <v>3767</v>
      </c>
      <c r="E17" s="1034"/>
      <c r="F17" s="1035">
        <f>1542+310</f>
        <v>1852</v>
      </c>
      <c r="G17" s="1034"/>
      <c r="H17" s="1035">
        <f>783+2969</f>
        <v>3752</v>
      </c>
      <c r="I17" s="1034"/>
      <c r="J17" s="1035">
        <v>0</v>
      </c>
      <c r="K17" s="1039"/>
      <c r="L17" s="1033">
        <f>610+250</f>
        <v>860</v>
      </c>
      <c r="M17" s="1034"/>
      <c r="N17" s="1265">
        <v>0</v>
      </c>
      <c r="O17" s="1266"/>
      <c r="P17" s="1033">
        <f>1173+395</f>
        <v>1568</v>
      </c>
      <c r="Q17" s="1034"/>
      <c r="R17" s="1033">
        <f>660+457</f>
        <v>1117</v>
      </c>
      <c r="S17" s="1034"/>
      <c r="T17" s="1035">
        <f>736+114</f>
        <v>850</v>
      </c>
      <c r="U17" s="1268"/>
      <c r="V17" s="1033">
        <f>542+16</f>
        <v>558</v>
      </c>
      <c r="W17" s="1272">
        <v>6</v>
      </c>
      <c r="X17" s="1034"/>
      <c r="Y17" s="1033">
        <f>185+81</f>
        <v>266</v>
      </c>
      <c r="Z17" s="1034"/>
      <c r="AA17" s="1048">
        <f>1418+190</f>
        <v>1608</v>
      </c>
      <c r="AB17" s="488">
        <f>SUM(B17:AA17)</f>
        <v>16434</v>
      </c>
    </row>
    <row r="18" spans="1:28" ht="6" hidden="1" customHeight="1">
      <c r="A18" s="1082"/>
      <c r="B18" s="577"/>
      <c r="C18" s="407"/>
      <c r="D18" s="1090"/>
      <c r="E18" s="1089"/>
      <c r="F18" s="1091"/>
      <c r="G18" s="1089"/>
      <c r="H18" s="1091"/>
      <c r="I18" s="1089"/>
      <c r="J18" s="1091"/>
      <c r="K18" s="1106"/>
      <c r="L18" s="1090"/>
      <c r="M18" s="1089"/>
      <c r="N18" s="465"/>
      <c r="O18" s="1089"/>
      <c r="P18" s="1090"/>
      <c r="Q18" s="1089"/>
      <c r="R18" s="1090"/>
      <c r="S18" s="1089"/>
      <c r="T18" s="1091"/>
      <c r="U18" s="1270"/>
      <c r="V18" s="1090"/>
      <c r="W18" s="1271"/>
      <c r="X18" s="1089"/>
      <c r="Y18" s="1090"/>
      <c r="Z18" s="1089"/>
      <c r="AA18" s="1111"/>
      <c r="AB18" s="409"/>
    </row>
    <row r="19" spans="1:28" ht="22.5" hidden="1" customHeight="1">
      <c r="A19" s="1082" t="s">
        <v>93</v>
      </c>
      <c r="B19" s="710">
        <v>239</v>
      </c>
      <c r="C19" s="410"/>
      <c r="D19" s="1033">
        <v>3767</v>
      </c>
      <c r="E19" s="1273"/>
      <c r="F19" s="1035">
        <v>1802</v>
      </c>
      <c r="G19" s="1044"/>
      <c r="H19" s="1035">
        <v>3752</v>
      </c>
      <c r="I19" s="1044"/>
      <c r="J19" s="1035">
        <v>0</v>
      </c>
      <c r="K19" s="1039"/>
      <c r="L19" s="1033">
        <v>933</v>
      </c>
      <c r="M19" s="1044"/>
      <c r="N19" s="1037">
        <v>0</v>
      </c>
      <c r="O19" s="1039"/>
      <c r="P19" s="1033">
        <v>1598</v>
      </c>
      <c r="Q19" s="1044"/>
      <c r="R19" s="1033">
        <v>1257</v>
      </c>
      <c r="S19" s="1044"/>
      <c r="T19" s="1035">
        <v>755</v>
      </c>
      <c r="U19" s="1045"/>
      <c r="V19" s="1033">
        <v>556</v>
      </c>
      <c r="W19" s="1272">
        <v>11</v>
      </c>
      <c r="X19" s="1044"/>
      <c r="Y19" s="1033">
        <v>271</v>
      </c>
      <c r="Z19" s="1044"/>
      <c r="AA19" s="1048">
        <v>1605</v>
      </c>
      <c r="AB19" s="488">
        <f>SUM(B19:AA19)</f>
        <v>16546</v>
      </c>
    </row>
    <row r="20" spans="1:28" ht="10.5" hidden="1" customHeight="1">
      <c r="A20" s="1082"/>
      <c r="B20" s="577"/>
      <c r="C20" s="407"/>
      <c r="D20" s="1090"/>
      <c r="E20" s="1089"/>
      <c r="F20" s="1091"/>
      <c r="G20" s="1089"/>
      <c r="H20" s="1091"/>
      <c r="I20" s="1089"/>
      <c r="J20" s="1091" t="s">
        <v>0</v>
      </c>
      <c r="K20" s="1106"/>
      <c r="L20" s="1090"/>
      <c r="M20" s="1089"/>
      <c r="N20" s="465"/>
      <c r="O20" s="1089"/>
      <c r="P20" s="1090"/>
      <c r="Q20" s="1089"/>
      <c r="R20" s="1090"/>
      <c r="S20" s="1089"/>
      <c r="T20" s="1091"/>
      <c r="U20" s="1270"/>
      <c r="V20" s="1090"/>
      <c r="W20" s="1271"/>
      <c r="X20" s="1089"/>
      <c r="Y20" s="1090"/>
      <c r="Z20" s="1089"/>
      <c r="AA20" s="1111"/>
      <c r="AB20" s="409"/>
    </row>
    <row r="21" spans="1:28" ht="22.5" hidden="1" customHeight="1">
      <c r="A21" s="1082" t="s">
        <v>95</v>
      </c>
      <c r="B21" s="710">
        <v>247</v>
      </c>
      <c r="C21" s="410"/>
      <c r="D21" s="1033">
        <v>3511</v>
      </c>
      <c r="E21" s="1044"/>
      <c r="F21" s="1035">
        <v>1803</v>
      </c>
      <c r="G21" s="1044"/>
      <c r="H21" s="1035">
        <v>4449</v>
      </c>
      <c r="I21" s="1044"/>
      <c r="J21" s="1035">
        <v>0</v>
      </c>
      <c r="K21" s="1039"/>
      <c r="L21" s="1033">
        <v>1074</v>
      </c>
      <c r="M21" s="1044"/>
      <c r="N21" s="1037">
        <v>0</v>
      </c>
      <c r="O21" s="1039"/>
      <c r="P21" s="1033">
        <v>1556</v>
      </c>
      <c r="Q21" s="1044"/>
      <c r="R21" s="1033">
        <v>1491</v>
      </c>
      <c r="S21" s="1044"/>
      <c r="T21" s="1035">
        <v>813</v>
      </c>
      <c r="U21" s="1045"/>
      <c r="V21" s="1033">
        <v>545</v>
      </c>
      <c r="W21" s="1272">
        <v>17</v>
      </c>
      <c r="X21" s="1044"/>
      <c r="Y21" s="1033">
        <v>280</v>
      </c>
      <c r="Z21" s="1044"/>
      <c r="AA21" s="1048">
        <v>1580</v>
      </c>
      <c r="AB21" s="488">
        <f>SUM(B21:AA21)</f>
        <v>17366</v>
      </c>
    </row>
    <row r="22" spans="1:28" ht="10.5" hidden="1" customHeight="1">
      <c r="A22" s="1082"/>
      <c r="B22" s="577"/>
      <c r="C22" s="407"/>
      <c r="D22" s="1090"/>
      <c r="E22" s="1089"/>
      <c r="F22" s="1091"/>
      <c r="G22" s="1089"/>
      <c r="H22" s="1091"/>
      <c r="I22" s="1089"/>
      <c r="J22" s="1091"/>
      <c r="K22" s="1106"/>
      <c r="L22" s="1090"/>
      <c r="M22" s="1089"/>
      <c r="N22" s="465"/>
      <c r="O22" s="1089"/>
      <c r="P22" s="1090"/>
      <c r="Q22" s="1089"/>
      <c r="R22" s="1090"/>
      <c r="S22" s="1089"/>
      <c r="T22" s="1091"/>
      <c r="U22" s="1270"/>
      <c r="V22" s="1090"/>
      <c r="W22" s="1271"/>
      <c r="X22" s="1089"/>
      <c r="Y22" s="1090"/>
      <c r="Z22" s="1089"/>
      <c r="AA22" s="1111"/>
      <c r="AB22" s="409"/>
    </row>
    <row r="23" spans="1:28" ht="23.25" customHeight="1" thickTop="1">
      <c r="A23" s="1082" t="s">
        <v>75</v>
      </c>
      <c r="B23" s="710">
        <v>70</v>
      </c>
      <c r="C23" s="410"/>
      <c r="D23" s="1033">
        <v>3443</v>
      </c>
      <c r="E23" s="1044"/>
      <c r="F23" s="1035">
        <v>1773</v>
      </c>
      <c r="G23" s="1044"/>
      <c r="H23" s="1035">
        <v>4999</v>
      </c>
      <c r="I23" s="1044"/>
      <c r="J23" s="1035">
        <v>0</v>
      </c>
      <c r="K23" s="1039"/>
      <c r="L23" s="1033">
        <v>1458</v>
      </c>
      <c r="M23" s="1044"/>
      <c r="N23" s="1037">
        <v>0</v>
      </c>
      <c r="O23" s="1039"/>
      <c r="P23" s="1033">
        <v>1499</v>
      </c>
      <c r="Q23" s="1044"/>
      <c r="R23" s="1033">
        <v>1512</v>
      </c>
      <c r="S23" s="1044"/>
      <c r="T23" s="1035">
        <v>980</v>
      </c>
      <c r="U23" s="1045"/>
      <c r="V23" s="1033">
        <v>529</v>
      </c>
      <c r="W23" s="1272">
        <v>28</v>
      </c>
      <c r="X23" s="1044"/>
      <c r="Y23" s="1033">
        <v>266</v>
      </c>
      <c r="Z23" s="1044"/>
      <c r="AA23" s="1048">
        <v>1586</v>
      </c>
      <c r="AB23" s="488">
        <f>SUM(B23:AA23)</f>
        <v>18143</v>
      </c>
    </row>
    <row r="24" spans="1:28" ht="6" customHeight="1">
      <c r="A24" s="1082"/>
      <c r="B24" s="577"/>
      <c r="C24" s="407"/>
      <c r="D24" s="1090"/>
      <c r="E24" s="1089"/>
      <c r="F24" s="1091"/>
      <c r="G24" s="1089"/>
      <c r="H24" s="1091"/>
      <c r="I24" s="1089"/>
      <c r="J24" s="1091"/>
      <c r="K24" s="1106"/>
      <c r="L24" s="1090"/>
      <c r="M24" s="1089"/>
      <c r="N24" s="465"/>
      <c r="O24" s="1089"/>
      <c r="P24" s="1090"/>
      <c r="Q24" s="1089"/>
      <c r="R24" s="1090"/>
      <c r="S24" s="1089"/>
      <c r="T24" s="1091"/>
      <c r="U24" s="1270"/>
      <c r="V24" s="1090"/>
      <c r="W24" s="1271"/>
      <c r="X24" s="1089"/>
      <c r="Y24" s="1090"/>
      <c r="Z24" s="1089"/>
      <c r="AA24" s="1111"/>
      <c r="AB24" s="409"/>
    </row>
    <row r="25" spans="1:28" ht="25.15" customHeight="1">
      <c r="A25" s="1082" t="s">
        <v>100</v>
      </c>
      <c r="B25" s="710">
        <v>82</v>
      </c>
      <c r="C25" s="410"/>
      <c r="D25" s="1033">
        <v>1705</v>
      </c>
      <c r="E25" s="1044"/>
      <c r="F25" s="1035">
        <v>1768</v>
      </c>
      <c r="G25" s="1044"/>
      <c r="H25" s="1035">
        <f>4693+180</f>
        <v>4873</v>
      </c>
      <c r="I25" s="1044"/>
      <c r="J25" s="1035">
        <v>490</v>
      </c>
      <c r="K25" s="1039"/>
      <c r="L25" s="1033">
        <f>897+253</f>
        <v>1150</v>
      </c>
      <c r="M25" s="1044"/>
      <c r="N25" s="1037">
        <v>0</v>
      </c>
      <c r="O25" s="1039"/>
      <c r="P25" s="1033">
        <f>1215+347</f>
        <v>1562</v>
      </c>
      <c r="Q25" s="1044"/>
      <c r="R25" s="1033">
        <f>1088+571</f>
        <v>1659</v>
      </c>
      <c r="S25" s="1044"/>
      <c r="T25" s="1035">
        <v>907</v>
      </c>
      <c r="U25" s="1045"/>
      <c r="V25" s="1033">
        <v>522</v>
      </c>
      <c r="W25" s="1272">
        <v>39</v>
      </c>
      <c r="X25" s="1044"/>
      <c r="Y25" s="1033">
        <v>242</v>
      </c>
      <c r="Z25" s="1044"/>
      <c r="AA25" s="1048">
        <f>1426+130</f>
        <v>1556</v>
      </c>
      <c r="AB25" s="488">
        <f>SUM(B25:AA25)</f>
        <v>16555</v>
      </c>
    </row>
    <row r="26" spans="1:28" ht="6" customHeight="1">
      <c r="A26" s="1082"/>
      <c r="B26" s="577"/>
      <c r="C26" s="407"/>
      <c r="D26" s="1090"/>
      <c r="E26" s="1093"/>
      <c r="F26" s="1091"/>
      <c r="G26" s="1093"/>
      <c r="H26" s="1091"/>
      <c r="I26" s="1093"/>
      <c r="J26" s="1091"/>
      <c r="K26" s="1106"/>
      <c r="L26" s="1090"/>
      <c r="M26" s="1093"/>
      <c r="N26" s="1092"/>
      <c r="O26" s="1093"/>
      <c r="P26" s="1090"/>
      <c r="Q26" s="1093"/>
      <c r="R26" s="1090"/>
      <c r="S26" s="1093"/>
      <c r="T26" s="1091"/>
      <c r="U26" s="1094"/>
      <c r="V26" s="1090"/>
      <c r="W26" s="1271"/>
      <c r="X26" s="1093"/>
      <c r="Y26" s="1090"/>
      <c r="Z26" s="1093"/>
      <c r="AA26" s="1111"/>
      <c r="AB26" s="409"/>
    </row>
    <row r="27" spans="1:28" ht="25.15" customHeight="1">
      <c r="A27" s="1082" t="s">
        <v>107</v>
      </c>
      <c r="B27" s="710">
        <f>67+5</f>
        <v>72</v>
      </c>
      <c r="C27" s="410"/>
      <c r="D27" s="1033">
        <f>3000+50</f>
        <v>3050</v>
      </c>
      <c r="E27" s="1044"/>
      <c r="F27" s="1035">
        <f>1434+327</f>
        <v>1761</v>
      </c>
      <c r="G27" s="1044"/>
      <c r="H27" s="1035">
        <f>5000+177</f>
        <v>5177</v>
      </c>
      <c r="I27" s="1044"/>
      <c r="J27" s="1035">
        <f>1017+503</f>
        <v>1520</v>
      </c>
      <c r="K27" s="1039"/>
      <c r="L27" s="1033">
        <f>867+258</f>
        <v>1125</v>
      </c>
      <c r="M27" s="1044"/>
      <c r="N27" s="1037">
        <v>0</v>
      </c>
      <c r="O27" s="1039"/>
      <c r="P27" s="1033">
        <f>1262+355</f>
        <v>1617</v>
      </c>
      <c r="Q27" s="1044"/>
      <c r="R27" s="1033">
        <f>1267+523</f>
        <v>1790</v>
      </c>
      <c r="S27" s="1044"/>
      <c r="T27" s="1035">
        <f>666+134</f>
        <v>800</v>
      </c>
      <c r="U27" s="1045"/>
      <c r="V27" s="1033">
        <f>504+15</f>
        <v>519</v>
      </c>
      <c r="W27" s="1272">
        <v>42</v>
      </c>
      <c r="X27" s="1044"/>
      <c r="Y27" s="1033">
        <f>150+74</f>
        <v>224</v>
      </c>
      <c r="Z27" s="1044"/>
      <c r="AA27" s="1048">
        <f>1430+131</f>
        <v>1561</v>
      </c>
      <c r="AB27" s="488">
        <f>SUM(B27:AA27)</f>
        <v>19258</v>
      </c>
    </row>
    <row r="28" spans="1:28" ht="6.75" customHeight="1">
      <c r="A28" s="1082"/>
      <c r="B28" s="577"/>
      <c r="C28" s="407"/>
      <c r="D28" s="1090"/>
      <c r="E28" s="1093"/>
      <c r="F28" s="1091"/>
      <c r="G28" s="1093"/>
      <c r="H28" s="1091"/>
      <c r="I28" s="1093"/>
      <c r="J28" s="1091"/>
      <c r="K28" s="1106"/>
      <c r="L28" s="1090"/>
      <c r="M28" s="1093"/>
      <c r="N28" s="1092"/>
      <c r="O28" s="1093"/>
      <c r="P28" s="1090"/>
      <c r="Q28" s="1093"/>
      <c r="R28" s="1090"/>
      <c r="S28" s="1093"/>
      <c r="T28" s="1091"/>
      <c r="U28" s="1094"/>
      <c r="V28" s="1090"/>
      <c r="W28" s="1271"/>
      <c r="X28" s="1093"/>
      <c r="Y28" s="1090"/>
      <c r="Z28" s="1093"/>
      <c r="AA28" s="1111"/>
      <c r="AB28" s="409"/>
    </row>
    <row r="29" spans="1:28" ht="25.15" customHeight="1">
      <c r="A29" s="1082" t="s">
        <v>112</v>
      </c>
      <c r="B29" s="710">
        <f>65+5</f>
        <v>70</v>
      </c>
      <c r="C29" s="410"/>
      <c r="D29" s="1033">
        <f>2910+50</f>
        <v>2960</v>
      </c>
      <c r="E29" s="1044"/>
      <c r="F29" s="1035">
        <f>1239+332</f>
        <v>1571</v>
      </c>
      <c r="G29" s="1044"/>
      <c r="H29" s="1035">
        <f>4700+163</f>
        <v>4863</v>
      </c>
      <c r="I29" s="1044"/>
      <c r="J29" s="1274" t="s">
        <v>71</v>
      </c>
      <c r="K29" s="1039"/>
      <c r="L29" s="1033">
        <f>845+247</f>
        <v>1092</v>
      </c>
      <c r="M29" s="1044"/>
      <c r="N29" s="1037">
        <v>0</v>
      </c>
      <c r="O29" s="1039"/>
      <c r="P29" s="1033">
        <f>1354+363</f>
        <v>1717</v>
      </c>
      <c r="Q29" s="1044"/>
      <c r="R29" s="1033">
        <f>1294+535</f>
        <v>1829</v>
      </c>
      <c r="S29" s="1044"/>
      <c r="T29" s="1035">
        <f>703+142</f>
        <v>845</v>
      </c>
      <c r="U29" s="1045"/>
      <c r="V29" s="1033">
        <f>479+16</f>
        <v>495</v>
      </c>
      <c r="W29" s="1272">
        <f>48+13</f>
        <v>61</v>
      </c>
      <c r="X29" s="1044"/>
      <c r="Y29" s="1033">
        <f>152+69</f>
        <v>221</v>
      </c>
      <c r="Z29" s="1044"/>
      <c r="AA29" s="1048">
        <v>1445.134</v>
      </c>
      <c r="AB29" s="488">
        <f>SUM(B29:AA29)</f>
        <v>17169.133999999998</v>
      </c>
    </row>
    <row r="30" spans="1:28" ht="6.75" customHeight="1">
      <c r="A30" s="1082"/>
      <c r="B30" s="577"/>
      <c r="C30" s="407"/>
      <c r="D30" s="1090"/>
      <c r="E30" s="1093"/>
      <c r="F30" s="1091"/>
      <c r="G30" s="1093"/>
      <c r="H30" s="1091"/>
      <c r="I30" s="1093"/>
      <c r="J30" s="1091"/>
      <c r="K30" s="1106"/>
      <c r="L30" s="1090"/>
      <c r="M30" s="1093"/>
      <c r="N30" s="1092"/>
      <c r="O30" s="1093"/>
      <c r="P30" s="1090"/>
      <c r="Q30" s="1093"/>
      <c r="R30" s="1090"/>
      <c r="S30" s="1093"/>
      <c r="T30" s="1091"/>
      <c r="U30" s="1094"/>
      <c r="V30" s="1090"/>
      <c r="W30" s="1271"/>
      <c r="X30" s="1093"/>
      <c r="Y30" s="1090"/>
      <c r="Z30" s="1093"/>
      <c r="AA30" s="1111"/>
      <c r="AB30" s="409"/>
    </row>
    <row r="31" spans="1:28" ht="25.15" customHeight="1">
      <c r="A31" s="1082" t="s">
        <v>76</v>
      </c>
      <c r="B31" s="710">
        <f>81+5</f>
        <v>86</v>
      </c>
      <c r="C31" s="410"/>
      <c r="D31" s="1033">
        <f>2831+50</f>
        <v>2881</v>
      </c>
      <c r="E31" s="1044"/>
      <c r="F31" s="1035">
        <f>1234+322</f>
        <v>1556</v>
      </c>
      <c r="G31" s="1044"/>
      <c r="H31" s="1035">
        <f>4471+174</f>
        <v>4645</v>
      </c>
      <c r="I31" s="1044"/>
      <c r="J31" s="1035">
        <f>305+106</f>
        <v>411</v>
      </c>
      <c r="K31" s="1039"/>
      <c r="L31" s="1033">
        <f>801+251</f>
        <v>1052</v>
      </c>
      <c r="M31" s="1044"/>
      <c r="N31" s="1037">
        <v>0</v>
      </c>
      <c r="O31" s="1039"/>
      <c r="P31" s="1033">
        <f>1325+354</f>
        <v>1679</v>
      </c>
      <c r="Q31" s="1044"/>
      <c r="R31" s="1033">
        <f>1677+521</f>
        <v>2198</v>
      </c>
      <c r="S31" s="1044"/>
      <c r="T31" s="1035">
        <f>642+146</f>
        <v>788</v>
      </c>
      <c r="U31" s="1045"/>
      <c r="V31" s="1033">
        <f>478+18</f>
        <v>496</v>
      </c>
      <c r="W31" s="1272">
        <v>67</v>
      </c>
      <c r="X31" s="1044"/>
      <c r="Y31" s="1033">
        <f>144+65</f>
        <v>209</v>
      </c>
      <c r="Z31" s="1044"/>
      <c r="AA31" s="1048">
        <f>1450+132</f>
        <v>1582</v>
      </c>
      <c r="AB31" s="488">
        <f>SUM(B31:AA31)</f>
        <v>17650</v>
      </c>
    </row>
    <row r="32" spans="1:28" ht="6" customHeight="1">
      <c r="A32" s="1082"/>
      <c r="B32" s="577"/>
      <c r="C32" s="407"/>
      <c r="D32" s="1090"/>
      <c r="E32" s="1093"/>
      <c r="F32" s="1091"/>
      <c r="G32" s="1093"/>
      <c r="H32" s="1091"/>
      <c r="I32" s="1093"/>
      <c r="J32" s="1091"/>
      <c r="K32" s="1106"/>
      <c r="L32" s="1090"/>
      <c r="M32" s="1093"/>
      <c r="N32" s="1092"/>
      <c r="O32" s="1093"/>
      <c r="P32" s="1090"/>
      <c r="Q32" s="1093"/>
      <c r="R32" s="1090"/>
      <c r="S32" s="1093"/>
      <c r="T32" s="1091"/>
      <c r="U32" s="1094"/>
      <c r="V32" s="1090"/>
      <c r="W32" s="1271"/>
      <c r="X32" s="1093"/>
      <c r="Y32" s="1090"/>
      <c r="Z32" s="1093"/>
      <c r="AA32" s="1111"/>
      <c r="AB32" s="409"/>
    </row>
    <row r="33" spans="1:28" ht="25.15" customHeight="1">
      <c r="A33" s="1082" t="s">
        <v>117</v>
      </c>
      <c r="B33" s="710">
        <f>92+5</f>
        <v>97</v>
      </c>
      <c r="C33" s="410"/>
      <c r="D33" s="1033">
        <f>1974+50</f>
        <v>2024</v>
      </c>
      <c r="E33" s="1044"/>
      <c r="F33" s="1035">
        <f>1226+324</f>
        <v>1550</v>
      </c>
      <c r="G33" s="1044"/>
      <c r="H33" s="1035">
        <f>3696+188</f>
        <v>3884</v>
      </c>
      <c r="I33" s="1044"/>
      <c r="J33" s="1035">
        <f>312+122</f>
        <v>434</v>
      </c>
      <c r="K33" s="1039"/>
      <c r="L33" s="1033">
        <f>765+264</f>
        <v>1029</v>
      </c>
      <c r="M33" s="1044"/>
      <c r="N33" s="1037">
        <v>0</v>
      </c>
      <c r="O33" s="1039"/>
      <c r="P33" s="1033">
        <f>1387+367</f>
        <v>1754</v>
      </c>
      <c r="Q33" s="1044"/>
      <c r="R33" s="1033">
        <f>1782+572</f>
        <v>2354</v>
      </c>
      <c r="S33" s="1044"/>
      <c r="T33" s="1035">
        <f>301+114</f>
        <v>415</v>
      </c>
      <c r="U33" s="1045"/>
      <c r="V33" s="1033">
        <f>475+17</f>
        <v>492</v>
      </c>
      <c r="W33" s="1272">
        <v>69</v>
      </c>
      <c r="X33" s="1044"/>
      <c r="Y33" s="1033">
        <f>146+55</f>
        <v>201</v>
      </c>
      <c r="Z33" s="1044"/>
      <c r="AA33" s="1048">
        <v>1379</v>
      </c>
      <c r="AB33" s="488">
        <f>SUM(B33:AA33)</f>
        <v>15682</v>
      </c>
    </row>
    <row r="34" spans="1:28" ht="9" customHeight="1">
      <c r="A34" s="1082"/>
      <c r="B34" s="577"/>
      <c r="C34" s="407"/>
      <c r="D34" s="1090"/>
      <c r="E34" s="1093"/>
      <c r="F34" s="1091"/>
      <c r="G34" s="1093"/>
      <c r="H34" s="1091"/>
      <c r="I34" s="1093"/>
      <c r="J34" s="1091"/>
      <c r="K34" s="1106"/>
      <c r="L34" s="1090"/>
      <c r="M34" s="1093"/>
      <c r="N34" s="1092"/>
      <c r="O34" s="1093"/>
      <c r="P34" s="1090"/>
      <c r="Q34" s="1093"/>
      <c r="R34" s="1090"/>
      <c r="S34" s="1093"/>
      <c r="T34" s="1091"/>
      <c r="U34" s="1094"/>
      <c r="V34" s="1090"/>
      <c r="W34" s="1271"/>
      <c r="X34" s="1093"/>
      <c r="Y34" s="1090"/>
      <c r="Z34" s="1093"/>
      <c r="AA34" s="1111"/>
      <c r="AB34" s="409"/>
    </row>
    <row r="35" spans="1:28" ht="25.15" customHeight="1">
      <c r="A35" s="1082" t="s">
        <v>120</v>
      </c>
      <c r="B35" s="710">
        <v>0</v>
      </c>
      <c r="C35" s="410"/>
      <c r="D35" s="1033">
        <v>2175</v>
      </c>
      <c r="E35" s="1044"/>
      <c r="F35" s="1035">
        <f>1455+270</f>
        <v>1725</v>
      </c>
      <c r="G35" s="1044"/>
      <c r="H35" s="1035">
        <f>3209+112</f>
        <v>3321</v>
      </c>
      <c r="I35" s="1044"/>
      <c r="J35" s="1035">
        <f>309+137</f>
        <v>446</v>
      </c>
      <c r="K35" s="1039"/>
      <c r="L35" s="1033">
        <f>701+254</f>
        <v>955</v>
      </c>
      <c r="M35" s="1044"/>
      <c r="N35" s="1037">
        <v>0</v>
      </c>
      <c r="O35" s="1039"/>
      <c r="P35" s="1033">
        <f>1428+362</f>
        <v>1790</v>
      </c>
      <c r="Q35" s="1044"/>
      <c r="R35" s="1033">
        <f>835+485</f>
        <v>1320</v>
      </c>
      <c r="S35" s="1044"/>
      <c r="T35" s="1035">
        <f>305+120</f>
        <v>425</v>
      </c>
      <c r="U35" s="1045"/>
      <c r="V35" s="1033">
        <f>472+17</f>
        <v>489</v>
      </c>
      <c r="W35" s="1042" t="s">
        <v>127</v>
      </c>
      <c r="X35" s="1044"/>
      <c r="Y35" s="1033">
        <f>107+60</f>
        <v>167</v>
      </c>
      <c r="Z35" s="1044"/>
      <c r="AA35" s="1048">
        <f>1230+129</f>
        <v>1359</v>
      </c>
      <c r="AB35" s="488">
        <f>SUM(B35:AA35)</f>
        <v>14172</v>
      </c>
    </row>
    <row r="36" spans="1:28" ht="6" customHeight="1">
      <c r="A36" s="1082"/>
      <c r="B36" s="577"/>
      <c r="C36" s="407"/>
      <c r="D36" s="1090"/>
      <c r="E36" s="1093"/>
      <c r="F36" s="1091"/>
      <c r="G36" s="1093"/>
      <c r="H36" s="1091"/>
      <c r="I36" s="1093"/>
      <c r="J36" s="1091"/>
      <c r="K36" s="1106"/>
      <c r="L36" s="1090"/>
      <c r="M36" s="1093"/>
      <c r="N36" s="1092"/>
      <c r="O36" s="1093"/>
      <c r="P36" s="1090"/>
      <c r="Q36" s="1093"/>
      <c r="R36" s="1090"/>
      <c r="S36" s="1093"/>
      <c r="T36" s="1091"/>
      <c r="U36" s="1094"/>
      <c r="V36" s="1090"/>
      <c r="W36" s="1109"/>
      <c r="X36" s="1093"/>
      <c r="Y36" s="1090"/>
      <c r="Z36" s="1093"/>
      <c r="AA36" s="1111"/>
      <c r="AB36" s="409"/>
    </row>
    <row r="37" spans="1:28" ht="25.15" customHeight="1">
      <c r="A37" s="1082" t="s">
        <v>122</v>
      </c>
      <c r="B37" s="710">
        <f>57+5</f>
        <v>62</v>
      </c>
      <c r="C37" s="410"/>
      <c r="D37" s="1033">
        <v>2054</v>
      </c>
      <c r="E37" s="1044"/>
      <c r="F37" s="1035">
        <f>1599+274</f>
        <v>1873</v>
      </c>
      <c r="G37" s="1044"/>
      <c r="H37" s="1035">
        <f>2276+111</f>
        <v>2387</v>
      </c>
      <c r="I37" s="1044"/>
      <c r="J37" s="1035">
        <f>313+151</f>
        <v>464</v>
      </c>
      <c r="K37" s="1039"/>
      <c r="L37" s="1033">
        <f>630+241</f>
        <v>871</v>
      </c>
      <c r="M37" s="1044"/>
      <c r="N37" s="1037">
        <f>8+2</f>
        <v>10</v>
      </c>
      <c r="O37" s="1039"/>
      <c r="P37" s="1033">
        <f>1579+346</f>
        <v>1925</v>
      </c>
      <c r="Q37" s="1044"/>
      <c r="R37" s="1033">
        <f>815+475</f>
        <v>1290</v>
      </c>
      <c r="S37" s="1044"/>
      <c r="T37" s="1035">
        <f>330+123</f>
        <v>453</v>
      </c>
      <c r="U37" s="1045"/>
      <c r="V37" s="1033">
        <f>473+14</f>
        <v>487</v>
      </c>
      <c r="W37" s="1042" t="s">
        <v>127</v>
      </c>
      <c r="X37" s="1044"/>
      <c r="Y37" s="1033">
        <f>118+61</f>
        <v>179</v>
      </c>
      <c r="Z37" s="1044"/>
      <c r="AA37" s="1048">
        <f>1283+136</f>
        <v>1419</v>
      </c>
      <c r="AB37" s="488">
        <f>SUM(B37:AA37)</f>
        <v>13474</v>
      </c>
    </row>
    <row r="38" spans="1:28" ht="9" customHeight="1">
      <c r="A38" s="1082"/>
      <c r="B38" s="577"/>
      <c r="C38" s="407"/>
      <c r="D38" s="1090"/>
      <c r="E38" s="1093"/>
      <c r="F38" s="1091"/>
      <c r="G38" s="1093"/>
      <c r="H38" s="1091"/>
      <c r="I38" s="1093"/>
      <c r="J38" s="1091"/>
      <c r="K38" s="1106"/>
      <c r="L38" s="1090"/>
      <c r="M38" s="1093"/>
      <c r="N38" s="1092"/>
      <c r="O38" s="1106"/>
      <c r="P38" s="1090"/>
      <c r="Q38" s="1093"/>
      <c r="R38" s="1090"/>
      <c r="S38" s="1093"/>
      <c r="T38" s="1091"/>
      <c r="U38" s="1094"/>
      <c r="V38" s="1090"/>
      <c r="W38" s="1109"/>
      <c r="X38" s="1093"/>
      <c r="Y38" s="1090"/>
      <c r="Z38" s="1093"/>
      <c r="AA38" s="1111"/>
      <c r="AB38" s="409"/>
    </row>
    <row r="39" spans="1:28" ht="25.15" customHeight="1">
      <c r="A39" s="1082" t="s">
        <v>458</v>
      </c>
      <c r="B39" s="710">
        <f>52+2</f>
        <v>54</v>
      </c>
      <c r="C39" s="410"/>
      <c r="D39" s="1033">
        <v>2054</v>
      </c>
      <c r="E39" s="1044"/>
      <c r="F39" s="1035">
        <f>1216+217</f>
        <v>1433</v>
      </c>
      <c r="G39" s="1044"/>
      <c r="H39" s="1035">
        <f>1583+108</f>
        <v>1691</v>
      </c>
      <c r="I39" s="1044"/>
      <c r="J39" s="1035">
        <f>310+166</f>
        <v>476</v>
      </c>
      <c r="K39" s="1039"/>
      <c r="L39" s="1033">
        <f>586+242</f>
        <v>828</v>
      </c>
      <c r="M39" s="1044"/>
      <c r="N39" s="1037">
        <v>10</v>
      </c>
      <c r="O39" s="1039"/>
      <c r="P39" s="1033">
        <f>1724+322</f>
        <v>2046</v>
      </c>
      <c r="Q39" s="1044"/>
      <c r="R39" s="1033">
        <f>4554+500</f>
        <v>5054</v>
      </c>
      <c r="S39" s="1044"/>
      <c r="T39" s="1035">
        <f>356+112</f>
        <v>468</v>
      </c>
      <c r="U39" s="1045"/>
      <c r="V39" s="1033">
        <f>478+13</f>
        <v>491</v>
      </c>
      <c r="W39" s="1042" t="s">
        <v>127</v>
      </c>
      <c r="X39" s="1044"/>
      <c r="Y39" s="1033">
        <f>126+62</f>
        <v>188</v>
      </c>
      <c r="Z39" s="1044"/>
      <c r="AA39" s="1048">
        <f>1303+137</f>
        <v>1440</v>
      </c>
      <c r="AB39" s="488">
        <f>SUM(B39:AA39)</f>
        <v>16233</v>
      </c>
    </row>
    <row r="40" spans="1:28" ht="8.25" customHeight="1">
      <c r="A40" s="1082"/>
      <c r="B40" s="577"/>
      <c r="C40" s="407"/>
      <c r="D40" s="1090"/>
      <c r="E40" s="1093"/>
      <c r="F40" s="1091"/>
      <c r="G40" s="1093"/>
      <c r="H40" s="1091"/>
      <c r="I40" s="1093"/>
      <c r="J40" s="1091"/>
      <c r="K40" s="1106"/>
      <c r="L40" s="1090"/>
      <c r="M40" s="1093"/>
      <c r="N40" s="1092"/>
      <c r="O40" s="1106"/>
      <c r="P40" s="1090"/>
      <c r="Q40" s="1093"/>
      <c r="R40" s="1090"/>
      <c r="S40" s="1093"/>
      <c r="T40" s="1091"/>
      <c r="U40" s="1094"/>
      <c r="V40" s="1090"/>
      <c r="W40" s="1109"/>
      <c r="X40" s="1093"/>
      <c r="Y40" s="1090"/>
      <c r="Z40" s="1093"/>
      <c r="AA40" s="1111"/>
      <c r="AB40" s="409"/>
    </row>
    <row r="41" spans="1:28" ht="25.15" customHeight="1">
      <c r="A41" s="1082" t="s">
        <v>462</v>
      </c>
      <c r="B41" s="710">
        <f>56+2</f>
        <v>58</v>
      </c>
      <c r="C41" s="410"/>
      <c r="D41" s="1033">
        <v>6362</v>
      </c>
      <c r="E41" s="1044"/>
      <c r="F41" s="1035">
        <f>1743+217</f>
        <v>1960</v>
      </c>
      <c r="G41" s="1044"/>
      <c r="H41" s="1035">
        <f>1269+101</f>
        <v>1370</v>
      </c>
      <c r="I41" s="1044"/>
      <c r="J41" s="1035">
        <f>320+209</f>
        <v>529</v>
      </c>
      <c r="K41" s="1039"/>
      <c r="L41" s="1033">
        <f>579+231</f>
        <v>810</v>
      </c>
      <c r="M41" s="1044"/>
      <c r="N41" s="1037">
        <f>49+4</f>
        <v>53</v>
      </c>
      <c r="O41" s="1039"/>
      <c r="P41" s="1033">
        <f>1999+354</f>
        <v>2353</v>
      </c>
      <c r="Q41" s="1044"/>
      <c r="R41" s="1033">
        <f>840+575</f>
        <v>1415</v>
      </c>
      <c r="S41" s="1044"/>
      <c r="T41" s="1035">
        <f>325+134</f>
        <v>459</v>
      </c>
      <c r="U41" s="1045"/>
      <c r="V41" s="1033">
        <f>464+12</f>
        <v>476</v>
      </c>
      <c r="W41" s="1042" t="s">
        <v>127</v>
      </c>
      <c r="X41" s="1044"/>
      <c r="Y41" s="1033">
        <f>119+68</f>
        <v>187</v>
      </c>
      <c r="Z41" s="1044"/>
      <c r="AA41" s="1048">
        <f>1312+137</f>
        <v>1449</v>
      </c>
      <c r="AB41" s="488">
        <f>SUM(B41:AA41)</f>
        <v>17481</v>
      </c>
    </row>
    <row r="42" spans="1:28" ht="8.25" customHeight="1">
      <c r="A42" s="1082"/>
      <c r="B42" s="577"/>
      <c r="C42" s="407"/>
      <c r="D42" s="1090"/>
      <c r="E42" s="1093"/>
      <c r="F42" s="1091"/>
      <c r="G42" s="1093"/>
      <c r="H42" s="1091"/>
      <c r="I42" s="1093"/>
      <c r="J42" s="1091"/>
      <c r="K42" s="1106"/>
      <c r="L42" s="1090"/>
      <c r="M42" s="1093"/>
      <c r="N42" s="1092"/>
      <c r="O42" s="1106"/>
      <c r="P42" s="1090"/>
      <c r="Q42" s="1093"/>
      <c r="R42" s="1090"/>
      <c r="S42" s="1093"/>
      <c r="T42" s="1091"/>
      <c r="U42" s="1094"/>
      <c r="V42" s="1090"/>
      <c r="W42" s="1109"/>
      <c r="X42" s="1093"/>
      <c r="Y42" s="1090"/>
      <c r="Z42" s="1093"/>
      <c r="AA42" s="1111"/>
      <c r="AB42" s="409"/>
    </row>
    <row r="43" spans="1:28" ht="25.15" customHeight="1">
      <c r="A43" s="1082" t="s">
        <v>464</v>
      </c>
      <c r="B43" s="710">
        <f>35+3</f>
        <v>38</v>
      </c>
      <c r="C43" s="410"/>
      <c r="D43" s="1033">
        <v>9881</v>
      </c>
      <c r="E43" s="1044"/>
      <c r="F43" s="1035">
        <f>1736+229</f>
        <v>1965</v>
      </c>
      <c r="G43" s="1044"/>
      <c r="H43" s="1035">
        <f>1367+98</f>
        <v>1465</v>
      </c>
      <c r="I43" s="1044"/>
      <c r="J43" s="1035">
        <f>805+387</f>
        <v>1192</v>
      </c>
      <c r="K43" s="1039"/>
      <c r="L43" s="1033">
        <f>542+227</f>
        <v>769</v>
      </c>
      <c r="M43" s="1044"/>
      <c r="N43" s="1037">
        <f>49+4</f>
        <v>53</v>
      </c>
      <c r="O43" s="1039"/>
      <c r="P43" s="1033">
        <f>2290+364</f>
        <v>2654</v>
      </c>
      <c r="Q43" s="1044"/>
      <c r="R43" s="1033">
        <f>893+557</f>
        <v>1450</v>
      </c>
      <c r="S43" s="1044"/>
      <c r="T43" s="1035">
        <f>331+129</f>
        <v>460</v>
      </c>
      <c r="U43" s="1045"/>
      <c r="V43" s="1033">
        <f>472+13</f>
        <v>485</v>
      </c>
      <c r="W43" s="1042" t="s">
        <v>127</v>
      </c>
      <c r="X43" s="1044"/>
      <c r="Y43" s="1033">
        <f>112+64</f>
        <v>176</v>
      </c>
      <c r="Z43" s="1044"/>
      <c r="AA43" s="1048">
        <f>1344+139</f>
        <v>1483</v>
      </c>
      <c r="AB43" s="488">
        <f>SUM(B43:AA43)</f>
        <v>22071</v>
      </c>
    </row>
    <row r="44" spans="1:28" ht="9" customHeight="1">
      <c r="A44" s="1082"/>
      <c r="B44" s="577"/>
      <c r="C44" s="407"/>
      <c r="D44" s="1090"/>
      <c r="E44" s="1093"/>
      <c r="F44" s="1091"/>
      <c r="G44" s="1093"/>
      <c r="H44" s="1091"/>
      <c r="I44" s="1093"/>
      <c r="J44" s="1091"/>
      <c r="K44" s="1106"/>
      <c r="L44" s="1090"/>
      <c r="M44" s="1093"/>
      <c r="N44" s="1092"/>
      <c r="O44" s="1106"/>
      <c r="P44" s="1090"/>
      <c r="Q44" s="1093"/>
      <c r="R44" s="1090"/>
      <c r="S44" s="1093"/>
      <c r="T44" s="1091"/>
      <c r="U44" s="1094"/>
      <c r="V44" s="1090"/>
      <c r="W44" s="1109"/>
      <c r="X44" s="1093"/>
      <c r="Y44" s="1090"/>
      <c r="Z44" s="1093"/>
      <c r="AA44" s="1111"/>
      <c r="AB44" s="409"/>
    </row>
    <row r="45" spans="1:28" ht="25.15" customHeight="1">
      <c r="A45" s="1082" t="s">
        <v>467</v>
      </c>
      <c r="B45" s="710">
        <f>37+3</f>
        <v>40</v>
      </c>
      <c r="C45" s="410"/>
      <c r="D45" s="1033">
        <v>10777</v>
      </c>
      <c r="E45" s="1044"/>
      <c r="F45" s="1035">
        <f>1782+227</f>
        <v>2009</v>
      </c>
      <c r="G45" s="1044"/>
      <c r="H45" s="1035">
        <f>1285+96</f>
        <v>1381</v>
      </c>
      <c r="I45" s="1044"/>
      <c r="J45" s="1035">
        <f>730+363</f>
        <v>1093</v>
      </c>
      <c r="K45" s="1039"/>
      <c r="L45" s="1033">
        <f>544+229</f>
        <v>773</v>
      </c>
      <c r="M45" s="1044"/>
      <c r="N45" s="1037">
        <f>77+7</f>
        <v>84</v>
      </c>
      <c r="O45" s="1039"/>
      <c r="P45" s="1033">
        <f>2522+420</f>
        <v>2942</v>
      </c>
      <c r="Q45" s="1044"/>
      <c r="R45" s="1033">
        <f>908+532</f>
        <v>1440</v>
      </c>
      <c r="S45" s="1044"/>
      <c r="T45" s="1035">
        <f>361+122</f>
        <v>483</v>
      </c>
      <c r="U45" s="1045"/>
      <c r="V45" s="1033">
        <f>475+13</f>
        <v>488</v>
      </c>
      <c r="W45" s="1042" t="s">
        <v>127</v>
      </c>
      <c r="X45" s="1044"/>
      <c r="Y45" s="1033">
        <f>116+63</f>
        <v>179</v>
      </c>
      <c r="Z45" s="1044"/>
      <c r="AA45" s="1048">
        <f>1362+139</f>
        <v>1501</v>
      </c>
      <c r="AB45" s="488">
        <f>SUM(B45:AA45)</f>
        <v>23190</v>
      </c>
    </row>
    <row r="46" spans="1:28" ht="9" customHeight="1">
      <c r="A46" s="392"/>
      <c r="B46" s="577"/>
      <c r="C46" s="407"/>
      <c r="D46" s="1090"/>
      <c r="E46" s="1093"/>
      <c r="F46" s="1091"/>
      <c r="G46" s="1093"/>
      <c r="H46" s="1091"/>
      <c r="I46" s="1093"/>
      <c r="J46" s="1091"/>
      <c r="K46" s="1106"/>
      <c r="L46" s="1090"/>
      <c r="M46" s="1093"/>
      <c r="N46" s="1092"/>
      <c r="O46" s="1106"/>
      <c r="P46" s="1090"/>
      <c r="Q46" s="1093"/>
      <c r="R46" s="1090"/>
      <c r="S46" s="1093"/>
      <c r="T46" s="1091"/>
      <c r="U46" s="1094"/>
      <c r="V46" s="1090"/>
      <c r="W46" s="1109"/>
      <c r="X46" s="1093"/>
      <c r="Y46" s="1090"/>
      <c r="Z46" s="1093"/>
      <c r="AA46" s="1111"/>
      <c r="AB46" s="409"/>
    </row>
    <row r="47" spans="1:28" ht="25.15" customHeight="1">
      <c r="A47" s="392" t="s">
        <v>469</v>
      </c>
      <c r="B47" s="710">
        <f>36+3</f>
        <v>39</v>
      </c>
      <c r="C47" s="410"/>
      <c r="D47" s="1033">
        <v>11572</v>
      </c>
      <c r="E47" s="1044"/>
      <c r="F47" s="1035">
        <f>1855+198</f>
        <v>2053</v>
      </c>
      <c r="G47" s="1044"/>
      <c r="H47" s="1035">
        <f>1597+102</f>
        <v>1699</v>
      </c>
      <c r="I47" s="1044"/>
      <c r="J47" s="1035">
        <f>772+383</f>
        <v>1155</v>
      </c>
      <c r="K47" s="1039"/>
      <c r="L47" s="1033">
        <f>552+227</f>
        <v>779</v>
      </c>
      <c r="M47" s="1044"/>
      <c r="N47" s="1037">
        <f>83+8</f>
        <v>91</v>
      </c>
      <c r="O47" s="1039"/>
      <c r="P47" s="1033">
        <f>2671+458</f>
        <v>3129</v>
      </c>
      <c r="Q47" s="1044"/>
      <c r="R47" s="1033">
        <f>877+536</f>
        <v>1413</v>
      </c>
      <c r="S47" s="1044"/>
      <c r="T47" s="1035">
        <f>371+129</f>
        <v>500</v>
      </c>
      <c r="U47" s="1045"/>
      <c r="V47" s="1033">
        <f>469+13</f>
        <v>482</v>
      </c>
      <c r="W47" s="1042" t="s">
        <v>127</v>
      </c>
      <c r="X47" s="1044"/>
      <c r="Y47" s="1033">
        <f>93+52</f>
        <v>145</v>
      </c>
      <c r="Z47" s="1044"/>
      <c r="AA47" s="1048">
        <v>0</v>
      </c>
      <c r="AB47" s="488">
        <f>SUM(B47:AA47)</f>
        <v>23057</v>
      </c>
    </row>
    <row r="48" spans="1:28" ht="8.25" customHeight="1">
      <c r="A48" s="392"/>
      <c r="B48" s="577"/>
      <c r="C48" s="407"/>
      <c r="D48" s="1090"/>
      <c r="E48" s="1093"/>
      <c r="F48" s="1091"/>
      <c r="G48" s="1093"/>
      <c r="H48" s="1091"/>
      <c r="I48" s="1093"/>
      <c r="J48" s="1091"/>
      <c r="K48" s="1106"/>
      <c r="L48" s="1090"/>
      <c r="M48" s="1093"/>
      <c r="N48" s="1092"/>
      <c r="O48" s="1106"/>
      <c r="P48" s="1090"/>
      <c r="Q48" s="1093"/>
      <c r="R48" s="1090"/>
      <c r="S48" s="1093"/>
      <c r="T48" s="1091"/>
      <c r="U48" s="1094"/>
      <c r="V48" s="1090"/>
      <c r="W48" s="1109"/>
      <c r="X48" s="1093"/>
      <c r="Y48" s="1090"/>
      <c r="Z48" s="1093"/>
      <c r="AA48" s="1111"/>
      <c r="AB48" s="409"/>
    </row>
    <row r="49" spans="1:28" ht="25.15" customHeight="1">
      <c r="A49" s="392" t="s">
        <v>484</v>
      </c>
      <c r="B49" s="710">
        <f>38+1</f>
        <v>39</v>
      </c>
      <c r="C49" s="410"/>
      <c r="D49" s="1049">
        <v>11436</v>
      </c>
      <c r="E49" s="1044"/>
      <c r="F49" s="1035">
        <f>1627+223</f>
        <v>1850</v>
      </c>
      <c r="G49" s="1044"/>
      <c r="H49" s="1035">
        <f>1749+89</f>
        <v>1838</v>
      </c>
      <c r="I49" s="1044"/>
      <c r="J49" s="1035">
        <f>868+446</f>
        <v>1314</v>
      </c>
      <c r="K49" s="1039"/>
      <c r="L49" s="1033">
        <f>538+230</f>
        <v>768</v>
      </c>
      <c r="M49" s="1044"/>
      <c r="N49" s="1037">
        <f>83+9</f>
        <v>92</v>
      </c>
      <c r="O49" s="1039"/>
      <c r="P49" s="1033">
        <f>2830+525</f>
        <v>3355</v>
      </c>
      <c r="Q49" s="1044"/>
      <c r="R49" s="1033">
        <f>1355+396</f>
        <v>1751</v>
      </c>
      <c r="S49" s="1044"/>
      <c r="T49" s="1035">
        <f>424+146</f>
        <v>570</v>
      </c>
      <c r="U49" s="1045"/>
      <c r="V49" s="1033">
        <f>480+12</f>
        <v>492</v>
      </c>
      <c r="W49" s="1042" t="s">
        <v>127</v>
      </c>
      <c r="X49" s="1044"/>
      <c r="Y49" s="1033">
        <v>0</v>
      </c>
      <c r="Z49" s="1044"/>
      <c r="AA49" s="1048">
        <f>1498+143</f>
        <v>1641</v>
      </c>
      <c r="AB49" s="488">
        <f>SUM(B49:AA49)</f>
        <v>25146</v>
      </c>
    </row>
    <row r="50" spans="1:28" ht="9" customHeight="1">
      <c r="A50" s="392"/>
      <c r="B50" s="577"/>
      <c r="C50" s="407"/>
      <c r="D50" s="1090"/>
      <c r="E50" s="1093"/>
      <c r="F50" s="1091"/>
      <c r="G50" s="1093"/>
      <c r="H50" s="1091"/>
      <c r="I50" s="1093"/>
      <c r="J50" s="1091"/>
      <c r="K50" s="1106"/>
      <c r="L50" s="1090"/>
      <c r="M50" s="1093"/>
      <c r="N50" s="1092"/>
      <c r="O50" s="1106"/>
      <c r="P50" s="1090"/>
      <c r="Q50" s="1093"/>
      <c r="R50" s="1090"/>
      <c r="S50" s="1093"/>
      <c r="T50" s="1091"/>
      <c r="U50" s="1094"/>
      <c r="V50" s="1090"/>
      <c r="W50" s="1109"/>
      <c r="X50" s="1093"/>
      <c r="Y50" s="1090"/>
      <c r="Z50" s="1093"/>
      <c r="AA50" s="1111"/>
      <c r="AB50" s="409"/>
    </row>
    <row r="51" spans="1:28" ht="25.15" customHeight="1">
      <c r="A51" s="392" t="s">
        <v>487</v>
      </c>
      <c r="B51" s="710">
        <f>37+2</f>
        <v>39</v>
      </c>
      <c r="C51" s="410"/>
      <c r="D51" s="1033">
        <v>9683</v>
      </c>
      <c r="E51" s="1044"/>
      <c r="F51" s="1035">
        <f>1724+264</f>
        <v>1988</v>
      </c>
      <c r="G51" s="1044"/>
      <c r="H51" s="1035">
        <f>1978+82</f>
        <v>2060</v>
      </c>
      <c r="I51" s="1044"/>
      <c r="J51" s="1035">
        <f>795+401</f>
        <v>1196</v>
      </c>
      <c r="K51" s="1039"/>
      <c r="L51" s="1033">
        <f>519+239</f>
        <v>758</v>
      </c>
      <c r="M51" s="1044"/>
      <c r="N51" s="1037">
        <f>82+10</f>
        <v>92</v>
      </c>
      <c r="O51" s="1039"/>
      <c r="P51" s="1033">
        <f>2914+561</f>
        <v>3475</v>
      </c>
      <c r="Q51" s="1044"/>
      <c r="R51" s="1033">
        <f>1364+408</f>
        <v>1772</v>
      </c>
      <c r="S51" s="1044"/>
      <c r="T51" s="1035">
        <f>452+155</f>
        <v>607</v>
      </c>
      <c r="U51" s="1045"/>
      <c r="V51" s="1033">
        <f>465+11</f>
        <v>476</v>
      </c>
      <c r="W51" s="1042" t="s">
        <v>127</v>
      </c>
      <c r="X51" s="1044"/>
      <c r="Y51" s="1033">
        <f>68+44</f>
        <v>112</v>
      </c>
      <c r="Z51" s="1044"/>
      <c r="AA51" s="1048">
        <f>1101+79</f>
        <v>1180</v>
      </c>
      <c r="AB51" s="488">
        <f>SUM(B51:AA51)</f>
        <v>23438</v>
      </c>
    </row>
    <row r="52" spans="1:28" ht="9" customHeight="1">
      <c r="A52" s="392"/>
      <c r="B52" s="577"/>
      <c r="C52" s="407"/>
      <c r="D52" s="1090"/>
      <c r="E52" s="1093"/>
      <c r="F52" s="1091"/>
      <c r="G52" s="1093"/>
      <c r="H52" s="1091"/>
      <c r="I52" s="1093"/>
      <c r="J52" s="1091"/>
      <c r="K52" s="1106"/>
      <c r="L52" s="1090"/>
      <c r="M52" s="1093"/>
      <c r="N52" s="1092"/>
      <c r="O52" s="1106"/>
      <c r="P52" s="1090"/>
      <c r="Q52" s="1093"/>
      <c r="R52" s="1090"/>
      <c r="S52" s="1093"/>
      <c r="T52" s="1091"/>
      <c r="U52" s="1094"/>
      <c r="V52" s="1090"/>
      <c r="W52" s="1109"/>
      <c r="X52" s="1093"/>
      <c r="Y52" s="1090"/>
      <c r="Z52" s="1093"/>
      <c r="AA52" s="1111"/>
      <c r="AB52" s="409"/>
    </row>
    <row r="53" spans="1:28" ht="25.15" customHeight="1">
      <c r="A53" s="1082" t="s">
        <v>489</v>
      </c>
      <c r="B53" s="487">
        <f>34+4</f>
        <v>38</v>
      </c>
      <c r="C53" s="410"/>
      <c r="D53" s="497">
        <v>7539</v>
      </c>
      <c r="E53" s="480"/>
      <c r="F53" s="487">
        <f>1413+251</f>
        <v>1664</v>
      </c>
      <c r="G53" s="480"/>
      <c r="H53" s="487">
        <f>2529+91</f>
        <v>2620</v>
      </c>
      <c r="I53" s="480"/>
      <c r="J53" s="487">
        <f>657+375</f>
        <v>1032</v>
      </c>
      <c r="K53" s="499"/>
      <c r="L53" s="497">
        <f>587+230</f>
        <v>817</v>
      </c>
      <c r="M53" s="480"/>
      <c r="N53" s="560">
        <f>85+11</f>
        <v>96</v>
      </c>
      <c r="O53" s="499"/>
      <c r="P53" s="497">
        <f>3109+643</f>
        <v>3752</v>
      </c>
      <c r="Q53" s="480"/>
      <c r="R53" s="497">
        <f>1367+472</f>
        <v>1839</v>
      </c>
      <c r="S53" s="480"/>
      <c r="T53" s="487">
        <f>488+180</f>
        <v>668</v>
      </c>
      <c r="U53" s="609"/>
      <c r="V53" s="497">
        <f>455+10</f>
        <v>465</v>
      </c>
      <c r="W53" s="711" t="s">
        <v>127</v>
      </c>
      <c r="X53" s="480"/>
      <c r="Y53" s="497">
        <f>44+92</f>
        <v>136</v>
      </c>
      <c r="Z53" s="480"/>
      <c r="AA53" s="498">
        <f>755+88</f>
        <v>843</v>
      </c>
      <c r="AB53" s="488">
        <f>SUM(B53:AA53)</f>
        <v>21509</v>
      </c>
    </row>
    <row r="54" spans="1:28" ht="9" customHeight="1">
      <c r="A54" s="1082"/>
      <c r="B54" s="505"/>
      <c r="C54" s="407"/>
      <c r="D54" s="502"/>
      <c r="E54" s="490"/>
      <c r="F54" s="505"/>
      <c r="G54" s="490"/>
      <c r="H54" s="505"/>
      <c r="I54" s="490"/>
      <c r="J54" s="505"/>
      <c r="K54" s="504"/>
      <c r="L54" s="502"/>
      <c r="M54" s="490"/>
      <c r="N54" s="575"/>
      <c r="O54" s="504"/>
      <c r="P54" s="502"/>
      <c r="Q54" s="490"/>
      <c r="R54" s="502"/>
      <c r="S54" s="490"/>
      <c r="T54" s="505"/>
      <c r="U54" s="608"/>
      <c r="V54" s="502"/>
      <c r="W54" s="653"/>
      <c r="X54" s="490"/>
      <c r="Y54" s="502"/>
      <c r="Z54" s="490"/>
      <c r="AA54" s="506"/>
      <c r="AB54" s="409"/>
    </row>
    <row r="55" spans="1:28" ht="25.15" customHeight="1">
      <c r="A55" s="1082" t="s">
        <v>499</v>
      </c>
      <c r="B55" s="487">
        <f>41+2</f>
        <v>43</v>
      </c>
      <c r="C55" s="410"/>
      <c r="D55" s="495">
        <v>7539</v>
      </c>
      <c r="E55" s="480"/>
      <c r="F55" s="487">
        <f>1376+250</f>
        <v>1626</v>
      </c>
      <c r="G55" s="480"/>
      <c r="H55" s="487">
        <f>2656+76</f>
        <v>2732</v>
      </c>
      <c r="I55" s="480"/>
      <c r="J55" s="487">
        <f>602+348</f>
        <v>950</v>
      </c>
      <c r="K55" s="499"/>
      <c r="L55" s="497">
        <f>657+262</f>
        <v>919</v>
      </c>
      <c r="M55" s="480"/>
      <c r="N55" s="560">
        <f>91+10</f>
        <v>101</v>
      </c>
      <c r="O55" s="499"/>
      <c r="P55" s="497">
        <f>3439+618</f>
        <v>4057</v>
      </c>
      <c r="Q55" s="480"/>
      <c r="R55" s="497">
        <f>1443+493</f>
        <v>1936</v>
      </c>
      <c r="S55" s="480"/>
      <c r="T55" s="487">
        <f>508+168</f>
        <v>676</v>
      </c>
      <c r="U55" s="609"/>
      <c r="V55" s="609">
        <f>471+13</f>
        <v>484</v>
      </c>
      <c r="W55" s="711" t="s">
        <v>127</v>
      </c>
      <c r="X55" s="709"/>
      <c r="Y55" s="497">
        <f>40+82</f>
        <v>122</v>
      </c>
      <c r="Z55" s="480"/>
      <c r="AA55" s="498">
        <f>792+330</f>
        <v>1122</v>
      </c>
      <c r="AB55" s="488">
        <f>SUM(B55:AA55)</f>
        <v>22307</v>
      </c>
    </row>
    <row r="56" spans="1:28" ht="6" customHeight="1">
      <c r="A56" s="1082"/>
      <c r="B56" s="505"/>
      <c r="C56" s="407"/>
      <c r="D56" s="502"/>
      <c r="E56" s="490"/>
      <c r="F56" s="505"/>
      <c r="G56" s="490"/>
      <c r="H56" s="505"/>
      <c r="I56" s="490"/>
      <c r="J56" s="505"/>
      <c r="K56" s="504"/>
      <c r="L56" s="502"/>
      <c r="M56" s="490"/>
      <c r="N56" s="575"/>
      <c r="O56" s="504"/>
      <c r="P56" s="502"/>
      <c r="Q56" s="490"/>
      <c r="R56" s="502"/>
      <c r="S56" s="490"/>
      <c r="T56" s="505"/>
      <c r="U56" s="608"/>
      <c r="V56" s="502"/>
      <c r="W56" s="653"/>
      <c r="X56" s="490"/>
      <c r="Y56" s="502"/>
      <c r="Z56" s="490"/>
      <c r="AA56" s="506"/>
      <c r="AB56" s="409"/>
    </row>
    <row r="57" spans="1:28" ht="25.15" customHeight="1">
      <c r="A57" s="1082" t="s">
        <v>503</v>
      </c>
      <c r="B57" s="487">
        <f>33+2</f>
        <v>35</v>
      </c>
      <c r="C57" s="410"/>
      <c r="D57" s="497">
        <v>4572</v>
      </c>
      <c r="E57" s="480"/>
      <c r="F57" s="487">
        <f>1016+260</f>
        <v>1276</v>
      </c>
      <c r="G57" s="480"/>
      <c r="H57" s="487">
        <f>2275+60</f>
        <v>2335</v>
      </c>
      <c r="I57" s="480"/>
      <c r="J57" s="487">
        <f>635+373</f>
        <v>1008</v>
      </c>
      <c r="K57" s="499"/>
      <c r="L57" s="497">
        <f>674+276</f>
        <v>950</v>
      </c>
      <c r="M57" s="480"/>
      <c r="N57" s="560">
        <f>89+10</f>
        <v>99</v>
      </c>
      <c r="O57" s="499"/>
      <c r="P57" s="497">
        <f>2780+894</f>
        <v>3674</v>
      </c>
      <c r="Q57" s="480"/>
      <c r="R57" s="497">
        <f>1089+385</f>
        <v>1474</v>
      </c>
      <c r="S57" s="480"/>
      <c r="T57" s="487">
        <f>513+210</f>
        <v>723</v>
      </c>
      <c r="U57" s="609"/>
      <c r="V57" s="497">
        <f>458+14</f>
        <v>472</v>
      </c>
      <c r="W57" s="711" t="s">
        <v>127</v>
      </c>
      <c r="X57" s="480"/>
      <c r="Y57" s="497">
        <f>53+94</f>
        <v>147</v>
      </c>
      <c r="Z57" s="480"/>
      <c r="AA57" s="498">
        <f>700+321</f>
        <v>1021</v>
      </c>
      <c r="AB57" s="488">
        <f>SUM(B57:AA57)</f>
        <v>17786</v>
      </c>
    </row>
    <row r="58" spans="1:28" ht="6" customHeight="1">
      <c r="A58" s="1082"/>
      <c r="B58" s="505"/>
      <c r="C58" s="407"/>
      <c r="D58" s="502"/>
      <c r="E58" s="490"/>
      <c r="F58" s="505"/>
      <c r="G58" s="490"/>
      <c r="H58" s="505"/>
      <c r="I58" s="490"/>
      <c r="J58" s="505"/>
      <c r="K58" s="504"/>
      <c r="L58" s="502"/>
      <c r="M58" s="490"/>
      <c r="N58" s="575"/>
      <c r="O58" s="504"/>
      <c r="P58" s="502"/>
      <c r="Q58" s="490"/>
      <c r="R58" s="502"/>
      <c r="S58" s="490"/>
      <c r="T58" s="505"/>
      <c r="U58" s="608"/>
      <c r="V58" s="502"/>
      <c r="W58" s="653"/>
      <c r="X58" s="490"/>
      <c r="Y58" s="502"/>
      <c r="Z58" s="490"/>
      <c r="AA58" s="506"/>
      <c r="AB58" s="409"/>
    </row>
    <row r="59" spans="1:28" ht="25.15" customHeight="1">
      <c r="A59" s="1082" t="s">
        <v>507</v>
      </c>
      <c r="B59" s="487">
        <f>36+2</f>
        <v>38</v>
      </c>
      <c r="C59" s="410"/>
      <c r="D59" s="497">
        <v>5695</v>
      </c>
      <c r="E59" s="480"/>
      <c r="F59" s="487">
        <f>990+256</f>
        <v>1246</v>
      </c>
      <c r="G59" s="480"/>
      <c r="H59" s="487">
        <f>2588+70</f>
        <v>2658</v>
      </c>
      <c r="I59" s="480"/>
      <c r="J59" s="487">
        <f>573+288</f>
        <v>861</v>
      </c>
      <c r="K59" s="499"/>
      <c r="L59" s="497">
        <f>662+279</f>
        <v>941</v>
      </c>
      <c r="M59" s="480"/>
      <c r="N59" s="560">
        <f>87+11</f>
        <v>98</v>
      </c>
      <c r="O59" s="499"/>
      <c r="P59" s="497">
        <f>2863+915</f>
        <v>3778</v>
      </c>
      <c r="Q59" s="480"/>
      <c r="R59" s="497">
        <f>1393+509</f>
        <v>1902</v>
      </c>
      <c r="S59" s="480"/>
      <c r="T59" s="487">
        <f>531+224</f>
        <v>755</v>
      </c>
      <c r="U59" s="609"/>
      <c r="V59" s="497">
        <f>464+13</f>
        <v>477</v>
      </c>
      <c r="W59" s="711" t="s">
        <v>127</v>
      </c>
      <c r="X59" s="480"/>
      <c r="Y59" s="497">
        <f>44+86</f>
        <v>130</v>
      </c>
      <c r="Z59" s="480"/>
      <c r="AA59" s="498">
        <f>691+317</f>
        <v>1008</v>
      </c>
      <c r="AB59" s="488">
        <f>SUM(B59:AA59)</f>
        <v>19587</v>
      </c>
    </row>
    <row r="60" spans="1:28" ht="4.5" customHeight="1">
      <c r="A60" s="1082"/>
      <c r="B60" s="505"/>
      <c r="C60" s="407"/>
      <c r="D60" s="502"/>
      <c r="E60" s="490"/>
      <c r="F60" s="505"/>
      <c r="G60" s="490"/>
      <c r="H60" s="505"/>
      <c r="I60" s="490"/>
      <c r="J60" s="505"/>
      <c r="K60" s="504"/>
      <c r="L60" s="502"/>
      <c r="M60" s="490"/>
      <c r="N60" s="575"/>
      <c r="O60" s="504"/>
      <c r="P60" s="502"/>
      <c r="Q60" s="490"/>
      <c r="R60" s="502"/>
      <c r="S60" s="490"/>
      <c r="T60" s="505"/>
      <c r="U60" s="608"/>
      <c r="V60" s="502"/>
      <c r="W60" s="653"/>
      <c r="X60" s="490"/>
      <c r="Y60" s="502"/>
      <c r="Z60" s="490"/>
      <c r="AA60" s="506"/>
      <c r="AB60" s="409"/>
    </row>
    <row r="61" spans="1:28" ht="25.15" customHeight="1">
      <c r="A61" s="1082" t="s">
        <v>616</v>
      </c>
      <c r="B61" s="487">
        <f>35+1</f>
        <v>36</v>
      </c>
      <c r="C61" s="410"/>
      <c r="D61" s="497">
        <v>8211</v>
      </c>
      <c r="E61" s="480"/>
      <c r="F61" s="487">
        <f>1237+161</f>
        <v>1398</v>
      </c>
      <c r="G61" s="480"/>
      <c r="H61" s="487">
        <f>3485+76</f>
        <v>3561</v>
      </c>
      <c r="I61" s="480"/>
      <c r="J61" s="487">
        <f>466+264</f>
        <v>730</v>
      </c>
      <c r="K61" s="499"/>
      <c r="L61" s="497">
        <f>653+128</f>
        <v>781</v>
      </c>
      <c r="M61" s="480"/>
      <c r="N61" s="560">
        <f>91+14</f>
        <v>105</v>
      </c>
      <c r="O61" s="499"/>
      <c r="P61" s="497">
        <f>2863+915</f>
        <v>3778</v>
      </c>
      <c r="Q61" s="480"/>
      <c r="R61" s="497">
        <f>1419+496</f>
        <v>1915</v>
      </c>
      <c r="S61" s="480"/>
      <c r="T61" s="487">
        <f>531+234</f>
        <v>765</v>
      </c>
      <c r="U61" s="609"/>
      <c r="V61" s="497">
        <f>467+12</f>
        <v>479</v>
      </c>
      <c r="W61" s="711" t="s">
        <v>127</v>
      </c>
      <c r="X61" s="480"/>
      <c r="Y61" s="497">
        <f>47+88</f>
        <v>135</v>
      </c>
      <c r="Z61" s="480"/>
      <c r="AA61" s="498">
        <f>737+309</f>
        <v>1046</v>
      </c>
      <c r="AB61" s="488">
        <f>SUM(B61:AA61)</f>
        <v>22940</v>
      </c>
    </row>
    <row r="62" spans="1:28" ht="9" customHeight="1">
      <c r="A62" s="1082"/>
      <c r="B62" s="505"/>
      <c r="C62" s="407"/>
      <c r="D62" s="502"/>
      <c r="E62" s="490"/>
      <c r="F62" s="505"/>
      <c r="G62" s="490"/>
      <c r="H62" s="505"/>
      <c r="I62" s="490"/>
      <c r="J62" s="505"/>
      <c r="K62" s="504"/>
      <c r="L62" s="502"/>
      <c r="M62" s="490"/>
      <c r="N62" s="575"/>
      <c r="O62" s="504"/>
      <c r="P62" s="502"/>
      <c r="Q62" s="490"/>
      <c r="R62" s="502"/>
      <c r="S62" s="490"/>
      <c r="T62" s="505"/>
      <c r="U62" s="608"/>
      <c r="V62" s="502"/>
      <c r="W62" s="653"/>
      <c r="X62" s="490"/>
      <c r="Y62" s="502"/>
      <c r="Z62" s="490"/>
      <c r="AA62" s="506"/>
      <c r="AB62" s="409"/>
    </row>
    <row r="63" spans="1:28" ht="25.15" customHeight="1">
      <c r="A63" s="1082" t="s">
        <v>619</v>
      </c>
      <c r="B63" s="487">
        <f>34+1</f>
        <v>35</v>
      </c>
      <c r="C63" s="410"/>
      <c r="D63" s="497">
        <v>8211</v>
      </c>
      <c r="E63" s="480"/>
      <c r="F63" s="487">
        <f>1377+185</f>
        <v>1562</v>
      </c>
      <c r="G63" s="480"/>
      <c r="H63" s="487">
        <f>4132+76</f>
        <v>4208</v>
      </c>
      <c r="I63" s="480"/>
      <c r="J63" s="487">
        <f>454+270</f>
        <v>724</v>
      </c>
      <c r="K63" s="499"/>
      <c r="L63" s="497">
        <f>606+107</f>
        <v>713</v>
      </c>
      <c r="M63" s="480"/>
      <c r="N63" s="560">
        <v>122</v>
      </c>
      <c r="O63" s="499"/>
      <c r="P63" s="497">
        <f>2851+890</f>
        <v>3741</v>
      </c>
      <c r="Q63" s="480"/>
      <c r="R63" s="497">
        <f>1550+531</f>
        <v>2081</v>
      </c>
      <c r="S63" s="480"/>
      <c r="T63" s="487">
        <f>539+227</f>
        <v>766</v>
      </c>
      <c r="U63" s="609"/>
      <c r="V63" s="497">
        <f>471+11</f>
        <v>482</v>
      </c>
      <c r="W63" s="711" t="s">
        <v>127</v>
      </c>
      <c r="X63" s="480"/>
      <c r="Y63" s="497">
        <f>47+88</f>
        <v>135</v>
      </c>
      <c r="Z63" s="480"/>
      <c r="AA63" s="498">
        <f>719+305</f>
        <v>1024</v>
      </c>
      <c r="AB63" s="488">
        <f>SUM(B63:AA63)</f>
        <v>23804</v>
      </c>
    </row>
    <row r="64" spans="1:28" ht="5.25" customHeight="1">
      <c r="A64" s="1082"/>
      <c r="B64" s="505"/>
      <c r="C64" s="407"/>
      <c r="D64" s="502"/>
      <c r="E64" s="490"/>
      <c r="F64" s="505"/>
      <c r="G64" s="490"/>
      <c r="H64" s="505"/>
      <c r="I64" s="490"/>
      <c r="J64" s="505"/>
      <c r="K64" s="504"/>
      <c r="L64" s="502"/>
      <c r="M64" s="490"/>
      <c r="N64" s="575"/>
      <c r="O64" s="504"/>
      <c r="P64" s="502"/>
      <c r="Q64" s="490"/>
      <c r="R64" s="502"/>
      <c r="S64" s="490"/>
      <c r="T64" s="505"/>
      <c r="U64" s="608"/>
      <c r="V64" s="502"/>
      <c r="W64" s="653"/>
      <c r="X64" s="490"/>
      <c r="Y64" s="502"/>
      <c r="Z64" s="490"/>
      <c r="AA64" s="506"/>
      <c r="AB64" s="409"/>
    </row>
    <row r="65" spans="1:28" ht="25.15" customHeight="1">
      <c r="A65" s="1082" t="s">
        <v>623</v>
      </c>
      <c r="B65" s="487">
        <f>33+1</f>
        <v>34</v>
      </c>
      <c r="C65" s="410"/>
      <c r="D65" s="497">
        <f>9760+676</f>
        <v>10436</v>
      </c>
      <c r="E65" s="480"/>
      <c r="F65" s="487">
        <f>1515+194</f>
        <v>1709</v>
      </c>
      <c r="G65" s="480"/>
      <c r="H65" s="487">
        <f>4155+88</f>
        <v>4243</v>
      </c>
      <c r="I65" s="480"/>
      <c r="J65" s="487">
        <f>400+262</f>
        <v>662</v>
      </c>
      <c r="K65" s="499"/>
      <c r="L65" s="497">
        <f>542+105</f>
        <v>647</v>
      </c>
      <c r="M65" s="480"/>
      <c r="N65" s="560">
        <f>104+17</f>
        <v>121</v>
      </c>
      <c r="O65" s="499"/>
      <c r="P65" s="497">
        <f>10278+752</f>
        <v>11030</v>
      </c>
      <c r="Q65" s="480"/>
      <c r="R65" s="497">
        <f>1534+517</f>
        <v>2051</v>
      </c>
      <c r="S65" s="480"/>
      <c r="T65" s="487">
        <f>527+224</f>
        <v>751</v>
      </c>
      <c r="U65" s="609"/>
      <c r="V65" s="497">
        <f>478+14</f>
        <v>492</v>
      </c>
      <c r="W65" s="711" t="s">
        <v>127</v>
      </c>
      <c r="X65" s="480"/>
      <c r="Y65" s="497">
        <f>44+91</f>
        <v>135</v>
      </c>
      <c r="Z65" s="480"/>
      <c r="AA65" s="498">
        <f>715+305</f>
        <v>1020</v>
      </c>
      <c r="AB65" s="488">
        <f>SUM(B65:AA65)</f>
        <v>33331</v>
      </c>
    </row>
    <row r="66" spans="1:28" ht="9" customHeight="1">
      <c r="A66" s="1082"/>
      <c r="B66" s="505"/>
      <c r="C66" s="407"/>
      <c r="D66" s="502"/>
      <c r="E66" s="490"/>
      <c r="F66" s="505"/>
      <c r="G66" s="490"/>
      <c r="H66" s="505"/>
      <c r="I66" s="490"/>
      <c r="J66" s="505"/>
      <c r="K66" s="504"/>
      <c r="L66" s="502"/>
      <c r="M66" s="490"/>
      <c r="N66" s="575"/>
      <c r="O66" s="504"/>
      <c r="P66" s="502"/>
      <c r="Q66" s="490"/>
      <c r="R66" s="502"/>
      <c r="S66" s="490"/>
      <c r="T66" s="505"/>
      <c r="U66" s="608"/>
      <c r="V66" s="502"/>
      <c r="W66" s="653"/>
      <c r="X66" s="490"/>
      <c r="Y66" s="502"/>
      <c r="Z66" s="490"/>
      <c r="AA66" s="506"/>
      <c r="AB66" s="409"/>
    </row>
    <row r="67" spans="1:28" ht="25.15" customHeight="1">
      <c r="A67" s="1086" t="s">
        <v>626</v>
      </c>
      <c r="B67" s="487">
        <f>36+1</f>
        <v>37</v>
      </c>
      <c r="C67" s="410"/>
      <c r="D67" s="497">
        <f>9904+290</f>
        <v>10194</v>
      </c>
      <c r="E67" s="480"/>
      <c r="F67" s="487">
        <f>1483+189</f>
        <v>1672</v>
      </c>
      <c r="G67" s="480"/>
      <c r="H67" s="487">
        <f>3864+87</f>
        <v>3951</v>
      </c>
      <c r="I67" s="480"/>
      <c r="J67" s="487">
        <f>429+256</f>
        <v>685</v>
      </c>
      <c r="K67" s="499"/>
      <c r="L67" s="497">
        <f>483+101</f>
        <v>584</v>
      </c>
      <c r="M67" s="480"/>
      <c r="N67" s="560">
        <f>97+15</f>
        <v>112</v>
      </c>
      <c r="O67" s="499"/>
      <c r="P67" s="497">
        <f>10525+616</f>
        <v>11141</v>
      </c>
      <c r="Q67" s="480"/>
      <c r="R67" s="497">
        <f>1781+640</f>
        <v>2421</v>
      </c>
      <c r="S67" s="480"/>
      <c r="T67" s="487">
        <f>497+223</f>
        <v>720</v>
      </c>
      <c r="U67" s="609"/>
      <c r="V67" s="497">
        <f>476+15</f>
        <v>491</v>
      </c>
      <c r="W67" s="711" t="s">
        <v>127</v>
      </c>
      <c r="X67" s="480"/>
      <c r="Y67" s="497">
        <f>37+89</f>
        <v>126</v>
      </c>
      <c r="Z67" s="480"/>
      <c r="AA67" s="498">
        <f>737+309</f>
        <v>1046</v>
      </c>
      <c r="AB67" s="488">
        <f>SUM(B67:AA67)</f>
        <v>33180</v>
      </c>
    </row>
    <row r="68" spans="1:28" ht="6.75" customHeight="1">
      <c r="A68" s="973"/>
      <c r="B68" s="577"/>
      <c r="C68" s="407"/>
      <c r="D68" s="502"/>
      <c r="E68" s="490"/>
      <c r="F68" s="505"/>
      <c r="G68" s="490"/>
      <c r="H68" s="505"/>
      <c r="I68" s="490"/>
      <c r="J68" s="505"/>
      <c r="K68" s="504"/>
      <c r="L68" s="502"/>
      <c r="M68" s="490"/>
      <c r="N68" s="575"/>
      <c r="O68" s="504"/>
      <c r="P68" s="502"/>
      <c r="Q68" s="490"/>
      <c r="R68" s="502"/>
      <c r="S68" s="490"/>
      <c r="T68" s="505"/>
      <c r="U68" s="608"/>
      <c r="V68" s="502"/>
      <c r="W68" s="653"/>
      <c r="X68" s="490"/>
      <c r="Y68" s="502"/>
      <c r="Z68" s="490"/>
      <c r="AA68" s="506"/>
      <c r="AB68" s="409"/>
    </row>
    <row r="69" spans="1:28" ht="25.15" customHeight="1">
      <c r="A69" s="973" t="s">
        <v>627</v>
      </c>
      <c r="B69" s="710">
        <v>0</v>
      </c>
      <c r="C69" s="410"/>
      <c r="D69" s="497">
        <f>9579+274</f>
        <v>9853</v>
      </c>
      <c r="E69" s="480"/>
      <c r="F69" s="487">
        <f>1484+192</f>
        <v>1676</v>
      </c>
      <c r="G69" s="480"/>
      <c r="H69" s="487">
        <f>443+3702</f>
        <v>4145</v>
      </c>
      <c r="I69" s="480"/>
      <c r="J69" s="487">
        <f>441+247</f>
        <v>688</v>
      </c>
      <c r="K69" s="499"/>
      <c r="L69" s="497">
        <f>515+111</f>
        <v>626</v>
      </c>
      <c r="M69" s="480"/>
      <c r="N69" s="560">
        <v>0</v>
      </c>
      <c r="O69" s="499"/>
      <c r="P69" s="497">
        <f>11268+649</f>
        <v>11917</v>
      </c>
      <c r="Q69" s="480"/>
      <c r="R69" s="497">
        <f>1613+615</f>
        <v>2228</v>
      </c>
      <c r="S69" s="480"/>
      <c r="T69" s="487">
        <f>449+228</f>
        <v>677</v>
      </c>
      <c r="U69" s="609"/>
      <c r="V69" s="497">
        <f>461+15</f>
        <v>476</v>
      </c>
      <c r="W69" s="711" t="s">
        <v>127</v>
      </c>
      <c r="X69" s="480"/>
      <c r="Y69" s="497">
        <f>43+98</f>
        <v>141</v>
      </c>
      <c r="Z69" s="480"/>
      <c r="AA69" s="498">
        <f>737+309</f>
        <v>1046</v>
      </c>
      <c r="AB69" s="488">
        <f>SUM(B69:AA69)</f>
        <v>33473</v>
      </c>
    </row>
    <row r="70" spans="1:28" ht="9" customHeight="1">
      <c r="A70" s="973"/>
      <c r="B70" s="577"/>
      <c r="C70" s="407"/>
      <c r="D70" s="502"/>
      <c r="E70" s="490"/>
      <c r="F70" s="505"/>
      <c r="G70" s="490"/>
      <c r="H70" s="505"/>
      <c r="I70" s="490"/>
      <c r="J70" s="505"/>
      <c r="K70" s="504"/>
      <c r="L70" s="502"/>
      <c r="M70" s="490"/>
      <c r="N70" s="575"/>
      <c r="O70" s="504"/>
      <c r="P70" s="502"/>
      <c r="Q70" s="490"/>
      <c r="R70" s="502"/>
      <c r="S70" s="490"/>
      <c r="T70" s="505"/>
      <c r="U70" s="608"/>
      <c r="V70" s="502"/>
      <c r="W70" s="653"/>
      <c r="X70" s="490"/>
      <c r="Y70" s="502"/>
      <c r="Z70" s="490"/>
      <c r="AA70" s="506"/>
      <c r="AB70" s="409"/>
    </row>
    <row r="71" spans="1:28" ht="25.15" customHeight="1">
      <c r="A71" s="392" t="s">
        <v>629</v>
      </c>
      <c r="B71" s="710">
        <v>0</v>
      </c>
      <c r="C71" s="410"/>
      <c r="D71" s="497">
        <f>9523+146</f>
        <v>9669</v>
      </c>
      <c r="E71" s="480"/>
      <c r="F71" s="487">
        <f>1594+195</f>
        <v>1789</v>
      </c>
      <c r="G71" s="480"/>
      <c r="H71" s="487">
        <f>402+3832</f>
        <v>4234</v>
      </c>
      <c r="I71" s="480"/>
      <c r="J71" s="487">
        <v>0</v>
      </c>
      <c r="K71" s="499"/>
      <c r="L71" s="497">
        <f>551+111</f>
        <v>662</v>
      </c>
      <c r="M71" s="480"/>
      <c r="N71" s="560">
        <v>0</v>
      </c>
      <c r="O71" s="499"/>
      <c r="P71" s="497">
        <f>11538+626</f>
        <v>12164</v>
      </c>
      <c r="Q71" s="480"/>
      <c r="R71" s="497">
        <f>1664+644</f>
        <v>2308</v>
      </c>
      <c r="S71" s="480"/>
      <c r="T71" s="487">
        <f>443+214</f>
        <v>657</v>
      </c>
      <c r="U71" s="609"/>
      <c r="V71" s="497">
        <f>434+12</f>
        <v>446</v>
      </c>
      <c r="W71" s="711" t="s">
        <v>127</v>
      </c>
      <c r="X71" s="480"/>
      <c r="Y71" s="497">
        <f>36+95</f>
        <v>131</v>
      </c>
      <c r="Z71" s="480"/>
      <c r="AA71" s="498">
        <f>737+309</f>
        <v>1046</v>
      </c>
      <c r="AB71" s="488">
        <f>SUM(B71:AA71)</f>
        <v>33106</v>
      </c>
    </row>
    <row r="72" spans="1:28" ht="5.25" customHeight="1">
      <c r="A72" s="392"/>
      <c r="B72" s="577"/>
      <c r="C72" s="407"/>
      <c r="D72" s="502"/>
      <c r="E72" s="490"/>
      <c r="F72" s="505"/>
      <c r="G72" s="490"/>
      <c r="H72" s="505"/>
      <c r="I72" s="490"/>
      <c r="J72" s="505"/>
      <c r="K72" s="504"/>
      <c r="L72" s="502"/>
      <c r="M72" s="490"/>
      <c r="N72" s="575"/>
      <c r="O72" s="504"/>
      <c r="P72" s="502"/>
      <c r="Q72" s="490"/>
      <c r="R72" s="502"/>
      <c r="S72" s="490"/>
      <c r="T72" s="505"/>
      <c r="U72" s="608"/>
      <c r="V72" s="502"/>
      <c r="W72" s="653"/>
      <c r="X72" s="490"/>
      <c r="Y72" s="502"/>
      <c r="Z72" s="490"/>
      <c r="AA72" s="506"/>
      <c r="AB72" s="409"/>
    </row>
    <row r="73" spans="1:28" ht="25.15" customHeight="1">
      <c r="A73" s="392" t="s">
        <v>631</v>
      </c>
      <c r="B73" s="710">
        <v>0</v>
      </c>
      <c r="C73" s="410"/>
      <c r="D73" s="497">
        <f>9666+139</f>
        <v>9805</v>
      </c>
      <c r="E73" s="480"/>
      <c r="F73" s="487">
        <f>1813+183</f>
        <v>1996</v>
      </c>
      <c r="G73" s="480"/>
      <c r="H73" s="487">
        <f>364+3983</f>
        <v>4347</v>
      </c>
      <c r="I73" s="480"/>
      <c r="J73" s="487">
        <v>0</v>
      </c>
      <c r="K73" s="499"/>
      <c r="L73" s="497">
        <f>505+108</f>
        <v>613</v>
      </c>
      <c r="M73" s="480"/>
      <c r="N73" s="560">
        <v>0</v>
      </c>
      <c r="O73" s="499"/>
      <c r="P73" s="497">
        <f>15074+1181</f>
        <v>16255</v>
      </c>
      <c r="Q73" s="480"/>
      <c r="R73" s="497">
        <f>1755+696</f>
        <v>2451</v>
      </c>
      <c r="S73" s="480"/>
      <c r="T73" s="487">
        <f>446+220</f>
        <v>666</v>
      </c>
      <c r="U73" s="609"/>
      <c r="V73" s="497">
        <f>435+12</f>
        <v>447</v>
      </c>
      <c r="W73" s="711" t="s">
        <v>127</v>
      </c>
      <c r="X73" s="480"/>
      <c r="Y73" s="497">
        <f>33+99</f>
        <v>132</v>
      </c>
      <c r="Z73" s="480"/>
      <c r="AA73" s="498">
        <f>753+311</f>
        <v>1064</v>
      </c>
      <c r="AB73" s="488">
        <f>SUM(B73:AA73)</f>
        <v>37776</v>
      </c>
    </row>
    <row r="74" spans="1:28" ht="6" customHeight="1">
      <c r="A74" s="1082"/>
      <c r="B74" s="577"/>
      <c r="C74" s="407"/>
      <c r="D74" s="502"/>
      <c r="E74" s="490"/>
      <c r="F74" s="505"/>
      <c r="G74" s="490"/>
      <c r="H74" s="505"/>
      <c r="I74" s="490"/>
      <c r="J74" s="505"/>
      <c r="K74" s="504"/>
      <c r="L74" s="502"/>
      <c r="M74" s="490"/>
      <c r="N74" s="575"/>
      <c r="O74" s="504"/>
      <c r="P74" s="502"/>
      <c r="Q74" s="490"/>
      <c r="R74" s="502"/>
      <c r="S74" s="490"/>
      <c r="T74" s="505"/>
      <c r="U74" s="608"/>
      <c r="V74" s="502"/>
      <c r="W74" s="653"/>
      <c r="X74" s="490"/>
      <c r="Y74" s="502"/>
      <c r="Z74" s="490"/>
      <c r="AA74" s="506"/>
      <c r="AB74" s="409"/>
    </row>
    <row r="75" spans="1:28" ht="25.15" customHeight="1">
      <c r="A75" s="1086" t="s">
        <v>638</v>
      </c>
      <c r="B75" s="710">
        <v>0</v>
      </c>
      <c r="C75" s="410"/>
      <c r="D75" s="495">
        <f>10175+147</f>
        <v>10322</v>
      </c>
      <c r="E75" s="480"/>
      <c r="F75" s="487">
        <f>1671+183</f>
        <v>1854</v>
      </c>
      <c r="G75" s="480" t="s">
        <v>0</v>
      </c>
      <c r="H75" s="487">
        <f>343+3814</f>
        <v>4157</v>
      </c>
      <c r="I75" s="480"/>
      <c r="J75" s="992" t="s">
        <v>127</v>
      </c>
      <c r="K75" s="499"/>
      <c r="L75" s="992" t="s">
        <v>127</v>
      </c>
      <c r="M75" s="991" t="s">
        <v>0</v>
      </c>
      <c r="N75" s="992" t="s">
        <v>127</v>
      </c>
      <c r="O75" s="499"/>
      <c r="P75" s="497">
        <f>15105+1185</f>
        <v>16290</v>
      </c>
      <c r="Q75" s="480"/>
      <c r="R75" s="497">
        <f>1787+714</f>
        <v>2501</v>
      </c>
      <c r="S75" s="480"/>
      <c r="T75" s="487">
        <f>427+132</f>
        <v>559</v>
      </c>
      <c r="U75" s="609"/>
      <c r="V75" s="497">
        <f>440+15</f>
        <v>455</v>
      </c>
      <c r="W75" s="711" t="s">
        <v>127</v>
      </c>
      <c r="X75" s="480"/>
      <c r="Y75" s="497">
        <f>30+102</f>
        <v>132</v>
      </c>
      <c r="Z75" s="480"/>
      <c r="AA75" s="498">
        <f>737+309</f>
        <v>1046</v>
      </c>
      <c r="AB75" s="488">
        <f>SUM(B75:AA75)</f>
        <v>37316</v>
      </c>
    </row>
    <row r="76" spans="1:28" ht="9" customHeight="1">
      <c r="A76" s="1086"/>
      <c r="B76" s="577"/>
      <c r="C76" s="407"/>
      <c r="D76" s="502"/>
      <c r="E76" s="490"/>
      <c r="F76" s="505"/>
      <c r="G76" s="490"/>
      <c r="H76" s="505"/>
      <c r="I76" s="490"/>
      <c r="J76" s="996"/>
      <c r="K76" s="504"/>
      <c r="L76" s="996"/>
      <c r="M76" s="997"/>
      <c r="N76" s="996"/>
      <c r="O76" s="504"/>
      <c r="P76" s="502"/>
      <c r="Q76" s="490"/>
      <c r="R76" s="502"/>
      <c r="S76" s="490"/>
      <c r="T76" s="505"/>
      <c r="U76" s="608"/>
      <c r="V76" s="502"/>
      <c r="W76" s="653"/>
      <c r="X76" s="490"/>
      <c r="Y76" s="502"/>
      <c r="Z76" s="490"/>
      <c r="AA76" s="506"/>
      <c r="AB76" s="409"/>
    </row>
    <row r="77" spans="1:28" ht="25.15" customHeight="1">
      <c r="A77" s="1086" t="s">
        <v>641</v>
      </c>
      <c r="B77" s="710">
        <v>0</v>
      </c>
      <c r="C77" s="410"/>
      <c r="D77" s="497">
        <f>9844+144</f>
        <v>9988</v>
      </c>
      <c r="E77" s="480"/>
      <c r="F77" s="487">
        <f>1699+184</f>
        <v>1883</v>
      </c>
      <c r="G77" s="480"/>
      <c r="H77" s="487">
        <f>339+3578</f>
        <v>3917</v>
      </c>
      <c r="I77" s="480"/>
      <c r="J77" s="992" t="s">
        <v>127</v>
      </c>
      <c r="K77" s="499"/>
      <c r="L77" s="992" t="s">
        <v>127</v>
      </c>
      <c r="M77" s="991"/>
      <c r="N77" s="992" t="s">
        <v>127</v>
      </c>
      <c r="O77" s="499"/>
      <c r="P77" s="497">
        <f>14958+1205</f>
        <v>16163</v>
      </c>
      <c r="Q77" s="480"/>
      <c r="R77" s="497">
        <f>1802+694</f>
        <v>2496</v>
      </c>
      <c r="S77" s="480"/>
      <c r="T77" s="487">
        <f>457+214</f>
        <v>671</v>
      </c>
      <c r="U77" s="609"/>
      <c r="V77" s="497">
        <f>436+15</f>
        <v>451</v>
      </c>
      <c r="W77" s="711" t="s">
        <v>127</v>
      </c>
      <c r="X77" s="480"/>
      <c r="Y77" s="497">
        <f>37+99</f>
        <v>136</v>
      </c>
      <c r="Z77" s="480"/>
      <c r="AA77" s="498">
        <f>737+309</f>
        <v>1046</v>
      </c>
      <c r="AB77" s="488">
        <f>SUM(B77:AA77)</f>
        <v>36751</v>
      </c>
    </row>
    <row r="78" spans="1:28" ht="6" customHeight="1">
      <c r="A78" s="1086"/>
      <c r="B78" s="577"/>
      <c r="C78" s="407"/>
      <c r="D78" s="502"/>
      <c r="E78" s="490"/>
      <c r="F78" s="505"/>
      <c r="G78" s="490"/>
      <c r="H78" s="505"/>
      <c r="I78" s="490"/>
      <c r="J78" s="996"/>
      <c r="K78" s="504"/>
      <c r="L78" s="996"/>
      <c r="M78" s="997"/>
      <c r="N78" s="996"/>
      <c r="O78" s="504"/>
      <c r="P78" s="502"/>
      <c r="Q78" s="490"/>
      <c r="R78" s="502"/>
      <c r="S78" s="490"/>
      <c r="T78" s="505"/>
      <c r="U78" s="608"/>
      <c r="V78" s="502"/>
      <c r="W78" s="653"/>
      <c r="X78" s="490"/>
      <c r="Y78" s="502"/>
      <c r="Z78" s="490"/>
      <c r="AA78" s="506"/>
      <c r="AB78" s="409"/>
    </row>
    <row r="79" spans="1:28" ht="25.15" customHeight="1">
      <c r="A79" s="1082" t="s">
        <v>647</v>
      </c>
      <c r="B79" s="710">
        <v>0</v>
      </c>
      <c r="C79" s="410"/>
      <c r="D79" s="497">
        <f>11135+2254</f>
        <v>13389</v>
      </c>
      <c r="E79" s="480"/>
      <c r="F79" s="487">
        <f>1691+181</f>
        <v>1872</v>
      </c>
      <c r="G79" s="480"/>
      <c r="H79" s="487">
        <f>367+2762</f>
        <v>3129</v>
      </c>
      <c r="I79" s="480"/>
      <c r="J79" s="992" t="s">
        <v>127</v>
      </c>
      <c r="K79" s="499"/>
      <c r="L79" s="992" t="s">
        <v>127</v>
      </c>
      <c r="M79" s="991"/>
      <c r="N79" s="992" t="s">
        <v>127</v>
      </c>
      <c r="O79" s="499"/>
      <c r="P79" s="497">
        <f>14614+944</f>
        <v>15558</v>
      </c>
      <c r="Q79" s="480"/>
      <c r="R79" s="497">
        <f>1821+732</f>
        <v>2553</v>
      </c>
      <c r="S79" s="480"/>
      <c r="T79" s="487">
        <f>457+203</f>
        <v>660</v>
      </c>
      <c r="U79" s="609"/>
      <c r="V79" s="497">
        <f>437+20</f>
        <v>457</v>
      </c>
      <c r="W79" s="711" t="s">
        <v>127</v>
      </c>
      <c r="X79" s="480"/>
      <c r="Y79" s="497">
        <f>44+96</f>
        <v>140</v>
      </c>
      <c r="Z79" s="480"/>
      <c r="AA79" s="498">
        <f>737+309</f>
        <v>1046</v>
      </c>
      <c r="AB79" s="488">
        <f>SUM(B79:AA79)</f>
        <v>38804</v>
      </c>
    </row>
    <row r="80" spans="1:28" ht="6" customHeight="1">
      <c r="A80" s="1082"/>
      <c r="B80" s="577"/>
      <c r="C80" s="407"/>
      <c r="D80" s="502"/>
      <c r="E80" s="490"/>
      <c r="F80" s="505"/>
      <c r="G80" s="490"/>
      <c r="H80" s="505"/>
      <c r="I80" s="490"/>
      <c r="J80" s="996"/>
      <c r="K80" s="504"/>
      <c r="L80" s="996"/>
      <c r="M80" s="997"/>
      <c r="N80" s="996"/>
      <c r="O80" s="504"/>
      <c r="P80" s="502"/>
      <c r="Q80" s="490"/>
      <c r="R80" s="502"/>
      <c r="S80" s="490"/>
      <c r="T80" s="505"/>
      <c r="U80" s="608"/>
      <c r="V80" s="502"/>
      <c r="W80" s="653"/>
      <c r="X80" s="490"/>
      <c r="Y80" s="502"/>
      <c r="Z80" s="490"/>
      <c r="AA80" s="506"/>
      <c r="AB80" s="409"/>
    </row>
    <row r="81" spans="1:28" ht="25.15" customHeight="1">
      <c r="A81" s="1082" t="s">
        <v>651</v>
      </c>
      <c r="B81" s="710">
        <v>0</v>
      </c>
      <c r="C81" s="410"/>
      <c r="D81" s="495">
        <f>11320+2649</f>
        <v>13969</v>
      </c>
      <c r="E81" s="480"/>
      <c r="F81" s="487">
        <f>1659+177</f>
        <v>1836</v>
      </c>
      <c r="G81" s="480"/>
      <c r="H81" s="487">
        <f>374+2836</f>
        <v>3210</v>
      </c>
      <c r="I81" s="480"/>
      <c r="J81" s="992" t="s">
        <v>127</v>
      </c>
      <c r="K81" s="499"/>
      <c r="L81" s="992" t="s">
        <v>127</v>
      </c>
      <c r="M81" s="991"/>
      <c r="N81" s="992" t="s">
        <v>127</v>
      </c>
      <c r="O81" s="499"/>
      <c r="P81" s="495">
        <f>15873+1257</f>
        <v>17130</v>
      </c>
      <c r="Q81" s="480"/>
      <c r="R81" s="497">
        <f>1855+761</f>
        <v>2616</v>
      </c>
      <c r="S81" s="480"/>
      <c r="T81" s="487">
        <f>464+224</f>
        <v>688</v>
      </c>
      <c r="U81" s="609"/>
      <c r="V81" s="609">
        <f>440+17</f>
        <v>457</v>
      </c>
      <c r="W81" s="711" t="s">
        <v>127</v>
      </c>
      <c r="X81" s="709"/>
      <c r="Y81" s="495">
        <f>40+100</f>
        <v>140</v>
      </c>
      <c r="Z81" s="480"/>
      <c r="AA81" s="498">
        <f>1491+66</f>
        <v>1557</v>
      </c>
      <c r="AB81" s="488">
        <f>SUM(B81:AA81)</f>
        <v>41603</v>
      </c>
    </row>
    <row r="82" spans="1:28" ht="9" customHeight="1">
      <c r="A82" s="1082"/>
      <c r="B82" s="577"/>
      <c r="C82" s="407"/>
      <c r="D82" s="502"/>
      <c r="E82" s="490"/>
      <c r="F82" s="505"/>
      <c r="G82" s="490"/>
      <c r="H82" s="505"/>
      <c r="I82" s="490"/>
      <c r="J82" s="996"/>
      <c r="K82" s="504"/>
      <c r="L82" s="996"/>
      <c r="M82" s="997"/>
      <c r="N82" s="996"/>
      <c r="O82" s="504"/>
      <c r="P82" s="502"/>
      <c r="Q82" s="490"/>
      <c r="R82" s="502"/>
      <c r="S82" s="490"/>
      <c r="T82" s="505"/>
      <c r="U82" s="608"/>
      <c r="V82" s="502"/>
      <c r="W82" s="653"/>
      <c r="X82" s="490"/>
      <c r="Y82" s="502"/>
      <c r="Z82" s="490"/>
      <c r="AA82" s="506"/>
      <c r="AB82" s="409"/>
    </row>
    <row r="83" spans="1:28" ht="25.15" customHeight="1">
      <c r="A83" s="1086" t="s">
        <v>654</v>
      </c>
      <c r="B83" s="710">
        <v>0</v>
      </c>
      <c r="C83" s="410"/>
      <c r="D83" s="497">
        <f>13367+1164</f>
        <v>14531</v>
      </c>
      <c r="E83" s="480"/>
      <c r="F83" s="487">
        <f>1553+178</f>
        <v>1731</v>
      </c>
      <c r="G83" s="480"/>
      <c r="H83" s="487">
        <f>374+2836</f>
        <v>3210</v>
      </c>
      <c r="I83" s="480"/>
      <c r="J83" s="992" t="s">
        <v>127</v>
      </c>
      <c r="K83" s="499"/>
      <c r="L83" s="992" t="s">
        <v>127</v>
      </c>
      <c r="M83" s="991"/>
      <c r="N83" s="992" t="s">
        <v>127</v>
      </c>
      <c r="O83" s="499"/>
      <c r="P83" s="497">
        <f>28713+1199</f>
        <v>29912</v>
      </c>
      <c r="Q83" s="480"/>
      <c r="R83" s="497">
        <f>1820+758</f>
        <v>2578</v>
      </c>
      <c r="S83" s="480"/>
      <c r="T83" s="487">
        <f>478+225</f>
        <v>703</v>
      </c>
      <c r="U83" s="609"/>
      <c r="V83" s="497">
        <f>444+17</f>
        <v>461</v>
      </c>
      <c r="W83" s="711" t="s">
        <v>127</v>
      </c>
      <c r="X83" s="480"/>
      <c r="Y83" s="497">
        <f>39+95</f>
        <v>134</v>
      </c>
      <c r="Z83" s="480"/>
      <c r="AA83" s="498">
        <f>1561+66</f>
        <v>1627</v>
      </c>
      <c r="AB83" s="488">
        <f>SUM(B83:AA83)</f>
        <v>54887</v>
      </c>
    </row>
    <row r="84" spans="1:28" ht="9" customHeight="1">
      <c r="A84" s="1086"/>
      <c r="B84" s="577"/>
      <c r="C84" s="407"/>
      <c r="D84" s="502"/>
      <c r="E84" s="490"/>
      <c r="F84" s="505"/>
      <c r="G84" s="490"/>
      <c r="H84" s="505"/>
      <c r="I84" s="490"/>
      <c r="J84" s="996"/>
      <c r="K84" s="504"/>
      <c r="L84" s="996"/>
      <c r="M84" s="997"/>
      <c r="N84" s="996"/>
      <c r="O84" s="504"/>
      <c r="P84" s="502"/>
      <c r="Q84" s="490"/>
      <c r="R84" s="502"/>
      <c r="S84" s="490"/>
      <c r="T84" s="505"/>
      <c r="U84" s="608"/>
      <c r="V84" s="502"/>
      <c r="W84" s="653"/>
      <c r="X84" s="490"/>
      <c r="Y84" s="502"/>
      <c r="Z84" s="490"/>
      <c r="AA84" s="506"/>
      <c r="AB84" s="409"/>
    </row>
    <row r="85" spans="1:28" ht="25.15" customHeight="1">
      <c r="A85" s="1086" t="s">
        <v>656</v>
      </c>
      <c r="B85" s="710">
        <v>0</v>
      </c>
      <c r="C85" s="410"/>
      <c r="D85" s="497">
        <f>17566+1227</f>
        <v>18793</v>
      </c>
      <c r="E85" s="480"/>
      <c r="F85" s="487">
        <f>1682+175</f>
        <v>1857</v>
      </c>
      <c r="G85" s="480"/>
      <c r="H85" s="487">
        <f>339+3046</f>
        <v>3385</v>
      </c>
      <c r="I85" s="480"/>
      <c r="J85" s="992" t="s">
        <v>127</v>
      </c>
      <c r="K85" s="499"/>
      <c r="L85" s="992" t="s">
        <v>127</v>
      </c>
      <c r="M85" s="991"/>
      <c r="N85" s="992" t="s">
        <v>127</v>
      </c>
      <c r="O85" s="499"/>
      <c r="P85" s="497">
        <f>30223+1335</f>
        <v>31558</v>
      </c>
      <c r="Q85" s="480"/>
      <c r="R85" s="497">
        <f>1810+768</f>
        <v>2578</v>
      </c>
      <c r="S85" s="480"/>
      <c r="T85" s="487">
        <f>491+245</f>
        <v>736</v>
      </c>
      <c r="U85" s="609"/>
      <c r="V85" s="497">
        <f>455+19</f>
        <v>474</v>
      </c>
      <c r="W85" s="711" t="s">
        <v>127</v>
      </c>
      <c r="X85" s="480"/>
      <c r="Y85" s="497">
        <f>40+86</f>
        <v>126</v>
      </c>
      <c r="Z85" s="480"/>
      <c r="AA85" s="498">
        <f>1625+74</f>
        <v>1699</v>
      </c>
      <c r="AB85" s="488">
        <f>SUM(B85:AA85)</f>
        <v>61206</v>
      </c>
    </row>
    <row r="86" spans="1:28" ht="9" customHeight="1">
      <c r="A86" s="1086"/>
      <c r="B86" s="577"/>
      <c r="C86" s="407"/>
      <c r="D86" s="502"/>
      <c r="E86" s="490"/>
      <c r="F86" s="505"/>
      <c r="G86" s="490"/>
      <c r="H86" s="505"/>
      <c r="I86" s="490"/>
      <c r="J86" s="996"/>
      <c r="K86" s="504"/>
      <c r="L86" s="996"/>
      <c r="M86" s="997"/>
      <c r="N86" s="996"/>
      <c r="O86" s="504"/>
      <c r="P86" s="502"/>
      <c r="Q86" s="490"/>
      <c r="R86" s="502"/>
      <c r="S86" s="490"/>
      <c r="T86" s="505"/>
      <c r="U86" s="608"/>
      <c r="V86" s="502"/>
      <c r="W86" s="653"/>
      <c r="X86" s="490"/>
      <c r="Y86" s="502"/>
      <c r="Z86" s="490"/>
      <c r="AA86" s="506"/>
      <c r="AB86" s="409"/>
    </row>
    <row r="87" spans="1:28" ht="25.15" customHeight="1">
      <c r="A87" s="1082" t="s">
        <v>657</v>
      </c>
      <c r="B87" s="710">
        <v>0</v>
      </c>
      <c r="C87" s="410"/>
      <c r="D87" s="497">
        <f>18585+281</f>
        <v>18866</v>
      </c>
      <c r="E87" s="480"/>
      <c r="F87" s="487">
        <f>1556+154</f>
        <v>1710</v>
      </c>
      <c r="G87" s="480"/>
      <c r="H87" s="487">
        <f>3373+73</f>
        <v>3446</v>
      </c>
      <c r="I87" s="480"/>
      <c r="J87" s="992" t="s">
        <v>127</v>
      </c>
      <c r="K87" s="499"/>
      <c r="L87" s="992" t="s">
        <v>127</v>
      </c>
      <c r="M87" s="991"/>
      <c r="N87" s="992" t="s">
        <v>127</v>
      </c>
      <c r="O87" s="499"/>
      <c r="P87" s="497">
        <f>32871+1045</f>
        <v>33916</v>
      </c>
      <c r="Q87" s="480"/>
      <c r="R87" s="497">
        <f>1819+787</f>
        <v>2606</v>
      </c>
      <c r="S87" s="480"/>
      <c r="T87" s="487">
        <f>488+246</f>
        <v>734</v>
      </c>
      <c r="U87" s="609"/>
      <c r="V87" s="497">
        <f>469+21</f>
        <v>490</v>
      </c>
      <c r="W87" s="711" t="s">
        <v>127</v>
      </c>
      <c r="X87" s="480"/>
      <c r="Y87" s="497">
        <f>38+77</f>
        <v>115</v>
      </c>
      <c r="Z87" s="480"/>
      <c r="AA87" s="498">
        <f>1640+74</f>
        <v>1714</v>
      </c>
      <c r="AB87" s="488">
        <f>SUM(B87:AA87)</f>
        <v>63597</v>
      </c>
    </row>
    <row r="88" spans="1:28" ht="9" customHeight="1">
      <c r="A88" s="392"/>
      <c r="B88" s="577"/>
      <c r="C88" s="407"/>
      <c r="D88" s="502"/>
      <c r="E88" s="490"/>
      <c r="F88" s="505"/>
      <c r="G88" s="490"/>
      <c r="H88" s="505"/>
      <c r="I88" s="490"/>
      <c r="J88" s="996"/>
      <c r="K88" s="504"/>
      <c r="L88" s="996"/>
      <c r="M88" s="997"/>
      <c r="N88" s="996"/>
      <c r="O88" s="504"/>
      <c r="P88" s="502"/>
      <c r="Q88" s="490"/>
      <c r="R88" s="502"/>
      <c r="S88" s="490"/>
      <c r="T88" s="505"/>
      <c r="U88" s="608"/>
      <c r="V88" s="502"/>
      <c r="W88" s="653"/>
      <c r="X88" s="490"/>
      <c r="Y88" s="502"/>
      <c r="Z88" s="490"/>
      <c r="AA88" s="506"/>
      <c r="AB88" s="409"/>
    </row>
    <row r="89" spans="1:28" ht="25.15" customHeight="1">
      <c r="A89" s="392" t="s">
        <v>661</v>
      </c>
      <c r="B89" s="710">
        <v>0</v>
      </c>
      <c r="C89" s="410"/>
      <c r="D89" s="495">
        <f>19592+1590</f>
        <v>21182</v>
      </c>
      <c r="E89" s="480"/>
      <c r="F89" s="487">
        <f>2416+209</f>
        <v>2625</v>
      </c>
      <c r="G89" s="480"/>
      <c r="H89" s="487">
        <f>3278+72</f>
        <v>3350</v>
      </c>
      <c r="I89" s="480"/>
      <c r="J89" s="992" t="s">
        <v>127</v>
      </c>
      <c r="K89" s="499"/>
      <c r="L89" s="992" t="s">
        <v>127</v>
      </c>
      <c r="M89" s="991"/>
      <c r="N89" s="992" t="s">
        <v>127</v>
      </c>
      <c r="O89" s="499"/>
      <c r="P89" s="495">
        <f>33695+1150</f>
        <v>34845</v>
      </c>
      <c r="Q89" s="480"/>
      <c r="R89" s="497">
        <f>1901+832</f>
        <v>2733</v>
      </c>
      <c r="S89" s="480"/>
      <c r="T89" s="487">
        <f>534+242</f>
        <v>776</v>
      </c>
      <c r="U89" s="609"/>
      <c r="V89" s="609">
        <f>446+22</f>
        <v>468</v>
      </c>
      <c r="W89" s="711" t="s">
        <v>127</v>
      </c>
      <c r="X89" s="709"/>
      <c r="Y89" s="495">
        <f>38+72</f>
        <v>110</v>
      </c>
      <c r="Z89" s="480"/>
      <c r="AA89" s="498">
        <f>1678+76</f>
        <v>1754</v>
      </c>
      <c r="AB89" s="488">
        <f>SUM(B89:AA89)</f>
        <v>67843</v>
      </c>
    </row>
    <row r="90" spans="1:28" ht="9" customHeight="1">
      <c r="A90" s="392"/>
      <c r="B90" s="577"/>
      <c r="C90" s="407"/>
      <c r="D90" s="502"/>
      <c r="E90" s="490"/>
      <c r="F90" s="505"/>
      <c r="G90" s="490"/>
      <c r="H90" s="505"/>
      <c r="I90" s="490"/>
      <c r="J90" s="996"/>
      <c r="K90" s="504"/>
      <c r="L90" s="996"/>
      <c r="M90" s="997"/>
      <c r="N90" s="996"/>
      <c r="O90" s="504"/>
      <c r="P90" s="502"/>
      <c r="Q90" s="490"/>
      <c r="R90" s="502"/>
      <c r="S90" s="490"/>
      <c r="T90" s="505"/>
      <c r="U90" s="608"/>
      <c r="V90" s="502"/>
      <c r="W90" s="653"/>
      <c r="X90" s="490"/>
      <c r="Y90" s="502"/>
      <c r="Z90" s="490"/>
      <c r="AA90" s="506"/>
      <c r="AB90" s="409"/>
    </row>
    <row r="91" spans="1:28" ht="25.15" customHeight="1">
      <c r="A91" s="973" t="s">
        <v>654</v>
      </c>
      <c r="B91" s="710">
        <v>0</v>
      </c>
      <c r="C91" s="410"/>
      <c r="D91" s="497">
        <f>20852+1370</f>
        <v>22222</v>
      </c>
      <c r="E91" s="480"/>
      <c r="F91" s="487">
        <f>2662+211</f>
        <v>2873</v>
      </c>
      <c r="G91" s="480"/>
      <c r="H91" s="487">
        <f>3122+70</f>
        <v>3192</v>
      </c>
      <c r="I91" s="480"/>
      <c r="J91" s="992" t="s">
        <v>127</v>
      </c>
      <c r="K91" s="499"/>
      <c r="L91" s="992" t="s">
        <v>127</v>
      </c>
      <c r="M91" s="991"/>
      <c r="N91" s="992" t="s">
        <v>127</v>
      </c>
      <c r="O91" s="499"/>
      <c r="P91" s="497">
        <f>33438+1039</f>
        <v>34477</v>
      </c>
      <c r="Q91" s="480"/>
      <c r="R91" s="497">
        <f>1839+808</f>
        <v>2647</v>
      </c>
      <c r="S91" s="480"/>
      <c r="T91" s="487">
        <f>556+251</f>
        <v>807</v>
      </c>
      <c r="U91" s="609"/>
      <c r="V91" s="497">
        <f>452+23</f>
        <v>475</v>
      </c>
      <c r="W91" s="711" t="s">
        <v>127</v>
      </c>
      <c r="X91" s="709"/>
      <c r="Y91" s="497">
        <f>33+65</f>
        <v>98</v>
      </c>
      <c r="Z91" s="480"/>
      <c r="AA91" s="498">
        <f>1323+77</f>
        <v>1400</v>
      </c>
      <c r="AB91" s="488">
        <f>SUM(B91:AA91)</f>
        <v>68191</v>
      </c>
    </row>
    <row r="92" spans="1:28" ht="9" customHeight="1">
      <c r="A92" s="973"/>
      <c r="B92" s="577"/>
      <c r="C92" s="407"/>
      <c r="D92" s="502"/>
      <c r="E92" s="490"/>
      <c r="F92" s="505"/>
      <c r="G92" s="490"/>
      <c r="H92" s="505"/>
      <c r="I92" s="490"/>
      <c r="J92" s="996"/>
      <c r="K92" s="504"/>
      <c r="L92" s="996"/>
      <c r="M92" s="997"/>
      <c r="N92" s="996"/>
      <c r="O92" s="504"/>
      <c r="P92" s="502"/>
      <c r="Q92" s="490"/>
      <c r="R92" s="502"/>
      <c r="S92" s="490"/>
      <c r="T92" s="505"/>
      <c r="U92" s="608"/>
      <c r="V92" s="502"/>
      <c r="W92" s="653"/>
      <c r="X92" s="490"/>
      <c r="Y92" s="502"/>
      <c r="Z92" s="490"/>
      <c r="AA92" s="506"/>
      <c r="AB92" s="409"/>
    </row>
    <row r="93" spans="1:28" ht="25.15" customHeight="1">
      <c r="A93" s="973" t="s">
        <v>676</v>
      </c>
      <c r="B93" s="710">
        <v>0</v>
      </c>
      <c r="C93" s="410"/>
      <c r="D93" s="497">
        <f>21398+1363</f>
        <v>22761</v>
      </c>
      <c r="E93" s="480"/>
      <c r="F93" s="487">
        <f>2836+192</f>
        <v>3028</v>
      </c>
      <c r="G93" s="480"/>
      <c r="H93" s="487">
        <f>2965+68</f>
        <v>3033</v>
      </c>
      <c r="I93" s="480"/>
      <c r="J93" s="992" t="s">
        <v>127</v>
      </c>
      <c r="K93" s="499"/>
      <c r="L93" s="992" t="s">
        <v>127</v>
      </c>
      <c r="M93" s="991"/>
      <c r="N93" s="992" t="s">
        <v>127</v>
      </c>
      <c r="O93" s="499"/>
      <c r="P93" s="497">
        <f>35508+1017</f>
        <v>36525</v>
      </c>
      <c r="Q93" s="480"/>
      <c r="R93" s="497">
        <f>2409+764</f>
        <v>3173</v>
      </c>
      <c r="S93" s="480"/>
      <c r="T93" s="487">
        <f>622+271</f>
        <v>893</v>
      </c>
      <c r="U93" s="609"/>
      <c r="V93" s="497">
        <f>461+24</f>
        <v>485</v>
      </c>
      <c r="W93" s="711" t="s">
        <v>127</v>
      </c>
      <c r="X93" s="709"/>
      <c r="Y93" s="497">
        <f>38+67</f>
        <v>105</v>
      </c>
      <c r="Z93" s="480"/>
      <c r="AA93" s="498">
        <f>1639+67</f>
        <v>1706</v>
      </c>
      <c r="AB93" s="488">
        <f>SUM(B93:AA93)</f>
        <v>71709</v>
      </c>
    </row>
    <row r="94" spans="1:28" ht="8.25" customHeight="1">
      <c r="A94" s="973"/>
      <c r="B94" s="577"/>
      <c r="C94" s="407"/>
      <c r="D94" s="502"/>
      <c r="E94" s="490"/>
      <c r="F94" s="505"/>
      <c r="G94" s="490"/>
      <c r="H94" s="505" t="s">
        <v>0</v>
      </c>
      <c r="I94" s="490"/>
      <c r="J94" s="996"/>
      <c r="K94" s="504"/>
      <c r="L94" s="996"/>
      <c r="M94" s="997"/>
      <c r="N94" s="996"/>
      <c r="O94" s="504"/>
      <c r="P94" s="502"/>
      <c r="Q94" s="490"/>
      <c r="R94" s="502"/>
      <c r="S94" s="490"/>
      <c r="T94" s="505"/>
      <c r="U94" s="608"/>
      <c r="V94" s="502"/>
      <c r="W94" s="653"/>
      <c r="X94" s="490"/>
      <c r="Y94" s="502"/>
      <c r="Z94" s="490"/>
      <c r="AA94" s="506"/>
      <c r="AB94" s="409"/>
    </row>
    <row r="95" spans="1:28" ht="24.75" customHeight="1">
      <c r="A95" s="392" t="s">
        <v>678</v>
      </c>
      <c r="B95" s="710">
        <v>0</v>
      </c>
      <c r="C95" s="410"/>
      <c r="D95" s="495">
        <f>21322+967</f>
        <v>22289</v>
      </c>
      <c r="E95" s="480"/>
      <c r="F95" s="487">
        <f>2934+191</f>
        <v>3125</v>
      </c>
      <c r="G95" s="480"/>
      <c r="H95" s="487">
        <f>2935+65</f>
        <v>3000</v>
      </c>
      <c r="I95" s="480"/>
      <c r="J95" s="992" t="s">
        <v>127</v>
      </c>
      <c r="K95" s="499"/>
      <c r="L95" s="992" t="s">
        <v>127</v>
      </c>
      <c r="M95" s="991"/>
      <c r="N95" s="992" t="s">
        <v>127</v>
      </c>
      <c r="O95" s="499"/>
      <c r="P95" s="495">
        <f>37956+2401</f>
        <v>40357</v>
      </c>
      <c r="Q95" s="480"/>
      <c r="R95" s="497">
        <f>2820+802</f>
        <v>3622</v>
      </c>
      <c r="S95" s="480"/>
      <c r="T95" s="487">
        <f>658+264</f>
        <v>922</v>
      </c>
      <c r="U95" s="609"/>
      <c r="V95" s="609">
        <f>457+26</f>
        <v>483</v>
      </c>
      <c r="W95" s="711" t="s">
        <v>127</v>
      </c>
      <c r="X95" s="709"/>
      <c r="Y95" s="495">
        <f>40+62</f>
        <v>102</v>
      </c>
      <c r="Z95" s="480"/>
      <c r="AA95" s="498">
        <f>1675+73</f>
        <v>1748</v>
      </c>
      <c r="AB95" s="488">
        <f>SUM(B95:AA95)</f>
        <v>75648</v>
      </c>
    </row>
    <row r="96" spans="1:28" ht="6.75" customHeight="1">
      <c r="A96" s="392"/>
      <c r="B96" s="577"/>
      <c r="C96" s="407"/>
      <c r="D96" s="502"/>
      <c r="E96" s="490"/>
      <c r="F96" s="505"/>
      <c r="G96" s="490"/>
      <c r="H96" s="505"/>
      <c r="I96" s="490"/>
      <c r="J96" s="996"/>
      <c r="K96" s="504"/>
      <c r="L96" s="996"/>
      <c r="M96" s="997"/>
      <c r="N96" s="996"/>
      <c r="O96" s="504"/>
      <c r="P96" s="502"/>
      <c r="Q96" s="490"/>
      <c r="R96" s="502"/>
      <c r="S96" s="490"/>
      <c r="T96" s="505"/>
      <c r="U96" s="608"/>
      <c r="V96" s="502"/>
      <c r="W96" s="653"/>
      <c r="X96" s="490"/>
      <c r="Y96" s="502"/>
      <c r="Z96" s="490"/>
      <c r="AA96" s="506"/>
      <c r="AB96" s="409"/>
    </row>
    <row r="97" spans="1:28" ht="24" customHeight="1">
      <c r="A97" s="1082" t="s">
        <v>679</v>
      </c>
      <c r="B97" s="1038">
        <v>0</v>
      </c>
      <c r="C97" s="1034"/>
      <c r="D97" s="1049">
        <f>20813+1228</f>
        <v>22041</v>
      </c>
      <c r="E97" s="1044"/>
      <c r="F97" s="1035">
        <v>3404</v>
      </c>
      <c r="G97" s="1044"/>
      <c r="H97" s="1035">
        <v>3006</v>
      </c>
      <c r="I97" s="1044"/>
      <c r="J97" s="1040" t="s">
        <v>127</v>
      </c>
      <c r="K97" s="1039"/>
      <c r="L97" s="1040" t="s">
        <v>127</v>
      </c>
      <c r="M97" s="1041"/>
      <c r="N97" s="1040" t="s">
        <v>127</v>
      </c>
      <c r="O97" s="1039"/>
      <c r="P97" s="1049">
        <f>38744+2564</f>
        <v>41308</v>
      </c>
      <c r="Q97" s="1044"/>
      <c r="R97" s="1033">
        <f>2984+812</f>
        <v>3796</v>
      </c>
      <c r="S97" s="1044"/>
      <c r="T97" s="1035">
        <f>735+292</f>
        <v>1027</v>
      </c>
      <c r="U97" s="1045"/>
      <c r="V97" s="1045">
        <f>449+25</f>
        <v>474</v>
      </c>
      <c r="W97" s="1042" t="s">
        <v>127</v>
      </c>
      <c r="X97" s="1043"/>
      <c r="Y97" s="1049">
        <f>46+151</f>
        <v>197</v>
      </c>
      <c r="Z97" s="1044"/>
      <c r="AA97" s="1048">
        <f>737+309</f>
        <v>1046</v>
      </c>
      <c r="AB97" s="488">
        <f>SUM(B97:AA97)</f>
        <v>76299</v>
      </c>
    </row>
    <row r="98" spans="1:28" ht="8.25" customHeight="1">
      <c r="A98" s="1082"/>
      <c r="B98" s="1105"/>
      <c r="C98" s="1089"/>
      <c r="D98" s="1088"/>
      <c r="E98" s="1093"/>
      <c r="F98" s="1091"/>
      <c r="G98" s="1093"/>
      <c r="H98" s="1091"/>
      <c r="I98" s="1093"/>
      <c r="J98" s="1107"/>
      <c r="K98" s="1106"/>
      <c r="L98" s="1107"/>
      <c r="M98" s="1108"/>
      <c r="N98" s="1107"/>
      <c r="O98" s="1106"/>
      <c r="P98" s="1088"/>
      <c r="Q98" s="1093"/>
      <c r="R98" s="1090"/>
      <c r="S98" s="1093"/>
      <c r="T98" s="1091"/>
      <c r="U98" s="1094"/>
      <c r="V98" s="1094"/>
      <c r="W98" s="1109"/>
      <c r="X98" s="1110"/>
      <c r="Y98" s="1088"/>
      <c r="Z98" s="1093"/>
      <c r="AA98" s="1111"/>
      <c r="AB98" s="576"/>
    </row>
    <row r="99" spans="1:28" ht="24" customHeight="1">
      <c r="A99" s="1082" t="s">
        <v>682</v>
      </c>
      <c r="B99" s="1038">
        <v>0</v>
      </c>
      <c r="C99" s="1034"/>
      <c r="D99" s="1049">
        <f>18518+1126</f>
        <v>19644</v>
      </c>
      <c r="E99" s="1044"/>
      <c r="F99" s="1035">
        <f>3264+214</f>
        <v>3478</v>
      </c>
      <c r="G99" s="1044"/>
      <c r="H99" s="1035">
        <f>2840+70</f>
        <v>2910</v>
      </c>
      <c r="I99" s="1044"/>
      <c r="J99" s="1040" t="s">
        <v>127</v>
      </c>
      <c r="K99" s="1039"/>
      <c r="L99" s="1040" t="s">
        <v>127</v>
      </c>
      <c r="M99" s="1041"/>
      <c r="N99" s="1040" t="s">
        <v>127</v>
      </c>
      <c r="O99" s="1039"/>
      <c r="P99" s="1049">
        <f>36296+2408</f>
        <v>38704</v>
      </c>
      <c r="Q99" s="1044"/>
      <c r="R99" s="1033">
        <f>2430+735</f>
        <v>3165</v>
      </c>
      <c r="S99" s="1044"/>
      <c r="T99" s="1035">
        <f>689+268</f>
        <v>957</v>
      </c>
      <c r="U99" s="1045"/>
      <c r="V99" s="1045">
        <f>451+17</f>
        <v>468</v>
      </c>
      <c r="W99" s="1042" t="s">
        <v>127</v>
      </c>
      <c r="X99" s="1043"/>
      <c r="Y99" s="1049">
        <f>42+60</f>
        <v>102</v>
      </c>
      <c r="Z99" s="1044"/>
      <c r="AA99" s="1048">
        <f>788+316</f>
        <v>1104</v>
      </c>
      <c r="AB99" s="488">
        <f>SUM(B99:AA99)</f>
        <v>70532</v>
      </c>
    </row>
    <row r="100" spans="1:28" ht="25.15" customHeight="1">
      <c r="A100" s="1082" t="s">
        <v>686</v>
      </c>
      <c r="B100" s="1038">
        <v>0</v>
      </c>
      <c r="C100" s="1034"/>
      <c r="D100" s="1049">
        <f>17772+1481</f>
        <v>19253</v>
      </c>
      <c r="E100" s="1044"/>
      <c r="F100" s="1035">
        <f>3358+213</f>
        <v>3571</v>
      </c>
      <c r="G100" s="1044"/>
      <c r="H100" s="1035">
        <f>2730+68</f>
        <v>2798</v>
      </c>
      <c r="I100" s="1044"/>
      <c r="J100" s="1040" t="s">
        <v>127</v>
      </c>
      <c r="K100" s="1039"/>
      <c r="L100" s="1040" t="s">
        <v>127</v>
      </c>
      <c r="M100" s="1041"/>
      <c r="N100" s="1040" t="s">
        <v>127</v>
      </c>
      <c r="O100" s="1039"/>
      <c r="P100" s="1049">
        <f>35141+2307</f>
        <v>37448</v>
      </c>
      <c r="Q100" s="1044"/>
      <c r="R100" s="1033">
        <f>2015+728</f>
        <v>2743</v>
      </c>
      <c r="S100" s="1044"/>
      <c r="T100" s="1035">
        <f>676+273</f>
        <v>949</v>
      </c>
      <c r="U100" s="1045"/>
      <c r="V100" s="1045">
        <f>443+14</f>
        <v>457</v>
      </c>
      <c r="W100" s="1042" t="s">
        <v>127</v>
      </c>
      <c r="X100" s="1043"/>
      <c r="Y100" s="1049">
        <f>35+62</f>
        <v>97</v>
      </c>
      <c r="Z100" s="1044"/>
      <c r="AA100" s="1048">
        <f>1196+309</f>
        <v>1505</v>
      </c>
      <c r="AB100" s="488">
        <f>SUM(B100:AA100)</f>
        <v>68821</v>
      </c>
    </row>
    <row r="101" spans="1:28" ht="5.25" customHeight="1">
      <c r="A101" s="392"/>
      <c r="B101" s="1105"/>
      <c r="C101" s="1089"/>
      <c r="D101" s="1090"/>
      <c r="E101" s="1093"/>
      <c r="F101" s="1091"/>
      <c r="G101" s="1093"/>
      <c r="H101" s="1091"/>
      <c r="I101" s="1093"/>
      <c r="J101" s="1224"/>
      <c r="K101" s="1106"/>
      <c r="L101" s="1224"/>
      <c r="M101" s="1108"/>
      <c r="N101" s="1224"/>
      <c r="O101" s="1106"/>
      <c r="P101" s="1090"/>
      <c r="Q101" s="1093"/>
      <c r="R101" s="1090"/>
      <c r="S101" s="1093"/>
      <c r="T101" s="1091"/>
      <c r="U101" s="1094"/>
      <c r="V101" s="1090"/>
      <c r="W101" s="1109"/>
      <c r="X101" s="1093"/>
      <c r="Y101" s="1090"/>
      <c r="Z101" s="1093"/>
      <c r="AA101" s="1111"/>
      <c r="AB101" s="409"/>
    </row>
    <row r="102" spans="1:28" ht="25.5" customHeight="1">
      <c r="A102" s="392" t="s">
        <v>722</v>
      </c>
      <c r="B102" s="1038">
        <v>0</v>
      </c>
      <c r="C102" s="1034"/>
      <c r="D102" s="1049">
        <f>18409+450</f>
        <v>18859</v>
      </c>
      <c r="E102" s="1044"/>
      <c r="F102" s="1035">
        <f>3291+214</f>
        <v>3505</v>
      </c>
      <c r="G102" s="1044"/>
      <c r="H102" s="1035">
        <f>2932+64</f>
        <v>2996</v>
      </c>
      <c r="I102" s="1044"/>
      <c r="J102" s="1040" t="s">
        <v>127</v>
      </c>
      <c r="K102" s="1039"/>
      <c r="L102" s="1040" t="s">
        <v>127</v>
      </c>
      <c r="M102" s="1041"/>
      <c r="N102" s="1040" t="s">
        <v>127</v>
      </c>
      <c r="O102" s="1039"/>
      <c r="P102" s="1049">
        <f>36628+2270</f>
        <v>38898</v>
      </c>
      <c r="Q102" s="1044"/>
      <c r="R102" s="1033">
        <f>1787+708</f>
        <v>2495</v>
      </c>
      <c r="S102" s="1044"/>
      <c r="T102" s="1035">
        <f>677+291</f>
        <v>968</v>
      </c>
      <c r="U102" s="1045"/>
      <c r="V102" s="1045">
        <f>430+12</f>
        <v>442</v>
      </c>
      <c r="W102" s="1042" t="s">
        <v>127</v>
      </c>
      <c r="X102" s="1043"/>
      <c r="Y102" s="1049">
        <f>30+57</f>
        <v>87</v>
      </c>
      <c r="Z102" s="1044"/>
      <c r="AA102" s="1048">
        <f>1211+311</f>
        <v>1522</v>
      </c>
      <c r="AB102" s="488">
        <f>SUM(B102:AA102)</f>
        <v>69772</v>
      </c>
    </row>
    <row r="103" spans="1:28" ht="6" customHeight="1">
      <c r="A103" s="392"/>
      <c r="B103" s="1105"/>
      <c r="C103" s="1089"/>
      <c r="D103" s="1090"/>
      <c r="E103" s="1093"/>
      <c r="F103" s="1091"/>
      <c r="G103" s="1093"/>
      <c r="H103" s="1091"/>
      <c r="I103" s="1093"/>
      <c r="J103" s="1224"/>
      <c r="K103" s="1106"/>
      <c r="L103" s="1224"/>
      <c r="M103" s="1108"/>
      <c r="N103" s="1224"/>
      <c r="O103" s="1106"/>
      <c r="P103" s="1090"/>
      <c r="Q103" s="1093"/>
      <c r="R103" s="1090"/>
      <c r="S103" s="1093"/>
      <c r="T103" s="1091"/>
      <c r="U103" s="1094"/>
      <c r="V103" s="1090"/>
      <c r="W103" s="1109"/>
      <c r="X103" s="1093"/>
      <c r="Y103" s="1090"/>
      <c r="Z103" s="1093"/>
      <c r="AA103" s="1111"/>
      <c r="AB103" s="409"/>
    </row>
    <row r="104" spans="1:28" ht="25.15" customHeight="1">
      <c r="A104" s="392" t="s">
        <v>776</v>
      </c>
      <c r="B104" s="1038">
        <v>0</v>
      </c>
      <c r="C104" s="1034"/>
      <c r="D104" s="1049">
        <f>19100+638</f>
        <v>19738</v>
      </c>
      <c r="E104" s="1044"/>
      <c r="F104" s="1035">
        <f>3147+211</f>
        <v>3358</v>
      </c>
      <c r="G104" s="1044"/>
      <c r="H104" s="1035">
        <f>2989+66</f>
        <v>3055</v>
      </c>
      <c r="I104" s="1044"/>
      <c r="J104" s="1040" t="s">
        <v>127</v>
      </c>
      <c r="K104" s="1039"/>
      <c r="L104" s="1040" t="s">
        <v>127</v>
      </c>
      <c r="M104" s="1041"/>
      <c r="N104" s="1040" t="s">
        <v>127</v>
      </c>
      <c r="O104" s="1039"/>
      <c r="P104" s="1049">
        <f>34085+2320</f>
        <v>36405</v>
      </c>
      <c r="Q104" s="1044"/>
      <c r="R104" s="1033">
        <f>1713+727</f>
        <v>2440</v>
      </c>
      <c r="S104" s="1044"/>
      <c r="T104" s="1035">
        <f>673+309</f>
        <v>982</v>
      </c>
      <c r="U104" s="1045"/>
      <c r="V104" s="1045">
        <f>434+16</f>
        <v>450</v>
      </c>
      <c r="W104" s="1042" t="s">
        <v>127</v>
      </c>
      <c r="X104" s="1043"/>
      <c r="Y104" s="1049">
        <f>29+59</f>
        <v>88</v>
      </c>
      <c r="Z104" s="1044"/>
      <c r="AA104" s="1048">
        <f>1245+315</f>
        <v>1560</v>
      </c>
      <c r="AB104" s="488">
        <f>SUM(B104:AA104)</f>
        <v>68076</v>
      </c>
    </row>
    <row r="105" spans="1:28" ht="10.5" customHeight="1">
      <c r="A105" s="392"/>
      <c r="B105" s="1105"/>
      <c r="C105" s="1089"/>
      <c r="D105" s="1090"/>
      <c r="E105" s="1093"/>
      <c r="F105" s="1091"/>
      <c r="G105" s="1093"/>
      <c r="H105" s="1091"/>
      <c r="I105" s="1093"/>
      <c r="J105" s="1224"/>
      <c r="K105" s="1106"/>
      <c r="L105" s="1224"/>
      <c r="M105" s="1108"/>
      <c r="N105" s="1224"/>
      <c r="O105" s="1106"/>
      <c r="P105" s="1090"/>
      <c r="Q105" s="1093"/>
      <c r="R105" s="1090"/>
      <c r="S105" s="1093"/>
      <c r="T105" s="1091"/>
      <c r="U105" s="1094"/>
      <c r="V105" s="1090"/>
      <c r="W105" s="1109"/>
      <c r="X105" s="1093"/>
      <c r="Y105" s="1090"/>
      <c r="Z105" s="1093"/>
      <c r="AA105" s="1111"/>
      <c r="AB105" s="409"/>
    </row>
    <row r="106" spans="1:28" ht="14.25" customHeight="1">
      <c r="A106" s="392" t="s">
        <v>814</v>
      </c>
      <c r="B106" s="1038">
        <v>0</v>
      </c>
      <c r="C106" s="1034"/>
      <c r="D106" s="1049">
        <f>19276+1194</f>
        <v>20470</v>
      </c>
      <c r="E106" s="1044"/>
      <c r="F106" s="1035">
        <f>2938+212</f>
        <v>3150</v>
      </c>
      <c r="G106" s="1044"/>
      <c r="H106" s="1035">
        <f>3021+69</f>
        <v>3090</v>
      </c>
      <c r="I106" s="1044"/>
      <c r="J106" s="1040" t="s">
        <v>127</v>
      </c>
      <c r="K106" s="1039"/>
      <c r="L106" s="1040" t="s">
        <v>127</v>
      </c>
      <c r="M106" s="1041"/>
      <c r="N106" s="1040" t="s">
        <v>127</v>
      </c>
      <c r="O106" s="1039"/>
      <c r="P106" s="1049">
        <f>35645+2434</f>
        <v>38079</v>
      </c>
      <c r="Q106" s="1044"/>
      <c r="R106" s="1033">
        <f>1695+722</f>
        <v>2417</v>
      </c>
      <c r="S106" s="1044"/>
      <c r="T106" s="1035">
        <f>657+300</f>
        <v>957</v>
      </c>
      <c r="U106" s="1045"/>
      <c r="V106" s="1045">
        <f>422+24</f>
        <v>446</v>
      </c>
      <c r="W106" s="1042" t="s">
        <v>127</v>
      </c>
      <c r="X106" s="1043"/>
      <c r="Y106" s="1336">
        <f>33+54</f>
        <v>87</v>
      </c>
      <c r="Z106" s="1044"/>
      <c r="AA106" s="1048">
        <f>1261+313</f>
        <v>1574</v>
      </c>
      <c r="AB106" s="488">
        <f>SUM(B106:AA106)</f>
        <v>70270</v>
      </c>
    </row>
    <row r="107" spans="1:28" ht="9.75" customHeight="1">
      <c r="A107" s="392"/>
      <c r="B107" s="1105"/>
      <c r="C107" s="1089"/>
      <c r="D107" s="1090"/>
      <c r="E107" s="1093"/>
      <c r="F107" s="1091"/>
      <c r="G107" s="1093"/>
      <c r="H107" s="1091"/>
      <c r="I107" s="1093"/>
      <c r="J107" s="1224"/>
      <c r="K107" s="1106"/>
      <c r="L107" s="1224"/>
      <c r="M107" s="1108"/>
      <c r="N107" s="1224"/>
      <c r="O107" s="1106"/>
      <c r="P107" s="1090"/>
      <c r="Q107" s="1093"/>
      <c r="R107" s="1090"/>
      <c r="S107" s="1093"/>
      <c r="T107" s="1091"/>
      <c r="U107" s="1094"/>
      <c r="V107" s="1090"/>
      <c r="W107" s="1109"/>
      <c r="X107" s="1093"/>
      <c r="Y107" s="1337"/>
      <c r="Z107" s="1093"/>
      <c r="AA107" s="1111"/>
      <c r="AB107" s="409"/>
    </row>
    <row r="108" spans="1:28" ht="16.5" customHeight="1">
      <c r="A108" s="392" t="s">
        <v>815</v>
      </c>
      <c r="B108" s="1038">
        <v>0</v>
      </c>
      <c r="C108" s="1034"/>
      <c r="D108" s="1049">
        <f>17731+1276</f>
        <v>19007</v>
      </c>
      <c r="E108" s="1044"/>
      <c r="F108" s="1035">
        <f>2815+218</f>
        <v>3033</v>
      </c>
      <c r="G108" s="1044"/>
      <c r="H108" s="1035">
        <f>2979+66</f>
        <v>3045</v>
      </c>
      <c r="I108" s="1044"/>
      <c r="J108" s="1040" t="s">
        <v>127</v>
      </c>
      <c r="K108" s="1039"/>
      <c r="L108" s="1040" t="s">
        <v>127</v>
      </c>
      <c r="M108" s="1041"/>
      <c r="N108" s="1040" t="s">
        <v>127</v>
      </c>
      <c r="O108" s="1039"/>
      <c r="P108" s="1336">
        <f>40170+2543</f>
        <v>42713</v>
      </c>
      <c r="Q108" s="1338"/>
      <c r="R108" s="1339">
        <f>1649+722</f>
        <v>2371</v>
      </c>
      <c r="S108" s="1338"/>
      <c r="T108" s="1035">
        <f>662+323</f>
        <v>985</v>
      </c>
      <c r="U108" s="1045"/>
      <c r="V108" s="1340">
        <f>433+28</f>
        <v>461</v>
      </c>
      <c r="W108" s="1042" t="s">
        <v>127</v>
      </c>
      <c r="X108" s="1043"/>
      <c r="Y108" s="1336">
        <f>27+52</f>
        <v>79</v>
      </c>
      <c r="Z108" s="1338"/>
      <c r="AA108" s="1341">
        <f>1125+314</f>
        <v>1439</v>
      </c>
      <c r="AB108" s="488">
        <f>SUM(B108:AA108)</f>
        <v>73133</v>
      </c>
    </row>
    <row r="109" spans="1:28" ht="12" customHeight="1">
      <c r="A109" s="392"/>
      <c r="B109" s="1105"/>
      <c r="C109" s="1089"/>
      <c r="D109" s="1090"/>
      <c r="E109" s="1093"/>
      <c r="F109" s="1091"/>
      <c r="G109" s="1093"/>
      <c r="H109" s="1091"/>
      <c r="I109" s="1093"/>
      <c r="J109" s="1224"/>
      <c r="K109" s="1106"/>
      <c r="L109" s="1224"/>
      <c r="M109" s="1108"/>
      <c r="N109" s="1224"/>
      <c r="O109" s="1106"/>
      <c r="P109" s="1090"/>
      <c r="Q109" s="1093"/>
      <c r="R109" s="1090"/>
      <c r="S109" s="1093"/>
      <c r="T109" s="1091"/>
      <c r="U109" s="1094"/>
      <c r="V109" s="1090"/>
      <c r="W109" s="1109"/>
      <c r="X109" s="1093"/>
      <c r="Y109" s="1090"/>
      <c r="Z109" s="1093"/>
      <c r="AA109" s="1111"/>
      <c r="AB109" s="409"/>
    </row>
    <row r="110" spans="1:28" ht="18.75" customHeight="1">
      <c r="A110" s="392" t="s">
        <v>816</v>
      </c>
      <c r="B110" s="1038">
        <v>0</v>
      </c>
      <c r="C110" s="1034"/>
      <c r="D110" s="1049">
        <f>18801+980</f>
        <v>19781</v>
      </c>
      <c r="E110" s="1044"/>
      <c r="F110" s="1035">
        <f>2452+220</f>
        <v>2672</v>
      </c>
      <c r="G110" s="1044"/>
      <c r="H110" s="1035">
        <f>1386+68</f>
        <v>1454</v>
      </c>
      <c r="I110" s="1044"/>
      <c r="J110" s="1040" t="s">
        <v>127</v>
      </c>
      <c r="K110" s="1039"/>
      <c r="L110" s="1040" t="s">
        <v>127</v>
      </c>
      <c r="M110" s="1041"/>
      <c r="N110" s="1040" t="s">
        <v>127</v>
      </c>
      <c r="O110" s="1039"/>
      <c r="P110" s="1336">
        <f>44945+2485</f>
        <v>47430</v>
      </c>
      <c r="Q110" s="1338"/>
      <c r="R110" s="1339">
        <f>1764+736</f>
        <v>2500</v>
      </c>
      <c r="S110" s="1338"/>
      <c r="T110" s="1035">
        <f>671+356</f>
        <v>1027</v>
      </c>
      <c r="U110" s="1045"/>
      <c r="V110" s="1340">
        <f>436+28</f>
        <v>464</v>
      </c>
      <c r="W110" s="1042" t="s">
        <v>127</v>
      </c>
      <c r="X110" s="1043"/>
      <c r="Y110" s="1336">
        <f>28+52</f>
        <v>80</v>
      </c>
      <c r="Z110" s="1338"/>
      <c r="AA110" s="1341">
        <f>1177+315</f>
        <v>1492</v>
      </c>
      <c r="AB110" s="488">
        <f>SUM(B110:AA110)</f>
        <v>76900</v>
      </c>
    </row>
    <row r="111" spans="1:28" ht="9" customHeight="1">
      <c r="A111" s="392"/>
      <c r="B111" s="1105"/>
      <c r="C111" s="1089"/>
      <c r="D111" s="1090"/>
      <c r="E111" s="1093"/>
      <c r="F111" s="1091"/>
      <c r="G111" s="1093"/>
      <c r="H111" s="1091"/>
      <c r="I111" s="1093"/>
      <c r="J111" s="1224"/>
      <c r="K111" s="1106"/>
      <c r="L111" s="1224"/>
      <c r="M111" s="1108"/>
      <c r="N111" s="1224"/>
      <c r="O111" s="1106"/>
      <c r="P111" s="1090"/>
      <c r="Q111" s="1093"/>
      <c r="R111" s="1090"/>
      <c r="S111" s="1093"/>
      <c r="T111" s="1091"/>
      <c r="U111" s="1094"/>
      <c r="V111" s="1090"/>
      <c r="W111" s="1109"/>
      <c r="X111" s="1093"/>
      <c r="Y111" s="1090"/>
      <c r="Z111" s="1093"/>
      <c r="AA111" s="1111"/>
      <c r="AB111" s="409"/>
    </row>
    <row r="112" spans="1:28" ht="19.5" customHeight="1">
      <c r="A112" s="392" t="s">
        <v>817</v>
      </c>
      <c r="B112" s="1038">
        <v>0</v>
      </c>
      <c r="C112" s="1034"/>
      <c r="D112" s="1049">
        <v>20988</v>
      </c>
      <c r="E112" s="1044"/>
      <c r="F112" s="1035">
        <v>2781</v>
      </c>
      <c r="G112" s="1044"/>
      <c r="H112" s="1035">
        <v>1216</v>
      </c>
      <c r="I112" s="1044"/>
      <c r="J112" s="1040" t="s">
        <v>127</v>
      </c>
      <c r="K112" s="1039"/>
      <c r="L112" s="1040" t="s">
        <v>127</v>
      </c>
      <c r="M112" s="1041"/>
      <c r="N112" s="1040" t="s">
        <v>127</v>
      </c>
      <c r="O112" s="1039"/>
      <c r="P112" s="1336">
        <v>50325</v>
      </c>
      <c r="Q112" s="1338"/>
      <c r="R112" s="1339">
        <v>2720</v>
      </c>
      <c r="S112" s="1338"/>
      <c r="T112" s="1035">
        <v>1126</v>
      </c>
      <c r="U112" s="1045"/>
      <c r="V112" s="1340">
        <v>498</v>
      </c>
      <c r="W112" s="1042" t="s">
        <v>127</v>
      </c>
      <c r="X112" s="1043"/>
      <c r="Y112" s="1336">
        <v>95</v>
      </c>
      <c r="Z112" s="1338"/>
      <c r="AA112" s="1341">
        <v>1536</v>
      </c>
      <c r="AB112" s="488">
        <f>SUM(B112:AA112)</f>
        <v>81285</v>
      </c>
    </row>
    <row r="113" spans="1:28" ht="9" customHeight="1">
      <c r="A113" s="392"/>
      <c r="B113" s="1105"/>
      <c r="C113" s="1089"/>
      <c r="D113" s="1090"/>
      <c r="E113" s="1093"/>
      <c r="F113" s="1091"/>
      <c r="G113" s="1093"/>
      <c r="H113" s="1091"/>
      <c r="I113" s="1093"/>
      <c r="J113" s="1224"/>
      <c r="K113" s="1106"/>
      <c r="L113" s="1224"/>
      <c r="M113" s="1108"/>
      <c r="N113" s="1224"/>
      <c r="O113" s="1106"/>
      <c r="P113" s="1337"/>
      <c r="Q113" s="1377"/>
      <c r="R113" s="1337"/>
      <c r="S113" s="1377"/>
      <c r="T113" s="1091"/>
      <c r="U113" s="1094"/>
      <c r="V113" s="1337"/>
      <c r="W113" s="1109"/>
      <c r="X113" s="1093"/>
      <c r="Y113" s="1337"/>
      <c r="Z113" s="1377"/>
      <c r="AA113" s="1385"/>
      <c r="AB113" s="409"/>
    </row>
    <row r="114" spans="1:28" ht="19.5" customHeight="1">
      <c r="A114" s="392" t="s">
        <v>824</v>
      </c>
      <c r="B114" s="1038">
        <v>0</v>
      </c>
      <c r="C114" s="1034"/>
      <c r="D114" s="1033">
        <v>22127</v>
      </c>
      <c r="E114" s="1044"/>
      <c r="F114" s="1035">
        <v>2828</v>
      </c>
      <c r="G114" s="1044"/>
      <c r="H114" s="1035">
        <v>1101</v>
      </c>
      <c r="I114" s="1044"/>
      <c r="J114" s="1040" t="s">
        <v>127</v>
      </c>
      <c r="K114" s="1039"/>
      <c r="L114" s="1040" t="s">
        <v>127</v>
      </c>
      <c r="M114" s="1041"/>
      <c r="N114" s="1040" t="s">
        <v>127</v>
      </c>
      <c r="O114" s="1039"/>
      <c r="P114" s="1339">
        <v>51470</v>
      </c>
      <c r="Q114" s="1338"/>
      <c r="R114" s="1339">
        <v>2644</v>
      </c>
      <c r="S114" s="1338"/>
      <c r="T114" s="1035">
        <v>1124</v>
      </c>
      <c r="U114" s="1045"/>
      <c r="V114" s="1339">
        <v>474</v>
      </c>
      <c r="W114" s="1042" t="s">
        <v>127</v>
      </c>
      <c r="X114" s="1044"/>
      <c r="Y114" s="1339">
        <v>93</v>
      </c>
      <c r="Z114" s="1338"/>
      <c r="AA114" s="1341">
        <v>1573</v>
      </c>
      <c r="AB114" s="488">
        <f>SUM(B114:AA114)</f>
        <v>83434</v>
      </c>
    </row>
    <row r="115" spans="1:28" ht="9" customHeight="1">
      <c r="A115" s="392"/>
      <c r="B115" s="1105"/>
      <c r="C115" s="1089"/>
      <c r="D115" s="1090"/>
      <c r="E115" s="1093"/>
      <c r="F115" s="1091"/>
      <c r="G115" s="1093"/>
      <c r="H115" s="1091"/>
      <c r="I115" s="1093"/>
      <c r="J115" s="1224"/>
      <c r="K115" s="1106"/>
      <c r="L115" s="1224"/>
      <c r="M115" s="1108"/>
      <c r="N115" s="1224"/>
      <c r="O115" s="1106"/>
      <c r="P115" s="1337"/>
      <c r="Q115" s="1377"/>
      <c r="R115" s="1337"/>
      <c r="S115" s="1377"/>
      <c r="T115" s="1091"/>
      <c r="U115" s="1094"/>
      <c r="V115" s="1337"/>
      <c r="W115" s="1109"/>
      <c r="X115" s="1093"/>
      <c r="Y115" s="1337"/>
      <c r="Z115" s="1377"/>
      <c r="AA115" s="1385"/>
      <c r="AB115" s="409"/>
    </row>
    <row r="116" spans="1:28" ht="19.5" customHeight="1">
      <c r="A116" s="392" t="s">
        <v>830</v>
      </c>
      <c r="B116" s="1038">
        <v>0</v>
      </c>
      <c r="C116" s="1034"/>
      <c r="D116" s="1033">
        <v>23575</v>
      </c>
      <c r="E116" s="1044"/>
      <c r="F116" s="1035">
        <v>2855</v>
      </c>
      <c r="G116" s="1044"/>
      <c r="H116" s="1035">
        <v>1042</v>
      </c>
      <c r="I116" s="1044"/>
      <c r="J116" s="1040" t="s">
        <v>127</v>
      </c>
      <c r="K116" s="1039"/>
      <c r="L116" s="1040" t="s">
        <v>127</v>
      </c>
      <c r="M116" s="1041"/>
      <c r="N116" s="1040" t="s">
        <v>127</v>
      </c>
      <c r="O116" s="1039"/>
      <c r="P116" s="1339">
        <v>53683</v>
      </c>
      <c r="Q116" s="1338"/>
      <c r="R116" s="1339">
        <v>2623</v>
      </c>
      <c r="S116" s="1338"/>
      <c r="T116" s="1035">
        <v>1135</v>
      </c>
      <c r="U116" s="1045"/>
      <c r="V116" s="1339">
        <v>476</v>
      </c>
      <c r="W116" s="1042" t="s">
        <v>127</v>
      </c>
      <c r="X116" s="1044"/>
      <c r="Y116" s="1339">
        <v>86</v>
      </c>
      <c r="Z116" s="1338"/>
      <c r="AA116" s="1341">
        <v>1614</v>
      </c>
      <c r="AB116" s="488">
        <f>SUM(B116:AA116)</f>
        <v>87089</v>
      </c>
    </row>
    <row r="117" spans="1:28" ht="6.75" customHeight="1">
      <c r="A117" s="392"/>
      <c r="B117" s="1105"/>
      <c r="C117" s="1089"/>
      <c r="D117" s="1090"/>
      <c r="E117" s="1093"/>
      <c r="F117" s="1091"/>
      <c r="G117" s="1093"/>
      <c r="H117" s="1091"/>
      <c r="I117" s="1093"/>
      <c r="J117" s="1224"/>
      <c r="K117" s="1106"/>
      <c r="L117" s="1224"/>
      <c r="M117" s="1108"/>
      <c r="N117" s="1224"/>
      <c r="O117" s="1106"/>
      <c r="P117" s="1337"/>
      <c r="Q117" s="1377"/>
      <c r="R117" s="1337"/>
      <c r="S117" s="1377"/>
      <c r="T117" s="1091"/>
      <c r="U117" s="1094"/>
      <c r="V117" s="1337"/>
      <c r="W117" s="1109"/>
      <c r="X117" s="1093"/>
      <c r="Y117" s="1337"/>
      <c r="Z117" s="1377"/>
      <c r="AA117" s="1385"/>
      <c r="AB117" s="409"/>
    </row>
    <row r="118" spans="1:28" ht="19.5" customHeight="1">
      <c r="A118" s="392" t="s">
        <v>838</v>
      </c>
      <c r="B118" s="1038">
        <v>0</v>
      </c>
      <c r="C118" s="1034"/>
      <c r="D118" s="1033">
        <v>26043</v>
      </c>
      <c r="E118" s="1044"/>
      <c r="F118" s="1035">
        <v>2895</v>
      </c>
      <c r="G118" s="1044"/>
      <c r="H118" s="1035">
        <v>636</v>
      </c>
      <c r="I118" s="1044"/>
      <c r="J118" s="1040" t="s">
        <v>127</v>
      </c>
      <c r="K118" s="1039"/>
      <c r="L118" s="1040" t="s">
        <v>127</v>
      </c>
      <c r="M118" s="1041"/>
      <c r="N118" s="1040" t="s">
        <v>127</v>
      </c>
      <c r="O118" s="1039"/>
      <c r="P118" s="1336">
        <v>55701</v>
      </c>
      <c r="Q118" s="1338"/>
      <c r="R118" s="1339">
        <v>2745</v>
      </c>
      <c r="S118" s="1338"/>
      <c r="T118" s="1035">
        <v>1125</v>
      </c>
      <c r="U118" s="1045"/>
      <c r="V118" s="1339">
        <v>457</v>
      </c>
      <c r="W118" s="1042" t="s">
        <v>127</v>
      </c>
      <c r="X118" s="1044"/>
      <c r="Y118" s="1339">
        <v>90</v>
      </c>
      <c r="Z118" s="1338"/>
      <c r="AA118" s="1341">
        <v>1618</v>
      </c>
      <c r="AB118" s="488">
        <f>SUM(B118:AA118)</f>
        <v>91310</v>
      </c>
    </row>
    <row r="119" spans="1:28" ht="6.75" customHeight="1">
      <c r="A119" s="392"/>
      <c r="B119" s="1105"/>
      <c r="C119" s="1089"/>
      <c r="D119" s="1090"/>
      <c r="E119" s="1093"/>
      <c r="F119" s="1091"/>
      <c r="G119" s="1093"/>
      <c r="H119" s="1091"/>
      <c r="I119" s="1093"/>
      <c r="J119" s="1224"/>
      <c r="K119" s="1106"/>
      <c r="L119" s="1224"/>
      <c r="M119" s="1108"/>
      <c r="N119" s="1224"/>
      <c r="O119" s="1106"/>
      <c r="P119" s="1337"/>
      <c r="Q119" s="1377"/>
      <c r="R119" s="1337"/>
      <c r="S119" s="1377"/>
      <c r="T119" s="1091"/>
      <c r="U119" s="1094"/>
      <c r="V119" s="1337"/>
      <c r="W119" s="1109"/>
      <c r="X119" s="1093"/>
      <c r="Y119" s="1337"/>
      <c r="Z119" s="1377"/>
      <c r="AA119" s="1385"/>
      <c r="AB119" s="409"/>
    </row>
    <row r="120" spans="1:28" ht="19.5" customHeight="1">
      <c r="A120" s="392" t="s">
        <v>852</v>
      </c>
      <c r="B120" s="1038">
        <v>0</v>
      </c>
      <c r="C120" s="1034"/>
      <c r="D120" s="1033">
        <v>26815</v>
      </c>
      <c r="E120" s="1044"/>
      <c r="F120" s="1035">
        <v>2704</v>
      </c>
      <c r="G120" s="1044"/>
      <c r="H120" s="1035">
        <v>589</v>
      </c>
      <c r="I120" s="1044"/>
      <c r="J120" s="1040" t="s">
        <v>127</v>
      </c>
      <c r="K120" s="1039"/>
      <c r="L120" s="1040" t="s">
        <v>127</v>
      </c>
      <c r="M120" s="1041"/>
      <c r="N120" s="1040" t="s">
        <v>127</v>
      </c>
      <c r="O120" s="1039"/>
      <c r="P120" s="1339">
        <v>56696</v>
      </c>
      <c r="Q120" s="1338"/>
      <c r="R120" s="1339">
        <v>2803</v>
      </c>
      <c r="S120" s="1338"/>
      <c r="T120" s="1035">
        <v>1181</v>
      </c>
      <c r="U120" s="1045"/>
      <c r="V120" s="1339">
        <v>468</v>
      </c>
      <c r="W120" s="1042" t="s">
        <v>127</v>
      </c>
      <c r="X120" s="1044"/>
      <c r="Y120" s="1339">
        <f>34+50</f>
        <v>84</v>
      </c>
      <c r="Z120" s="1338"/>
      <c r="AA120" s="1341">
        <v>1651</v>
      </c>
      <c r="AB120" s="488">
        <f>SUM(B120:AA120)</f>
        <v>92991</v>
      </c>
    </row>
    <row r="121" spans="1:28" ht="6.75" customHeight="1">
      <c r="A121" s="392"/>
      <c r="B121" s="1105"/>
      <c r="C121" s="1089"/>
      <c r="D121" s="1090"/>
      <c r="E121" s="1093"/>
      <c r="F121" s="1091"/>
      <c r="G121" s="1093"/>
      <c r="H121" s="1091"/>
      <c r="I121" s="1093"/>
      <c r="J121" s="1224"/>
      <c r="K121" s="1106"/>
      <c r="L121" s="1224"/>
      <c r="M121" s="1108"/>
      <c r="N121" s="1224"/>
      <c r="O121" s="1106"/>
      <c r="P121" s="1337"/>
      <c r="Q121" s="1377"/>
      <c r="R121" s="1337"/>
      <c r="S121" s="1377"/>
      <c r="T121" s="1091"/>
      <c r="U121" s="1094"/>
      <c r="V121" s="1337"/>
      <c r="W121" s="1109"/>
      <c r="X121" s="1093"/>
      <c r="Y121" s="1337"/>
      <c r="Z121" s="1377"/>
      <c r="AA121" s="1385"/>
      <c r="AB121" s="409"/>
    </row>
    <row r="122" spans="1:28" ht="19.5" customHeight="1">
      <c r="A122" s="392" t="s">
        <v>861</v>
      </c>
      <c r="B122" s="1038">
        <v>0</v>
      </c>
      <c r="C122" s="1034"/>
      <c r="D122" s="1033">
        <f>24278+7094</f>
        <v>31372</v>
      </c>
      <c r="E122" s="1044"/>
      <c r="F122" s="1035">
        <f>2761+267</f>
        <v>3028</v>
      </c>
      <c r="G122" s="1044"/>
      <c r="H122" s="1035">
        <f>521+42</f>
        <v>563</v>
      </c>
      <c r="I122" s="1044"/>
      <c r="J122" s="1040" t="s">
        <v>127</v>
      </c>
      <c r="K122" s="1039"/>
      <c r="L122" s="1040" t="s">
        <v>127</v>
      </c>
      <c r="M122" s="1041"/>
      <c r="N122" s="1040" t="s">
        <v>127</v>
      </c>
      <c r="O122" s="1039"/>
      <c r="P122" s="1339">
        <f>51955+2869</f>
        <v>54824</v>
      </c>
      <c r="Q122" s="1338"/>
      <c r="R122" s="1339">
        <f>1887+962</f>
        <v>2849</v>
      </c>
      <c r="S122" s="1338"/>
      <c r="T122" s="1035">
        <f>815+355</f>
        <v>1170</v>
      </c>
      <c r="U122" s="1045"/>
      <c r="V122" s="1339">
        <f>460+28</f>
        <v>488</v>
      </c>
      <c r="W122" s="1042" t="s">
        <v>127</v>
      </c>
      <c r="X122" s="1044"/>
      <c r="Y122" s="1339">
        <f>34+54</f>
        <v>88</v>
      </c>
      <c r="Z122" s="1338"/>
      <c r="AA122" s="1341">
        <f>1176+304</f>
        <v>1480</v>
      </c>
      <c r="AB122" s="488">
        <f>SUM(B122:AA122)</f>
        <v>95862</v>
      </c>
    </row>
    <row r="123" spans="1:28" ht="6.75" customHeight="1">
      <c r="A123" s="392"/>
      <c r="B123" s="1105"/>
      <c r="C123" s="1089"/>
      <c r="D123" s="1090"/>
      <c r="E123" s="1093"/>
      <c r="F123" s="1091"/>
      <c r="G123" s="1093"/>
      <c r="H123" s="1091"/>
      <c r="I123" s="1093"/>
      <c r="J123" s="1224"/>
      <c r="K123" s="1106"/>
      <c r="L123" s="1224"/>
      <c r="M123" s="1108"/>
      <c r="N123" s="1224"/>
      <c r="O123" s="1106"/>
      <c r="P123" s="1337"/>
      <c r="Q123" s="1377"/>
      <c r="R123" s="1337"/>
      <c r="S123" s="1377"/>
      <c r="T123" s="1091"/>
      <c r="U123" s="1094"/>
      <c r="V123" s="1337"/>
      <c r="W123" s="1109"/>
      <c r="X123" s="1093"/>
      <c r="Y123" s="1337"/>
      <c r="Z123" s="1377"/>
      <c r="AA123" s="1385"/>
      <c r="AB123" s="409"/>
    </row>
    <row r="124" spans="1:28" ht="19.5" customHeight="1">
      <c r="A124" s="392" t="s">
        <v>871</v>
      </c>
      <c r="B124" s="1038">
        <v>0</v>
      </c>
      <c r="C124" s="1034"/>
      <c r="D124" s="1033">
        <f>26802+5268</f>
        <v>32070</v>
      </c>
      <c r="E124" s="1044"/>
      <c r="F124" s="1035">
        <f>3063+320</f>
        <v>3383</v>
      </c>
      <c r="G124" s="1044"/>
      <c r="H124" s="1035">
        <f>493+48</f>
        <v>541</v>
      </c>
      <c r="I124" s="1044"/>
      <c r="J124" s="1040" t="s">
        <v>127</v>
      </c>
      <c r="K124" s="1039"/>
      <c r="L124" s="1040" t="s">
        <v>127</v>
      </c>
      <c r="M124" s="1041"/>
      <c r="N124" s="1040" t="s">
        <v>127</v>
      </c>
      <c r="O124" s="1039"/>
      <c r="P124" s="1339">
        <f>53106+2991</f>
        <v>56097</v>
      </c>
      <c r="Q124" s="1338"/>
      <c r="R124" s="1339">
        <f>1848+960</f>
        <v>2808</v>
      </c>
      <c r="S124" s="1338"/>
      <c r="T124" s="1035">
        <f>843+348</f>
        <v>1191</v>
      </c>
      <c r="U124" s="1045"/>
      <c r="V124" s="1339">
        <f>466+28</f>
        <v>494</v>
      </c>
      <c r="W124" s="1042" t="s">
        <v>127</v>
      </c>
      <c r="X124" s="1044"/>
      <c r="Y124" s="1339">
        <f>37+50</f>
        <v>87</v>
      </c>
      <c r="Z124" s="1338"/>
      <c r="AA124" s="1341">
        <f>1201+304</f>
        <v>1505</v>
      </c>
      <c r="AB124" s="488">
        <f>SUM(B124:AA124)</f>
        <v>98176</v>
      </c>
    </row>
    <row r="125" spans="1:28" ht="6.75" customHeight="1">
      <c r="A125" s="392"/>
      <c r="B125" s="1105"/>
      <c r="C125" s="1089"/>
      <c r="D125" s="1090"/>
      <c r="E125" s="1093"/>
      <c r="F125" s="1091"/>
      <c r="G125" s="1093"/>
      <c r="H125" s="1091"/>
      <c r="I125" s="1093"/>
      <c r="J125" s="1224"/>
      <c r="K125" s="1106"/>
      <c r="L125" s="1224"/>
      <c r="M125" s="1108"/>
      <c r="N125" s="1224"/>
      <c r="O125" s="1106"/>
      <c r="P125" s="1337"/>
      <c r="Q125" s="1377"/>
      <c r="R125" s="1337"/>
      <c r="S125" s="1377"/>
      <c r="T125" s="1091"/>
      <c r="U125" s="1094"/>
      <c r="V125" s="1337"/>
      <c r="W125" s="1109"/>
      <c r="X125" s="1093"/>
      <c r="Y125" s="1337"/>
      <c r="Z125" s="1377"/>
      <c r="AA125" s="1385"/>
      <c r="AB125" s="409"/>
    </row>
    <row r="126" spans="1:28" ht="19.5" customHeight="1">
      <c r="A126" s="392" t="s">
        <v>881</v>
      </c>
      <c r="B126" s="1038">
        <v>0</v>
      </c>
      <c r="C126" s="1034"/>
      <c r="D126" s="1033">
        <f>25910+5278</f>
        <v>31188</v>
      </c>
      <c r="E126" s="1044"/>
      <c r="F126" s="1035">
        <f>2887+255</f>
        <v>3142</v>
      </c>
      <c r="G126" s="1044"/>
      <c r="H126" s="1035">
        <f>421+53</f>
        <v>474</v>
      </c>
      <c r="I126" s="1044"/>
      <c r="J126" s="1040" t="s">
        <v>127</v>
      </c>
      <c r="K126" s="1039"/>
      <c r="L126" s="1040" t="s">
        <v>127</v>
      </c>
      <c r="M126" s="1041"/>
      <c r="N126" s="1040" t="s">
        <v>127</v>
      </c>
      <c r="O126" s="1039"/>
      <c r="P126" s="1336">
        <f>57016+2888</f>
        <v>59904</v>
      </c>
      <c r="Q126" s="1338"/>
      <c r="R126" s="1339">
        <f>1780+1001</f>
        <v>2781</v>
      </c>
      <c r="S126" s="1338"/>
      <c r="T126" s="1035">
        <f>839+355</f>
        <v>1194</v>
      </c>
      <c r="U126" s="1045"/>
      <c r="V126" s="1339">
        <f>469+29</f>
        <v>498</v>
      </c>
      <c r="W126" s="1042" t="s">
        <v>127</v>
      </c>
      <c r="X126" s="1044"/>
      <c r="Y126" s="1339">
        <f>34+49</f>
        <v>83</v>
      </c>
      <c r="Z126" s="1338"/>
      <c r="AA126" s="1341">
        <f>1209+312</f>
        <v>1521</v>
      </c>
      <c r="AB126" s="488">
        <f>SUM(B126:AA126)</f>
        <v>100785</v>
      </c>
    </row>
    <row r="127" spans="1:28" ht="6.75" customHeight="1">
      <c r="A127" s="392"/>
      <c r="B127" s="1105"/>
      <c r="C127" s="1089"/>
      <c r="D127" s="1090"/>
      <c r="E127" s="1093"/>
      <c r="F127" s="1091"/>
      <c r="G127" s="1093"/>
      <c r="H127" s="1091"/>
      <c r="I127" s="1093"/>
      <c r="J127" s="1224"/>
      <c r="K127" s="1106"/>
      <c r="L127" s="1224"/>
      <c r="M127" s="1108"/>
      <c r="N127" s="1224"/>
      <c r="O127" s="1106"/>
      <c r="P127" s="1337"/>
      <c r="Q127" s="1377"/>
      <c r="R127" s="1337"/>
      <c r="S127" s="1377"/>
      <c r="T127" s="1091"/>
      <c r="U127" s="1094"/>
      <c r="V127" s="1337"/>
      <c r="W127" s="1109"/>
      <c r="X127" s="1093"/>
      <c r="Y127" s="1337"/>
      <c r="Z127" s="1377"/>
      <c r="AA127" s="1385"/>
      <c r="AB127" s="409"/>
    </row>
    <row r="128" spans="1:28" ht="19.5" customHeight="1">
      <c r="A128" s="392" t="s">
        <v>903</v>
      </c>
      <c r="B128" s="1038">
        <v>0</v>
      </c>
      <c r="C128" s="1034"/>
      <c r="D128" s="1049">
        <f>25232+4860</f>
        <v>30092</v>
      </c>
      <c r="E128" s="1044"/>
      <c r="F128" s="1035">
        <f>2123+838</f>
        <v>2961</v>
      </c>
      <c r="G128" s="1044"/>
      <c r="H128" s="1035">
        <f>398+64</f>
        <v>462</v>
      </c>
      <c r="I128" s="1044"/>
      <c r="J128" s="1040" t="s">
        <v>127</v>
      </c>
      <c r="K128" s="1039"/>
      <c r="L128" s="1040" t="s">
        <v>127</v>
      </c>
      <c r="M128" s="1041"/>
      <c r="N128" s="1040" t="s">
        <v>127</v>
      </c>
      <c r="O128" s="1039"/>
      <c r="P128" s="1336">
        <f>60670+3045</f>
        <v>63715</v>
      </c>
      <c r="Q128" s="1338"/>
      <c r="R128" s="1339">
        <f>1753+964</f>
        <v>2717</v>
      </c>
      <c r="S128" s="1338"/>
      <c r="T128" s="1035">
        <f>829+368</f>
        <v>1197</v>
      </c>
      <c r="U128" s="1045"/>
      <c r="V128" s="1340">
        <f>491+29</f>
        <v>520</v>
      </c>
      <c r="W128" s="1042" t="s">
        <v>127</v>
      </c>
      <c r="X128" s="1043"/>
      <c r="Y128" s="1339">
        <f>41+60</f>
        <v>101</v>
      </c>
      <c r="Z128" s="1338"/>
      <c r="AA128" s="1341">
        <f>1721+134</f>
        <v>1855</v>
      </c>
      <c r="AB128" s="488">
        <f>SUM(B128:AA128)</f>
        <v>103620</v>
      </c>
    </row>
    <row r="129" spans="1:28" ht="6.75" customHeight="1">
      <c r="A129" s="392"/>
      <c r="B129" s="1105"/>
      <c r="C129" s="1089"/>
      <c r="D129" s="1090"/>
      <c r="E129" s="1093"/>
      <c r="F129" s="1091"/>
      <c r="G129" s="1093"/>
      <c r="H129" s="1091"/>
      <c r="I129" s="1093"/>
      <c r="J129" s="1224"/>
      <c r="K129" s="1106"/>
      <c r="L129" s="1224"/>
      <c r="M129" s="1108"/>
      <c r="N129" s="1224"/>
      <c r="O129" s="1106"/>
      <c r="P129" s="1337"/>
      <c r="Q129" s="1377"/>
      <c r="R129" s="1337"/>
      <c r="S129" s="1377"/>
      <c r="T129" s="1091"/>
      <c r="U129" s="1094"/>
      <c r="V129" s="1337"/>
      <c r="W129" s="1109"/>
      <c r="X129" s="1093"/>
      <c r="Y129" s="1337"/>
      <c r="Z129" s="1377"/>
      <c r="AA129" s="1385"/>
      <c r="AB129" s="409"/>
    </row>
    <row r="130" spans="1:28" ht="19.5" customHeight="1">
      <c r="A130" s="392" t="s">
        <v>912</v>
      </c>
      <c r="B130" s="1038">
        <v>0</v>
      </c>
      <c r="C130" s="1034"/>
      <c r="D130" s="1033">
        <f>24483+3599</f>
        <v>28082</v>
      </c>
      <c r="E130" s="1044"/>
      <c r="F130" s="1035">
        <f>2255+806</f>
        <v>3061</v>
      </c>
      <c r="G130" s="1044" t="s">
        <v>0</v>
      </c>
      <c r="H130" s="1035">
        <f>557+74</f>
        <v>631</v>
      </c>
      <c r="I130" s="1044"/>
      <c r="J130" s="1040" t="s">
        <v>127</v>
      </c>
      <c r="K130" s="1039"/>
      <c r="L130" s="1040" t="s">
        <v>127</v>
      </c>
      <c r="M130" s="1041"/>
      <c r="N130" s="1040" t="s">
        <v>127</v>
      </c>
      <c r="O130" s="1039"/>
      <c r="P130" s="1336">
        <f>60913+2928</f>
        <v>63841</v>
      </c>
      <c r="Q130" s="1338"/>
      <c r="R130" s="1339">
        <f>2350+1032</f>
        <v>3382</v>
      </c>
      <c r="S130" s="1338"/>
      <c r="T130" s="1035">
        <f>846+353</f>
        <v>1199</v>
      </c>
      <c r="U130" s="1045"/>
      <c r="V130" s="1340">
        <f>501+34</f>
        <v>535</v>
      </c>
      <c r="W130" s="1042" t="s">
        <v>127</v>
      </c>
      <c r="X130" s="1043"/>
      <c r="Y130" s="1339">
        <f>28+56</f>
        <v>84</v>
      </c>
      <c r="Z130" s="1338"/>
      <c r="AA130" s="1341">
        <f>1751+139</f>
        <v>1890</v>
      </c>
      <c r="AB130" s="488">
        <f>SUM(B130:AA130)</f>
        <v>102705</v>
      </c>
    </row>
    <row r="131" spans="1:28" ht="6.75" customHeight="1">
      <c r="A131" s="392"/>
      <c r="B131" s="1105"/>
      <c r="C131" s="1089"/>
      <c r="D131" s="1090"/>
      <c r="E131" s="1093"/>
      <c r="F131" s="1091"/>
      <c r="G131" s="1093"/>
      <c r="H131" s="1091"/>
      <c r="I131" s="1093"/>
      <c r="J131" s="1224"/>
      <c r="K131" s="1106"/>
      <c r="L131" s="1224"/>
      <c r="M131" s="1108"/>
      <c r="N131" s="1224"/>
      <c r="O131" s="1106"/>
      <c r="P131" s="1337"/>
      <c r="Q131" s="1377"/>
      <c r="R131" s="1337"/>
      <c r="S131" s="1377"/>
      <c r="T131" s="1091"/>
      <c r="U131" s="1094"/>
      <c r="V131" s="1337"/>
      <c r="W131" s="1109"/>
      <c r="X131" s="1093"/>
      <c r="Y131" s="1337"/>
      <c r="Z131" s="1377"/>
      <c r="AA131" s="1385"/>
      <c r="AB131" s="1218" t="s">
        <v>0</v>
      </c>
    </row>
    <row r="132" spans="1:28" ht="19.5" customHeight="1">
      <c r="A132" s="392" t="s">
        <v>932</v>
      </c>
      <c r="B132" s="1038">
        <v>0</v>
      </c>
      <c r="C132" s="1034"/>
      <c r="D132" s="1033">
        <v>23931</v>
      </c>
      <c r="E132" s="1044"/>
      <c r="F132" s="1035">
        <v>2955</v>
      </c>
      <c r="G132" s="1044"/>
      <c r="H132" s="1035">
        <v>530</v>
      </c>
      <c r="I132" s="1044"/>
      <c r="J132" s="1040" t="s">
        <v>127</v>
      </c>
      <c r="K132" s="1039"/>
      <c r="L132" s="1040" t="s">
        <v>127</v>
      </c>
      <c r="M132" s="1041"/>
      <c r="N132" s="1040" t="s">
        <v>127</v>
      </c>
      <c r="O132" s="1039"/>
      <c r="P132" s="1339">
        <v>65705</v>
      </c>
      <c r="Q132" s="1338"/>
      <c r="R132" s="1339">
        <v>3453</v>
      </c>
      <c r="S132" s="1338"/>
      <c r="T132" s="1035">
        <v>1227</v>
      </c>
      <c r="U132" s="1045"/>
      <c r="V132" s="1339">
        <v>546</v>
      </c>
      <c r="W132" s="1042" t="s">
        <v>127</v>
      </c>
      <c r="X132" s="1044"/>
      <c r="Y132" s="1339">
        <v>78</v>
      </c>
      <c r="Z132" s="1338"/>
      <c r="AA132" s="1341">
        <v>1906</v>
      </c>
      <c r="AB132" s="488">
        <f>SUM(B132:AA132)</f>
        <v>100331</v>
      </c>
    </row>
    <row r="133" spans="1:28" ht="6.75" customHeight="1">
      <c r="A133" s="392"/>
      <c r="B133" s="1105"/>
      <c r="C133" s="1089"/>
      <c r="D133" s="1090"/>
      <c r="E133" s="1093"/>
      <c r="F133" s="1091"/>
      <c r="G133" s="1093"/>
      <c r="H133" s="1091"/>
      <c r="I133" s="1093"/>
      <c r="J133" s="1224"/>
      <c r="K133" s="1106"/>
      <c r="L133" s="1224"/>
      <c r="M133" s="1108"/>
      <c r="N133" s="1224"/>
      <c r="O133" s="1106"/>
      <c r="P133" s="1337"/>
      <c r="Q133" s="1377"/>
      <c r="R133" s="1337"/>
      <c r="S133" s="1377"/>
      <c r="T133" s="1091"/>
      <c r="U133" s="1094"/>
      <c r="V133" s="1337"/>
      <c r="W133" s="1109"/>
      <c r="X133" s="1093"/>
      <c r="Y133" s="1337"/>
      <c r="Z133" s="1377"/>
      <c r="AA133" s="1385"/>
      <c r="AB133" s="409"/>
    </row>
    <row r="134" spans="1:28" ht="19.5" customHeight="1">
      <c r="A134" s="392" t="s">
        <v>941</v>
      </c>
      <c r="B134" s="1038">
        <v>0</v>
      </c>
      <c r="C134" s="1034"/>
      <c r="D134" s="1033">
        <v>28987</v>
      </c>
      <c r="E134" s="1044"/>
      <c r="F134" s="1035">
        <v>2465</v>
      </c>
      <c r="G134" s="1044"/>
      <c r="H134" s="1035">
        <v>568</v>
      </c>
      <c r="I134" s="1044"/>
      <c r="J134" s="1040" t="s">
        <v>127</v>
      </c>
      <c r="K134" s="1039"/>
      <c r="L134" s="1040" t="s">
        <v>127</v>
      </c>
      <c r="M134" s="1041"/>
      <c r="N134" s="1040" t="s">
        <v>127</v>
      </c>
      <c r="O134" s="1039"/>
      <c r="P134" s="1339">
        <v>69612</v>
      </c>
      <c r="Q134" s="1338"/>
      <c r="R134" s="1339">
        <v>3567</v>
      </c>
      <c r="S134" s="1338"/>
      <c r="T134" s="1035">
        <v>1206</v>
      </c>
      <c r="U134" s="1045"/>
      <c r="V134" s="1339">
        <v>554</v>
      </c>
      <c r="W134" s="1042" t="s">
        <v>127</v>
      </c>
      <c r="X134" s="1044"/>
      <c r="Y134" s="1339">
        <v>76</v>
      </c>
      <c r="Z134" s="1338"/>
      <c r="AA134" s="1341">
        <v>1954</v>
      </c>
      <c r="AB134" s="488">
        <f>SUM(B134:AA134)</f>
        <v>108989</v>
      </c>
    </row>
    <row r="135" spans="1:28" ht="6.75" customHeight="1">
      <c r="A135" s="392"/>
      <c r="B135" s="1105"/>
      <c r="C135" s="1089"/>
      <c r="D135" s="1090"/>
      <c r="E135" s="1093"/>
      <c r="F135" s="1091"/>
      <c r="G135" s="1093"/>
      <c r="H135" s="1091"/>
      <c r="I135" s="1093"/>
      <c r="J135" s="1224"/>
      <c r="K135" s="1106"/>
      <c r="L135" s="1224"/>
      <c r="M135" s="1108"/>
      <c r="N135" s="1224"/>
      <c r="O135" s="1106"/>
      <c r="P135" s="1337"/>
      <c r="Q135" s="1377"/>
      <c r="R135" s="1337"/>
      <c r="S135" s="1377"/>
      <c r="T135" s="1091"/>
      <c r="U135" s="1094"/>
      <c r="V135" s="1337"/>
      <c r="W135" s="1109"/>
      <c r="X135" s="1093"/>
      <c r="Y135" s="1337"/>
      <c r="Z135" s="1377"/>
      <c r="AA135" s="1385"/>
      <c r="AB135" s="409"/>
    </row>
    <row r="136" spans="1:28" ht="19.5" customHeight="1">
      <c r="A136" s="392" t="s">
        <v>985</v>
      </c>
      <c r="B136" s="1038">
        <v>0</v>
      </c>
      <c r="C136" s="1034"/>
      <c r="D136" s="1033">
        <v>28515</v>
      </c>
      <c r="E136" s="1044"/>
      <c r="F136" s="1035">
        <v>2539</v>
      </c>
      <c r="G136" s="1044"/>
      <c r="H136" s="1035">
        <v>618</v>
      </c>
      <c r="I136" s="1044"/>
      <c r="J136" s="1040" t="s">
        <v>127</v>
      </c>
      <c r="K136" s="1039"/>
      <c r="L136" s="1040" t="s">
        <v>127</v>
      </c>
      <c r="M136" s="1041"/>
      <c r="N136" s="1040" t="s">
        <v>127</v>
      </c>
      <c r="O136" s="1039"/>
      <c r="P136" s="1339">
        <v>71589</v>
      </c>
      <c r="Q136" s="1338"/>
      <c r="R136" s="1339">
        <v>3745</v>
      </c>
      <c r="S136" s="1338"/>
      <c r="T136" s="1035">
        <v>1270</v>
      </c>
      <c r="U136" s="1045"/>
      <c r="V136" s="1339">
        <v>568</v>
      </c>
      <c r="W136" s="1042" t="s">
        <v>127</v>
      </c>
      <c r="X136" s="1044"/>
      <c r="Y136" s="1339">
        <v>71</v>
      </c>
      <c r="Z136" s="1338"/>
      <c r="AA136" s="1341">
        <v>1961</v>
      </c>
      <c r="AB136" s="488">
        <f>SUM(B136:AA136)</f>
        <v>110876</v>
      </c>
    </row>
    <row r="137" spans="1:28" ht="6.75" customHeight="1" thickBot="1">
      <c r="A137" s="481"/>
      <c r="B137" s="482"/>
      <c r="C137" s="483"/>
      <c r="D137" s="25" t="s">
        <v>0</v>
      </c>
      <c r="E137" s="483"/>
      <c r="F137" s="25"/>
      <c r="G137" s="483"/>
      <c r="H137" s="25"/>
      <c r="I137" s="483"/>
      <c r="J137" s="25"/>
      <c r="K137" s="483"/>
      <c r="L137" s="25"/>
      <c r="M137" s="483"/>
      <c r="N137" s="25"/>
      <c r="O137" s="483"/>
      <c r="P137" s="25"/>
      <c r="Q137" s="483"/>
      <c r="R137" s="25"/>
      <c r="S137" s="483"/>
      <c r="T137" s="25"/>
      <c r="U137" s="483"/>
      <c r="V137" s="25"/>
      <c r="W137" s="595"/>
      <c r="X137" s="483"/>
      <c r="Y137" s="25"/>
      <c r="Z137" s="483"/>
      <c r="AA137" s="484"/>
      <c r="AB137" s="485"/>
    </row>
    <row r="139" spans="1:28">
      <c r="A139" s="164" t="s">
        <v>0</v>
      </c>
      <c r="D139" s="731" t="s">
        <v>0</v>
      </c>
    </row>
    <row r="141" spans="1:28">
      <c r="A141" s="11" t="s">
        <v>123</v>
      </c>
    </row>
    <row r="142" spans="1:28">
      <c r="A142" s="11"/>
    </row>
    <row r="143" spans="1:28">
      <c r="A143" s="164" t="s">
        <v>128</v>
      </c>
    </row>
    <row r="181" spans="4:6">
      <c r="D181" t="s">
        <v>129</v>
      </c>
      <c r="F181" t="s">
        <v>130</v>
      </c>
    </row>
    <row r="182" spans="4:6">
      <c r="D182" s="473">
        <v>1327</v>
      </c>
      <c r="F182" s="473">
        <v>1348</v>
      </c>
    </row>
    <row r="183" spans="4:6">
      <c r="D183" s="473">
        <v>1050</v>
      </c>
      <c r="F183" s="473">
        <v>1028</v>
      </c>
    </row>
    <row r="184" spans="4:6">
      <c r="D184" s="473">
        <v>875</v>
      </c>
      <c r="F184" s="473">
        <v>869</v>
      </c>
    </row>
    <row r="185" spans="4:6">
      <c r="D185" s="473">
        <v>862</v>
      </c>
      <c r="F185" s="473">
        <v>954</v>
      </c>
    </row>
    <row r="186" spans="4:6">
      <c r="D186" s="473">
        <v>664</v>
      </c>
      <c r="F186" s="473"/>
    </row>
    <row r="187" spans="4:6">
      <c r="D187" s="473">
        <v>624</v>
      </c>
      <c r="F187" s="473">
        <v>645</v>
      </c>
    </row>
    <row r="188" spans="4:6">
      <c r="D188" s="473">
        <v>496</v>
      </c>
      <c r="F188" s="473">
        <v>518</v>
      </c>
    </row>
    <row r="189" spans="4:6">
      <c r="D189" s="473">
        <v>278</v>
      </c>
      <c r="F189" s="473">
        <v>1539</v>
      </c>
    </row>
    <row r="190" spans="4:6">
      <c r="D190" s="473">
        <v>171</v>
      </c>
      <c r="F190" s="473">
        <v>186</v>
      </c>
    </row>
    <row r="191" spans="4:6">
      <c r="D191" s="473">
        <v>103</v>
      </c>
      <c r="F191" s="473"/>
    </row>
    <row r="192" spans="4:6">
      <c r="D192" s="473">
        <v>12</v>
      </c>
      <c r="F192" s="473">
        <v>22</v>
      </c>
    </row>
    <row r="193" spans="4:6">
      <c r="D193" s="473">
        <v>0</v>
      </c>
      <c r="F193" s="473">
        <v>636</v>
      </c>
    </row>
    <row r="194" spans="4:6">
      <c r="D194" s="473">
        <v>0</v>
      </c>
      <c r="F194" s="473"/>
    </row>
    <row r="195" spans="4:6">
      <c r="D195" s="473">
        <v>0</v>
      </c>
      <c r="F195" s="473">
        <v>2545</v>
      </c>
    </row>
  </sheetData>
  <mergeCells count="2">
    <mergeCell ref="A4:AB4"/>
    <mergeCell ref="A3:AB3"/>
  </mergeCells>
  <phoneticPr fontId="0" type="noConversion"/>
  <pageMargins left="0.79" right="0.22" top="0.23" bottom="0.22" header="0.17" footer="0.18"/>
  <pageSetup scale="40" orientation="portrait"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dimension ref="A1:Z178"/>
  <sheetViews>
    <sheetView zoomScale="77" zoomScaleNormal="77" workbookViewId="0">
      <selection activeCell="F10" sqref="F10"/>
    </sheetView>
  </sheetViews>
  <sheetFormatPr baseColWidth="10" defaultColWidth="9" defaultRowHeight="15.75" zeroHeight="1"/>
  <cols>
    <col min="1" max="1" width="12" style="100" customWidth="1"/>
    <col min="2" max="2" width="14.125" style="100" customWidth="1"/>
    <col min="3" max="3" width="12.875" style="100" customWidth="1"/>
    <col min="4" max="4" width="12.625" style="100" customWidth="1"/>
    <col min="5" max="5" width="13.875" style="100" customWidth="1"/>
    <col min="6" max="7" width="13.375" style="100" customWidth="1"/>
    <col min="8" max="8" width="14.5" style="100" customWidth="1"/>
    <col min="9" max="9" width="15.5" style="100" customWidth="1"/>
    <col min="10" max="10" width="13.625" style="100" customWidth="1"/>
    <col min="11" max="12" width="12.5" style="100" customWidth="1"/>
    <col min="13" max="13" width="13.125" style="100" customWidth="1"/>
    <col min="14" max="14" width="13.75" style="100" customWidth="1"/>
    <col min="15" max="15" width="14.5" style="100" customWidth="1"/>
    <col min="16" max="16" width="10.75" style="100" customWidth="1"/>
    <col min="17" max="17" width="11.75" style="100" customWidth="1"/>
    <col min="18" max="18" width="9" style="100"/>
    <col min="19" max="19" width="14" style="100" customWidth="1"/>
    <col min="20" max="20" width="9" style="100"/>
    <col min="21" max="34" width="15.625" style="100" customWidth="1"/>
    <col min="35" max="58" width="9" style="100"/>
    <col min="59" max="60" width="10" style="100" customWidth="1"/>
    <col min="61" max="61" width="10.75" style="100" customWidth="1"/>
    <col min="62" max="62" width="10" style="100" customWidth="1"/>
    <col min="63" max="63" width="10.75" style="100" customWidth="1"/>
    <col min="64" max="64" width="14.5" style="100" customWidth="1"/>
    <col min="65" max="65" width="12.625" style="100" customWidth="1"/>
    <col min="66" max="71" width="12.5" style="100" customWidth="1"/>
    <col min="72" max="16384" width="9" style="100"/>
  </cols>
  <sheetData>
    <row r="1" spans="1:11">
      <c r="A1" s="1553" t="s">
        <v>131</v>
      </c>
      <c r="B1" s="1553"/>
      <c r="C1" s="1553"/>
      <c r="D1" s="1553"/>
      <c r="E1" s="1553"/>
      <c r="F1" s="1553"/>
      <c r="G1" s="1553"/>
      <c r="H1" s="1553"/>
      <c r="I1" s="1553"/>
      <c r="J1" s="1553"/>
      <c r="K1" s="1553"/>
    </row>
    <row r="2" spans="1:11">
      <c r="A2" s="1553" t="s">
        <v>132</v>
      </c>
      <c r="B2" s="1553"/>
      <c r="C2" s="1553"/>
      <c r="D2" s="1553"/>
      <c r="E2" s="1553"/>
      <c r="F2" s="1553"/>
      <c r="G2" s="1553"/>
      <c r="H2" s="1553"/>
      <c r="I2" s="1553"/>
      <c r="J2" s="1553"/>
      <c r="K2" s="1553"/>
    </row>
    <row r="3" spans="1:11">
      <c r="A3" s="1553" t="s">
        <v>968</v>
      </c>
      <c r="B3" s="1553"/>
      <c r="C3" s="1553"/>
      <c r="D3" s="1553"/>
      <c r="E3" s="1553"/>
      <c r="F3" s="1553"/>
      <c r="G3" s="1553"/>
      <c r="H3" s="1553"/>
      <c r="I3" s="1553"/>
      <c r="J3" s="1553"/>
      <c r="K3" s="1553"/>
    </row>
    <row r="4" spans="1:11">
      <c r="A4" s="524"/>
      <c r="B4" s="525"/>
      <c r="C4" s="525"/>
      <c r="D4" s="525"/>
      <c r="E4" s="525"/>
      <c r="F4" s="525"/>
      <c r="G4" s="525"/>
      <c r="H4" s="525"/>
      <c r="I4" s="525"/>
      <c r="J4" s="525"/>
      <c r="K4" s="525"/>
    </row>
    <row r="5" spans="1:11" ht="16.5" thickBot="1">
      <c r="A5" s="525"/>
      <c r="B5" s="525"/>
      <c r="C5" s="525"/>
      <c r="D5" s="525"/>
      <c r="E5" s="525"/>
      <c r="F5" s="525"/>
      <c r="G5" s="525"/>
      <c r="H5" s="525"/>
      <c r="I5" s="525"/>
      <c r="J5" s="525"/>
      <c r="K5" s="525"/>
    </row>
    <row r="6" spans="1:11" ht="21" customHeight="1" thickBot="1">
      <c r="A6" s="1323"/>
      <c r="B6" s="1055" t="s">
        <v>125</v>
      </c>
      <c r="C6" s="1056" t="s">
        <v>60</v>
      </c>
      <c r="D6" s="1055" t="s">
        <v>126</v>
      </c>
      <c r="E6" s="1055" t="s">
        <v>64</v>
      </c>
      <c r="F6" s="1055" t="s">
        <v>65</v>
      </c>
      <c r="G6" s="1055" t="s">
        <v>133</v>
      </c>
      <c r="H6" s="1055" t="s">
        <v>67</v>
      </c>
      <c r="I6" s="1055" t="s">
        <v>68</v>
      </c>
      <c r="J6" s="1057" t="s">
        <v>69</v>
      </c>
      <c r="K6" s="550" t="s">
        <v>70</v>
      </c>
    </row>
    <row r="7" spans="1:11" ht="26.25" customHeight="1" thickTop="1">
      <c r="A7" s="1324" t="s">
        <v>134</v>
      </c>
      <c r="B7" s="528">
        <v>35525</v>
      </c>
      <c r="C7" s="529">
        <v>2436</v>
      </c>
      <c r="D7" s="529">
        <v>2157</v>
      </c>
      <c r="E7" s="527">
        <v>26563</v>
      </c>
      <c r="F7" s="527">
        <v>35846</v>
      </c>
      <c r="G7" s="527">
        <v>8310</v>
      </c>
      <c r="H7" s="527">
        <v>3596</v>
      </c>
      <c r="I7" s="527">
        <v>285</v>
      </c>
      <c r="J7" s="551">
        <v>2145</v>
      </c>
      <c r="K7" s="532">
        <f>SUM(B7:J7)</f>
        <v>116863</v>
      </c>
    </row>
    <row r="8" spans="1:11" ht="26.25" customHeight="1">
      <c r="A8" s="1324" t="s">
        <v>135</v>
      </c>
      <c r="B8" s="528">
        <v>333746</v>
      </c>
      <c r="C8" s="527">
        <v>13899</v>
      </c>
      <c r="D8" s="529">
        <v>37653</v>
      </c>
      <c r="E8" s="527">
        <v>488859</v>
      </c>
      <c r="F8" s="527">
        <v>742693</v>
      </c>
      <c r="G8" s="527">
        <v>61279</v>
      </c>
      <c r="H8" s="527">
        <v>5794</v>
      </c>
      <c r="I8" s="527">
        <v>1503</v>
      </c>
      <c r="J8" s="552">
        <v>10644</v>
      </c>
      <c r="K8" s="532">
        <f>SUM(B8:J8)</f>
        <v>1696070</v>
      </c>
    </row>
    <row r="9" spans="1:11" ht="24" customHeight="1">
      <c r="A9" s="1324" t="s">
        <v>136</v>
      </c>
      <c r="B9" s="544">
        <v>2032</v>
      </c>
      <c r="C9" s="543">
        <v>197</v>
      </c>
      <c r="D9" s="545">
        <v>876</v>
      </c>
      <c r="E9" s="543">
        <v>10514</v>
      </c>
      <c r="F9" s="543">
        <v>3084</v>
      </c>
      <c r="G9" s="543">
        <v>655</v>
      </c>
      <c r="H9" s="543">
        <v>789</v>
      </c>
      <c r="I9" s="543">
        <v>45</v>
      </c>
      <c r="J9" s="553">
        <v>472</v>
      </c>
      <c r="K9" s="546">
        <f>SUM(B9:J9)</f>
        <v>18664</v>
      </c>
    </row>
    <row r="10" spans="1:11" ht="27" customHeight="1" thickBot="1">
      <c r="A10" s="1325" t="s">
        <v>70</v>
      </c>
      <c r="B10" s="1322">
        <f t="shared" ref="B10:J10" si="0">SUM(B7:B9)</f>
        <v>371303</v>
      </c>
      <c r="C10" s="530">
        <f t="shared" si="0"/>
        <v>16532</v>
      </c>
      <c r="D10" s="530">
        <f t="shared" si="0"/>
        <v>40686</v>
      </c>
      <c r="E10" s="530">
        <f t="shared" si="0"/>
        <v>525936</v>
      </c>
      <c r="F10" s="530">
        <f t="shared" si="0"/>
        <v>781623</v>
      </c>
      <c r="G10" s="530">
        <f t="shared" si="0"/>
        <v>70244</v>
      </c>
      <c r="H10" s="530">
        <f t="shared" si="0"/>
        <v>10179</v>
      </c>
      <c r="I10" s="530">
        <f t="shared" si="0"/>
        <v>1833</v>
      </c>
      <c r="J10" s="530">
        <f t="shared" si="0"/>
        <v>13261</v>
      </c>
      <c r="K10" s="549">
        <f>SUM(K7:K9)</f>
        <v>1831597</v>
      </c>
    </row>
    <row r="11" spans="1:11"/>
    <row r="12" spans="1:11"/>
    <row r="13" spans="1:11">
      <c r="A13" s="1553" t="s">
        <v>131</v>
      </c>
      <c r="B13" s="1553"/>
      <c r="C13" s="1553"/>
      <c r="D13" s="1553"/>
      <c r="E13" s="1553"/>
      <c r="F13" s="1553"/>
      <c r="G13" s="1553"/>
      <c r="H13" s="1553"/>
      <c r="I13" s="1553"/>
      <c r="J13" s="1553"/>
      <c r="K13" s="1553"/>
    </row>
    <row r="14" spans="1:11">
      <c r="A14" s="1553" t="s">
        <v>132</v>
      </c>
      <c r="B14" s="1553"/>
      <c r="C14" s="1553"/>
      <c r="D14" s="1553"/>
      <c r="E14" s="1553"/>
      <c r="F14" s="1553"/>
      <c r="G14" s="1553"/>
      <c r="H14" s="1553"/>
      <c r="I14" s="1553"/>
      <c r="J14" s="1553"/>
      <c r="K14" s="1553"/>
    </row>
    <row r="15" spans="1:11">
      <c r="A15" s="1553" t="s">
        <v>942</v>
      </c>
      <c r="B15" s="1553"/>
      <c r="C15" s="1553"/>
      <c r="D15" s="1553"/>
      <c r="E15" s="1553"/>
      <c r="F15" s="1553"/>
      <c r="G15" s="1553"/>
      <c r="H15" s="1553"/>
      <c r="I15" s="1553"/>
      <c r="J15" s="1553"/>
      <c r="K15" s="1553"/>
    </row>
    <row r="16" spans="1:11">
      <c r="A16" s="524"/>
      <c r="B16" s="525"/>
      <c r="C16" s="525"/>
      <c r="D16" s="525"/>
      <c r="E16" s="525"/>
      <c r="F16" s="525"/>
      <c r="G16" s="525"/>
      <c r="H16" s="525"/>
      <c r="I16" s="525"/>
      <c r="J16" s="525"/>
      <c r="K16" s="525"/>
    </row>
    <row r="17" spans="1:11" ht="16.5" thickBot="1">
      <c r="A17" s="525"/>
      <c r="B17" s="525"/>
      <c r="C17" s="525"/>
      <c r="D17" s="525"/>
      <c r="E17" s="525"/>
      <c r="F17" s="525"/>
      <c r="G17" s="525"/>
      <c r="H17" s="525"/>
      <c r="I17" s="525"/>
      <c r="J17" s="525"/>
      <c r="K17" s="525"/>
    </row>
    <row r="18" spans="1:11" ht="16.5" thickBot="1">
      <c r="A18" s="1323"/>
      <c r="B18" s="1055" t="s">
        <v>125</v>
      </c>
      <c r="C18" s="1056" t="s">
        <v>60</v>
      </c>
      <c r="D18" s="1055" t="s">
        <v>126</v>
      </c>
      <c r="E18" s="1055" t="s">
        <v>64</v>
      </c>
      <c r="F18" s="1055" t="s">
        <v>65</v>
      </c>
      <c r="G18" s="1055" t="s">
        <v>133</v>
      </c>
      <c r="H18" s="1055" t="s">
        <v>67</v>
      </c>
      <c r="I18" s="1055" t="s">
        <v>68</v>
      </c>
      <c r="J18" s="1057" t="s">
        <v>69</v>
      </c>
      <c r="K18" s="550" t="s">
        <v>70</v>
      </c>
    </row>
    <row r="19" spans="1:11" ht="27" customHeight="1" thickTop="1">
      <c r="A19" s="1324" t="s">
        <v>134</v>
      </c>
      <c r="B19" s="528">
        <v>34991</v>
      </c>
      <c r="C19" s="529">
        <v>2373</v>
      </c>
      <c r="D19" s="529">
        <v>2248</v>
      </c>
      <c r="E19" s="527">
        <v>26437</v>
      </c>
      <c r="F19" s="527">
        <v>35625</v>
      </c>
      <c r="G19" s="527">
        <v>8296</v>
      </c>
      <c r="H19" s="527">
        <v>3564</v>
      </c>
      <c r="I19" s="527">
        <v>313</v>
      </c>
      <c r="J19" s="551">
        <v>2267</v>
      </c>
      <c r="K19" s="532">
        <f>SUM(B19:J19)</f>
        <v>116114</v>
      </c>
    </row>
    <row r="20" spans="1:11" ht="27.75" customHeight="1">
      <c r="A20" s="1324" t="s">
        <v>135</v>
      </c>
      <c r="B20" s="528">
        <v>334234</v>
      </c>
      <c r="C20" s="527">
        <v>13374</v>
      </c>
      <c r="D20" s="529">
        <v>46242</v>
      </c>
      <c r="E20" s="527">
        <v>494764</v>
      </c>
      <c r="F20" s="527">
        <v>746745</v>
      </c>
      <c r="G20" s="527">
        <v>61539</v>
      </c>
      <c r="H20" s="527">
        <v>5827</v>
      </c>
      <c r="I20" s="527">
        <v>1498</v>
      </c>
      <c r="J20" s="552">
        <v>10514</v>
      </c>
      <c r="K20" s="532">
        <f>SUM(B20:J20)</f>
        <v>1714737</v>
      </c>
    </row>
    <row r="21" spans="1:11" ht="27.75" customHeight="1">
      <c r="A21" s="1324" t="s">
        <v>136</v>
      </c>
      <c r="B21" s="544">
        <v>2050</v>
      </c>
      <c r="C21" s="543">
        <v>195</v>
      </c>
      <c r="D21" s="545">
        <v>861</v>
      </c>
      <c r="E21" s="543">
        <v>10815</v>
      </c>
      <c r="F21" s="543">
        <v>3095</v>
      </c>
      <c r="G21" s="543">
        <v>671</v>
      </c>
      <c r="H21" s="543">
        <v>766</v>
      </c>
      <c r="I21" s="543">
        <v>55</v>
      </c>
      <c r="J21" s="553">
        <v>495</v>
      </c>
      <c r="K21" s="546">
        <f>SUM(B21:J21)</f>
        <v>19003</v>
      </c>
    </row>
    <row r="22" spans="1:11" ht="27.75" customHeight="1" thickBot="1">
      <c r="A22" s="1325" t="s">
        <v>70</v>
      </c>
      <c r="B22" s="1322">
        <f t="shared" ref="B22:J22" si="1">SUM(B19:B21)</f>
        <v>371275</v>
      </c>
      <c r="C22" s="530">
        <f t="shared" si="1"/>
        <v>15942</v>
      </c>
      <c r="D22" s="530">
        <f t="shared" si="1"/>
        <v>49351</v>
      </c>
      <c r="E22" s="530">
        <f t="shared" si="1"/>
        <v>532016</v>
      </c>
      <c r="F22" s="530">
        <f t="shared" si="1"/>
        <v>785465</v>
      </c>
      <c r="G22" s="530">
        <f t="shared" si="1"/>
        <v>70506</v>
      </c>
      <c r="H22" s="530">
        <f t="shared" si="1"/>
        <v>10157</v>
      </c>
      <c r="I22" s="530">
        <f t="shared" si="1"/>
        <v>1866</v>
      </c>
      <c r="J22" s="530">
        <f t="shared" si="1"/>
        <v>13276</v>
      </c>
      <c r="K22" s="549">
        <f>SUM(K19:K21)</f>
        <v>1849854</v>
      </c>
    </row>
    <row r="23" spans="1:11"/>
    <row r="24" spans="1:11"/>
    <row r="25" spans="1:11"/>
    <row r="26" spans="1:11">
      <c r="A26" s="1553" t="s">
        <v>131</v>
      </c>
      <c r="B26" s="1553"/>
      <c r="C26" s="1553"/>
      <c r="D26" s="1553"/>
      <c r="E26" s="1553"/>
      <c r="F26" s="1553"/>
      <c r="G26" s="1553"/>
      <c r="H26" s="1553"/>
      <c r="I26" s="1553"/>
      <c r="J26" s="1553"/>
      <c r="K26" s="1553"/>
    </row>
    <row r="27" spans="1:11">
      <c r="A27" s="1553" t="s">
        <v>132</v>
      </c>
      <c r="B27" s="1553"/>
      <c r="C27" s="1553"/>
      <c r="D27" s="1553"/>
      <c r="E27" s="1553"/>
      <c r="F27" s="1553"/>
      <c r="G27" s="1553"/>
      <c r="H27" s="1553"/>
      <c r="I27" s="1553"/>
      <c r="J27" s="1553"/>
      <c r="K27" s="1553"/>
    </row>
    <row r="28" spans="1:11">
      <c r="A28" s="1553" t="s">
        <v>933</v>
      </c>
      <c r="B28" s="1553"/>
      <c r="C28" s="1553"/>
      <c r="D28" s="1553"/>
      <c r="E28" s="1553"/>
      <c r="F28" s="1553"/>
      <c r="G28" s="1553"/>
      <c r="H28" s="1553"/>
      <c r="I28" s="1553"/>
      <c r="J28" s="1553"/>
      <c r="K28" s="1553"/>
    </row>
    <row r="29" spans="1:11">
      <c r="A29" s="524"/>
      <c r="B29" s="525"/>
      <c r="C29" s="525"/>
      <c r="D29" s="525"/>
      <c r="E29" s="525"/>
      <c r="F29" s="525"/>
      <c r="G29" s="525"/>
      <c r="H29" s="525"/>
      <c r="I29" s="525"/>
      <c r="J29" s="525"/>
      <c r="K29" s="525"/>
    </row>
    <row r="30" spans="1:11" ht="16.5" thickBot="1">
      <c r="A30" s="525"/>
      <c r="B30" s="525"/>
      <c r="C30" s="525"/>
      <c r="D30" s="525"/>
      <c r="E30" s="525"/>
      <c r="F30" s="525"/>
      <c r="G30" s="525"/>
      <c r="H30" s="525"/>
      <c r="I30" s="525"/>
      <c r="J30" s="525"/>
      <c r="K30" s="525"/>
    </row>
    <row r="31" spans="1:11" ht="16.5" thickBot="1">
      <c r="A31" s="1323"/>
      <c r="B31" s="1055" t="s">
        <v>125</v>
      </c>
      <c r="C31" s="1056" t="s">
        <v>60</v>
      </c>
      <c r="D31" s="1055" t="s">
        <v>126</v>
      </c>
      <c r="E31" s="1055" t="s">
        <v>64</v>
      </c>
      <c r="F31" s="1055" t="s">
        <v>65</v>
      </c>
      <c r="G31" s="1055" t="s">
        <v>133</v>
      </c>
      <c r="H31" s="1055" t="s">
        <v>67</v>
      </c>
      <c r="I31" s="1055" t="s">
        <v>68</v>
      </c>
      <c r="J31" s="1057" t="s">
        <v>69</v>
      </c>
      <c r="K31" s="550" t="s">
        <v>70</v>
      </c>
    </row>
    <row r="32" spans="1:11" ht="23.25" customHeight="1" thickTop="1">
      <c r="A32" s="1324" t="s">
        <v>134</v>
      </c>
      <c r="B32" s="528">
        <v>35582</v>
      </c>
      <c r="C32" s="529">
        <v>2616</v>
      </c>
      <c r="D32" s="529">
        <v>9166</v>
      </c>
      <c r="E32" s="527">
        <v>26585</v>
      </c>
      <c r="F32" s="527">
        <v>35455</v>
      </c>
      <c r="G32" s="527">
        <v>8355</v>
      </c>
      <c r="H32" s="527">
        <v>3546</v>
      </c>
      <c r="I32" s="527">
        <v>339</v>
      </c>
      <c r="J32" s="551">
        <v>2252</v>
      </c>
      <c r="K32" s="532">
        <f>SUM(B32:J32)</f>
        <v>123896</v>
      </c>
    </row>
    <row r="33" spans="1:11" ht="26.25" customHeight="1">
      <c r="A33" s="1324" t="s">
        <v>135</v>
      </c>
      <c r="B33" s="528">
        <v>331466</v>
      </c>
      <c r="C33" s="527">
        <v>23949</v>
      </c>
      <c r="D33" s="529">
        <v>89212</v>
      </c>
      <c r="E33" s="527">
        <v>500031</v>
      </c>
      <c r="F33" s="527">
        <v>753623</v>
      </c>
      <c r="G33" s="527">
        <v>63780</v>
      </c>
      <c r="H33" s="527">
        <v>5904</v>
      </c>
      <c r="I33" s="527">
        <v>1559</v>
      </c>
      <c r="J33" s="552">
        <v>10623</v>
      </c>
      <c r="K33" s="532">
        <f>SUM(B33:J33)</f>
        <v>1780147</v>
      </c>
    </row>
    <row r="34" spans="1:11" ht="27" customHeight="1">
      <c r="A34" s="1324" t="s">
        <v>136</v>
      </c>
      <c r="B34" s="544">
        <v>2097</v>
      </c>
      <c r="C34" s="543">
        <v>195</v>
      </c>
      <c r="D34" s="545">
        <v>774</v>
      </c>
      <c r="E34" s="543">
        <v>10880</v>
      </c>
      <c r="F34" s="543">
        <v>3140</v>
      </c>
      <c r="G34" s="543">
        <v>694</v>
      </c>
      <c r="H34" s="543">
        <v>768</v>
      </c>
      <c r="I34" s="543">
        <v>68</v>
      </c>
      <c r="J34" s="553">
        <v>518</v>
      </c>
      <c r="K34" s="546">
        <f>SUM(B34:J34)</f>
        <v>19134</v>
      </c>
    </row>
    <row r="35" spans="1:11" ht="28.5" customHeight="1" thickBot="1">
      <c r="A35" s="1325" t="s">
        <v>70</v>
      </c>
      <c r="B35" s="1322">
        <f t="shared" ref="B35:J35" si="2">SUM(B32:B34)</f>
        <v>369145</v>
      </c>
      <c r="C35" s="530">
        <f t="shared" si="2"/>
        <v>26760</v>
      </c>
      <c r="D35" s="530">
        <f t="shared" si="2"/>
        <v>99152</v>
      </c>
      <c r="E35" s="530">
        <f t="shared" si="2"/>
        <v>537496</v>
      </c>
      <c r="F35" s="530">
        <f t="shared" si="2"/>
        <v>792218</v>
      </c>
      <c r="G35" s="530">
        <f t="shared" si="2"/>
        <v>72829</v>
      </c>
      <c r="H35" s="530">
        <f t="shared" si="2"/>
        <v>10218</v>
      </c>
      <c r="I35" s="530">
        <f t="shared" si="2"/>
        <v>1966</v>
      </c>
      <c r="J35" s="530">
        <f t="shared" si="2"/>
        <v>13393</v>
      </c>
      <c r="K35" s="549">
        <f>SUM(K32:K34)</f>
        <v>1923177</v>
      </c>
    </row>
    <row r="36" spans="1:11"/>
    <row r="37" spans="1:11"/>
    <row r="38" spans="1:11" ht="21.75" customHeight="1">
      <c r="A38" s="1553" t="s">
        <v>131</v>
      </c>
      <c r="B38" s="1553"/>
      <c r="C38" s="1553"/>
      <c r="D38" s="1553"/>
      <c r="E38" s="1553"/>
      <c r="F38" s="1553"/>
      <c r="G38" s="1553"/>
      <c r="H38" s="1553"/>
      <c r="I38" s="1553"/>
      <c r="J38" s="1553"/>
      <c r="K38" s="1553"/>
    </row>
    <row r="39" spans="1:11" ht="18.75" customHeight="1">
      <c r="A39" s="1553" t="s">
        <v>132</v>
      </c>
      <c r="B39" s="1553"/>
      <c r="C39" s="1553"/>
      <c r="D39" s="1553"/>
      <c r="E39" s="1553"/>
      <c r="F39" s="1553"/>
      <c r="G39" s="1553"/>
      <c r="H39" s="1553"/>
      <c r="I39" s="1553"/>
      <c r="J39" s="1553"/>
      <c r="K39" s="1553"/>
    </row>
    <row r="40" spans="1:11" ht="19.5" customHeight="1">
      <c r="A40" s="1553" t="s">
        <v>913</v>
      </c>
      <c r="B40" s="1553"/>
      <c r="C40" s="1553"/>
      <c r="D40" s="1553"/>
      <c r="E40" s="1553"/>
      <c r="F40" s="1553"/>
      <c r="G40" s="1553"/>
      <c r="H40" s="1553"/>
      <c r="I40" s="1553"/>
      <c r="J40" s="1553"/>
      <c r="K40" s="1553"/>
    </row>
    <row r="41" spans="1:11">
      <c r="A41" s="524"/>
      <c r="B41" s="525"/>
      <c r="C41" s="525"/>
      <c r="D41" s="525"/>
      <c r="E41" s="525"/>
      <c r="F41" s="525"/>
      <c r="G41" s="525"/>
      <c r="H41" s="525"/>
      <c r="I41" s="525"/>
      <c r="J41" s="525"/>
      <c r="K41" s="525"/>
    </row>
    <row r="42" spans="1:11" ht="16.5" thickBot="1">
      <c r="A42" s="525"/>
      <c r="B42" s="525"/>
      <c r="C42" s="525"/>
      <c r="D42" s="525"/>
      <c r="E42" s="525"/>
      <c r="F42" s="525"/>
      <c r="G42" s="525"/>
      <c r="H42" s="525"/>
      <c r="I42" s="525"/>
      <c r="J42" s="525"/>
      <c r="K42" s="525"/>
    </row>
    <row r="43" spans="1:11" ht="19.5" customHeight="1" thickBot="1">
      <c r="A43" s="1323"/>
      <c r="B43" s="1055" t="s">
        <v>125</v>
      </c>
      <c r="C43" s="1056" t="s">
        <v>60</v>
      </c>
      <c r="D43" s="1055" t="s">
        <v>126</v>
      </c>
      <c r="E43" s="1055" t="s">
        <v>64</v>
      </c>
      <c r="F43" s="1055" t="s">
        <v>65</v>
      </c>
      <c r="G43" s="1055" t="s">
        <v>133</v>
      </c>
      <c r="H43" s="1055" t="s">
        <v>67</v>
      </c>
      <c r="I43" s="1055" t="s">
        <v>68</v>
      </c>
      <c r="J43" s="1057" t="s">
        <v>69</v>
      </c>
      <c r="K43" s="550" t="s">
        <v>70</v>
      </c>
    </row>
    <row r="44" spans="1:11" ht="29.25" customHeight="1" thickTop="1">
      <c r="A44" s="1324" t="s">
        <v>134</v>
      </c>
      <c r="B44" s="528">
        <v>35189</v>
      </c>
      <c r="C44" s="529">
        <v>2597</v>
      </c>
      <c r="D44" s="529">
        <v>9070</v>
      </c>
      <c r="E44" s="527">
        <v>26470</v>
      </c>
      <c r="F44" s="527">
        <v>35347</v>
      </c>
      <c r="G44" s="527">
        <v>8329</v>
      </c>
      <c r="H44" s="527">
        <v>3551</v>
      </c>
      <c r="I44" s="527">
        <v>356</v>
      </c>
      <c r="J44" s="551">
        <v>2331</v>
      </c>
      <c r="K44" s="532">
        <f>SUM(B44:J44)</f>
        <v>123240</v>
      </c>
    </row>
    <row r="45" spans="1:11" ht="30.75" customHeight="1">
      <c r="A45" s="1324" t="s">
        <v>135</v>
      </c>
      <c r="B45" s="528">
        <v>331151</v>
      </c>
      <c r="C45" s="527">
        <v>23768</v>
      </c>
      <c r="D45" s="529">
        <v>88574</v>
      </c>
      <c r="E45" s="527">
        <v>511753</v>
      </c>
      <c r="F45" s="527">
        <v>768048</v>
      </c>
      <c r="G45" s="527">
        <v>67344</v>
      </c>
      <c r="H45" s="527">
        <v>5975</v>
      </c>
      <c r="I45" s="527">
        <v>1682</v>
      </c>
      <c r="J45" s="552">
        <v>11337</v>
      </c>
      <c r="K45" s="532">
        <f>SUM(B45:J45)</f>
        <v>1809632</v>
      </c>
    </row>
    <row r="46" spans="1:11" ht="28.5" customHeight="1">
      <c r="A46" s="1324" t="s">
        <v>136</v>
      </c>
      <c r="B46" s="544">
        <v>2125</v>
      </c>
      <c r="C46" s="543">
        <v>198</v>
      </c>
      <c r="D46" s="545">
        <v>793</v>
      </c>
      <c r="E46" s="543">
        <v>10874</v>
      </c>
      <c r="F46" s="543">
        <v>3164</v>
      </c>
      <c r="G46" s="543">
        <v>721</v>
      </c>
      <c r="H46" s="543">
        <v>779</v>
      </c>
      <c r="I46" s="543">
        <v>71</v>
      </c>
      <c r="J46" s="553">
        <v>575</v>
      </c>
      <c r="K46" s="546">
        <f>SUM(B46:J46)</f>
        <v>19300</v>
      </c>
    </row>
    <row r="47" spans="1:11" ht="30" customHeight="1" thickBot="1">
      <c r="A47" s="1325" t="s">
        <v>70</v>
      </c>
      <c r="B47" s="1322">
        <f t="shared" ref="B47:J47" si="3">SUM(B44:B46)</f>
        <v>368465</v>
      </c>
      <c r="C47" s="530">
        <f t="shared" si="3"/>
        <v>26563</v>
      </c>
      <c r="D47" s="530">
        <f t="shared" si="3"/>
        <v>98437</v>
      </c>
      <c r="E47" s="530">
        <f t="shared" si="3"/>
        <v>549097</v>
      </c>
      <c r="F47" s="530">
        <f t="shared" si="3"/>
        <v>806559</v>
      </c>
      <c r="G47" s="530">
        <f t="shared" si="3"/>
        <v>76394</v>
      </c>
      <c r="H47" s="530">
        <f t="shared" si="3"/>
        <v>10305</v>
      </c>
      <c r="I47" s="530">
        <f t="shared" si="3"/>
        <v>2109</v>
      </c>
      <c r="J47" s="530">
        <f t="shared" si="3"/>
        <v>14243</v>
      </c>
      <c r="K47" s="549">
        <f>SUM(K44:K46)</f>
        <v>1952172</v>
      </c>
    </row>
    <row r="48" spans="1:11"/>
    <row r="49" spans="1:15"/>
    <row r="50" spans="1:15">
      <c r="A50" s="1553" t="s">
        <v>131</v>
      </c>
      <c r="B50" s="1553"/>
      <c r="C50" s="1553"/>
      <c r="D50" s="1553"/>
      <c r="E50" s="1553"/>
      <c r="F50" s="1553"/>
      <c r="G50" s="1553"/>
      <c r="H50" s="1553"/>
      <c r="I50" s="1553"/>
      <c r="J50" s="1553"/>
      <c r="K50" s="1553"/>
      <c r="L50"/>
      <c r="M50"/>
      <c r="N50"/>
      <c r="O50"/>
    </row>
    <row r="51" spans="1:15">
      <c r="A51" s="1553" t="s">
        <v>132</v>
      </c>
      <c r="B51" s="1553"/>
      <c r="C51" s="1553"/>
      <c r="D51" s="1553"/>
      <c r="E51" s="1553"/>
      <c r="F51" s="1553"/>
      <c r="G51" s="1553"/>
      <c r="H51" s="1553"/>
      <c r="I51" s="1553"/>
      <c r="J51" s="1553"/>
      <c r="K51" s="1553"/>
      <c r="L51" s="525"/>
      <c r="M51" s="525"/>
      <c r="N51" s="525"/>
      <c r="O51"/>
    </row>
    <row r="52" spans="1:15">
      <c r="A52" s="1553" t="s">
        <v>904</v>
      </c>
      <c r="B52" s="1553"/>
      <c r="C52" s="1553"/>
      <c r="D52" s="1553"/>
      <c r="E52" s="1553"/>
      <c r="F52" s="1553"/>
      <c r="G52" s="1553"/>
      <c r="H52" s="1553"/>
      <c r="I52" s="1553"/>
      <c r="J52" s="1553"/>
      <c r="K52" s="1553"/>
      <c r="L52" s="525"/>
      <c r="M52" s="525"/>
      <c r="N52" s="525"/>
      <c r="O52" s="189"/>
    </row>
    <row r="53" spans="1:15">
      <c r="A53" s="524"/>
      <c r="B53" s="525"/>
      <c r="C53" s="525"/>
      <c r="D53" s="525"/>
      <c r="E53" s="525"/>
      <c r="F53" s="525"/>
      <c r="G53" s="525"/>
      <c r="H53" s="525"/>
      <c r="I53" s="525"/>
      <c r="J53" s="525"/>
      <c r="K53" s="525"/>
      <c r="L53" s="525"/>
      <c r="M53" s="525"/>
      <c r="N53" s="525"/>
      <c r="O53" s="189"/>
    </row>
    <row r="54" spans="1:15" ht="16.5" thickBot="1">
      <c r="A54" s="525"/>
      <c r="B54" s="525"/>
      <c r="C54" s="525"/>
      <c r="D54" s="525"/>
      <c r="E54" s="525"/>
      <c r="F54" s="525"/>
      <c r="G54" s="525"/>
      <c r="H54" s="525"/>
      <c r="I54" s="525"/>
      <c r="J54" s="525"/>
      <c r="K54" s="525"/>
      <c r="L54" s="525"/>
      <c r="M54" s="525"/>
      <c r="N54" s="525"/>
      <c r="O54" s="189"/>
    </row>
    <row r="55" spans="1:15" ht="16.5" thickBot="1">
      <c r="A55" s="1323"/>
      <c r="B55" s="1055" t="s">
        <v>125</v>
      </c>
      <c r="C55" s="1056" t="s">
        <v>60</v>
      </c>
      <c r="D55" s="1055" t="s">
        <v>126</v>
      </c>
      <c r="E55" s="1055" t="s">
        <v>64</v>
      </c>
      <c r="F55" s="1055" t="s">
        <v>65</v>
      </c>
      <c r="G55" s="1055" t="s">
        <v>133</v>
      </c>
      <c r="H55" s="1055" t="s">
        <v>67</v>
      </c>
      <c r="I55" s="1055" t="s">
        <v>68</v>
      </c>
      <c r="J55" s="1057" t="s">
        <v>69</v>
      </c>
      <c r="K55" s="550" t="s">
        <v>70</v>
      </c>
      <c r="O55" s="525"/>
    </row>
    <row r="56" spans="1:15" ht="26.25" customHeight="1" thickTop="1">
      <c r="A56" s="1324" t="s">
        <v>134</v>
      </c>
      <c r="B56" s="528">
        <v>34591</v>
      </c>
      <c r="C56" s="529">
        <v>2589</v>
      </c>
      <c r="D56" s="529">
        <v>8955</v>
      </c>
      <c r="E56" s="527">
        <v>26474</v>
      </c>
      <c r="F56" s="527">
        <v>35129</v>
      </c>
      <c r="G56" s="527">
        <v>8326</v>
      </c>
      <c r="H56" s="527">
        <v>3508</v>
      </c>
      <c r="I56" s="527">
        <v>367</v>
      </c>
      <c r="J56" s="551">
        <v>2292</v>
      </c>
      <c r="K56" s="532">
        <f>SUM(B56:J56)</f>
        <v>122231</v>
      </c>
      <c r="L56"/>
      <c r="M56"/>
    </row>
    <row r="57" spans="1:15" ht="29.25" customHeight="1">
      <c r="A57" s="1324" t="s">
        <v>135</v>
      </c>
      <c r="B57" s="528">
        <v>328241</v>
      </c>
      <c r="C57" s="527">
        <v>23444</v>
      </c>
      <c r="D57" s="529">
        <v>87888</v>
      </c>
      <c r="E57" s="527">
        <v>514298</v>
      </c>
      <c r="F57" s="527">
        <v>840805</v>
      </c>
      <c r="G57" s="527">
        <v>68088</v>
      </c>
      <c r="H57" s="527">
        <v>6050</v>
      </c>
      <c r="I57" s="527">
        <v>1682</v>
      </c>
      <c r="J57" s="552">
        <v>11289</v>
      </c>
      <c r="K57" s="532">
        <f>SUM(B57:J57)</f>
        <v>1881785</v>
      </c>
      <c r="L57"/>
      <c r="M57"/>
      <c r="O57" s="724" t="s">
        <v>0</v>
      </c>
    </row>
    <row r="58" spans="1:15" ht="30.75" customHeight="1">
      <c r="A58" s="1324" t="s">
        <v>136</v>
      </c>
      <c r="B58" s="544">
        <v>2172</v>
      </c>
      <c r="C58" s="543">
        <v>200</v>
      </c>
      <c r="D58" s="545">
        <v>799</v>
      </c>
      <c r="E58" s="543">
        <v>10840</v>
      </c>
      <c r="F58" s="543">
        <v>3209</v>
      </c>
      <c r="G58" s="543">
        <v>744</v>
      </c>
      <c r="H58" s="543">
        <v>772</v>
      </c>
      <c r="I58" s="543">
        <v>75</v>
      </c>
      <c r="J58" s="553">
        <v>570</v>
      </c>
      <c r="K58" s="546">
        <f>SUM(B58:J58)</f>
        <v>19381</v>
      </c>
      <c r="L58"/>
      <c r="M58"/>
      <c r="O58" s="725" t="s">
        <v>0</v>
      </c>
    </row>
    <row r="59" spans="1:15" ht="30.75" customHeight="1" thickBot="1">
      <c r="A59" s="1325" t="s">
        <v>70</v>
      </c>
      <c r="B59" s="1322">
        <f t="shared" ref="B59:J59" si="4">SUM(B56:B58)</f>
        <v>365004</v>
      </c>
      <c r="C59" s="530">
        <f t="shared" si="4"/>
        <v>26233</v>
      </c>
      <c r="D59" s="530">
        <f t="shared" si="4"/>
        <v>97642</v>
      </c>
      <c r="E59" s="530">
        <f t="shared" si="4"/>
        <v>551612</v>
      </c>
      <c r="F59" s="530">
        <f t="shared" si="4"/>
        <v>879143</v>
      </c>
      <c r="G59" s="530">
        <f t="shared" si="4"/>
        <v>77158</v>
      </c>
      <c r="H59" s="530">
        <f t="shared" si="4"/>
        <v>10330</v>
      </c>
      <c r="I59" s="530">
        <f t="shared" si="4"/>
        <v>2124</v>
      </c>
      <c r="J59" s="530">
        <f t="shared" si="4"/>
        <v>14151</v>
      </c>
      <c r="K59" s="549">
        <f>SUM(K56:K58)</f>
        <v>2023397</v>
      </c>
      <c r="L59"/>
      <c r="M59"/>
      <c r="O59" s="725" t="s">
        <v>0</v>
      </c>
    </row>
    <row r="60" spans="1:15"/>
    <row r="61" spans="1:15"/>
    <row r="62" spans="1:15">
      <c r="L62" s="525"/>
      <c r="M62" s="525"/>
      <c r="N62" s="525"/>
    </row>
    <row r="63" spans="1:15">
      <c r="L63" s="525"/>
      <c r="M63" s="525"/>
      <c r="N63" s="525"/>
    </row>
    <row r="64" spans="1:15">
      <c r="L64" s="525"/>
      <c r="M64" s="525"/>
      <c r="N64" s="525"/>
    </row>
    <row r="65" spans="6:17">
      <c r="L65" s="525"/>
      <c r="M65" s="525"/>
      <c r="N65" s="525"/>
    </row>
    <row r="66" spans="6:17"/>
    <row r="67" spans="6:17"/>
    <row r="68" spans="6:17" ht="28.5" customHeight="1"/>
    <row r="69" spans="6:17" ht="28.5" customHeight="1"/>
    <row r="70" spans="6:17" ht="28.5" customHeight="1"/>
    <row r="71" spans="6:17" ht="28.5" customHeight="1"/>
    <row r="72" spans="6:17">
      <c r="F72" s="975"/>
    </row>
    <row r="73" spans="6:17">
      <c r="F73" s="975"/>
      <c r="L73" s="555" t="s">
        <v>0</v>
      </c>
    </row>
    <row r="74" spans="6:17">
      <c r="L74" s="525"/>
      <c r="M74" s="525"/>
      <c r="N74" s="525"/>
      <c r="O74" s="189"/>
      <c r="P74" s="525"/>
      <c r="Q74" s="525"/>
    </row>
    <row r="75" spans="6:17">
      <c r="L75" s="525"/>
      <c r="M75" s="525"/>
      <c r="N75" s="525"/>
      <c r="O75" s="189"/>
      <c r="P75" s="525"/>
      <c r="Q75" s="525"/>
    </row>
    <row r="76" spans="6:17">
      <c r="L76" s="525"/>
      <c r="M76" s="525"/>
      <c r="N76" s="525"/>
      <c r="O76" s="189"/>
      <c r="P76" s="525"/>
      <c r="Q76" s="525"/>
    </row>
    <row r="77" spans="6:17">
      <c r="L77" s="525"/>
      <c r="M77" s="525"/>
      <c r="N77" s="525"/>
      <c r="O77" s="525"/>
      <c r="P77" s="525"/>
      <c r="Q77" s="525"/>
    </row>
    <row r="78" spans="6:17"/>
    <row r="79" spans="6:17">
      <c r="L79" s="724" t="s">
        <v>0</v>
      </c>
      <c r="P79"/>
      <c r="Q79"/>
    </row>
    <row r="80" spans="6:17" ht="30.75" customHeight="1">
      <c r="L80" s="725" t="s">
        <v>0</v>
      </c>
      <c r="P80"/>
      <c r="Q80"/>
    </row>
    <row r="81" spans="1:26" ht="29.25" customHeight="1">
      <c r="L81" s="725" t="s">
        <v>0</v>
      </c>
      <c r="P81"/>
      <c r="Q81"/>
    </row>
    <row r="82" spans="1:26" ht="29.25" customHeight="1">
      <c r="L82" s="725" t="s">
        <v>0</v>
      </c>
      <c r="P82"/>
      <c r="Q82"/>
    </row>
    <row r="83" spans="1:26" ht="29.25" customHeight="1">
      <c r="L83" s="998" t="s">
        <v>0</v>
      </c>
      <c r="P83"/>
      <c r="Q83"/>
    </row>
    <row r="84" spans="1:26">
      <c r="F84" s="975"/>
    </row>
    <row r="85" spans="1:26" ht="30.75" customHeight="1">
      <c r="F85" s="975"/>
      <c r="Z85" s="164"/>
    </row>
    <row r="86" spans="1:26">
      <c r="F86" s="975"/>
    </row>
    <row r="87" spans="1:26" ht="30.75" customHeight="1">
      <c r="F87" s="975"/>
      <c r="L87"/>
      <c r="M87"/>
      <c r="O87" s="725" t="s">
        <v>0</v>
      </c>
    </row>
    <row r="88" spans="1:26">
      <c r="B88" s="91"/>
      <c r="F88" s="100" t="s">
        <v>0</v>
      </c>
      <c r="I88" s="100" t="s">
        <v>0</v>
      </c>
    </row>
    <row r="89" spans="1:26">
      <c r="A89"/>
      <c r="B89"/>
      <c r="C89"/>
      <c r="D89"/>
      <c r="E89"/>
      <c r="F89"/>
      <c r="G89"/>
      <c r="H89"/>
      <c r="I89"/>
      <c r="J89"/>
      <c r="K89"/>
      <c r="L89"/>
      <c r="M89"/>
      <c r="N89"/>
      <c r="O89"/>
    </row>
    <row r="90" spans="1:26">
      <c r="A90" s="654" t="s">
        <v>0</v>
      </c>
      <c r="B90"/>
      <c r="C90"/>
      <c r="D90"/>
      <c r="E90"/>
      <c r="F90"/>
      <c r="G90"/>
      <c r="H90"/>
      <c r="I90"/>
      <c r="J90"/>
      <c r="K90"/>
      <c r="L90"/>
      <c r="M90"/>
      <c r="N90"/>
      <c r="O90"/>
    </row>
    <row r="91" spans="1:26">
      <c r="A91"/>
      <c r="B91"/>
      <c r="C91"/>
      <c r="D91"/>
      <c r="E91"/>
      <c r="F91"/>
      <c r="G91"/>
      <c r="H91"/>
      <c r="I91"/>
      <c r="J91"/>
      <c r="K91"/>
      <c r="L91"/>
      <c r="M91"/>
      <c r="N91"/>
      <c r="O91"/>
    </row>
    <row r="92" spans="1:26">
      <c r="A92"/>
      <c r="B92"/>
      <c r="C92"/>
      <c r="D92"/>
      <c r="E92"/>
      <c r="F92"/>
      <c r="G92"/>
      <c r="H92"/>
      <c r="I92"/>
      <c r="J92"/>
      <c r="K92"/>
      <c r="L92"/>
      <c r="M92"/>
      <c r="N92"/>
      <c r="O92"/>
    </row>
    <row r="93" spans="1:26">
      <c r="A93"/>
      <c r="B93"/>
      <c r="C93"/>
      <c r="D93"/>
      <c r="E93"/>
      <c r="F93"/>
      <c r="G93"/>
      <c r="H93"/>
      <c r="I93"/>
      <c r="J93"/>
      <c r="K93"/>
      <c r="L93"/>
      <c r="M93"/>
      <c r="N93"/>
      <c r="O93"/>
    </row>
    <row r="94" spans="1:26">
      <c r="A94"/>
      <c r="B94"/>
      <c r="C94"/>
      <c r="D94"/>
      <c r="E94"/>
      <c r="F94"/>
      <c r="G94"/>
      <c r="H94"/>
      <c r="I94"/>
      <c r="J94"/>
      <c r="K94"/>
      <c r="L94"/>
      <c r="M94"/>
      <c r="N94"/>
      <c r="O94"/>
    </row>
    <row r="95" spans="1:26">
      <c r="A95"/>
      <c r="B95"/>
      <c r="C95"/>
      <c r="D95"/>
      <c r="E95"/>
      <c r="F95"/>
      <c r="G95"/>
      <c r="H95"/>
      <c r="I95"/>
      <c r="J95"/>
      <c r="K95"/>
      <c r="L95"/>
      <c r="M95"/>
      <c r="N95"/>
      <c r="O95"/>
    </row>
    <row r="96" spans="1:26">
      <c r="A96"/>
      <c r="B96"/>
      <c r="C96"/>
      <c r="D96"/>
      <c r="E96"/>
      <c r="F96"/>
      <c r="G96"/>
      <c r="H96"/>
      <c r="I96"/>
      <c r="J96"/>
      <c r="K96"/>
      <c r="L96"/>
      <c r="M96"/>
      <c r="N96"/>
      <c r="O96"/>
    </row>
    <row r="97" spans="1:15">
      <c r="A97"/>
      <c r="B97"/>
      <c r="C97"/>
      <c r="D97"/>
      <c r="E97"/>
      <c r="F97"/>
      <c r="G97"/>
      <c r="H97"/>
      <c r="I97"/>
      <c r="J97"/>
      <c r="K97"/>
      <c r="L97"/>
      <c r="M97"/>
      <c r="N97"/>
      <c r="O97"/>
    </row>
    <row r="98" spans="1:15">
      <c r="A98"/>
      <c r="B98"/>
      <c r="C98"/>
      <c r="D98"/>
      <c r="E98"/>
      <c r="F98"/>
      <c r="G98"/>
      <c r="H98"/>
      <c r="I98"/>
      <c r="J98"/>
      <c r="K98"/>
      <c r="L98"/>
      <c r="M98"/>
      <c r="N98"/>
      <c r="O98"/>
    </row>
    <row r="99" spans="1:15">
      <c r="A99"/>
      <c r="B99"/>
      <c r="C99"/>
      <c r="D99"/>
      <c r="E99"/>
      <c r="F99"/>
      <c r="G99"/>
      <c r="H99"/>
      <c r="I99"/>
      <c r="J99"/>
      <c r="K99"/>
      <c r="L99"/>
      <c r="M99"/>
      <c r="N99"/>
      <c r="O99"/>
    </row>
    <row r="100" spans="1:15">
      <c r="A100"/>
      <c r="B100"/>
      <c r="C100"/>
      <c r="D100"/>
      <c r="E100"/>
      <c r="F100"/>
      <c r="G100"/>
      <c r="H100"/>
      <c r="I100"/>
      <c r="J100"/>
      <c r="K100"/>
      <c r="L100"/>
      <c r="M100"/>
      <c r="N100"/>
      <c r="O100"/>
    </row>
    <row r="101" spans="1:15">
      <c r="A101"/>
      <c r="B101"/>
      <c r="C101"/>
      <c r="D101"/>
      <c r="E101"/>
      <c r="F101"/>
      <c r="G101"/>
      <c r="H101"/>
      <c r="I101"/>
      <c r="J101"/>
      <c r="K101"/>
      <c r="L101"/>
      <c r="M101"/>
      <c r="N101"/>
      <c r="O101"/>
    </row>
    <row r="102" spans="1:15">
      <c r="A102"/>
      <c r="B102"/>
      <c r="C102"/>
      <c r="D102"/>
      <c r="E102"/>
      <c r="F102"/>
      <c r="G102"/>
      <c r="H102"/>
      <c r="I102"/>
      <c r="J102"/>
      <c r="K102"/>
      <c r="L102"/>
      <c r="M102"/>
      <c r="N102"/>
      <c r="O102"/>
    </row>
    <row r="103" spans="1:15">
      <c r="A103"/>
      <c r="B103"/>
      <c r="C103"/>
      <c r="D103"/>
      <c r="E103"/>
      <c r="F103"/>
      <c r="G103"/>
      <c r="H103"/>
      <c r="I103"/>
      <c r="J103"/>
      <c r="K103"/>
      <c r="L103"/>
      <c r="M103"/>
      <c r="N103"/>
      <c r="O103"/>
    </row>
    <row r="104" spans="1:15">
      <c r="A104"/>
      <c r="B104"/>
      <c r="C104"/>
      <c r="D104"/>
      <c r="E104"/>
      <c r="F104"/>
      <c r="G104"/>
      <c r="H104"/>
      <c r="I104"/>
      <c r="J104"/>
      <c r="K104"/>
      <c r="L104"/>
      <c r="M104"/>
      <c r="N104"/>
      <c r="O104"/>
    </row>
    <row r="105" spans="1:15">
      <c r="A105"/>
      <c r="B105"/>
      <c r="C105"/>
      <c r="D105"/>
      <c r="E105"/>
      <c r="F105"/>
      <c r="G105"/>
      <c r="H105"/>
      <c r="I105"/>
      <c r="J105"/>
      <c r="K105"/>
      <c r="L105"/>
      <c r="M105"/>
      <c r="N105"/>
      <c r="O105"/>
    </row>
    <row r="106" spans="1:15">
      <c r="A106"/>
      <c r="B106"/>
      <c r="C106"/>
      <c r="D106"/>
      <c r="E106"/>
      <c r="F106"/>
      <c r="G106"/>
      <c r="H106"/>
      <c r="I106"/>
      <c r="J106"/>
      <c r="K106"/>
      <c r="L106"/>
      <c r="M106"/>
      <c r="N106"/>
      <c r="O106"/>
    </row>
    <row r="107" spans="1:15">
      <c r="A107"/>
      <c r="B107"/>
      <c r="C107"/>
      <c r="D107"/>
      <c r="E107"/>
      <c r="F107"/>
      <c r="G107"/>
      <c r="H107"/>
      <c r="I107"/>
      <c r="J107"/>
      <c r="K107"/>
      <c r="L107"/>
      <c r="M107"/>
      <c r="N107"/>
      <c r="O107"/>
    </row>
    <row r="108" spans="1:15">
      <c r="A108"/>
      <c r="B108"/>
      <c r="C108"/>
      <c r="D108"/>
      <c r="E108"/>
      <c r="F108"/>
      <c r="G108"/>
      <c r="H108"/>
      <c r="I108"/>
      <c r="J108"/>
      <c r="K108"/>
      <c r="L108"/>
      <c r="M108"/>
      <c r="N108"/>
      <c r="O108"/>
    </row>
    <row r="109" spans="1:15">
      <c r="A109"/>
      <c r="B109"/>
      <c r="C109"/>
      <c r="D109"/>
      <c r="E109"/>
      <c r="F109"/>
      <c r="G109"/>
      <c r="H109"/>
      <c r="I109"/>
      <c r="J109"/>
      <c r="K109"/>
      <c r="L109"/>
      <c r="M109"/>
      <c r="N109"/>
      <c r="O109"/>
    </row>
    <row r="110" spans="1:15">
      <c r="A110"/>
      <c r="B110"/>
      <c r="C110"/>
      <c r="D110"/>
      <c r="E110"/>
      <c r="F110"/>
      <c r="G110"/>
      <c r="H110"/>
      <c r="I110"/>
      <c r="J110"/>
      <c r="K110"/>
      <c r="L110"/>
      <c r="M110"/>
      <c r="N110"/>
      <c r="O110"/>
    </row>
    <row r="111" spans="1:15">
      <c r="A111"/>
      <c r="B111"/>
      <c r="C111"/>
      <c r="D111"/>
      <c r="E111"/>
      <c r="F111"/>
      <c r="G111"/>
      <c r="H111"/>
      <c r="I111"/>
      <c r="J111"/>
      <c r="K111"/>
      <c r="L111"/>
      <c r="M111"/>
      <c r="N111"/>
      <c r="O111"/>
    </row>
    <row r="112" spans="1:15" ht="31.5" customHeight="1">
      <c r="A112"/>
      <c r="B112"/>
      <c r="C112"/>
      <c r="D112"/>
      <c r="E112"/>
      <c r="F112"/>
      <c r="G112"/>
      <c r="H112"/>
      <c r="I112"/>
      <c r="J112"/>
      <c r="K112"/>
      <c r="L112"/>
      <c r="M112"/>
      <c r="N112"/>
      <c r="O112"/>
    </row>
    <row r="113" spans="1:17" customFormat="1" ht="30.75" customHeight="1"/>
    <row r="114" spans="1:17" customFormat="1" ht="30.75" customHeight="1"/>
    <row r="115" spans="1:17" customFormat="1" ht="30.75" customHeight="1"/>
    <row r="116" spans="1:17" customFormat="1" ht="30.75" customHeight="1"/>
    <row r="117" spans="1:17">
      <c r="A117"/>
      <c r="B117"/>
      <c r="C117"/>
      <c r="D117"/>
      <c r="E117"/>
      <c r="F117"/>
      <c r="G117"/>
      <c r="H117"/>
      <c r="I117"/>
      <c r="J117"/>
      <c r="K117"/>
      <c r="L117"/>
      <c r="M117"/>
      <c r="N117"/>
      <c r="O117"/>
      <c r="P117" s="525"/>
      <c r="Q117" s="525"/>
    </row>
    <row r="118" spans="1:17">
      <c r="A118"/>
      <c r="B118"/>
      <c r="C118"/>
      <c r="D118"/>
      <c r="E118"/>
      <c r="F118"/>
      <c r="G118"/>
      <c r="H118"/>
      <c r="I118"/>
      <c r="J118"/>
      <c r="K118"/>
      <c r="L118"/>
      <c r="M118"/>
      <c r="N118"/>
      <c r="O118"/>
      <c r="P118" s="525"/>
      <c r="Q118" s="525"/>
    </row>
    <row r="119" spans="1:17">
      <c r="A119"/>
      <c r="B119"/>
      <c r="C119"/>
      <c r="D119"/>
      <c r="E119"/>
      <c r="F119"/>
      <c r="G119"/>
      <c r="H119"/>
      <c r="I119"/>
      <c r="J119"/>
      <c r="K119"/>
      <c r="L119"/>
      <c r="M119"/>
      <c r="N119"/>
      <c r="O119"/>
    </row>
    <row r="120" spans="1:17">
      <c r="A120"/>
      <c r="B120"/>
      <c r="C120"/>
      <c r="D120"/>
      <c r="E120"/>
      <c r="F120"/>
      <c r="G120"/>
      <c r="H120"/>
      <c r="I120"/>
      <c r="J120"/>
      <c r="K120"/>
      <c r="L120"/>
      <c r="M120"/>
      <c r="N120"/>
      <c r="O120"/>
      <c r="P120"/>
      <c r="Q120"/>
    </row>
    <row r="121" spans="1:17" ht="30.75" customHeight="1">
      <c r="A121"/>
      <c r="B121"/>
      <c r="C121"/>
      <c r="D121"/>
      <c r="E121"/>
      <c r="F121"/>
      <c r="G121"/>
      <c r="H121"/>
      <c r="I121"/>
      <c r="J121"/>
      <c r="K121"/>
      <c r="L121"/>
      <c r="M121"/>
      <c r="N121"/>
      <c r="O121"/>
      <c r="P121"/>
      <c r="Q121"/>
    </row>
    <row r="122" spans="1:17" ht="29.25" customHeight="1">
      <c r="A122"/>
      <c r="B122"/>
      <c r="C122"/>
      <c r="D122"/>
      <c r="E122"/>
      <c r="F122"/>
      <c r="G122"/>
      <c r="H122"/>
      <c r="I122"/>
      <c r="J122"/>
      <c r="K122"/>
      <c r="L122"/>
      <c r="M122"/>
      <c r="N122"/>
      <c r="O122"/>
      <c r="P122"/>
      <c r="Q122"/>
    </row>
    <row r="123" spans="1:17" ht="29.25" customHeight="1">
      <c r="A123"/>
      <c r="B123"/>
      <c r="C123"/>
      <c r="D123"/>
      <c r="E123"/>
      <c r="F123"/>
      <c r="G123"/>
      <c r="H123"/>
      <c r="I123"/>
      <c r="J123"/>
      <c r="K123"/>
      <c r="L123"/>
      <c r="M123"/>
      <c r="N123"/>
      <c r="O123"/>
      <c r="P123"/>
      <c r="Q123"/>
    </row>
    <row r="124" spans="1:17" ht="29.25" customHeight="1">
      <c r="A124"/>
      <c r="B124"/>
      <c r="C124"/>
      <c r="D124"/>
      <c r="E124"/>
      <c r="F124"/>
      <c r="G124"/>
      <c r="H124"/>
      <c r="I124"/>
      <c r="J124"/>
      <c r="K124"/>
      <c r="L124"/>
      <c r="M124"/>
      <c r="N124"/>
      <c r="O124"/>
      <c r="P124"/>
      <c r="Q124"/>
    </row>
    <row r="125" spans="1:17"/>
    <row r="126" spans="1:17"/>
    <row r="127" spans="1:17"/>
    <row r="128" spans="1:17"/>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sheetData>
  <mergeCells count="15">
    <mergeCell ref="A1:K1"/>
    <mergeCell ref="A14:K14"/>
    <mergeCell ref="A50:K50"/>
    <mergeCell ref="A2:K2"/>
    <mergeCell ref="A3:K3"/>
    <mergeCell ref="A38:K38"/>
    <mergeCell ref="A39:K39"/>
    <mergeCell ref="A51:K51"/>
    <mergeCell ref="A13:K13"/>
    <mergeCell ref="A52:K52"/>
    <mergeCell ref="A26:K26"/>
    <mergeCell ref="A27:K27"/>
    <mergeCell ref="A28:K28"/>
    <mergeCell ref="A15:K15"/>
    <mergeCell ref="A40:K40"/>
  </mergeCells>
  <phoneticPr fontId="0" type="noConversion"/>
  <printOptions horizontalCentered="1" verticalCentered="1"/>
  <pageMargins left="0.76" right="0.22" top="0.3" bottom="0.21" header="0.09" footer="0.12"/>
  <pageSetup scale="42" orientation="portrait" r:id="rId1"/>
  <headerFooter alignWithMargins="0">
    <oddHeader xml:space="preserve">&amp;C&amp;"CG Times,Bold"             &amp;16               </oddHeader>
    <oddFooter>&amp;R&amp;P</oddFooter>
  </headerFooter>
</worksheet>
</file>

<file path=xl/worksheets/sheet22.xml><?xml version="1.0" encoding="utf-8"?>
<worksheet xmlns="http://schemas.openxmlformats.org/spreadsheetml/2006/main" xmlns:r="http://schemas.openxmlformats.org/officeDocument/2006/relationships">
  <sheetPr>
    <pageSetUpPr fitToPage="1"/>
  </sheetPr>
  <dimension ref="A1:AG101"/>
  <sheetViews>
    <sheetView topLeftCell="A2" zoomScale="75" workbookViewId="0">
      <selection activeCell="B11" sqref="B11"/>
    </sheetView>
  </sheetViews>
  <sheetFormatPr baseColWidth="10" defaultColWidth="9" defaultRowHeight="15.75" zeroHeight="1"/>
  <cols>
    <col min="1" max="1" width="12" style="100" customWidth="1"/>
    <col min="2" max="2" width="14.375" style="100" customWidth="1"/>
    <col min="3" max="3" width="12.875" style="100" customWidth="1"/>
    <col min="4" max="5" width="14.375" style="100" customWidth="1"/>
    <col min="6" max="6" width="13.375" style="100" customWidth="1"/>
    <col min="7" max="7" width="15.5" style="100" customWidth="1"/>
    <col min="8" max="9" width="14.375" style="100" customWidth="1"/>
    <col min="10" max="10" width="13.75" style="100" customWidth="1"/>
    <col min="11" max="11" width="16.25" style="100" customWidth="1"/>
    <col min="12" max="12" width="10.75" style="100" customWidth="1"/>
    <col min="13" max="13" width="11.75" style="100" customWidth="1"/>
    <col min="14" max="14" width="9" style="100"/>
    <col min="15" max="15" width="14" style="100" customWidth="1"/>
    <col min="16" max="16" width="9" style="100"/>
    <col min="17" max="30" width="15.625" style="100" customWidth="1"/>
    <col min="31" max="54" width="9" style="100"/>
    <col min="55" max="56" width="10" style="100" customWidth="1"/>
    <col min="57" max="57" width="10.75" style="100" customWidth="1"/>
    <col min="58" max="58" width="10" style="100" customWidth="1"/>
    <col min="59" max="59" width="10.75" style="100" customWidth="1"/>
    <col min="60" max="60" width="14.5" style="100" customWidth="1"/>
    <col min="61" max="61" width="12.625" style="100" customWidth="1"/>
    <col min="62" max="67" width="12.5" style="100" customWidth="1"/>
    <col min="68" max="16384" width="9" style="100"/>
  </cols>
  <sheetData>
    <row r="1" spans="1:15"/>
    <row r="2" spans="1:15">
      <c r="A2" s="524" t="s">
        <v>137</v>
      </c>
      <c r="B2" s="525"/>
      <c r="C2" s="525"/>
      <c r="D2" s="525"/>
      <c r="E2" s="525"/>
      <c r="F2" s="525"/>
      <c r="G2" s="525"/>
      <c r="H2" s="525"/>
      <c r="I2" s="525"/>
      <c r="J2" s="525"/>
      <c r="K2" s="525"/>
      <c r="L2" s="189"/>
      <c r="M2" s="525"/>
    </row>
    <row r="3" spans="1:15">
      <c r="A3" s="524" t="s">
        <v>138</v>
      </c>
      <c r="B3" s="525"/>
      <c r="C3" s="525"/>
      <c r="D3" s="525"/>
      <c r="E3" s="525"/>
      <c r="F3" s="525"/>
      <c r="G3" s="525"/>
      <c r="H3" s="525"/>
      <c r="I3" s="525"/>
      <c r="J3" s="525"/>
      <c r="K3" s="525"/>
      <c r="L3" s="4"/>
      <c r="M3" s="4"/>
    </row>
    <row r="4" spans="1:15">
      <c r="A4" s="524" t="s">
        <v>999</v>
      </c>
      <c r="B4" s="525"/>
      <c r="C4" s="525"/>
      <c r="D4" s="525"/>
      <c r="E4" s="525"/>
      <c r="F4" s="525"/>
      <c r="G4" s="525"/>
      <c r="H4" s="525"/>
      <c r="I4" s="525"/>
      <c r="J4" s="525"/>
      <c r="K4" s="525"/>
      <c r="L4" s="4"/>
      <c r="M4" s="4"/>
    </row>
    <row r="5" spans="1:15" ht="16.5" thickBot="1">
      <c r="A5" s="108"/>
      <c r="H5" s="164"/>
      <c r="I5" s="164"/>
      <c r="J5" s="164"/>
      <c r="K5" s="164"/>
      <c r="L5" s="164"/>
      <c r="M5" s="164"/>
    </row>
    <row r="6" spans="1:15" ht="16.5" thickBot="1">
      <c r="A6" s="1326"/>
      <c r="B6" s="1055" t="s">
        <v>59</v>
      </c>
      <c r="C6" s="1055" t="s">
        <v>60</v>
      </c>
      <c r="D6" s="1056" t="s">
        <v>61</v>
      </c>
      <c r="E6" s="1315" t="s">
        <v>66</v>
      </c>
      <c r="F6" s="1316" t="s">
        <v>64</v>
      </c>
      <c r="G6" s="1317" t="s">
        <v>65</v>
      </c>
      <c r="H6" s="1315" t="s">
        <v>67</v>
      </c>
      <c r="I6" s="1055" t="s">
        <v>68</v>
      </c>
      <c r="J6" s="1055" t="s">
        <v>69</v>
      </c>
      <c r="K6" s="526" t="s">
        <v>70</v>
      </c>
      <c r="L6"/>
      <c r="M6"/>
    </row>
    <row r="7" spans="1:15" ht="29.25" customHeight="1" thickTop="1">
      <c r="A7" s="1327" t="s">
        <v>134</v>
      </c>
      <c r="B7" s="1353">
        <v>17613365.902223155</v>
      </c>
      <c r="C7" s="1351">
        <v>1426485.5069724279</v>
      </c>
      <c r="D7" s="533">
        <v>1350235.8631655879</v>
      </c>
      <c r="E7" s="1351">
        <v>5247665</v>
      </c>
      <c r="F7" s="1350">
        <v>13352552.258930001</v>
      </c>
      <c r="G7" s="1353">
        <v>21070109.673820004</v>
      </c>
      <c r="H7" s="1351">
        <v>1083757.2214299999</v>
      </c>
      <c r="I7" s="1351">
        <v>3912349</v>
      </c>
      <c r="J7" s="1351">
        <v>3211364</v>
      </c>
      <c r="K7" s="1356">
        <f>SUM(B7:J7)</f>
        <v>68267884.426541179</v>
      </c>
      <c r="L7"/>
      <c r="M7"/>
    </row>
    <row r="8" spans="1:15" ht="29.25" customHeight="1">
      <c r="A8" s="1327" t="s">
        <v>135</v>
      </c>
      <c r="B8" s="1353">
        <v>4993675.3762755198</v>
      </c>
      <c r="C8" s="1351">
        <v>579932.58105000004</v>
      </c>
      <c r="D8" s="1351">
        <v>991322.98228779586</v>
      </c>
      <c r="E8" s="1351">
        <v>2306579</v>
      </c>
      <c r="F8" s="1351">
        <v>13763696.297609998</v>
      </c>
      <c r="G8" s="1351">
        <v>15394890.180650001</v>
      </c>
      <c r="H8" s="1351">
        <v>508819.43871999998</v>
      </c>
      <c r="I8" s="1351">
        <v>294638</v>
      </c>
      <c r="J8" s="1351">
        <v>1689229</v>
      </c>
      <c r="K8" s="1356">
        <f>SUM(B8:J8)</f>
        <v>40522782.856593318</v>
      </c>
      <c r="L8"/>
      <c r="M8"/>
    </row>
    <row r="9" spans="1:15" ht="30" customHeight="1">
      <c r="A9" s="1327" t="s">
        <v>139</v>
      </c>
      <c r="B9" s="1353">
        <v>3608795.1599663449</v>
      </c>
      <c r="C9" s="1351">
        <v>871487.54196000006</v>
      </c>
      <c r="D9" s="1351">
        <v>1009301.31362309</v>
      </c>
      <c r="E9" s="1351">
        <v>2201806</v>
      </c>
      <c r="F9" s="1351">
        <v>8806386.8117400017</v>
      </c>
      <c r="G9" s="1351">
        <v>5608967.4910199996</v>
      </c>
      <c r="H9" s="1351">
        <v>2952640.3953499999</v>
      </c>
      <c r="I9" s="1351">
        <v>381091</v>
      </c>
      <c r="J9" s="1351">
        <v>325603</v>
      </c>
      <c r="K9" s="1356">
        <f>SUM(B9:J9)</f>
        <v>25766078.713659436</v>
      </c>
      <c r="L9"/>
      <c r="M9"/>
    </row>
    <row r="10" spans="1:15" ht="29.25" customHeight="1" thickBot="1">
      <c r="A10" s="1328" t="s">
        <v>70</v>
      </c>
      <c r="B10" s="95">
        <f t="shared" ref="B10:J10" si="0">+B7+B8+B9</f>
        <v>26215836.438465022</v>
      </c>
      <c r="C10" s="534">
        <f t="shared" si="0"/>
        <v>2877905.6299824282</v>
      </c>
      <c r="D10" s="534">
        <f t="shared" si="0"/>
        <v>3350860.1590764737</v>
      </c>
      <c r="E10" s="534">
        <f>+E7+E8+E9</f>
        <v>9756050</v>
      </c>
      <c r="F10" s="534">
        <f>+F7+F8+F9</f>
        <v>35922635.368280001</v>
      </c>
      <c r="G10" s="534">
        <f t="shared" si="0"/>
        <v>42073967.345490009</v>
      </c>
      <c r="H10" s="534">
        <f t="shared" si="0"/>
        <v>4545217.0554999998</v>
      </c>
      <c r="I10" s="534">
        <f t="shared" si="0"/>
        <v>4588078</v>
      </c>
      <c r="J10" s="535">
        <f t="shared" si="0"/>
        <v>5226196</v>
      </c>
      <c r="K10" s="615">
        <f>SUM(K7:K9)</f>
        <v>134556745.99679393</v>
      </c>
      <c r="L10"/>
      <c r="M10"/>
      <c r="O10" s="555" t="s">
        <v>0</v>
      </c>
    </row>
    <row r="11" spans="1:15">
      <c r="B11" s="91"/>
    </row>
    <row r="12" spans="1:15">
      <c r="B12" s="91"/>
    </row>
    <row r="13" spans="1:15">
      <c r="B13" s="91" t="s">
        <v>0</v>
      </c>
      <c r="D13" s="1011"/>
      <c r="G13" s="100" t="s">
        <v>0</v>
      </c>
    </row>
    <row r="14" spans="1:15">
      <c r="D14" s="100" t="s">
        <v>0</v>
      </c>
      <c r="H14" s="100" t="s">
        <v>0</v>
      </c>
      <c r="I14" s="100" t="s">
        <v>0</v>
      </c>
    </row>
    <row r="15" spans="1:15" ht="19.5" customHeight="1">
      <c r="A15" s="524" t="s">
        <v>140</v>
      </c>
      <c r="B15" s="525"/>
      <c r="C15" s="525"/>
      <c r="D15" s="525"/>
      <c r="E15" s="525"/>
      <c r="F15" s="525"/>
      <c r="G15" s="525"/>
      <c r="H15" s="525"/>
      <c r="I15" s="525"/>
      <c r="J15" s="525"/>
      <c r="K15" s="525" t="s">
        <v>0</v>
      </c>
      <c r="L15" s="189"/>
      <c r="M15" s="1404" t="s">
        <v>0</v>
      </c>
    </row>
    <row r="16" spans="1:15" ht="20.100000000000001" customHeight="1">
      <c r="A16" s="524" t="s">
        <v>138</v>
      </c>
      <c r="B16" s="525"/>
      <c r="C16" s="525"/>
      <c r="D16" s="525"/>
      <c r="E16" s="525"/>
      <c r="F16" s="525"/>
      <c r="G16" s="525"/>
      <c r="H16" s="525"/>
      <c r="I16" s="525"/>
      <c r="J16" s="525"/>
      <c r="K16" s="525"/>
      <c r="L16" s="189"/>
      <c r="M16" s="189"/>
    </row>
    <row r="17" spans="1:33" ht="20.100000000000001" customHeight="1">
      <c r="A17" s="524" t="s">
        <v>999</v>
      </c>
      <c r="B17" s="525"/>
      <c r="C17" s="525"/>
      <c r="D17" s="525"/>
      <c r="E17" s="525"/>
      <c r="F17" s="525"/>
      <c r="G17" s="525"/>
      <c r="H17" s="525"/>
      <c r="I17" s="525"/>
      <c r="J17" s="525"/>
      <c r="K17" s="525"/>
      <c r="L17" s="189"/>
      <c r="M17" s="189"/>
    </row>
    <row r="18" spans="1:33" ht="20.100000000000001" customHeight="1" thickBot="1">
      <c r="A18" s="536"/>
      <c r="B18" s="189"/>
      <c r="C18" s="189"/>
      <c r="D18" s="189"/>
      <c r="E18" s="189"/>
      <c r="F18" s="189"/>
      <c r="G18" s="4"/>
      <c r="H18" s="189"/>
      <c r="I18" s="189"/>
      <c r="J18" s="189"/>
      <c r="K18" s="189"/>
      <c r="L18" s="189"/>
      <c r="M18" s="189"/>
    </row>
    <row r="19" spans="1:33" ht="20.100000000000001" customHeight="1" thickBot="1">
      <c r="A19" s="1326"/>
      <c r="B19" s="1057" t="s">
        <v>59</v>
      </c>
      <c r="C19" s="1057" t="s">
        <v>60</v>
      </c>
      <c r="D19" s="1057" t="s">
        <v>61</v>
      </c>
      <c r="E19" s="1057" t="s">
        <v>66</v>
      </c>
      <c r="F19" s="1057" t="s">
        <v>64</v>
      </c>
      <c r="G19" s="1057" t="s">
        <v>141</v>
      </c>
      <c r="H19" s="1057" t="s">
        <v>67</v>
      </c>
      <c r="I19" s="1057" t="s">
        <v>68</v>
      </c>
      <c r="J19" s="1057" t="s">
        <v>69</v>
      </c>
      <c r="K19" s="526" t="s">
        <v>70</v>
      </c>
      <c r="L19"/>
      <c r="M19"/>
      <c r="AF19" s="164"/>
      <c r="AG19" s="164"/>
    </row>
    <row r="20" spans="1:33" ht="30" customHeight="1" thickTop="1">
      <c r="A20" s="1327" t="s">
        <v>134</v>
      </c>
      <c r="B20" s="1353">
        <v>2460773.5949689681</v>
      </c>
      <c r="C20" s="1352" t="s">
        <v>71</v>
      </c>
      <c r="D20" s="1087">
        <v>269661.298554654</v>
      </c>
      <c r="E20" s="1087">
        <v>287588</v>
      </c>
      <c r="F20" s="1087">
        <v>1434393.7617599999</v>
      </c>
      <c r="G20" s="1087">
        <v>1722657.8125699996</v>
      </c>
      <c r="H20" s="1352" t="s">
        <v>71</v>
      </c>
      <c r="I20" s="1352" t="s">
        <v>71</v>
      </c>
      <c r="J20" s="1352" t="s">
        <v>71</v>
      </c>
      <c r="K20" s="1357">
        <f>SUM(B20:J20)</f>
        <v>6175074.4678536225</v>
      </c>
      <c r="L20"/>
      <c r="M20"/>
    </row>
    <row r="21" spans="1:33" ht="30" customHeight="1">
      <c r="A21" s="1327" t="s">
        <v>135</v>
      </c>
      <c r="B21" s="1087">
        <v>4832680.0767102838</v>
      </c>
      <c r="C21" s="1352" t="s">
        <v>71</v>
      </c>
      <c r="D21" s="1087">
        <v>850511.31889629411</v>
      </c>
      <c r="E21" s="1087">
        <v>370004</v>
      </c>
      <c r="F21" s="1087">
        <v>4814648.4288999997</v>
      </c>
      <c r="G21" s="1087">
        <v>4893278.5923699997</v>
      </c>
      <c r="H21" s="1352" t="s">
        <v>71</v>
      </c>
      <c r="I21" s="1352" t="s">
        <v>71</v>
      </c>
      <c r="J21" s="1352" t="s">
        <v>71</v>
      </c>
      <c r="K21" s="1357">
        <f>SUM(B21:J21)</f>
        <v>15761122.416876577</v>
      </c>
      <c r="L21"/>
      <c r="M21"/>
    </row>
    <row r="22" spans="1:33" ht="30" customHeight="1">
      <c r="A22" s="1327" t="s">
        <v>139</v>
      </c>
      <c r="B22" s="1087">
        <v>366710.66214489297</v>
      </c>
      <c r="C22" s="1352" t="s">
        <v>71</v>
      </c>
      <c r="D22" s="1087">
        <v>227776.59656855301</v>
      </c>
      <c r="E22" s="1087">
        <v>5852</v>
      </c>
      <c r="F22" s="1391">
        <v>672941.35032000009</v>
      </c>
      <c r="G22" s="1087">
        <v>794872.65044999996</v>
      </c>
      <c r="H22" s="1352" t="s">
        <v>71</v>
      </c>
      <c r="I22" s="1352" t="s">
        <v>71</v>
      </c>
      <c r="J22" s="1352" t="s">
        <v>71</v>
      </c>
      <c r="K22" s="1358">
        <f>SUM(B22:J22)</f>
        <v>2068153.2594834459</v>
      </c>
      <c r="L22"/>
      <c r="M22"/>
    </row>
    <row r="23" spans="1:33" ht="28.5" customHeight="1" thickBot="1">
      <c r="A23" s="1328" t="s">
        <v>70</v>
      </c>
      <c r="B23" s="1329">
        <f>+B20+B21+B22</f>
        <v>7660164.3338241447</v>
      </c>
      <c r="C23" s="620" t="s">
        <v>71</v>
      </c>
      <c r="D23" s="548">
        <f>+D20+D21+D22</f>
        <v>1347949.2140195011</v>
      </c>
      <c r="E23" s="548">
        <f>+E20+E21+E22</f>
        <v>663444</v>
      </c>
      <c r="F23" s="1390">
        <f>+F20+F21+F22</f>
        <v>6921983.54098</v>
      </c>
      <c r="G23" s="548">
        <f>+G20+G21+G22</f>
        <v>7410809.0553899994</v>
      </c>
      <c r="H23" s="620" t="s">
        <v>71</v>
      </c>
      <c r="I23" s="620" t="s">
        <v>71</v>
      </c>
      <c r="J23" s="620" t="s">
        <v>71</v>
      </c>
      <c r="K23" s="615">
        <f>SUM(K20:K22)</f>
        <v>24004350.144213643</v>
      </c>
      <c r="L23"/>
      <c r="M23"/>
    </row>
    <row r="24" spans="1:33" ht="20.100000000000001" customHeight="1">
      <c r="A24" s="100" t="s">
        <v>0</v>
      </c>
    </row>
    <row r="25" spans="1:33" ht="20.100000000000001" hidden="1" customHeight="1"/>
    <row r="26" spans="1:33" hidden="1">
      <c r="R26" s="531"/>
    </row>
    <row r="27" spans="1:33" hidden="1">
      <c r="R27" s="531"/>
    </row>
    <row r="28" spans="1:33" hidden="1"/>
    <row r="29" spans="1:33" hidden="1">
      <c r="V29" s="164"/>
    </row>
    <row r="30" spans="1:33" hidden="1"/>
    <row r="31" spans="1:33" hidden="1"/>
    <row r="32" spans="1:33" hidden="1"/>
    <row r="33" hidden="1"/>
    <row r="34" hidden="1"/>
    <row r="35" hidden="1"/>
    <row r="36" hidden="1"/>
    <row r="37" hidden="1"/>
    <row r="38" hidden="1"/>
    <row r="39" hidden="1"/>
    <row r="40" hidden="1"/>
    <row r="41" hidden="1"/>
    <row r="42" hidden="1"/>
    <row r="43" hidden="1"/>
    <row r="44" hidden="1"/>
    <row r="45" hidden="1"/>
    <row r="46" hidden="1"/>
    <row r="47" hidden="1"/>
    <row r="48" hidden="1"/>
    <row r="49" spans="3:5" hidden="1"/>
    <row r="50" spans="3:5" hidden="1"/>
    <row r="51" spans="3:5" hidden="1"/>
    <row r="52" spans="3:5" hidden="1"/>
    <row r="53" spans="3:5" hidden="1"/>
    <row r="54" spans="3:5" hidden="1"/>
    <row r="55" spans="3:5" hidden="1"/>
    <row r="56" spans="3:5" hidden="1"/>
    <row r="57" spans="3:5" hidden="1"/>
    <row r="58" spans="3:5" hidden="1"/>
    <row r="59" spans="3:5" hidden="1"/>
    <row r="60" spans="3:5" hidden="1">
      <c r="C60" s="100" t="s">
        <v>69</v>
      </c>
      <c r="D60" s="107">
        <v>1327</v>
      </c>
      <c r="E60" s="107"/>
    </row>
    <row r="61" spans="3:5" hidden="1">
      <c r="C61" s="100" t="s">
        <v>62</v>
      </c>
      <c r="D61" s="107">
        <v>1050</v>
      </c>
      <c r="E61" s="107"/>
    </row>
    <row r="62" spans="3:5" hidden="1">
      <c r="C62" s="100" t="s">
        <v>64</v>
      </c>
      <c r="D62" s="107">
        <v>875</v>
      </c>
      <c r="E62" s="107"/>
    </row>
    <row r="63" spans="3:5" hidden="1">
      <c r="C63" s="100" t="s">
        <v>65</v>
      </c>
      <c r="D63" s="107">
        <v>862</v>
      </c>
      <c r="E63" s="107"/>
    </row>
    <row r="64" spans="3:5" hidden="1">
      <c r="C64" s="100" t="s">
        <v>66</v>
      </c>
      <c r="D64" s="107">
        <v>664</v>
      </c>
      <c r="E64" s="107"/>
    </row>
    <row r="65" spans="1:11" hidden="1">
      <c r="C65" s="100" t="s">
        <v>63</v>
      </c>
      <c r="D65" s="107">
        <v>624</v>
      </c>
      <c r="E65" s="107"/>
    </row>
    <row r="66" spans="1:11" hidden="1">
      <c r="C66" s="100" t="s">
        <v>67</v>
      </c>
      <c r="D66" s="107">
        <v>496</v>
      </c>
      <c r="E66" s="107"/>
    </row>
    <row r="67" spans="1:11" hidden="1">
      <c r="C67" s="100" t="s">
        <v>60</v>
      </c>
      <c r="D67" s="107">
        <v>278</v>
      </c>
      <c r="E67" s="107"/>
    </row>
    <row r="68" spans="1:11" hidden="1">
      <c r="C68" s="100" t="s">
        <v>68</v>
      </c>
      <c r="D68" s="107">
        <v>171</v>
      </c>
      <c r="E68" s="107"/>
    </row>
    <row r="69" spans="1:11" hidden="1">
      <c r="C69" s="100" t="s">
        <v>58</v>
      </c>
      <c r="D69" s="107">
        <v>103</v>
      </c>
      <c r="E69" s="107"/>
    </row>
    <row r="70" spans="1:11" hidden="1">
      <c r="C70" s="100" t="s">
        <v>79</v>
      </c>
      <c r="D70" s="107">
        <v>12</v>
      </c>
      <c r="E70" s="107"/>
    </row>
    <row r="71" spans="1:11" hidden="1">
      <c r="C71" s="100" t="s">
        <v>78</v>
      </c>
      <c r="D71" s="107">
        <v>0</v>
      </c>
      <c r="E71" s="107"/>
    </row>
    <row r="72" spans="1:11" hidden="1">
      <c r="C72" s="100" t="s">
        <v>59</v>
      </c>
      <c r="D72" s="107">
        <v>0</v>
      </c>
      <c r="E72" s="107"/>
    </row>
    <row r="73" spans="1:11" hidden="1">
      <c r="C73" s="100" t="s">
        <v>61</v>
      </c>
      <c r="D73" s="107">
        <v>0</v>
      </c>
      <c r="E73" s="107"/>
    </row>
    <row r="74" spans="1:11">
      <c r="B74" s="616" t="s">
        <v>0</v>
      </c>
      <c r="F74" s="100" t="s">
        <v>0</v>
      </c>
    </row>
    <row r="75" spans="1:11">
      <c r="B75" s="1011" t="s">
        <v>0</v>
      </c>
      <c r="G75" s="100" t="s">
        <v>0</v>
      </c>
      <c r="I75" s="100" t="s">
        <v>0</v>
      </c>
      <c r="K75" s="100" t="s">
        <v>0</v>
      </c>
    </row>
    <row r="76" spans="1:11" ht="20.25" customHeight="1">
      <c r="A76" s="524" t="s">
        <v>823</v>
      </c>
      <c r="B76" s="525"/>
      <c r="C76" s="525"/>
      <c r="D76" s="525"/>
      <c r="E76" s="525"/>
      <c r="F76" s="525"/>
      <c r="G76" s="525"/>
      <c r="H76" s="525"/>
      <c r="I76" s="525"/>
      <c r="J76" s="525"/>
      <c r="K76" s="1404" t="s">
        <v>0</v>
      </c>
    </row>
    <row r="77" spans="1:11" ht="20.25" customHeight="1">
      <c r="A77" s="524" t="s">
        <v>138</v>
      </c>
      <c r="B77" s="525"/>
      <c r="C77" s="525"/>
      <c r="D77" s="525"/>
      <c r="E77" s="525"/>
      <c r="F77" s="525"/>
      <c r="G77" s="525"/>
      <c r="H77" s="525"/>
      <c r="I77" s="525"/>
      <c r="J77" s="525"/>
      <c r="K77" s="525"/>
    </row>
    <row r="78" spans="1:11" ht="20.25" customHeight="1">
      <c r="A78" s="1553" t="s">
        <v>999</v>
      </c>
      <c r="B78" s="1553"/>
      <c r="C78" s="1553"/>
      <c r="D78" s="1553"/>
      <c r="E78" s="1553"/>
      <c r="F78" s="1553"/>
      <c r="G78" s="1553"/>
      <c r="H78" s="1553"/>
      <c r="I78" s="1553"/>
      <c r="J78" s="1553"/>
      <c r="K78" s="1553"/>
    </row>
    <row r="79" spans="1:11" ht="16.5" thickBot="1"/>
    <row r="80" spans="1:11" ht="16.5" thickBot="1">
      <c r="A80" s="1326"/>
      <c r="B80" s="1057" t="s">
        <v>59</v>
      </c>
      <c r="C80" s="1057" t="s">
        <v>60</v>
      </c>
      <c r="D80" s="1057" t="s">
        <v>61</v>
      </c>
      <c r="E80" s="1057" t="s">
        <v>66</v>
      </c>
      <c r="F80" s="1057" t="s">
        <v>64</v>
      </c>
      <c r="G80" s="1057" t="s">
        <v>141</v>
      </c>
      <c r="H80" s="1057" t="s">
        <v>67</v>
      </c>
      <c r="I80" s="1057" t="s">
        <v>68</v>
      </c>
      <c r="J80" s="1057" t="s">
        <v>69</v>
      </c>
      <c r="K80" s="526" t="s">
        <v>70</v>
      </c>
    </row>
    <row r="81" spans="1:11" ht="30" customHeight="1" thickTop="1">
      <c r="A81" s="1327" t="s">
        <v>134</v>
      </c>
      <c r="B81" s="1087">
        <f>+B7+B20</f>
        <v>20074139.497192122</v>
      </c>
      <c r="C81" s="1087">
        <f>+C7</f>
        <v>1426485.5069724279</v>
      </c>
      <c r="D81" s="1087">
        <f t="shared" ref="D81:G83" si="1">+D7+D20</f>
        <v>1619897.1617202419</v>
      </c>
      <c r="E81" s="1087">
        <f>+E7+E20</f>
        <v>5535253</v>
      </c>
      <c r="F81" s="1087">
        <f>+F7+F20</f>
        <v>14786946.020690002</v>
      </c>
      <c r="G81" s="1087">
        <f t="shared" si="1"/>
        <v>22792767.486390002</v>
      </c>
      <c r="H81" s="1087">
        <f t="shared" ref="H81:J83" si="2">+H7</f>
        <v>1083757.2214299999</v>
      </c>
      <c r="I81" s="1087">
        <f t="shared" si="2"/>
        <v>3912349</v>
      </c>
      <c r="J81" s="1087">
        <f t="shared" si="2"/>
        <v>3211364</v>
      </c>
      <c r="K81" s="613">
        <f>SUM(B81:J81)</f>
        <v>74442958.8943948</v>
      </c>
    </row>
    <row r="82" spans="1:11" ht="30" customHeight="1">
      <c r="A82" s="1327" t="s">
        <v>135</v>
      </c>
      <c r="B82" s="1087">
        <f>+B8+B21</f>
        <v>9826355.4529858045</v>
      </c>
      <c r="C82" s="1087">
        <f>+C8</f>
        <v>579932.58105000004</v>
      </c>
      <c r="D82" s="1087">
        <f t="shared" si="1"/>
        <v>1841834.3011840899</v>
      </c>
      <c r="E82" s="1087">
        <f>+E8+E21</f>
        <v>2676583</v>
      </c>
      <c r="F82" s="1087">
        <f t="shared" si="1"/>
        <v>18578344.726509996</v>
      </c>
      <c r="G82" s="1087">
        <f t="shared" si="1"/>
        <v>20288168.773019999</v>
      </c>
      <c r="H82" s="1087">
        <f t="shared" si="2"/>
        <v>508819.43871999998</v>
      </c>
      <c r="I82" s="1087">
        <f t="shared" si="2"/>
        <v>294638</v>
      </c>
      <c r="J82" s="1087">
        <f t="shared" si="2"/>
        <v>1689229</v>
      </c>
      <c r="K82" s="613">
        <f>SUM(B82:J82)</f>
        <v>56283905.273469895</v>
      </c>
    </row>
    <row r="83" spans="1:11" ht="30" customHeight="1">
      <c r="A83" s="1327" t="s">
        <v>139</v>
      </c>
      <c r="B83" s="1087">
        <f>+B9+B22</f>
        <v>3975505.8221112378</v>
      </c>
      <c r="C83" s="1087">
        <f>+C9</f>
        <v>871487.54196000006</v>
      </c>
      <c r="D83" s="1087">
        <f t="shared" si="1"/>
        <v>1237077.9101916431</v>
      </c>
      <c r="E83" s="1087">
        <f>+E9+E22</f>
        <v>2207658</v>
      </c>
      <c r="F83" s="1087">
        <f>+F9+F22</f>
        <v>9479328.1620600019</v>
      </c>
      <c r="G83" s="1087">
        <f t="shared" si="1"/>
        <v>6403840.1414699992</v>
      </c>
      <c r="H83" s="1087">
        <f t="shared" si="2"/>
        <v>2952640.3953499999</v>
      </c>
      <c r="I83" s="1087">
        <f t="shared" si="2"/>
        <v>381091</v>
      </c>
      <c r="J83" s="1087">
        <f t="shared" si="2"/>
        <v>325603</v>
      </c>
      <c r="K83" s="614">
        <f>SUM(B83:J83)</f>
        <v>27834231.973142885</v>
      </c>
    </row>
    <row r="84" spans="1:11" ht="30" customHeight="1" thickBot="1">
      <c r="A84" s="1328" t="s">
        <v>70</v>
      </c>
      <c r="B84" s="1329">
        <f t="shared" ref="B84:J84" si="3">+B81+B82+B83</f>
        <v>33876000.772289164</v>
      </c>
      <c r="C84" s="548">
        <f t="shared" si="3"/>
        <v>2877905.6299824282</v>
      </c>
      <c r="D84" s="548">
        <f t="shared" si="3"/>
        <v>4698809.3730959743</v>
      </c>
      <c r="E84" s="548">
        <f>+E81+E82+E83</f>
        <v>10419494</v>
      </c>
      <c r="F84" s="548">
        <f t="shared" si="3"/>
        <v>42844618.909259997</v>
      </c>
      <c r="G84" s="548">
        <f t="shared" si="3"/>
        <v>49484776.400880001</v>
      </c>
      <c r="H84" s="548">
        <f t="shared" si="3"/>
        <v>4545217.0554999998</v>
      </c>
      <c r="I84" s="548">
        <f t="shared" si="3"/>
        <v>4588078</v>
      </c>
      <c r="J84" s="548">
        <f t="shared" si="3"/>
        <v>5226196</v>
      </c>
      <c r="K84" s="615">
        <f>SUM(K81:K83)</f>
        <v>158561096.14100757</v>
      </c>
    </row>
    <row r="85" spans="1:11"/>
    <row r="86" spans="1:11">
      <c r="F86" s="616"/>
    </row>
    <row r="87" spans="1:11">
      <c r="A87" s="654" t="s">
        <v>0</v>
      </c>
    </row>
    <row r="88" spans="1:11"/>
    <row r="89" spans="1:11">
      <c r="A89" s="11" t="s">
        <v>0</v>
      </c>
    </row>
    <row r="90" spans="1:11"/>
    <row r="91" spans="1:11"/>
    <row r="92" spans="1:11"/>
    <row r="93" spans="1:11"/>
    <row r="94" spans="1:11"/>
    <row r="95" spans="1:11"/>
    <row r="96" spans="1:11"/>
    <row r="97"/>
    <row r="98"/>
    <row r="99"/>
    <row r="100"/>
    <row r="101"/>
  </sheetData>
  <mergeCells count="1">
    <mergeCell ref="A78:K78"/>
  </mergeCells>
  <phoneticPr fontId="0" type="noConversion"/>
  <printOptions horizontalCentered="1"/>
  <pageMargins left="0.46" right="0.22" top="0.5" bottom="0.41" header="0.28000000000000003" footer="0.18"/>
  <pageSetup scale="66" orientation="landscape" r:id="rId1"/>
  <headerFooter alignWithMargins="0">
    <oddHeader xml:space="preserve">&amp;C&amp;"CG Times,Bold"             &amp;16               </oddHeader>
    <oddFooter>&amp;R&amp;P</oddFooter>
  </headerFooter>
</worksheet>
</file>

<file path=xl/worksheets/sheet23.xml><?xml version="1.0" encoding="utf-8"?>
<worksheet xmlns="http://schemas.openxmlformats.org/spreadsheetml/2006/main" xmlns:r="http://schemas.openxmlformats.org/officeDocument/2006/relationships">
  <sheetPr>
    <pageSetUpPr fitToPage="1"/>
  </sheetPr>
  <dimension ref="A1:V167"/>
  <sheetViews>
    <sheetView topLeftCell="A8" zoomScale="75" workbookViewId="0">
      <pane xSplit="1" ySplit="1" topLeftCell="B9"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0" customHeight="1" zeroHeight="1"/>
  <cols>
    <col min="1" max="1" width="51.5" style="1118" customWidth="1"/>
    <col min="2" max="2" width="26.625" style="1118" customWidth="1"/>
    <col min="3" max="3" width="24" style="1118" customWidth="1"/>
    <col min="4" max="4" width="26" style="1118" customWidth="1"/>
    <col min="5" max="5" width="28.625" style="1118" customWidth="1"/>
    <col min="6" max="6" width="24.25" style="1118" customWidth="1"/>
    <col min="7" max="7" width="26" style="1118" customWidth="1"/>
    <col min="8" max="8" width="23.125" style="1118" customWidth="1"/>
    <col min="9" max="9" width="24.875" style="1118" customWidth="1"/>
    <col min="10" max="10" width="27.625" style="1118" customWidth="1"/>
    <col min="11" max="11" width="37.625" style="1118" customWidth="1"/>
    <col min="12" max="12" width="10.75" style="1118" customWidth="1"/>
    <col min="13" max="13" width="11.75" style="1118" customWidth="1"/>
    <col min="14" max="14" width="9" style="1118"/>
    <col min="15" max="15" width="14" style="1118" customWidth="1"/>
    <col min="16" max="16" width="9" style="1118"/>
    <col min="17" max="30" width="15.625" style="1118" customWidth="1"/>
    <col min="31" max="54" width="9" style="1118"/>
    <col min="55" max="56" width="10" style="1118" customWidth="1"/>
    <col min="57" max="57" width="10.75" style="1118" customWidth="1"/>
    <col min="58" max="58" width="10" style="1118" customWidth="1"/>
    <col min="59" max="59" width="10.75" style="1118" customWidth="1"/>
    <col min="60" max="60" width="14.5" style="1118" customWidth="1"/>
    <col min="61" max="61" width="12.625" style="1118" customWidth="1"/>
    <col min="62" max="67" width="12.5" style="1118" customWidth="1"/>
    <col min="68" max="16384" width="9" style="1118"/>
  </cols>
  <sheetData>
    <row r="1" spans="1:13" ht="18.75">
      <c r="A1" s="1115" t="s">
        <v>688</v>
      </c>
      <c r="B1" s="1116"/>
      <c r="C1" s="1116"/>
      <c r="D1" s="1116"/>
      <c r="E1" s="1116"/>
      <c r="F1" s="1116"/>
      <c r="G1" s="1116"/>
      <c r="H1" s="1116"/>
      <c r="I1" s="1116"/>
      <c r="J1" s="1116"/>
      <c r="K1" s="1116"/>
      <c r="L1" s="1117"/>
      <c r="M1" s="1117"/>
    </row>
    <row r="2" spans="1:13" ht="18.75">
      <c r="A2" s="1115" t="s">
        <v>868</v>
      </c>
      <c r="B2" s="1116"/>
      <c r="C2" s="1116"/>
      <c r="D2" s="1116"/>
      <c r="E2" s="1116"/>
      <c r="F2" s="1116"/>
      <c r="G2" s="1116"/>
      <c r="H2" s="1116"/>
      <c r="I2" s="1116"/>
      <c r="J2" s="1116"/>
      <c r="K2" s="1116"/>
      <c r="L2" s="1117"/>
      <c r="M2" s="1117"/>
    </row>
    <row r="3" spans="1:13" ht="15.75">
      <c r="A3" s="1119" t="s">
        <v>968</v>
      </c>
      <c r="B3" s="1119"/>
      <c r="C3" s="1119"/>
      <c r="D3" s="1119"/>
      <c r="E3" s="1119"/>
      <c r="F3" s="1119"/>
      <c r="G3" s="1119"/>
      <c r="H3" s="1119"/>
      <c r="I3" s="1119"/>
      <c r="J3" s="1119"/>
      <c r="K3" s="1119"/>
      <c r="L3" s="1117"/>
      <c r="M3" s="1116"/>
    </row>
    <row r="4" spans="1:13" ht="20.25">
      <c r="A4" s="1120"/>
      <c r="B4" s="1120"/>
      <c r="C4" s="1120"/>
      <c r="D4" s="1120"/>
      <c r="E4" s="1120"/>
      <c r="F4" s="1120"/>
      <c r="G4" s="1120"/>
      <c r="H4" s="1120"/>
      <c r="I4" s="1120"/>
      <c r="J4" s="1120"/>
      <c r="K4" s="1120"/>
      <c r="L4" s="1116"/>
      <c r="M4" s="1116"/>
    </row>
    <row r="5" spans="1:13" ht="15.75">
      <c r="A5" s="1121"/>
      <c r="B5" s="1121"/>
      <c r="C5" s="1121"/>
      <c r="D5" s="1121"/>
      <c r="E5" s="1121"/>
      <c r="F5" s="1121"/>
      <c r="G5" s="1121"/>
      <c r="H5" s="1121"/>
      <c r="I5" s="1121"/>
      <c r="J5" s="1121"/>
      <c r="K5" s="1121"/>
      <c r="L5" s="1116"/>
      <c r="M5" s="1116"/>
    </row>
    <row r="6" spans="1:13" ht="20.25">
      <c r="A6" s="1122" t="s">
        <v>867</v>
      </c>
      <c r="B6" s="1116"/>
      <c r="C6" s="1116"/>
      <c r="D6" s="1116"/>
      <c r="E6" s="1116"/>
      <c r="F6" s="1116"/>
      <c r="G6" s="1116"/>
      <c r="H6" s="1116"/>
      <c r="I6" s="1116"/>
      <c r="J6" s="1116"/>
      <c r="K6" s="1116"/>
      <c r="L6" s="1116"/>
      <c r="M6" s="1116"/>
    </row>
    <row r="7" spans="1:13" ht="16.5" thickBot="1">
      <c r="A7" s="1116"/>
      <c r="B7" s="1116"/>
      <c r="C7" s="1116"/>
      <c r="D7" s="1116"/>
      <c r="E7" s="1116"/>
      <c r="F7" s="1116"/>
      <c r="G7" s="1116"/>
    </row>
    <row r="8" spans="1:13" ht="19.5" thickBot="1">
      <c r="A8" s="1123"/>
      <c r="B8" s="1318" t="s">
        <v>125</v>
      </c>
      <c r="C8" s="1319" t="s">
        <v>60</v>
      </c>
      <c r="D8" s="1318" t="s">
        <v>126</v>
      </c>
      <c r="E8" s="1318" t="s">
        <v>64</v>
      </c>
      <c r="F8" s="1318" t="s">
        <v>65</v>
      </c>
      <c r="G8" s="1318" t="s">
        <v>133</v>
      </c>
      <c r="H8" s="1318" t="s">
        <v>67</v>
      </c>
      <c r="I8" s="1318" t="s">
        <v>68</v>
      </c>
      <c r="J8" s="1320" t="s">
        <v>69</v>
      </c>
      <c r="K8" s="1124" t="s">
        <v>70</v>
      </c>
      <c r="L8" s="1121"/>
      <c r="M8" s="1121"/>
    </row>
    <row r="9" spans="1:13" ht="16.5" thickTop="1">
      <c r="A9" s="1125"/>
      <c r="B9" s="1126" t="s">
        <v>0</v>
      </c>
      <c r="C9" s="1127"/>
      <c r="D9" s="1126"/>
      <c r="E9" s="1126"/>
      <c r="F9" s="1126" t="s">
        <v>0</v>
      </c>
      <c r="G9" s="1126"/>
      <c r="H9" s="1126"/>
      <c r="I9" s="1126"/>
      <c r="J9" s="1128"/>
      <c r="K9" s="1129"/>
      <c r="L9" s="1121"/>
      <c r="M9" s="1121"/>
    </row>
    <row r="10" spans="1:13" ht="30" customHeight="1">
      <c r="A10" s="1130" t="s">
        <v>143</v>
      </c>
      <c r="B10" s="1131">
        <v>9168467.7837607376</v>
      </c>
      <c r="C10" s="1132">
        <v>189496.196646122</v>
      </c>
      <c r="D10" s="1132">
        <v>166817.47766176998</v>
      </c>
      <c r="E10" s="1133">
        <v>2201761.24235</v>
      </c>
      <c r="F10" s="1133">
        <v>1644424.6234499998</v>
      </c>
      <c r="G10" s="1134">
        <v>2094235</v>
      </c>
      <c r="H10" s="1133">
        <v>535200.68307999999</v>
      </c>
      <c r="I10" s="1133">
        <v>3912349</v>
      </c>
      <c r="J10" s="1135">
        <v>525821</v>
      </c>
      <c r="K10" s="1136">
        <f t="shared" ref="K10:K41" si="0">SUM(B10:J10)</f>
        <v>20438573.006948628</v>
      </c>
      <c r="L10" s="1121"/>
      <c r="M10" s="1121"/>
    </row>
    <row r="11" spans="1:13" ht="30" customHeight="1">
      <c r="A11" s="1130" t="s">
        <v>144</v>
      </c>
      <c r="B11" s="1131">
        <v>0</v>
      </c>
      <c r="C11" s="1133">
        <v>0</v>
      </c>
      <c r="D11" s="1132">
        <v>0</v>
      </c>
      <c r="E11" s="1133">
        <v>2437745.8316000002</v>
      </c>
      <c r="F11" s="1133">
        <v>0</v>
      </c>
      <c r="G11" s="1134">
        <v>0</v>
      </c>
      <c r="H11" s="1133">
        <v>0</v>
      </c>
      <c r="I11" s="1133">
        <v>0</v>
      </c>
      <c r="J11" s="1137">
        <v>0</v>
      </c>
      <c r="K11" s="1136">
        <f t="shared" si="0"/>
        <v>2437745.8316000002</v>
      </c>
      <c r="L11" s="1121"/>
      <c r="M11" s="1121"/>
    </row>
    <row r="12" spans="1:13" ht="30" customHeight="1">
      <c r="A12" s="1130" t="s">
        <v>689</v>
      </c>
      <c r="B12" s="1131">
        <v>0</v>
      </c>
      <c r="C12" s="1133">
        <v>0</v>
      </c>
      <c r="D12" s="1132">
        <v>0</v>
      </c>
      <c r="E12" s="1133">
        <v>0</v>
      </c>
      <c r="F12" s="1133">
        <v>0</v>
      </c>
      <c r="G12" s="1134">
        <v>0</v>
      </c>
      <c r="H12" s="1133">
        <v>0</v>
      </c>
      <c r="I12" s="1133">
        <v>0</v>
      </c>
      <c r="J12" s="1137">
        <v>0</v>
      </c>
      <c r="K12" s="1136">
        <f t="shared" si="0"/>
        <v>0</v>
      </c>
      <c r="L12" s="1121"/>
      <c r="M12" s="1121"/>
    </row>
    <row r="13" spans="1:13" ht="30" customHeight="1">
      <c r="A13" s="1130" t="s">
        <v>690</v>
      </c>
      <c r="B13" s="1138">
        <f>SUM(B14:B15)</f>
        <v>1367189.2696447279</v>
      </c>
      <c r="C13" s="1139">
        <v>0</v>
      </c>
      <c r="D13" s="1140">
        <v>0</v>
      </c>
      <c r="E13" s="1141">
        <v>707756.88225000002</v>
      </c>
      <c r="F13" s="1139">
        <v>0</v>
      </c>
      <c r="G13" s="1141">
        <v>0</v>
      </c>
      <c r="H13" s="1139">
        <v>0</v>
      </c>
      <c r="I13" s="1139">
        <v>0</v>
      </c>
      <c r="J13" s="1142">
        <v>0</v>
      </c>
      <c r="K13" s="1143">
        <f t="shared" si="0"/>
        <v>2074946.151894728</v>
      </c>
      <c r="L13" s="1121"/>
      <c r="M13" s="1121"/>
    </row>
    <row r="14" spans="1:13" ht="30" customHeight="1">
      <c r="A14" s="1130" t="s">
        <v>691</v>
      </c>
      <c r="B14" s="1144">
        <v>735681.40113529703</v>
      </c>
      <c r="C14" s="1145">
        <v>0</v>
      </c>
      <c r="D14" s="1146">
        <v>0</v>
      </c>
      <c r="E14" s="1145">
        <v>0</v>
      </c>
      <c r="F14" s="1145">
        <v>0</v>
      </c>
      <c r="G14" s="1145">
        <v>0</v>
      </c>
      <c r="H14" s="1145">
        <v>0</v>
      </c>
      <c r="I14" s="1145">
        <v>0</v>
      </c>
      <c r="J14" s="1147">
        <v>0</v>
      </c>
      <c r="K14" s="1148">
        <f t="shared" si="0"/>
        <v>735681.40113529703</v>
      </c>
      <c r="L14" s="1121"/>
      <c r="M14" s="1121"/>
    </row>
    <row r="15" spans="1:13" ht="30" customHeight="1">
      <c r="A15" s="1130" t="s">
        <v>692</v>
      </c>
      <c r="B15" s="1144">
        <v>631507.86850943102</v>
      </c>
      <c r="C15" s="1145">
        <v>0</v>
      </c>
      <c r="D15" s="1146">
        <v>0</v>
      </c>
      <c r="E15" s="1145">
        <v>0</v>
      </c>
      <c r="F15" s="1145">
        <v>0</v>
      </c>
      <c r="G15" s="1145">
        <v>0</v>
      </c>
      <c r="H15" s="1145">
        <v>0</v>
      </c>
      <c r="I15" s="1145">
        <v>0</v>
      </c>
      <c r="J15" s="1147">
        <v>0</v>
      </c>
      <c r="K15" s="1148">
        <f t="shared" si="0"/>
        <v>631507.86850943102</v>
      </c>
      <c r="L15" s="1121"/>
      <c r="M15" s="1121"/>
    </row>
    <row r="16" spans="1:13" ht="30" customHeight="1">
      <c r="A16" s="1149" t="s">
        <v>146</v>
      </c>
      <c r="B16" s="1150">
        <f>SUM(B17:B20)</f>
        <v>936308.20456350094</v>
      </c>
      <c r="C16" s="1151">
        <v>21950.404620759</v>
      </c>
      <c r="D16" s="1151">
        <v>0</v>
      </c>
      <c r="E16" s="1151">
        <f>SUM(E17:E24)</f>
        <v>1063643.9180100001</v>
      </c>
      <c r="F16" s="1151">
        <f>SUM(F17:F27)</f>
        <v>3767788.4894400006</v>
      </c>
      <c r="G16" s="1151">
        <f>SUM(G17:G27)</f>
        <v>341099</v>
      </c>
      <c r="H16" s="1151">
        <f>SUM(H17:H27)</f>
        <v>377201.33718999999</v>
      </c>
      <c r="I16" s="1151">
        <v>0</v>
      </c>
      <c r="J16" s="1152">
        <v>870110</v>
      </c>
      <c r="K16" s="1143">
        <f t="shared" si="0"/>
        <v>7378101.3538242616</v>
      </c>
      <c r="L16" s="1121"/>
      <c r="M16" s="1121"/>
    </row>
    <row r="17" spans="1:13" ht="30" customHeight="1">
      <c r="A17" s="1149" t="s">
        <v>693</v>
      </c>
      <c r="B17" s="1145">
        <v>677310.14943880297</v>
      </c>
      <c r="C17" s="1145">
        <v>0</v>
      </c>
      <c r="D17" s="1145">
        <v>0</v>
      </c>
      <c r="E17" s="1145">
        <v>0</v>
      </c>
      <c r="F17" s="1145">
        <v>0</v>
      </c>
      <c r="G17" s="1145">
        <v>0</v>
      </c>
      <c r="H17" s="1145">
        <v>0</v>
      </c>
      <c r="I17" s="1145">
        <v>0</v>
      </c>
      <c r="J17" s="1147">
        <v>0</v>
      </c>
      <c r="K17" s="1148">
        <f t="shared" si="0"/>
        <v>677310.14943880297</v>
      </c>
      <c r="L17" s="1121"/>
      <c r="M17" s="1121"/>
    </row>
    <row r="18" spans="1:13" ht="30" customHeight="1">
      <c r="A18" s="1149" t="s">
        <v>694</v>
      </c>
      <c r="B18" s="1145">
        <v>111439.29688538799</v>
      </c>
      <c r="C18" s="1145">
        <v>0</v>
      </c>
      <c r="D18" s="1145">
        <v>0</v>
      </c>
      <c r="E18" s="1145">
        <v>0</v>
      </c>
      <c r="F18" s="1145">
        <v>0</v>
      </c>
      <c r="G18" s="1145">
        <v>0</v>
      </c>
      <c r="H18" s="1145">
        <v>0</v>
      </c>
      <c r="I18" s="1145">
        <v>0</v>
      </c>
      <c r="J18" s="1147">
        <v>0</v>
      </c>
      <c r="K18" s="1148">
        <f t="shared" si="0"/>
        <v>111439.29688538799</v>
      </c>
      <c r="L18" s="1121"/>
      <c r="M18" s="1121"/>
    </row>
    <row r="19" spans="1:13" ht="30" customHeight="1">
      <c r="A19" s="1149" t="s">
        <v>695</v>
      </c>
      <c r="B19" s="1145">
        <v>0</v>
      </c>
      <c r="C19" s="1145">
        <v>0</v>
      </c>
      <c r="D19" s="1145">
        <v>0</v>
      </c>
      <c r="E19" s="1145">
        <v>0</v>
      </c>
      <c r="F19" s="1145">
        <v>0</v>
      </c>
      <c r="G19" s="1145">
        <v>320581</v>
      </c>
      <c r="H19" s="1145">
        <v>0</v>
      </c>
      <c r="I19" s="1145">
        <v>0</v>
      </c>
      <c r="J19" s="1147">
        <v>0</v>
      </c>
      <c r="K19" s="1148">
        <f t="shared" si="0"/>
        <v>320581</v>
      </c>
      <c r="L19" s="1121"/>
      <c r="M19" s="1121"/>
    </row>
    <row r="20" spans="1:13" ht="30" customHeight="1">
      <c r="A20" s="1149" t="s">
        <v>696</v>
      </c>
      <c r="B20" s="1145">
        <v>147558.75823931</v>
      </c>
      <c r="C20" s="1145">
        <v>0</v>
      </c>
      <c r="D20" s="1145">
        <v>0</v>
      </c>
      <c r="E20" s="1145">
        <v>0</v>
      </c>
      <c r="F20" s="1145">
        <v>1684099.2151300001</v>
      </c>
      <c r="G20" s="1145">
        <v>0</v>
      </c>
      <c r="H20" s="1145">
        <v>0</v>
      </c>
      <c r="I20" s="1145">
        <v>0</v>
      </c>
      <c r="J20" s="1147">
        <v>0</v>
      </c>
      <c r="K20" s="1148">
        <f t="shared" si="0"/>
        <v>1831657.9733693101</v>
      </c>
      <c r="L20" s="1121"/>
      <c r="M20" s="1121"/>
    </row>
    <row r="21" spans="1:13" ht="30" customHeight="1">
      <c r="A21" s="1149" t="s">
        <v>921</v>
      </c>
      <c r="B21" s="1145">
        <v>0</v>
      </c>
      <c r="C21" s="1145">
        <v>0</v>
      </c>
      <c r="D21" s="1145">
        <v>0</v>
      </c>
      <c r="E21" s="1145">
        <v>0</v>
      </c>
      <c r="F21" s="1145">
        <v>0</v>
      </c>
      <c r="G21" s="1145">
        <v>20518</v>
      </c>
      <c r="H21" s="1145">
        <v>0</v>
      </c>
      <c r="I21" s="1145">
        <v>0</v>
      </c>
      <c r="J21" s="1147">
        <v>0</v>
      </c>
      <c r="K21" s="1148">
        <f t="shared" si="0"/>
        <v>20518</v>
      </c>
      <c r="L21" s="1121"/>
      <c r="M21" s="1121"/>
    </row>
    <row r="22" spans="1:13" ht="30" customHeight="1">
      <c r="A22" s="1149" t="s">
        <v>827</v>
      </c>
      <c r="B22" s="1145">
        <v>0</v>
      </c>
      <c r="C22" s="1145">
        <v>0</v>
      </c>
      <c r="D22" s="1145">
        <v>0</v>
      </c>
      <c r="E22" s="1145">
        <v>0</v>
      </c>
      <c r="F22" s="1145">
        <v>0</v>
      </c>
      <c r="G22" s="1145">
        <v>0</v>
      </c>
      <c r="H22" s="1145">
        <v>377201.33718999999</v>
      </c>
      <c r="I22" s="1145">
        <v>0</v>
      </c>
      <c r="J22" s="1147">
        <v>0</v>
      </c>
      <c r="K22" s="1148">
        <f t="shared" si="0"/>
        <v>377201.33718999999</v>
      </c>
      <c r="L22" s="1121"/>
      <c r="M22" s="1121"/>
    </row>
    <row r="23" spans="1:13" ht="30" customHeight="1">
      <c r="A23" s="1149" t="s">
        <v>698</v>
      </c>
      <c r="B23" s="1145">
        <v>0</v>
      </c>
      <c r="C23" s="1145">
        <v>0</v>
      </c>
      <c r="D23" s="1145">
        <v>0</v>
      </c>
      <c r="E23" s="1145">
        <v>449878.04697000002</v>
      </c>
      <c r="F23" s="1145">
        <v>0</v>
      </c>
      <c r="G23" s="1145">
        <v>0</v>
      </c>
      <c r="H23" s="1145">
        <v>0</v>
      </c>
      <c r="I23" s="1145">
        <v>0</v>
      </c>
      <c r="J23" s="1147">
        <v>0</v>
      </c>
      <c r="K23" s="1148">
        <f t="shared" si="0"/>
        <v>449878.04697000002</v>
      </c>
      <c r="L23" s="1121"/>
      <c r="M23" s="1121"/>
    </row>
    <row r="24" spans="1:13" ht="30" customHeight="1">
      <c r="A24" s="1149" t="s">
        <v>699</v>
      </c>
      <c r="B24" s="1145">
        <v>0</v>
      </c>
      <c r="C24" s="1145">
        <v>0</v>
      </c>
      <c r="D24" s="1145">
        <v>0</v>
      </c>
      <c r="E24" s="1145">
        <v>613765.87104</v>
      </c>
      <c r="F24" s="1145">
        <v>0</v>
      </c>
      <c r="G24" s="1145">
        <v>0</v>
      </c>
      <c r="H24" s="1145">
        <v>0</v>
      </c>
      <c r="I24" s="1145">
        <v>0</v>
      </c>
      <c r="J24" s="1147">
        <v>0</v>
      </c>
      <c r="K24" s="1148">
        <f t="shared" si="0"/>
        <v>613765.87104</v>
      </c>
      <c r="L24" s="1121"/>
      <c r="M24" s="1121"/>
    </row>
    <row r="25" spans="1:13" ht="30" customHeight="1">
      <c r="A25" s="1149" t="s">
        <v>700</v>
      </c>
      <c r="B25" s="1145">
        <v>0</v>
      </c>
      <c r="C25" s="1145">
        <v>0</v>
      </c>
      <c r="D25" s="1145">
        <v>0</v>
      </c>
      <c r="E25" s="1145">
        <v>0</v>
      </c>
      <c r="F25" s="1145">
        <v>279115.79979000002</v>
      </c>
      <c r="G25" s="1145">
        <v>0</v>
      </c>
      <c r="H25" s="1145">
        <v>0</v>
      </c>
      <c r="I25" s="1145">
        <v>0</v>
      </c>
      <c r="J25" s="1147">
        <v>0</v>
      </c>
      <c r="K25" s="1148">
        <f t="shared" si="0"/>
        <v>279115.79979000002</v>
      </c>
      <c r="L25" s="1121"/>
      <c r="M25" s="1121"/>
    </row>
    <row r="26" spans="1:13" ht="30" customHeight="1">
      <c r="A26" s="1149" t="s">
        <v>701</v>
      </c>
      <c r="B26" s="1145">
        <v>0</v>
      </c>
      <c r="C26" s="1145">
        <v>0</v>
      </c>
      <c r="D26" s="1145">
        <v>0</v>
      </c>
      <c r="E26" s="1145">
        <v>0</v>
      </c>
      <c r="F26" s="1145">
        <v>1803644.6159400002</v>
      </c>
      <c r="G26" s="1145">
        <v>0</v>
      </c>
      <c r="H26" s="1145">
        <v>0</v>
      </c>
      <c r="I26" s="1145">
        <v>0</v>
      </c>
      <c r="J26" s="1147">
        <v>0</v>
      </c>
      <c r="K26" s="1148">
        <f t="shared" si="0"/>
        <v>1803644.6159400002</v>
      </c>
      <c r="L26" s="1121"/>
      <c r="M26" s="1121"/>
    </row>
    <row r="27" spans="1:13" ht="30" customHeight="1">
      <c r="A27" s="1149" t="s">
        <v>702</v>
      </c>
      <c r="B27" s="1145">
        <v>0</v>
      </c>
      <c r="C27" s="1145">
        <v>0</v>
      </c>
      <c r="D27" s="1145">
        <v>0</v>
      </c>
      <c r="E27" s="1145">
        <v>0</v>
      </c>
      <c r="F27" s="1145">
        <v>928.85857999999996</v>
      </c>
      <c r="G27" s="1145">
        <v>0</v>
      </c>
      <c r="H27" s="1145">
        <v>0</v>
      </c>
      <c r="I27" s="1145">
        <v>0</v>
      </c>
      <c r="J27" s="1147">
        <v>0</v>
      </c>
      <c r="K27" s="1148">
        <f t="shared" si="0"/>
        <v>928.85857999999996</v>
      </c>
      <c r="L27" s="1121"/>
      <c r="M27" s="1121"/>
    </row>
    <row r="28" spans="1:13" ht="30" customHeight="1">
      <c r="A28" s="1149" t="s">
        <v>147</v>
      </c>
      <c r="B28" s="1138">
        <f>SUM(B29:B32)</f>
        <v>3189232.8715834431</v>
      </c>
      <c r="C28" s="1139">
        <v>838511.88043092098</v>
      </c>
      <c r="D28" s="1140">
        <v>779045.79479153408</v>
      </c>
      <c r="E28" s="1139">
        <f>SUM(E29:E34)</f>
        <v>2953395.9427200002</v>
      </c>
      <c r="F28" s="1141">
        <f>SUM(F29:F34)</f>
        <v>8266623.3635300007</v>
      </c>
      <c r="G28" s="1141">
        <f>SUM(G29:G34)</f>
        <v>1608053</v>
      </c>
      <c r="H28" s="1139">
        <v>0</v>
      </c>
      <c r="I28" s="1139">
        <v>0</v>
      </c>
      <c r="J28" s="1142">
        <v>1535700</v>
      </c>
      <c r="K28" s="1143">
        <f t="shared" si="0"/>
        <v>19170562.853055898</v>
      </c>
      <c r="L28" s="1121"/>
      <c r="M28" s="1121"/>
    </row>
    <row r="29" spans="1:13" ht="30" customHeight="1">
      <c r="A29" s="1149" t="s">
        <v>703</v>
      </c>
      <c r="B29" s="1144">
        <v>2112310.2658306309</v>
      </c>
      <c r="C29" s="1145">
        <v>0</v>
      </c>
      <c r="D29" s="1146">
        <v>0</v>
      </c>
      <c r="E29" s="1145">
        <v>908164.9799700001</v>
      </c>
      <c r="F29" s="1145">
        <v>4885087.1014600005</v>
      </c>
      <c r="G29" s="1145">
        <v>959848</v>
      </c>
      <c r="H29" s="1145">
        <v>0</v>
      </c>
      <c r="I29" s="1145">
        <v>0</v>
      </c>
      <c r="J29" s="1147">
        <v>0</v>
      </c>
      <c r="K29" s="1148">
        <f t="shared" si="0"/>
        <v>8865410.3472606316</v>
      </c>
      <c r="L29" s="1121"/>
      <c r="M29" s="1121"/>
    </row>
    <row r="30" spans="1:13" ht="30" customHeight="1">
      <c r="A30" s="1149" t="s">
        <v>704</v>
      </c>
      <c r="B30" s="1144">
        <v>319384.55220046995</v>
      </c>
      <c r="C30" s="1145">
        <v>0</v>
      </c>
      <c r="D30" s="1146">
        <v>0</v>
      </c>
      <c r="E30" s="1145">
        <v>0</v>
      </c>
      <c r="F30" s="1145">
        <v>0</v>
      </c>
      <c r="G30" s="1145">
        <v>217131</v>
      </c>
      <c r="H30" s="1145">
        <v>0</v>
      </c>
      <c r="I30" s="1145">
        <v>0</v>
      </c>
      <c r="J30" s="1147">
        <v>0</v>
      </c>
      <c r="K30" s="1148">
        <f t="shared" si="0"/>
        <v>536515.55220046989</v>
      </c>
      <c r="L30" s="1121"/>
      <c r="M30" s="1121"/>
    </row>
    <row r="31" spans="1:13" ht="30" customHeight="1">
      <c r="A31" s="1149" t="s">
        <v>705</v>
      </c>
      <c r="B31" s="1144">
        <v>634114.3572514191</v>
      </c>
      <c r="C31" s="1145">
        <v>0</v>
      </c>
      <c r="D31" s="1146">
        <v>0</v>
      </c>
      <c r="E31" s="1145">
        <v>0</v>
      </c>
      <c r="F31" s="1145">
        <v>0</v>
      </c>
      <c r="G31" s="1145">
        <v>0</v>
      </c>
      <c r="H31" s="1145">
        <v>0</v>
      </c>
      <c r="I31" s="1145">
        <v>0</v>
      </c>
      <c r="J31" s="1147">
        <v>0</v>
      </c>
      <c r="K31" s="1148">
        <f t="shared" si="0"/>
        <v>634114.3572514191</v>
      </c>
      <c r="L31" s="1121"/>
      <c r="M31" s="1121"/>
    </row>
    <row r="32" spans="1:13" ht="30" customHeight="1">
      <c r="A32" s="1149" t="s">
        <v>706</v>
      </c>
      <c r="B32" s="1144">
        <v>123423.69630092301</v>
      </c>
      <c r="C32" s="1145">
        <v>0</v>
      </c>
      <c r="D32" s="1146">
        <v>0</v>
      </c>
      <c r="E32" s="1145">
        <v>112724.03756999999</v>
      </c>
      <c r="F32" s="1145">
        <v>981383.75126000005</v>
      </c>
      <c r="G32" s="1145">
        <v>431074</v>
      </c>
      <c r="H32" s="1145">
        <v>0</v>
      </c>
      <c r="I32" s="1145">
        <v>0</v>
      </c>
      <c r="J32" s="1147">
        <v>0</v>
      </c>
      <c r="K32" s="1148">
        <f t="shared" si="0"/>
        <v>1648605.4851309231</v>
      </c>
      <c r="L32" s="1121"/>
      <c r="M32" s="1121"/>
    </row>
    <row r="33" spans="1:15" ht="30" customHeight="1">
      <c r="A33" s="1149" t="s">
        <v>707</v>
      </c>
      <c r="B33" s="1144">
        <v>0</v>
      </c>
      <c r="C33" s="1145">
        <v>0</v>
      </c>
      <c r="D33" s="1146">
        <v>0</v>
      </c>
      <c r="E33" s="1145">
        <v>1446502.8481500002</v>
      </c>
      <c r="F33" s="1145">
        <v>2400152.5108099999</v>
      </c>
      <c r="G33" s="1145">
        <v>0</v>
      </c>
      <c r="H33" s="1145">
        <v>0</v>
      </c>
      <c r="I33" s="1145">
        <v>0</v>
      </c>
      <c r="J33" s="1147">
        <v>0</v>
      </c>
      <c r="K33" s="1148">
        <f t="shared" si="0"/>
        <v>3846655.3589599999</v>
      </c>
      <c r="L33" s="1121"/>
      <c r="M33" s="1121"/>
    </row>
    <row r="34" spans="1:15" ht="30" customHeight="1">
      <c r="A34" s="1149" t="s">
        <v>708</v>
      </c>
      <c r="B34" s="1144">
        <v>0</v>
      </c>
      <c r="C34" s="1145">
        <v>0</v>
      </c>
      <c r="D34" s="1146">
        <v>0</v>
      </c>
      <c r="E34" s="1145">
        <v>486004.07702999999</v>
      </c>
      <c r="F34" s="1145">
        <v>0</v>
      </c>
      <c r="G34" s="1145">
        <v>0</v>
      </c>
      <c r="H34" s="1145">
        <v>0</v>
      </c>
      <c r="I34" s="1145">
        <v>0</v>
      </c>
      <c r="J34" s="1147">
        <v>0</v>
      </c>
      <c r="K34" s="1148">
        <f t="shared" si="0"/>
        <v>486004.07702999999</v>
      </c>
      <c r="L34" s="1121"/>
      <c r="M34" s="1121"/>
    </row>
    <row r="35" spans="1:15" ht="30" customHeight="1">
      <c r="A35" s="1149" t="s">
        <v>148</v>
      </c>
      <c r="B35" s="1153">
        <v>417857.61534141097</v>
      </c>
      <c r="C35" s="1154">
        <v>0</v>
      </c>
      <c r="D35" s="1155">
        <v>43017.733494157001</v>
      </c>
      <c r="E35" s="1154">
        <v>411930.01274999994</v>
      </c>
      <c r="F35" s="1154">
        <v>404281.60436</v>
      </c>
      <c r="G35" s="1156">
        <v>0</v>
      </c>
      <c r="H35" s="1154">
        <v>0</v>
      </c>
      <c r="I35" s="1154">
        <v>0</v>
      </c>
      <c r="J35" s="1157">
        <v>0</v>
      </c>
      <c r="K35" s="1143">
        <f t="shared" si="0"/>
        <v>1277086.9659455679</v>
      </c>
      <c r="L35" s="1121"/>
      <c r="M35" s="1121"/>
    </row>
    <row r="36" spans="1:15" ht="30" customHeight="1">
      <c r="A36" s="1149" t="s">
        <v>481</v>
      </c>
      <c r="B36" s="1153">
        <v>254312.47936432599</v>
      </c>
      <c r="C36" s="1154">
        <v>0</v>
      </c>
      <c r="D36" s="1155">
        <v>0</v>
      </c>
      <c r="E36" s="1154">
        <v>322245.62050999998</v>
      </c>
      <c r="F36" s="1154">
        <v>0</v>
      </c>
      <c r="G36" s="1156">
        <v>0</v>
      </c>
      <c r="H36" s="1154">
        <v>0</v>
      </c>
      <c r="I36" s="1154">
        <v>0</v>
      </c>
      <c r="J36" s="1157">
        <v>0</v>
      </c>
      <c r="K36" s="1143">
        <f t="shared" si="0"/>
        <v>576558.09987432603</v>
      </c>
      <c r="L36" s="1121"/>
      <c r="M36" s="1121"/>
      <c r="O36" s="1158" t="s">
        <v>0</v>
      </c>
    </row>
    <row r="37" spans="1:15" ht="30" customHeight="1">
      <c r="A37" s="1149" t="s">
        <v>149</v>
      </c>
      <c r="B37" s="1153">
        <v>0</v>
      </c>
      <c r="C37" s="1154">
        <v>0</v>
      </c>
      <c r="D37" s="1155">
        <v>0</v>
      </c>
      <c r="E37" s="1154">
        <v>0</v>
      </c>
      <c r="F37" s="1154">
        <v>26169.653310000002</v>
      </c>
      <c r="G37" s="1156">
        <v>113225</v>
      </c>
      <c r="H37" s="1154">
        <v>0</v>
      </c>
      <c r="I37" s="1154">
        <v>0</v>
      </c>
      <c r="J37" s="1157">
        <v>0</v>
      </c>
      <c r="K37" s="1143">
        <f t="shared" si="0"/>
        <v>139394.65330999999</v>
      </c>
      <c r="L37" s="1121"/>
      <c r="M37" s="1121"/>
      <c r="O37" s="1158" t="s">
        <v>0</v>
      </c>
    </row>
    <row r="38" spans="1:15" ht="30" customHeight="1">
      <c r="A38" s="1149" t="s">
        <v>150</v>
      </c>
      <c r="B38" s="1153">
        <v>79551.859141838999</v>
      </c>
      <c r="C38" s="1154">
        <v>33275.417146332002</v>
      </c>
      <c r="D38" s="1155">
        <v>0</v>
      </c>
      <c r="E38" s="1154">
        <v>1325067.1711300001</v>
      </c>
      <c r="F38" s="1154">
        <v>360298.59899000003</v>
      </c>
      <c r="G38" s="1156">
        <v>370540</v>
      </c>
      <c r="H38" s="1154">
        <v>0</v>
      </c>
      <c r="I38" s="1154">
        <v>0</v>
      </c>
      <c r="J38" s="1157">
        <v>0</v>
      </c>
      <c r="K38" s="1143">
        <f t="shared" si="0"/>
        <v>2168733.0464081713</v>
      </c>
      <c r="L38" s="1121"/>
      <c r="M38" s="1121"/>
    </row>
    <row r="39" spans="1:15" ht="30" customHeight="1">
      <c r="A39" s="1149" t="s">
        <v>709</v>
      </c>
      <c r="B39" s="1153">
        <v>0</v>
      </c>
      <c r="C39" s="1154">
        <v>0</v>
      </c>
      <c r="D39" s="1155">
        <v>0</v>
      </c>
      <c r="E39" s="1154">
        <v>423841.50644999993</v>
      </c>
      <c r="F39" s="1154">
        <v>0</v>
      </c>
      <c r="G39" s="1156">
        <v>38092</v>
      </c>
      <c r="H39" s="1154">
        <v>0</v>
      </c>
      <c r="I39" s="1154">
        <v>0</v>
      </c>
      <c r="J39" s="1157">
        <v>0</v>
      </c>
      <c r="K39" s="1143">
        <f t="shared" si="0"/>
        <v>461933.50644999993</v>
      </c>
      <c r="L39" s="1121"/>
      <c r="M39" s="1121"/>
    </row>
    <row r="40" spans="1:15" ht="30" customHeight="1">
      <c r="A40" s="1149" t="s">
        <v>151</v>
      </c>
      <c r="B40" s="1138">
        <f>SUM(B41:B42)</f>
        <v>119686.618488621</v>
      </c>
      <c r="C40" s="1139">
        <v>0</v>
      </c>
      <c r="D40" s="1140">
        <v>71203.198213324009</v>
      </c>
      <c r="E40" s="1139">
        <f>SUM(E41:E43)</f>
        <v>84105.661939999991</v>
      </c>
      <c r="F40" s="1139">
        <v>0</v>
      </c>
      <c r="G40" s="1141">
        <v>25022</v>
      </c>
      <c r="H40" s="1139">
        <v>0</v>
      </c>
      <c r="I40" s="1139">
        <v>0</v>
      </c>
      <c r="J40" s="1142">
        <v>279733</v>
      </c>
      <c r="K40" s="1143">
        <f t="shared" si="0"/>
        <v>579750.47864194494</v>
      </c>
      <c r="L40" s="1121"/>
      <c r="M40" s="1121"/>
    </row>
    <row r="41" spans="1:15" ht="30" customHeight="1">
      <c r="A41" s="1149" t="s">
        <v>710</v>
      </c>
      <c r="B41" s="1144">
        <v>49214.444099581</v>
      </c>
      <c r="C41" s="1145">
        <v>0</v>
      </c>
      <c r="D41" s="1146">
        <v>0</v>
      </c>
      <c r="E41" s="1145">
        <v>0</v>
      </c>
      <c r="F41" s="1145">
        <v>0</v>
      </c>
      <c r="G41" s="1145">
        <v>0</v>
      </c>
      <c r="H41" s="1145">
        <v>0</v>
      </c>
      <c r="I41" s="1145">
        <v>0</v>
      </c>
      <c r="J41" s="1147">
        <v>0</v>
      </c>
      <c r="K41" s="1148">
        <f t="shared" si="0"/>
        <v>49214.444099581</v>
      </c>
      <c r="L41" s="1121"/>
      <c r="M41" s="1121"/>
    </row>
    <row r="42" spans="1:15" ht="30" customHeight="1">
      <c r="A42" s="1149" t="s">
        <v>711</v>
      </c>
      <c r="B42" s="1144">
        <v>70472.174389039996</v>
      </c>
      <c r="C42" s="1145">
        <v>0</v>
      </c>
      <c r="D42" s="1146">
        <v>0</v>
      </c>
      <c r="E42" s="1145">
        <v>60492.901590000001</v>
      </c>
      <c r="F42" s="1145">
        <v>0</v>
      </c>
      <c r="G42" s="1145">
        <v>0</v>
      </c>
      <c r="H42" s="1145">
        <v>0</v>
      </c>
      <c r="I42" s="1145">
        <v>0</v>
      </c>
      <c r="J42" s="1147">
        <v>0</v>
      </c>
      <c r="K42" s="1148">
        <f t="shared" ref="K42:K74" si="1">SUM(B42:J42)</f>
        <v>130965.07597904</v>
      </c>
      <c r="L42" s="1121"/>
      <c r="M42" s="1121"/>
    </row>
    <row r="43" spans="1:15" ht="30" customHeight="1">
      <c r="A43" s="1149" t="s">
        <v>712</v>
      </c>
      <c r="B43" s="1144">
        <v>0</v>
      </c>
      <c r="C43" s="1145">
        <v>0</v>
      </c>
      <c r="D43" s="1146">
        <v>0</v>
      </c>
      <c r="E43" s="1145">
        <v>23612.760349999997</v>
      </c>
      <c r="F43" s="1145">
        <v>0</v>
      </c>
      <c r="G43" s="1145">
        <v>0</v>
      </c>
      <c r="H43" s="1145">
        <v>0</v>
      </c>
      <c r="I43" s="1145">
        <v>0</v>
      </c>
      <c r="J43" s="1147">
        <v>0</v>
      </c>
      <c r="K43" s="1148">
        <f t="shared" si="1"/>
        <v>23612.760349999997</v>
      </c>
      <c r="L43" s="1121"/>
      <c r="M43" s="1121"/>
    </row>
    <row r="44" spans="1:15" ht="30" customHeight="1">
      <c r="A44" s="1149" t="s">
        <v>508</v>
      </c>
      <c r="B44" s="1153">
        <v>0</v>
      </c>
      <c r="C44" s="1154">
        <v>0</v>
      </c>
      <c r="D44" s="1155">
        <v>0</v>
      </c>
      <c r="E44" s="1154">
        <v>0</v>
      </c>
      <c r="F44" s="1154">
        <v>92892.415480000011</v>
      </c>
      <c r="G44" s="1156">
        <v>0</v>
      </c>
      <c r="H44" s="1154">
        <v>0</v>
      </c>
      <c r="I44" s="1154">
        <v>0</v>
      </c>
      <c r="J44" s="1157">
        <v>0</v>
      </c>
      <c r="K44" s="1143">
        <f t="shared" si="1"/>
        <v>92892.415480000011</v>
      </c>
      <c r="L44" s="1121"/>
      <c r="M44" s="1121"/>
    </row>
    <row r="45" spans="1:15" ht="30" customHeight="1">
      <c r="A45" s="1149" t="s">
        <v>152</v>
      </c>
      <c r="B45" s="1153">
        <v>0</v>
      </c>
      <c r="C45" s="1154">
        <v>0</v>
      </c>
      <c r="D45" s="1155">
        <v>0</v>
      </c>
      <c r="E45" s="1154">
        <v>40556.515979999996</v>
      </c>
      <c r="F45" s="1154">
        <v>0</v>
      </c>
      <c r="G45" s="1156">
        <v>14775</v>
      </c>
      <c r="H45" s="1154">
        <v>0</v>
      </c>
      <c r="I45" s="1154">
        <v>0</v>
      </c>
      <c r="J45" s="1157">
        <v>0</v>
      </c>
      <c r="K45" s="1143">
        <f t="shared" si="1"/>
        <v>55331.515979999996</v>
      </c>
      <c r="L45" s="1121"/>
      <c r="M45" s="1121"/>
    </row>
    <row r="46" spans="1:15" ht="30" customHeight="1">
      <c r="A46" s="1149" t="s">
        <v>153</v>
      </c>
      <c r="B46" s="1153">
        <v>0</v>
      </c>
      <c r="C46" s="1154">
        <v>0</v>
      </c>
      <c r="D46" s="1155">
        <v>0</v>
      </c>
      <c r="E46" s="1154">
        <v>0</v>
      </c>
      <c r="F46" s="1154">
        <v>0</v>
      </c>
      <c r="G46" s="1156">
        <v>0</v>
      </c>
      <c r="H46" s="1154">
        <v>0</v>
      </c>
      <c r="I46" s="1154">
        <v>0</v>
      </c>
      <c r="J46" s="1157">
        <v>0</v>
      </c>
      <c r="K46" s="1143">
        <f t="shared" si="1"/>
        <v>0</v>
      </c>
      <c r="L46" s="1121"/>
      <c r="M46" s="1121"/>
    </row>
    <row r="47" spans="1:15" ht="30" customHeight="1">
      <c r="A47" s="1149" t="s">
        <v>154</v>
      </c>
      <c r="B47" s="1153">
        <v>0</v>
      </c>
      <c r="C47" s="1154">
        <v>0</v>
      </c>
      <c r="D47" s="1155">
        <v>0</v>
      </c>
      <c r="E47" s="1154">
        <v>32551.072869999996</v>
      </c>
      <c r="F47" s="1154">
        <v>0</v>
      </c>
      <c r="G47" s="1156">
        <v>0</v>
      </c>
      <c r="H47" s="1154">
        <v>0</v>
      </c>
      <c r="I47" s="1154">
        <v>0</v>
      </c>
      <c r="J47" s="1157">
        <v>0</v>
      </c>
      <c r="K47" s="1143">
        <f t="shared" si="1"/>
        <v>32551.072869999996</v>
      </c>
      <c r="L47" s="1121"/>
      <c r="M47" s="1121"/>
    </row>
    <row r="48" spans="1:15" ht="30" customHeight="1">
      <c r="A48" s="1149" t="s">
        <v>713</v>
      </c>
      <c r="B48" s="1153">
        <v>0</v>
      </c>
      <c r="C48" s="1154">
        <v>0</v>
      </c>
      <c r="D48" s="1155">
        <v>0</v>
      </c>
      <c r="E48" s="1154">
        <v>0</v>
      </c>
      <c r="F48" s="1154">
        <v>0</v>
      </c>
      <c r="G48" s="1156">
        <v>0</v>
      </c>
      <c r="H48" s="1154">
        <v>0</v>
      </c>
      <c r="I48" s="1154">
        <v>0</v>
      </c>
      <c r="J48" s="1157">
        <v>0</v>
      </c>
      <c r="K48" s="1143">
        <f t="shared" si="1"/>
        <v>0</v>
      </c>
      <c r="L48" s="1121"/>
      <c r="M48" s="1121"/>
    </row>
    <row r="49" spans="1:15" ht="30" customHeight="1">
      <c r="A49" s="1149" t="s">
        <v>494</v>
      </c>
      <c r="B49" s="1153">
        <v>0</v>
      </c>
      <c r="C49" s="1154">
        <v>0</v>
      </c>
      <c r="D49" s="1155">
        <v>0</v>
      </c>
      <c r="E49" s="1154">
        <v>0</v>
      </c>
      <c r="F49" s="1154">
        <v>0</v>
      </c>
      <c r="G49" s="1156">
        <v>248274</v>
      </c>
      <c r="H49" s="1154">
        <v>0</v>
      </c>
      <c r="I49" s="1154">
        <v>0</v>
      </c>
      <c r="J49" s="1157">
        <v>0</v>
      </c>
      <c r="K49" s="1143">
        <f t="shared" si="1"/>
        <v>248274</v>
      </c>
      <c r="L49" s="1121"/>
      <c r="M49" s="1121"/>
    </row>
    <row r="50" spans="1:15" ht="30" customHeight="1">
      <c r="A50" s="1149" t="s">
        <v>155</v>
      </c>
      <c r="B50" s="1153">
        <v>1534300.040574536</v>
      </c>
      <c r="C50" s="1154">
        <v>309373.80764997203</v>
      </c>
      <c r="D50" s="1155">
        <v>290151.65900480299</v>
      </c>
      <c r="E50" s="1154">
        <v>0</v>
      </c>
      <c r="F50" s="1154">
        <v>0</v>
      </c>
      <c r="G50" s="1156">
        <v>0</v>
      </c>
      <c r="H50" s="1154">
        <v>0</v>
      </c>
      <c r="I50" s="1154">
        <v>0</v>
      </c>
      <c r="J50" s="1157">
        <v>0</v>
      </c>
      <c r="K50" s="1143">
        <f t="shared" si="1"/>
        <v>2133825.5072293109</v>
      </c>
      <c r="L50" s="1121"/>
      <c r="M50" s="1121"/>
    </row>
    <row r="51" spans="1:15" ht="30" customHeight="1">
      <c r="A51" s="1149" t="s">
        <v>156</v>
      </c>
      <c r="B51" s="1153">
        <v>0</v>
      </c>
      <c r="C51" s="1154">
        <v>0</v>
      </c>
      <c r="D51" s="1155">
        <v>0</v>
      </c>
      <c r="E51" s="1154">
        <v>0</v>
      </c>
      <c r="F51" s="1154">
        <v>1453420.6505100001</v>
      </c>
      <c r="G51" s="1156">
        <v>0</v>
      </c>
      <c r="H51" s="1154">
        <v>0</v>
      </c>
      <c r="I51" s="1154">
        <v>0</v>
      </c>
      <c r="J51" s="1157">
        <v>0</v>
      </c>
      <c r="K51" s="1143">
        <f t="shared" si="1"/>
        <v>1453420.6505100001</v>
      </c>
      <c r="L51" s="1121"/>
      <c r="M51" s="1121"/>
    </row>
    <row r="52" spans="1:15" ht="30" customHeight="1">
      <c r="A52" s="1149" t="s">
        <v>492</v>
      </c>
      <c r="B52" s="1153">
        <v>25984.78827945</v>
      </c>
      <c r="C52" s="1154">
        <v>0</v>
      </c>
      <c r="D52" s="1155">
        <v>0</v>
      </c>
      <c r="E52" s="1154">
        <v>0</v>
      </c>
      <c r="F52" s="1154">
        <v>0</v>
      </c>
      <c r="G52" s="1156">
        <v>0</v>
      </c>
      <c r="H52" s="1154">
        <v>0</v>
      </c>
      <c r="I52" s="1154">
        <v>0</v>
      </c>
      <c r="J52" s="1157">
        <v>0</v>
      </c>
      <c r="K52" s="1143">
        <f t="shared" si="1"/>
        <v>25984.78827945</v>
      </c>
      <c r="L52" s="1121"/>
      <c r="M52" s="1121"/>
    </row>
    <row r="53" spans="1:15" ht="30" customHeight="1">
      <c r="A53" s="1149" t="s">
        <v>646</v>
      </c>
      <c r="B53" s="1153">
        <v>0</v>
      </c>
      <c r="C53" s="1154">
        <v>0</v>
      </c>
      <c r="D53" s="1155">
        <v>0</v>
      </c>
      <c r="E53" s="1154">
        <v>0</v>
      </c>
      <c r="F53" s="1154">
        <v>711306.21140000003</v>
      </c>
      <c r="G53" s="1156">
        <v>0</v>
      </c>
      <c r="H53" s="1154">
        <v>0</v>
      </c>
      <c r="I53" s="1154">
        <v>0</v>
      </c>
      <c r="J53" s="1157">
        <v>0</v>
      </c>
      <c r="K53" s="1143">
        <f t="shared" si="1"/>
        <v>711306.21140000003</v>
      </c>
      <c r="L53" s="1121"/>
      <c r="M53" s="1121"/>
    </row>
    <row r="54" spans="1:15" ht="30" customHeight="1">
      <c r="A54" s="1149" t="s">
        <v>493</v>
      </c>
      <c r="B54" s="1153">
        <v>0</v>
      </c>
      <c r="C54" s="1154">
        <v>0</v>
      </c>
      <c r="D54" s="1155">
        <v>0</v>
      </c>
      <c r="E54" s="1154">
        <v>0</v>
      </c>
      <c r="F54" s="1154">
        <v>0</v>
      </c>
      <c r="G54" s="1156">
        <v>0</v>
      </c>
      <c r="H54" s="1154">
        <v>0</v>
      </c>
      <c r="I54" s="1154">
        <v>0</v>
      </c>
      <c r="J54" s="1157">
        <v>0</v>
      </c>
      <c r="K54" s="1143">
        <f t="shared" si="1"/>
        <v>0</v>
      </c>
      <c r="L54" s="1121"/>
      <c r="M54" s="1121"/>
    </row>
    <row r="55" spans="1:15" ht="30" customHeight="1">
      <c r="A55" s="1149" t="s">
        <v>157</v>
      </c>
      <c r="B55" s="1153">
        <v>0</v>
      </c>
      <c r="C55" s="1154">
        <v>0</v>
      </c>
      <c r="D55" s="1155">
        <v>0</v>
      </c>
      <c r="E55" s="1154">
        <v>0</v>
      </c>
      <c r="F55" s="1154">
        <v>458.90174999999999</v>
      </c>
      <c r="G55" s="1156">
        <v>0</v>
      </c>
      <c r="H55" s="1154">
        <v>0</v>
      </c>
      <c r="I55" s="1154">
        <v>0</v>
      </c>
      <c r="J55" s="1157">
        <v>0</v>
      </c>
      <c r="K55" s="1143">
        <f t="shared" si="1"/>
        <v>458.90174999999999</v>
      </c>
      <c r="L55" s="1121"/>
      <c r="M55" s="1121"/>
    </row>
    <row r="56" spans="1:15" ht="30" customHeight="1">
      <c r="A56" s="1149" t="s">
        <v>158</v>
      </c>
      <c r="B56" s="1153">
        <v>0</v>
      </c>
      <c r="C56" s="1154">
        <v>0</v>
      </c>
      <c r="D56" s="1155">
        <v>0</v>
      </c>
      <c r="E56" s="1154">
        <v>0</v>
      </c>
      <c r="F56" s="1154">
        <v>718018.98720999993</v>
      </c>
      <c r="G56" s="1156">
        <v>0</v>
      </c>
      <c r="H56" s="1154">
        <v>0</v>
      </c>
      <c r="I56" s="1154">
        <v>0</v>
      </c>
      <c r="J56" s="1157">
        <v>0</v>
      </c>
      <c r="K56" s="1143">
        <f t="shared" si="1"/>
        <v>718018.98720999993</v>
      </c>
      <c r="L56" s="1121"/>
      <c r="M56" s="1121"/>
    </row>
    <row r="57" spans="1:15" ht="30" customHeight="1">
      <c r="A57" s="1149" t="s">
        <v>159</v>
      </c>
      <c r="B57" s="1153">
        <v>0</v>
      </c>
      <c r="C57" s="1154">
        <v>0</v>
      </c>
      <c r="D57" s="1155">
        <v>0</v>
      </c>
      <c r="E57" s="1154">
        <v>0</v>
      </c>
      <c r="F57" s="1154">
        <v>414972.87866000005</v>
      </c>
      <c r="G57" s="1156">
        <v>0</v>
      </c>
      <c r="H57" s="1154">
        <v>0</v>
      </c>
      <c r="I57" s="1154">
        <v>0</v>
      </c>
      <c r="J57" s="1157">
        <v>0</v>
      </c>
      <c r="K57" s="1143">
        <f t="shared" si="1"/>
        <v>414972.87866000005</v>
      </c>
      <c r="L57" s="1121"/>
      <c r="M57" s="1121"/>
    </row>
    <row r="58" spans="1:15" ht="30" customHeight="1">
      <c r="A58" s="1149" t="s">
        <v>160</v>
      </c>
      <c r="B58" s="1160">
        <v>99469.089527123011</v>
      </c>
      <c r="C58" s="1154">
        <v>0</v>
      </c>
      <c r="D58" s="1155">
        <v>0</v>
      </c>
      <c r="E58" s="1154">
        <v>258308.06042000002</v>
      </c>
      <c r="F58" s="1154">
        <v>805829.2132</v>
      </c>
      <c r="G58" s="1156">
        <v>0</v>
      </c>
      <c r="H58" s="1154">
        <v>0</v>
      </c>
      <c r="I58" s="1154">
        <v>0</v>
      </c>
      <c r="J58" s="1157">
        <v>0</v>
      </c>
      <c r="K58" s="1143">
        <f t="shared" si="1"/>
        <v>1163606.363147123</v>
      </c>
      <c r="L58" s="1121"/>
      <c r="M58" s="1121"/>
    </row>
    <row r="59" spans="1:15" ht="30" customHeight="1">
      <c r="A59" s="1149" t="s">
        <v>161</v>
      </c>
      <c r="B59" s="1153">
        <v>0</v>
      </c>
      <c r="C59" s="1154">
        <v>0</v>
      </c>
      <c r="D59" s="1155">
        <v>0</v>
      </c>
      <c r="E59" s="1154">
        <v>293260.34206999996</v>
      </c>
      <c r="F59" s="1154">
        <v>708859.28785000008</v>
      </c>
      <c r="G59" s="1156">
        <v>0</v>
      </c>
      <c r="H59" s="1154">
        <v>0</v>
      </c>
      <c r="I59" s="1154">
        <v>0</v>
      </c>
      <c r="J59" s="1157">
        <v>0</v>
      </c>
      <c r="K59" s="1143">
        <f t="shared" si="1"/>
        <v>1002119.62992</v>
      </c>
      <c r="L59" s="1121"/>
      <c r="M59" s="1121"/>
    </row>
    <row r="60" spans="1:15" ht="30" customHeight="1">
      <c r="A60" s="1159" t="s">
        <v>162</v>
      </c>
      <c r="B60" s="1160">
        <v>0</v>
      </c>
      <c r="C60" s="1160">
        <v>0</v>
      </c>
      <c r="D60" s="1160">
        <v>0</v>
      </c>
      <c r="E60" s="1160">
        <v>17159.697399999997</v>
      </c>
      <c r="F60" s="1160">
        <v>125021.10198000001</v>
      </c>
      <c r="G60" s="1161">
        <v>0</v>
      </c>
      <c r="H60" s="1160">
        <v>0</v>
      </c>
      <c r="I60" s="1160">
        <v>0</v>
      </c>
      <c r="J60" s="1162">
        <v>0</v>
      </c>
      <c r="K60" s="1143">
        <f t="shared" si="1"/>
        <v>142180.79938000001</v>
      </c>
      <c r="O60" s="1118" t="s">
        <v>0</v>
      </c>
    </row>
    <row r="61" spans="1:15" ht="30" customHeight="1">
      <c r="A61" s="1159" t="s">
        <v>163</v>
      </c>
      <c r="B61" s="1160">
        <v>0</v>
      </c>
      <c r="C61" s="1160">
        <v>0</v>
      </c>
      <c r="D61" s="1160">
        <v>0</v>
      </c>
      <c r="E61" s="1160">
        <v>0</v>
      </c>
      <c r="F61" s="1160">
        <v>58137.32692</v>
      </c>
      <c r="G61" s="1161">
        <v>0</v>
      </c>
      <c r="H61" s="1160">
        <v>0</v>
      </c>
      <c r="I61" s="1160">
        <v>0</v>
      </c>
      <c r="J61" s="1162">
        <v>0</v>
      </c>
      <c r="K61" s="1143">
        <f t="shared" si="1"/>
        <v>58137.32692</v>
      </c>
    </row>
    <row r="62" spans="1:15" ht="30" customHeight="1">
      <c r="A62" s="1159" t="s">
        <v>164</v>
      </c>
      <c r="B62" s="1160">
        <v>0</v>
      </c>
      <c r="C62" s="1160">
        <v>0</v>
      </c>
      <c r="D62" s="1160">
        <v>0</v>
      </c>
      <c r="E62" s="1160">
        <v>0</v>
      </c>
      <c r="F62" s="1160">
        <v>126363.83867</v>
      </c>
      <c r="G62" s="1161">
        <v>0</v>
      </c>
      <c r="H62" s="1160">
        <v>0</v>
      </c>
      <c r="I62" s="1160">
        <v>0</v>
      </c>
      <c r="J62" s="1162">
        <v>0</v>
      </c>
      <c r="K62" s="1143">
        <f t="shared" si="1"/>
        <v>126363.83867</v>
      </c>
    </row>
    <row r="63" spans="1:15" ht="30" customHeight="1">
      <c r="A63" s="1159" t="s">
        <v>165</v>
      </c>
      <c r="B63" s="1160">
        <v>0</v>
      </c>
      <c r="C63" s="1160">
        <v>0</v>
      </c>
      <c r="D63" s="1160">
        <v>0</v>
      </c>
      <c r="E63" s="1160">
        <v>181063.32240999999</v>
      </c>
      <c r="F63" s="1160">
        <v>89081.036960000012</v>
      </c>
      <c r="G63" s="1161">
        <v>0</v>
      </c>
      <c r="H63" s="1160">
        <v>0</v>
      </c>
      <c r="I63" s="1160">
        <v>0</v>
      </c>
      <c r="J63" s="1162">
        <v>0</v>
      </c>
      <c r="K63" s="1143">
        <f t="shared" si="1"/>
        <v>270144.35937000002</v>
      </c>
    </row>
    <row r="64" spans="1:15" ht="30" customHeight="1">
      <c r="A64" s="1159" t="s">
        <v>166</v>
      </c>
      <c r="B64" s="1160">
        <v>0</v>
      </c>
      <c r="C64" s="1160">
        <v>0</v>
      </c>
      <c r="D64" s="1160">
        <v>0</v>
      </c>
      <c r="E64" s="1160">
        <v>0</v>
      </c>
      <c r="F64" s="1160">
        <v>76952.745500000005</v>
      </c>
      <c r="G64" s="1161">
        <v>0</v>
      </c>
      <c r="H64" s="1160">
        <v>0</v>
      </c>
      <c r="I64" s="1160">
        <v>0</v>
      </c>
      <c r="J64" s="1162">
        <v>0</v>
      </c>
      <c r="K64" s="1143">
        <f t="shared" si="1"/>
        <v>76952.745500000005</v>
      </c>
    </row>
    <row r="65" spans="1:13" ht="30" customHeight="1">
      <c r="A65" s="1159" t="s">
        <v>167</v>
      </c>
      <c r="B65" s="1160">
        <v>157128.709613855</v>
      </c>
      <c r="C65" s="1160">
        <v>0</v>
      </c>
      <c r="D65" s="1160">
        <v>0</v>
      </c>
      <c r="E65" s="1160">
        <v>94012.233149999985</v>
      </c>
      <c r="F65" s="1160">
        <v>81803.039279999997</v>
      </c>
      <c r="G65" s="1161">
        <v>0</v>
      </c>
      <c r="H65" s="1160">
        <v>0</v>
      </c>
      <c r="I65" s="1160">
        <v>0</v>
      </c>
      <c r="J65" s="1162">
        <v>0</v>
      </c>
      <c r="K65" s="1143">
        <f t="shared" si="1"/>
        <v>332943.98204385501</v>
      </c>
    </row>
    <row r="66" spans="1:13" ht="30" customHeight="1">
      <c r="A66" s="1163" t="s">
        <v>168</v>
      </c>
      <c r="B66" s="1160">
        <v>0</v>
      </c>
      <c r="C66" s="1160">
        <v>0</v>
      </c>
      <c r="D66" s="1160">
        <v>0</v>
      </c>
      <c r="E66" s="1160">
        <v>147162.11491</v>
      </c>
      <c r="F66" s="1160">
        <v>81448.601920000001</v>
      </c>
      <c r="G66" s="1161">
        <v>0</v>
      </c>
      <c r="H66" s="1160">
        <v>0</v>
      </c>
      <c r="I66" s="1160">
        <v>0</v>
      </c>
      <c r="J66" s="1162">
        <v>0</v>
      </c>
      <c r="K66" s="1143">
        <f t="shared" si="1"/>
        <v>228610.71682999999</v>
      </c>
    </row>
    <row r="67" spans="1:13" ht="30" customHeight="1">
      <c r="A67" s="1163" t="s">
        <v>169</v>
      </c>
      <c r="B67" s="1160">
        <v>110696.33685484201</v>
      </c>
      <c r="C67" s="1160">
        <v>0</v>
      </c>
      <c r="D67" s="1160">
        <v>0</v>
      </c>
      <c r="E67" s="1160">
        <v>356931.21614999999</v>
      </c>
      <c r="F67" s="1160">
        <v>641583.63327999995</v>
      </c>
      <c r="G67" s="1161">
        <v>0</v>
      </c>
      <c r="H67" s="1160">
        <v>171355.20116</v>
      </c>
      <c r="I67" s="1160">
        <v>0</v>
      </c>
      <c r="J67" s="1162">
        <v>0</v>
      </c>
      <c r="K67" s="1143">
        <f t="shared" si="1"/>
        <v>1280566.3874448419</v>
      </c>
    </row>
    <row r="68" spans="1:13" ht="30" customHeight="1">
      <c r="A68" s="1163" t="s">
        <v>714</v>
      </c>
      <c r="B68" s="1160">
        <v>0</v>
      </c>
      <c r="C68" s="1160">
        <v>0</v>
      </c>
      <c r="D68" s="1160">
        <v>0</v>
      </c>
      <c r="E68" s="1160">
        <v>53.893860000000004</v>
      </c>
      <c r="F68" s="1160">
        <v>0</v>
      </c>
      <c r="G68" s="1161">
        <v>0</v>
      </c>
      <c r="H68" s="1160">
        <v>0</v>
      </c>
      <c r="I68" s="1160">
        <v>0</v>
      </c>
      <c r="J68" s="1162">
        <v>0</v>
      </c>
      <c r="K68" s="1143">
        <f t="shared" si="1"/>
        <v>53.893860000000004</v>
      </c>
    </row>
    <row r="69" spans="1:13" ht="30" customHeight="1">
      <c r="A69" s="1163" t="s">
        <v>653</v>
      </c>
      <c r="B69" s="1160">
        <v>47198.628329120998</v>
      </c>
      <c r="C69" s="1160">
        <v>33877.800478322002</v>
      </c>
      <c r="D69" s="1160">
        <v>0</v>
      </c>
      <c r="E69" s="1160">
        <v>0</v>
      </c>
      <c r="F69" s="1160">
        <v>267851.12001999997</v>
      </c>
      <c r="G69" s="1161">
        <v>394350</v>
      </c>
      <c r="H69" s="1160">
        <v>0</v>
      </c>
      <c r="I69" s="1160">
        <v>0</v>
      </c>
      <c r="J69" s="1162">
        <v>0</v>
      </c>
      <c r="K69" s="1143">
        <f t="shared" si="1"/>
        <v>743277.54882744304</v>
      </c>
    </row>
    <row r="70" spans="1:13" ht="30" customHeight="1">
      <c r="A70" s="1159" t="s">
        <v>170</v>
      </c>
      <c r="B70" s="1160">
        <v>0</v>
      </c>
      <c r="C70" s="1160">
        <v>0</v>
      </c>
      <c r="D70" s="1160">
        <v>0</v>
      </c>
      <c r="E70" s="1160">
        <v>0</v>
      </c>
      <c r="F70" s="1160">
        <v>0</v>
      </c>
      <c r="G70" s="1161">
        <v>0</v>
      </c>
      <c r="H70" s="1160">
        <v>0</v>
      </c>
      <c r="I70" s="1160">
        <v>0</v>
      </c>
      <c r="J70" s="1162">
        <v>0</v>
      </c>
      <c r="K70" s="1143">
        <f t="shared" si="1"/>
        <v>0</v>
      </c>
    </row>
    <row r="71" spans="1:13" ht="30" customHeight="1">
      <c r="A71" s="1159" t="s">
        <v>460</v>
      </c>
      <c r="B71" s="1160">
        <v>0</v>
      </c>
      <c r="C71" s="1160">
        <v>0</v>
      </c>
      <c r="D71" s="1160">
        <v>0</v>
      </c>
      <c r="E71" s="1160">
        <v>0</v>
      </c>
      <c r="F71" s="1160">
        <v>0</v>
      </c>
      <c r="G71" s="1161">
        <v>0</v>
      </c>
      <c r="H71" s="1160">
        <v>0</v>
      </c>
      <c r="I71" s="1160">
        <v>0</v>
      </c>
      <c r="J71" s="1164">
        <v>0</v>
      </c>
      <c r="K71" s="1143">
        <f t="shared" si="1"/>
        <v>0</v>
      </c>
    </row>
    <row r="72" spans="1:13" ht="30" customHeight="1">
      <c r="A72" s="1410" t="s">
        <v>855</v>
      </c>
      <c r="B72" s="1160">
        <v>0</v>
      </c>
      <c r="C72" s="1160">
        <v>0</v>
      </c>
      <c r="D72" s="1160">
        <v>0</v>
      </c>
      <c r="E72" s="1160">
        <v>0</v>
      </c>
      <c r="F72" s="1160">
        <v>146045.77745000002</v>
      </c>
      <c r="G72" s="1161">
        <v>0</v>
      </c>
      <c r="H72" s="1160">
        <v>0</v>
      </c>
      <c r="I72" s="1160">
        <v>0</v>
      </c>
      <c r="J72" s="1164">
        <v>0</v>
      </c>
      <c r="K72" s="1143">
        <f t="shared" si="1"/>
        <v>146045.77745000002</v>
      </c>
    </row>
    <row r="73" spans="1:13" ht="30" customHeight="1" thickBot="1">
      <c r="A73" s="1411" t="s">
        <v>171</v>
      </c>
      <c r="B73" s="1160">
        <v>105981.60715561801</v>
      </c>
      <c r="C73" s="1165">
        <v>0</v>
      </c>
      <c r="D73" s="1165">
        <v>0</v>
      </c>
      <c r="E73" s="1165">
        <v>0</v>
      </c>
      <c r="F73" s="1165">
        <v>476.5727</v>
      </c>
      <c r="G73" s="1166">
        <v>0</v>
      </c>
      <c r="H73" s="1165">
        <v>0</v>
      </c>
      <c r="I73" s="1165">
        <v>0</v>
      </c>
      <c r="J73" s="1167">
        <v>0</v>
      </c>
      <c r="K73" s="1168">
        <f t="shared" si="1"/>
        <v>106458.17985561801</v>
      </c>
      <c r="L73" s="1116"/>
      <c r="M73" s="1116"/>
    </row>
    <row r="74" spans="1:13" s="1173" customFormat="1" ht="30" customHeight="1" thickBot="1">
      <c r="A74" s="1169" t="s">
        <v>70</v>
      </c>
      <c r="B74" s="1170">
        <f>+B10+B13+B16+B28+B35+B36+B38+B40+B50+B52+B58+B65+B67+B69+B73</f>
        <v>17613365.902223151</v>
      </c>
      <c r="C74" s="1170">
        <f t="shared" ref="C74:J74" si="2">SUM(C10:C73)</f>
        <v>1426485.5069724279</v>
      </c>
      <c r="D74" s="1170">
        <f t="shared" si="2"/>
        <v>1350235.8631655881</v>
      </c>
      <c r="E74" s="1170">
        <f>+E10+E11+E12+E13+E16+E28+E35+E36+E38+E39+E40+E45+E46+E47+E58+E59+E60+E63+E65+E66+E67+E68</f>
        <v>13352552.25893</v>
      </c>
      <c r="F74" s="1170">
        <f>+F10+F16+F28+F35+F37+F38+F44+F48+F51+F53+F55+F56+F57+F58+F59+F60+F61+F62+F63+F64+F65+F66+F67+F69+F72+F73</f>
        <v>21070109.67382</v>
      </c>
      <c r="G74" s="1170">
        <f>+G10+G11+G16+G28+G37+G38+G39+G40+G45+G49+G69</f>
        <v>5247665</v>
      </c>
      <c r="H74" s="1170">
        <f>+H10+H11+H16+H67</f>
        <v>1083757.2214299999</v>
      </c>
      <c r="I74" s="1170">
        <f t="shared" si="2"/>
        <v>3912349</v>
      </c>
      <c r="J74" s="1170">
        <f t="shared" si="2"/>
        <v>3211364</v>
      </c>
      <c r="K74" s="1171">
        <f t="shared" si="1"/>
        <v>68267884.426541165</v>
      </c>
      <c r="L74" s="1172"/>
      <c r="M74" s="1172"/>
    </row>
    <row r="75" spans="1:13" ht="27">
      <c r="A75" s="1174"/>
      <c r="B75" s="1175"/>
      <c r="C75" s="1175" t="s">
        <v>0</v>
      </c>
      <c r="D75" s="1175"/>
      <c r="E75" s="1175"/>
      <c r="F75" s="1175" t="s">
        <v>0</v>
      </c>
      <c r="G75" s="1175" t="s">
        <v>0</v>
      </c>
      <c r="H75" s="1175"/>
      <c r="I75" s="1175" t="s">
        <v>0</v>
      </c>
      <c r="J75" s="1176"/>
      <c r="K75" s="1175"/>
      <c r="L75" s="1116"/>
      <c r="M75" s="1116"/>
    </row>
    <row r="76" spans="1:13" ht="27">
      <c r="A76" s="1174"/>
      <c r="B76" s="1455" t="s">
        <v>0</v>
      </c>
      <c r="C76" s="1175"/>
      <c r="D76" s="1175"/>
      <c r="E76" s="1175"/>
      <c r="F76" s="1175" t="s">
        <v>0</v>
      </c>
      <c r="G76" s="1175"/>
      <c r="H76" s="1175"/>
      <c r="I76" s="1175"/>
      <c r="J76" s="1176"/>
      <c r="K76" s="1175"/>
      <c r="L76" s="1116"/>
      <c r="M76" s="1116"/>
    </row>
    <row r="77" spans="1:13" ht="25.5" customHeight="1">
      <c r="A77" s="1177" t="s">
        <v>172</v>
      </c>
      <c r="B77" s="1454" t="s">
        <v>0</v>
      </c>
      <c r="C77" s="1178"/>
      <c r="D77" s="1178"/>
      <c r="E77" s="1178"/>
      <c r="F77" s="1178" t="s">
        <v>0</v>
      </c>
      <c r="G77" s="1179"/>
      <c r="H77" s="1399" t="s">
        <v>0</v>
      </c>
      <c r="I77" s="1179"/>
      <c r="J77" s="1179"/>
      <c r="K77" s="1179"/>
      <c r="L77" s="1180"/>
      <c r="M77" s="1180"/>
    </row>
    <row r="78" spans="1:13" s="1121" customFormat="1" ht="30" customHeight="1">
      <c r="A78" s="1181" t="s">
        <v>173</v>
      </c>
      <c r="B78" s="1160">
        <v>29294.522226934001</v>
      </c>
      <c r="C78" s="1160">
        <v>0</v>
      </c>
      <c r="D78" s="1160">
        <v>0</v>
      </c>
      <c r="E78" s="1160">
        <v>0</v>
      </c>
      <c r="F78" s="1160">
        <v>0</v>
      </c>
      <c r="G78" s="1160">
        <v>0</v>
      </c>
      <c r="H78" s="1160">
        <v>0</v>
      </c>
      <c r="I78" s="1160">
        <v>0</v>
      </c>
      <c r="J78" s="1182">
        <v>0</v>
      </c>
      <c r="K78" s="1143">
        <f t="shared" ref="K78:K104" si="3">SUM(B78:J78)</f>
        <v>29294.522226934001</v>
      </c>
    </row>
    <row r="79" spans="1:13" s="1121" customFormat="1" ht="30" customHeight="1">
      <c r="A79" s="1181" t="s">
        <v>174</v>
      </c>
      <c r="B79" s="1160">
        <v>155144.26254651899</v>
      </c>
      <c r="C79" s="1160">
        <v>0</v>
      </c>
      <c r="D79" s="1160">
        <v>0</v>
      </c>
      <c r="E79" s="1160">
        <v>131617.52312</v>
      </c>
      <c r="F79" s="1160">
        <v>156694.67818000002</v>
      </c>
      <c r="G79" s="1160">
        <v>0</v>
      </c>
      <c r="H79" s="1160">
        <v>0</v>
      </c>
      <c r="I79" s="1160">
        <v>0</v>
      </c>
      <c r="J79" s="1182">
        <v>0</v>
      </c>
      <c r="K79" s="1143">
        <f t="shared" si="3"/>
        <v>443456.46384651901</v>
      </c>
    </row>
    <row r="80" spans="1:13" s="1121" customFormat="1" ht="30" customHeight="1">
      <c r="A80" s="1181" t="s">
        <v>175</v>
      </c>
      <c r="B80" s="1160">
        <v>113809.303304306</v>
      </c>
      <c r="C80" s="1160">
        <v>0</v>
      </c>
      <c r="D80" s="1160">
        <v>0</v>
      </c>
      <c r="E80" s="1160">
        <v>0</v>
      </c>
      <c r="F80" s="1160">
        <v>70620.840260000012</v>
      </c>
      <c r="G80" s="1160">
        <v>32094</v>
      </c>
      <c r="H80" s="1160">
        <v>0</v>
      </c>
      <c r="I80" s="1160">
        <v>0</v>
      </c>
      <c r="J80" s="1182">
        <v>0</v>
      </c>
      <c r="K80" s="1143">
        <f t="shared" si="3"/>
        <v>216524.14356430602</v>
      </c>
    </row>
    <row r="81" spans="1:11" s="1121" customFormat="1" ht="30" customHeight="1">
      <c r="A81" s="1181" t="s">
        <v>675</v>
      </c>
      <c r="B81" s="1183">
        <f>SUM(B82:B83)</f>
        <v>343443.30185938202</v>
      </c>
      <c r="C81" s="1183">
        <v>0</v>
      </c>
      <c r="D81" s="1183">
        <v>121133.27730850199</v>
      </c>
      <c r="E81" s="1183">
        <f>SUM(E82:E83)</f>
        <v>258255.94013999999</v>
      </c>
      <c r="F81" s="1183">
        <f>SUM(F82:F83)</f>
        <v>482609.99364999996</v>
      </c>
      <c r="G81" s="1183">
        <v>84938</v>
      </c>
      <c r="H81" s="1183">
        <v>0</v>
      </c>
      <c r="I81" s="1183">
        <v>0</v>
      </c>
      <c r="J81" s="1184">
        <v>0</v>
      </c>
      <c r="K81" s="1143">
        <f t="shared" si="3"/>
        <v>1290380.512957884</v>
      </c>
    </row>
    <row r="82" spans="1:11" s="1121" customFormat="1" ht="30" customHeight="1">
      <c r="A82" s="1181" t="s">
        <v>715</v>
      </c>
      <c r="B82" s="1185">
        <v>343442.16091632401</v>
      </c>
      <c r="C82" s="1185">
        <v>0</v>
      </c>
      <c r="D82" s="1185">
        <v>0</v>
      </c>
      <c r="E82" s="1185">
        <v>139430.69887999998</v>
      </c>
      <c r="F82" s="1185">
        <v>427041.53615999996</v>
      </c>
      <c r="G82" s="1185">
        <v>0</v>
      </c>
      <c r="H82" s="1185">
        <v>0</v>
      </c>
      <c r="I82" s="1185">
        <v>0</v>
      </c>
      <c r="J82" s="1186">
        <v>0</v>
      </c>
      <c r="K82" s="1148">
        <f t="shared" si="3"/>
        <v>909914.39595632395</v>
      </c>
    </row>
    <row r="83" spans="1:11" s="1121" customFormat="1" ht="30" customHeight="1">
      <c r="A83" s="1181" t="s">
        <v>716</v>
      </c>
      <c r="B83" s="1185">
        <v>1.140943058</v>
      </c>
      <c r="C83" s="1185">
        <v>0</v>
      </c>
      <c r="D83" s="1185">
        <v>0</v>
      </c>
      <c r="E83" s="1185">
        <v>118825.24126000001</v>
      </c>
      <c r="F83" s="1185">
        <v>55568.457490000001</v>
      </c>
      <c r="G83" s="1185">
        <v>0</v>
      </c>
      <c r="H83" s="1185">
        <v>0</v>
      </c>
      <c r="I83" s="1185">
        <v>0</v>
      </c>
      <c r="J83" s="1186">
        <v>0</v>
      </c>
      <c r="K83" s="1148">
        <f t="shared" si="3"/>
        <v>174394.83969305799</v>
      </c>
    </row>
    <row r="84" spans="1:11" s="1121" customFormat="1" ht="30" customHeight="1">
      <c r="A84" s="1181" t="s">
        <v>176</v>
      </c>
      <c r="B84" s="1183">
        <f>SUM(B85:B86)</f>
        <v>476804.77195428906</v>
      </c>
      <c r="C84" s="1183">
        <v>0</v>
      </c>
      <c r="D84" s="1183">
        <v>74680.941805492999</v>
      </c>
      <c r="E84" s="1183">
        <v>204602.21187</v>
      </c>
      <c r="F84" s="1183">
        <v>190242.72283000001</v>
      </c>
      <c r="G84" s="1183">
        <v>137792</v>
      </c>
      <c r="H84" s="1183">
        <v>0</v>
      </c>
      <c r="I84" s="1183">
        <v>0</v>
      </c>
      <c r="J84" s="1184">
        <v>0</v>
      </c>
      <c r="K84" s="1143">
        <f t="shared" si="3"/>
        <v>1084122.6484597819</v>
      </c>
    </row>
    <row r="85" spans="1:11" s="1121" customFormat="1" ht="30" customHeight="1">
      <c r="A85" s="1181" t="s">
        <v>717</v>
      </c>
      <c r="B85" s="1185">
        <v>440988.18459163303</v>
      </c>
      <c r="C85" s="1185">
        <v>0</v>
      </c>
      <c r="D85" s="1185">
        <v>0</v>
      </c>
      <c r="E85" s="1185">
        <v>0</v>
      </c>
      <c r="F85" s="1185">
        <v>0</v>
      </c>
      <c r="G85" s="1185">
        <v>0</v>
      </c>
      <c r="H85" s="1185">
        <v>0</v>
      </c>
      <c r="I85" s="1185">
        <v>0</v>
      </c>
      <c r="J85" s="1186">
        <v>0</v>
      </c>
      <c r="K85" s="1148">
        <f t="shared" si="3"/>
        <v>440988.18459163303</v>
      </c>
    </row>
    <row r="86" spans="1:11" s="1121" customFormat="1" ht="30" customHeight="1">
      <c r="A86" s="1181" t="s">
        <v>718</v>
      </c>
      <c r="B86" s="1185">
        <v>35816.587362655999</v>
      </c>
      <c r="C86" s="1185">
        <v>0</v>
      </c>
      <c r="D86" s="1185">
        <v>0</v>
      </c>
      <c r="E86" s="1185">
        <v>0</v>
      </c>
      <c r="F86" s="1185">
        <v>0</v>
      </c>
      <c r="G86" s="1185">
        <v>0</v>
      </c>
      <c r="H86" s="1185">
        <v>0</v>
      </c>
      <c r="I86" s="1185">
        <v>0</v>
      </c>
      <c r="J86" s="1186">
        <v>0</v>
      </c>
      <c r="K86" s="1148">
        <f t="shared" si="3"/>
        <v>35816.587362655999</v>
      </c>
    </row>
    <row r="87" spans="1:11" s="1121" customFormat="1" ht="30" customHeight="1">
      <c r="A87" s="1181" t="s">
        <v>177</v>
      </c>
      <c r="B87" s="1160">
        <v>82902.221641762007</v>
      </c>
      <c r="C87" s="1160">
        <v>0</v>
      </c>
      <c r="D87" s="1160">
        <v>0</v>
      </c>
      <c r="E87" s="1160">
        <v>0</v>
      </c>
      <c r="F87" s="1160">
        <v>0</v>
      </c>
      <c r="G87" s="1160">
        <v>0</v>
      </c>
      <c r="H87" s="1160">
        <v>0</v>
      </c>
      <c r="I87" s="1160">
        <v>0</v>
      </c>
      <c r="J87" s="1182">
        <v>0</v>
      </c>
      <c r="K87" s="1143">
        <f t="shared" si="3"/>
        <v>82902.221641762007</v>
      </c>
    </row>
    <row r="88" spans="1:11" s="1121" customFormat="1" ht="30" customHeight="1">
      <c r="A88" s="1181" t="s">
        <v>485</v>
      </c>
      <c r="B88" s="1160">
        <v>0</v>
      </c>
      <c r="C88" s="1160">
        <v>0</v>
      </c>
      <c r="D88" s="1160">
        <v>0</v>
      </c>
      <c r="E88" s="1160">
        <v>69195.97729000001</v>
      </c>
      <c r="F88" s="1160">
        <v>0</v>
      </c>
      <c r="G88" s="1160">
        <v>0</v>
      </c>
      <c r="H88" s="1160">
        <v>0</v>
      </c>
      <c r="I88" s="1160">
        <v>0</v>
      </c>
      <c r="J88" s="1182">
        <v>0</v>
      </c>
      <c r="K88" s="1143">
        <f t="shared" si="3"/>
        <v>69195.97729000001</v>
      </c>
    </row>
    <row r="89" spans="1:11" s="1121" customFormat="1" ht="30" customHeight="1">
      <c r="A89" s="1181" t="s">
        <v>459</v>
      </c>
      <c r="B89" s="1160">
        <v>15971.660094255001</v>
      </c>
      <c r="C89" s="1160">
        <v>0</v>
      </c>
      <c r="D89" s="1160">
        <v>18030.741457455999</v>
      </c>
      <c r="E89" s="1160">
        <v>46105.722880000001</v>
      </c>
      <c r="F89" s="1160">
        <v>46961.330710000002</v>
      </c>
      <c r="G89" s="1160">
        <v>0</v>
      </c>
      <c r="H89" s="1160">
        <v>0</v>
      </c>
      <c r="I89" s="1160">
        <v>0</v>
      </c>
      <c r="J89" s="1182">
        <v>0</v>
      </c>
      <c r="K89" s="1143">
        <f t="shared" si="3"/>
        <v>127069.45514171102</v>
      </c>
    </row>
    <row r="90" spans="1:11" s="1121" customFormat="1" ht="30" customHeight="1">
      <c r="A90" s="1181" t="s">
        <v>178</v>
      </c>
      <c r="B90" s="1160">
        <v>135111.36353791799</v>
      </c>
      <c r="C90" s="1160">
        <v>0</v>
      </c>
      <c r="D90" s="1160">
        <v>0</v>
      </c>
      <c r="E90" s="1160">
        <v>0</v>
      </c>
      <c r="F90" s="1160">
        <v>0</v>
      </c>
      <c r="G90" s="1160">
        <v>0</v>
      </c>
      <c r="H90" s="1160">
        <v>0</v>
      </c>
      <c r="I90" s="1160">
        <v>0</v>
      </c>
      <c r="J90" s="1182">
        <v>0</v>
      </c>
      <c r="K90" s="1143">
        <f t="shared" si="3"/>
        <v>135111.36353791799</v>
      </c>
    </row>
    <row r="91" spans="1:11" s="1121" customFormat="1" ht="30" customHeight="1">
      <c r="A91" s="1181" t="s">
        <v>179</v>
      </c>
      <c r="B91" s="1160">
        <v>193766.24014453799</v>
      </c>
      <c r="C91" s="1160">
        <v>0</v>
      </c>
      <c r="D91" s="1160">
        <v>33245.395623015997</v>
      </c>
      <c r="E91" s="1160">
        <v>141032.43240999998</v>
      </c>
      <c r="F91" s="1160">
        <v>147040.34960000002</v>
      </c>
      <c r="G91" s="1160">
        <v>32764</v>
      </c>
      <c r="H91" s="1160">
        <v>0</v>
      </c>
      <c r="I91" s="1160">
        <v>0</v>
      </c>
      <c r="J91" s="1182">
        <v>0</v>
      </c>
      <c r="K91" s="1143">
        <f t="shared" si="3"/>
        <v>547848.4177775539</v>
      </c>
    </row>
    <row r="92" spans="1:11" s="1121" customFormat="1" ht="30" customHeight="1">
      <c r="A92" s="1181" t="s">
        <v>180</v>
      </c>
      <c r="B92" s="1160">
        <v>143578.22934854199</v>
      </c>
      <c r="C92" s="1160">
        <v>0</v>
      </c>
      <c r="D92" s="1160">
        <v>22418.177320187002</v>
      </c>
      <c r="E92" s="1160">
        <v>81358.294560000009</v>
      </c>
      <c r="F92" s="1160">
        <v>103378.57696999999</v>
      </c>
      <c r="G92" s="1160">
        <v>0</v>
      </c>
      <c r="H92" s="1160">
        <v>0</v>
      </c>
      <c r="I92" s="1160">
        <v>0</v>
      </c>
      <c r="J92" s="1182">
        <v>0</v>
      </c>
      <c r="K92" s="1143">
        <f t="shared" si="3"/>
        <v>350733.27819872904</v>
      </c>
    </row>
    <row r="93" spans="1:11" s="1121" customFormat="1" ht="30" customHeight="1">
      <c r="A93" s="1181" t="s">
        <v>181</v>
      </c>
      <c r="B93" s="1160">
        <v>56113.271856462001</v>
      </c>
      <c r="C93" s="1160">
        <v>0</v>
      </c>
      <c r="D93" s="1160">
        <v>0</v>
      </c>
      <c r="E93" s="1160">
        <v>23676.519339999999</v>
      </c>
      <c r="F93" s="1160">
        <v>72671.172720000002</v>
      </c>
      <c r="G93" s="1160">
        <v>0</v>
      </c>
      <c r="H93" s="1160">
        <v>0</v>
      </c>
      <c r="I93" s="1160">
        <v>0</v>
      </c>
      <c r="J93" s="1182">
        <v>0</v>
      </c>
      <c r="K93" s="1143">
        <f t="shared" si="3"/>
        <v>152460.963916462</v>
      </c>
    </row>
    <row r="94" spans="1:11" s="1121" customFormat="1" ht="30" customHeight="1">
      <c r="A94" s="1181" t="s">
        <v>182</v>
      </c>
      <c r="B94" s="1160">
        <v>64202.638323583</v>
      </c>
      <c r="C94" s="1160">
        <v>0</v>
      </c>
      <c r="D94" s="1160">
        <v>0</v>
      </c>
      <c r="E94" s="1160">
        <v>40653.188049999997</v>
      </c>
      <c r="F94" s="1160">
        <v>26889.665230000006</v>
      </c>
      <c r="G94" s="1160">
        <v>0</v>
      </c>
      <c r="H94" s="1160">
        <v>0</v>
      </c>
      <c r="I94" s="1160">
        <v>0</v>
      </c>
      <c r="J94" s="1182">
        <v>0</v>
      </c>
      <c r="K94" s="1143">
        <f t="shared" si="3"/>
        <v>131745.49160358301</v>
      </c>
    </row>
    <row r="95" spans="1:11" s="1121" customFormat="1" ht="30" customHeight="1">
      <c r="A95" s="1181" t="s">
        <v>483</v>
      </c>
      <c r="B95" s="1160">
        <v>0</v>
      </c>
      <c r="C95" s="1160">
        <v>0</v>
      </c>
      <c r="D95" s="1160">
        <v>0</v>
      </c>
      <c r="E95" s="1160">
        <v>91575.448710000011</v>
      </c>
      <c r="F95" s="1160">
        <v>88024.22586000002</v>
      </c>
      <c r="G95" s="1160">
        <v>0</v>
      </c>
      <c r="H95" s="1160">
        <v>0</v>
      </c>
      <c r="I95" s="1160">
        <v>0</v>
      </c>
      <c r="J95" s="1182">
        <v>0</v>
      </c>
      <c r="K95" s="1143">
        <f t="shared" si="3"/>
        <v>179599.67457000003</v>
      </c>
    </row>
    <row r="96" spans="1:11" s="1121" customFormat="1" ht="30" customHeight="1">
      <c r="A96" s="1181" t="s">
        <v>183</v>
      </c>
      <c r="B96" s="1160">
        <v>128761.922380009</v>
      </c>
      <c r="C96" s="1160">
        <v>0</v>
      </c>
      <c r="D96" s="1160">
        <v>125.26147</v>
      </c>
      <c r="E96" s="1160">
        <v>38922.842519999998</v>
      </c>
      <c r="F96" s="1160">
        <v>135715.05566999997</v>
      </c>
      <c r="G96" s="1160">
        <v>0</v>
      </c>
      <c r="H96" s="1160">
        <v>0</v>
      </c>
      <c r="I96" s="1160">
        <v>0</v>
      </c>
      <c r="J96" s="1182">
        <v>0</v>
      </c>
      <c r="K96" s="1143">
        <f t="shared" si="3"/>
        <v>303525.08204000897</v>
      </c>
    </row>
    <row r="97" spans="1:22" s="1121" customFormat="1" ht="30" customHeight="1">
      <c r="A97" s="1181" t="s">
        <v>501</v>
      </c>
      <c r="B97" s="1160">
        <v>0</v>
      </c>
      <c r="C97" s="1160">
        <v>0</v>
      </c>
      <c r="D97" s="1160">
        <v>0</v>
      </c>
      <c r="E97" s="1160">
        <v>0</v>
      </c>
      <c r="F97" s="1160">
        <v>21675.950069999999</v>
      </c>
      <c r="G97" s="1160">
        <v>0</v>
      </c>
      <c r="H97" s="1160">
        <v>0</v>
      </c>
      <c r="I97" s="1160">
        <v>0</v>
      </c>
      <c r="J97" s="1182">
        <v>0</v>
      </c>
      <c r="K97" s="1143">
        <f t="shared" si="3"/>
        <v>21675.950069999999</v>
      </c>
    </row>
    <row r="98" spans="1:22" s="1121" customFormat="1" ht="30" customHeight="1">
      <c r="A98" s="1181" t="s">
        <v>184</v>
      </c>
      <c r="B98" s="1160">
        <v>385594.21561983303</v>
      </c>
      <c r="C98" s="1160">
        <v>0</v>
      </c>
      <c r="D98" s="1160">
        <v>0</v>
      </c>
      <c r="E98" s="1160">
        <v>74348.199389999994</v>
      </c>
      <c r="F98" s="1160">
        <v>8869.84</v>
      </c>
      <c r="G98" s="1160">
        <v>0</v>
      </c>
      <c r="H98" s="1160">
        <v>0</v>
      </c>
      <c r="I98" s="1160">
        <v>0</v>
      </c>
      <c r="J98" s="1182">
        <v>0</v>
      </c>
      <c r="K98" s="1143">
        <f t="shared" si="3"/>
        <v>468812.25500983308</v>
      </c>
    </row>
    <row r="99" spans="1:22" s="1121" customFormat="1" ht="30" customHeight="1">
      <c r="A99" s="1181" t="s">
        <v>482</v>
      </c>
      <c r="B99" s="1160">
        <v>26803.508143608</v>
      </c>
      <c r="C99" s="1160">
        <v>0</v>
      </c>
      <c r="D99" s="1160">
        <v>0</v>
      </c>
      <c r="E99" s="1160">
        <v>0</v>
      </c>
      <c r="F99" s="1160">
        <v>0</v>
      </c>
      <c r="G99" s="1160">
        <v>0</v>
      </c>
      <c r="H99" s="1160">
        <v>0</v>
      </c>
      <c r="I99" s="1160">
        <v>0</v>
      </c>
      <c r="J99" s="1182">
        <v>0</v>
      </c>
      <c r="K99" s="1143">
        <f t="shared" si="3"/>
        <v>26803.508143608</v>
      </c>
    </row>
    <row r="100" spans="1:22" s="1121" customFormat="1" ht="30" customHeight="1">
      <c r="A100" s="1181" t="s">
        <v>185</v>
      </c>
      <c r="B100" s="1160">
        <v>0</v>
      </c>
      <c r="C100" s="1160">
        <v>0</v>
      </c>
      <c r="D100" s="1160">
        <v>29.153569999999998</v>
      </c>
      <c r="E100" s="1160">
        <v>0</v>
      </c>
      <c r="F100" s="1160">
        <v>20814.614430000001</v>
      </c>
      <c r="G100" s="1160">
        <v>0</v>
      </c>
      <c r="H100" s="1160">
        <v>0</v>
      </c>
      <c r="I100" s="1160">
        <v>0</v>
      </c>
      <c r="J100" s="1182">
        <v>0</v>
      </c>
      <c r="K100" s="1143">
        <f t="shared" si="3"/>
        <v>20843.768</v>
      </c>
    </row>
    <row r="101" spans="1:22" s="1121" customFormat="1" ht="30" customHeight="1">
      <c r="A101" s="1181" t="s">
        <v>186</v>
      </c>
      <c r="B101" s="1160">
        <v>0</v>
      </c>
      <c r="C101" s="1160">
        <v>0</v>
      </c>
      <c r="D101" s="1160">
        <v>0</v>
      </c>
      <c r="E101" s="1160">
        <v>0</v>
      </c>
      <c r="F101" s="1160">
        <v>47816.959329999998</v>
      </c>
      <c r="G101" s="1160">
        <v>0</v>
      </c>
      <c r="H101" s="1160">
        <v>0</v>
      </c>
      <c r="I101" s="1160">
        <v>0</v>
      </c>
      <c r="J101" s="1182">
        <v>0</v>
      </c>
      <c r="K101" s="1143">
        <f t="shared" si="3"/>
        <v>47816.959329999998</v>
      </c>
    </row>
    <row r="102" spans="1:22" s="1121" customFormat="1" ht="30" customHeight="1">
      <c r="A102" s="1181" t="s">
        <v>187</v>
      </c>
      <c r="B102" s="1160">
        <v>977.01678189800009</v>
      </c>
      <c r="C102" s="1160">
        <v>0</v>
      </c>
      <c r="D102" s="1160">
        <v>0</v>
      </c>
      <c r="E102" s="1160">
        <v>0</v>
      </c>
      <c r="F102" s="1160">
        <v>0</v>
      </c>
      <c r="G102" s="1160">
        <v>0</v>
      </c>
      <c r="H102" s="1160">
        <v>0</v>
      </c>
      <c r="I102" s="1160">
        <v>0</v>
      </c>
      <c r="J102" s="1182">
        <v>0</v>
      </c>
      <c r="K102" s="1143">
        <f t="shared" si="3"/>
        <v>977.01678189800009</v>
      </c>
    </row>
    <row r="103" spans="1:22" s="1121" customFormat="1" ht="30" customHeight="1" thickBot="1">
      <c r="A103" s="1181" t="s">
        <v>188</v>
      </c>
      <c r="B103" s="1187">
        <v>108495.14520513001</v>
      </c>
      <c r="C103" s="1187">
        <v>0</v>
      </c>
      <c r="D103" s="1187">
        <v>0</v>
      </c>
      <c r="E103" s="1187">
        <v>233049.46148000003</v>
      </c>
      <c r="F103" s="1187">
        <v>102631.83706000001</v>
      </c>
      <c r="G103" s="1187">
        <v>0</v>
      </c>
      <c r="H103" s="1187">
        <v>0</v>
      </c>
      <c r="I103" s="1187">
        <v>0</v>
      </c>
      <c r="J103" s="1188">
        <v>0</v>
      </c>
      <c r="K103" s="1143">
        <f t="shared" si="3"/>
        <v>444176.44374513003</v>
      </c>
    </row>
    <row r="104" spans="1:22" s="1121" customFormat="1" ht="30" customHeight="1" thickBot="1">
      <c r="A104" s="1189" t="s">
        <v>70</v>
      </c>
      <c r="B104" s="1171">
        <f>+B78+B79+B80+B81+B84+B87+B89+B90+B91+B92+B93+B94+B96+B98+B99+B102+B103</f>
        <v>2460773.5949689685</v>
      </c>
      <c r="C104" s="1171">
        <f t="shared" ref="C104:J104" si="4">SUM(C78:C103)</f>
        <v>0</v>
      </c>
      <c r="D104" s="1171">
        <f t="shared" si="4"/>
        <v>269662.94855465402</v>
      </c>
      <c r="E104" s="1312">
        <f>+E79+E81+E84+E88+E89+E91+E92+E93+E94+E95+E96+E98+E103</f>
        <v>1434393.7617599999</v>
      </c>
      <c r="F104" s="1171">
        <f>+F79+F80+F81+F84+F89+F91+F92+F93+F94+F95+F96+F97+F98+F100+F101+F103</f>
        <v>1722657.8125700001</v>
      </c>
      <c r="G104" s="1171">
        <f t="shared" si="4"/>
        <v>287588</v>
      </c>
      <c r="H104" s="1171">
        <f t="shared" si="4"/>
        <v>0</v>
      </c>
      <c r="I104" s="1171">
        <f t="shared" si="4"/>
        <v>0</v>
      </c>
      <c r="J104" s="1190">
        <f t="shared" si="4"/>
        <v>0</v>
      </c>
      <c r="K104" s="1191">
        <f t="shared" si="3"/>
        <v>6175076.1178536229</v>
      </c>
    </row>
    <row r="105" spans="1:22" ht="20.100000000000001" customHeight="1" thickBot="1">
      <c r="A105" s="1180" t="s">
        <v>0</v>
      </c>
      <c r="B105" s="1192"/>
      <c r="C105" s="1192"/>
      <c r="D105" s="1192"/>
      <c r="E105" s="1192"/>
      <c r="F105" s="1192"/>
      <c r="G105" s="1192"/>
      <c r="H105" s="1192"/>
      <c r="I105" s="1192"/>
      <c r="J105" s="1192"/>
      <c r="K105" s="1192"/>
    </row>
    <row r="106" spans="1:22" ht="20.100000000000001" hidden="1" customHeight="1">
      <c r="B106" s="1192"/>
      <c r="C106" s="1192"/>
      <c r="D106" s="1192"/>
      <c r="E106" s="1192"/>
      <c r="F106" s="1192"/>
      <c r="G106" s="1192"/>
      <c r="H106" s="1192"/>
      <c r="I106" s="1192"/>
      <c r="J106" s="1192"/>
      <c r="K106" s="1192"/>
    </row>
    <row r="107" spans="1:22" ht="27" hidden="1" thickBot="1">
      <c r="B107" s="1192"/>
      <c r="C107" s="1192"/>
      <c r="D107" s="1192"/>
      <c r="E107" s="1192"/>
      <c r="F107" s="1192"/>
      <c r="G107" s="1192"/>
      <c r="H107" s="1192"/>
      <c r="I107" s="1192"/>
      <c r="J107" s="1192"/>
      <c r="K107" s="1192"/>
      <c r="R107" s="1193"/>
    </row>
    <row r="108" spans="1:22" ht="27" hidden="1" thickBot="1">
      <c r="B108" s="1192"/>
      <c r="C108" s="1192"/>
      <c r="D108" s="1192"/>
      <c r="E108" s="1192"/>
      <c r="F108" s="1192"/>
      <c r="G108" s="1192"/>
      <c r="H108" s="1192"/>
      <c r="I108" s="1192"/>
      <c r="J108" s="1192"/>
      <c r="K108" s="1192"/>
      <c r="R108" s="1193"/>
    </row>
    <row r="109" spans="1:22" ht="27" hidden="1" thickBot="1">
      <c r="B109" s="1192"/>
      <c r="C109" s="1192"/>
      <c r="D109" s="1192"/>
      <c r="E109" s="1192"/>
      <c r="F109" s="1192"/>
      <c r="G109" s="1192"/>
      <c r="H109" s="1192"/>
      <c r="I109" s="1192"/>
      <c r="J109" s="1192"/>
      <c r="K109" s="1192"/>
    </row>
    <row r="110" spans="1:22" ht="27" hidden="1" thickBot="1">
      <c r="B110" s="1192"/>
      <c r="C110" s="1192"/>
      <c r="D110" s="1192"/>
      <c r="E110" s="1192"/>
      <c r="F110" s="1192"/>
      <c r="G110" s="1192"/>
      <c r="H110" s="1192"/>
      <c r="I110" s="1192"/>
      <c r="J110" s="1192"/>
      <c r="K110" s="1192"/>
      <c r="V110" s="1180"/>
    </row>
    <row r="111" spans="1:22" ht="27" hidden="1" thickBot="1">
      <c r="B111" s="1192"/>
      <c r="C111" s="1192"/>
      <c r="D111" s="1192"/>
      <c r="E111" s="1192"/>
      <c r="F111" s="1192"/>
      <c r="G111" s="1192"/>
      <c r="H111" s="1192"/>
      <c r="I111" s="1192"/>
      <c r="J111" s="1192"/>
      <c r="K111" s="1192"/>
    </row>
    <row r="112" spans="1:22" ht="27" hidden="1" thickBot="1">
      <c r="B112" s="1192"/>
      <c r="C112" s="1192"/>
      <c r="D112" s="1192"/>
      <c r="E112" s="1192"/>
      <c r="F112" s="1192"/>
      <c r="G112" s="1192"/>
      <c r="H112" s="1192"/>
      <c r="I112" s="1192"/>
      <c r="J112" s="1192"/>
      <c r="K112" s="1192"/>
    </row>
    <row r="113" spans="2:11" ht="27" hidden="1" thickBot="1">
      <c r="B113" s="1192"/>
      <c r="C113" s="1192"/>
      <c r="D113" s="1192"/>
      <c r="E113" s="1192"/>
      <c r="F113" s="1192"/>
      <c r="G113" s="1192"/>
      <c r="H113" s="1192"/>
      <c r="I113" s="1192"/>
      <c r="J113" s="1192"/>
      <c r="K113" s="1192"/>
    </row>
    <row r="114" spans="2:11" ht="27" hidden="1" thickBot="1">
      <c r="B114" s="1192"/>
      <c r="C114" s="1192"/>
      <c r="D114" s="1192"/>
      <c r="E114" s="1192"/>
      <c r="F114" s="1192"/>
      <c r="G114" s="1192"/>
      <c r="H114" s="1192"/>
      <c r="I114" s="1192"/>
      <c r="J114" s="1192"/>
      <c r="K114" s="1192"/>
    </row>
    <row r="115" spans="2:11" ht="27" hidden="1" thickBot="1">
      <c r="B115" s="1192"/>
      <c r="C115" s="1192"/>
      <c r="D115" s="1192"/>
      <c r="E115" s="1192"/>
      <c r="F115" s="1192"/>
      <c r="G115" s="1192"/>
      <c r="H115" s="1192"/>
      <c r="I115" s="1192"/>
      <c r="J115" s="1192"/>
      <c r="K115" s="1192"/>
    </row>
    <row r="116" spans="2:11" ht="27" hidden="1" thickBot="1">
      <c r="B116" s="1192"/>
      <c r="C116" s="1192"/>
      <c r="D116" s="1192"/>
      <c r="E116" s="1192"/>
      <c r="F116" s="1192"/>
      <c r="G116" s="1192"/>
      <c r="H116" s="1192"/>
      <c r="I116" s="1192"/>
      <c r="J116" s="1192"/>
      <c r="K116" s="1192"/>
    </row>
    <row r="117" spans="2:11" ht="27" hidden="1" thickBot="1">
      <c r="B117" s="1192"/>
      <c r="C117" s="1192"/>
      <c r="D117" s="1192"/>
      <c r="E117" s="1192"/>
      <c r="F117" s="1192"/>
      <c r="G117" s="1192"/>
      <c r="H117" s="1192"/>
      <c r="I117" s="1192"/>
      <c r="J117" s="1192"/>
      <c r="K117" s="1192"/>
    </row>
    <row r="118" spans="2:11" ht="27" hidden="1" thickBot="1">
      <c r="B118" s="1192"/>
      <c r="C118" s="1192"/>
      <c r="D118" s="1192"/>
      <c r="E118" s="1192"/>
      <c r="F118" s="1192"/>
      <c r="G118" s="1192"/>
      <c r="H118" s="1192"/>
      <c r="I118" s="1192"/>
      <c r="J118" s="1192"/>
      <c r="K118" s="1192"/>
    </row>
    <row r="119" spans="2:11" ht="27" hidden="1" thickBot="1">
      <c r="B119" s="1192"/>
      <c r="C119" s="1192"/>
      <c r="D119" s="1192"/>
      <c r="E119" s="1192"/>
      <c r="F119" s="1192"/>
      <c r="G119" s="1192"/>
      <c r="H119" s="1192"/>
      <c r="I119" s="1192"/>
      <c r="J119" s="1192"/>
      <c r="K119" s="1192"/>
    </row>
    <row r="120" spans="2:11" ht="27" hidden="1" thickBot="1">
      <c r="B120" s="1192"/>
      <c r="C120" s="1192"/>
      <c r="D120" s="1192"/>
      <c r="E120" s="1192"/>
      <c r="F120" s="1192"/>
      <c r="G120" s="1192"/>
      <c r="H120" s="1192"/>
      <c r="I120" s="1192"/>
      <c r="J120" s="1192"/>
      <c r="K120" s="1192"/>
    </row>
    <row r="121" spans="2:11" ht="27" hidden="1" thickBot="1">
      <c r="B121" s="1192"/>
      <c r="C121" s="1192"/>
      <c r="D121" s="1192"/>
      <c r="E121" s="1192"/>
      <c r="F121" s="1192"/>
      <c r="G121" s="1192"/>
      <c r="H121" s="1192"/>
      <c r="I121" s="1192"/>
      <c r="J121" s="1192"/>
      <c r="K121" s="1192"/>
    </row>
    <row r="122" spans="2:11" ht="27" hidden="1" thickBot="1">
      <c r="B122" s="1192"/>
      <c r="C122" s="1192"/>
      <c r="D122" s="1192"/>
      <c r="E122" s="1192"/>
      <c r="F122" s="1192"/>
      <c r="G122" s="1192"/>
      <c r="H122" s="1192"/>
      <c r="I122" s="1192"/>
      <c r="J122" s="1192"/>
      <c r="K122" s="1192"/>
    </row>
    <row r="123" spans="2:11" ht="27" hidden="1" thickBot="1">
      <c r="B123" s="1192"/>
      <c r="C123" s="1192"/>
      <c r="D123" s="1192"/>
      <c r="E123" s="1192"/>
      <c r="F123" s="1192"/>
      <c r="G123" s="1192"/>
      <c r="H123" s="1192"/>
      <c r="I123" s="1192"/>
      <c r="J123" s="1192"/>
      <c r="K123" s="1192"/>
    </row>
    <row r="124" spans="2:11" ht="27" hidden="1" thickBot="1">
      <c r="B124" s="1192"/>
      <c r="C124" s="1192"/>
      <c r="D124" s="1192"/>
      <c r="E124" s="1192"/>
      <c r="F124" s="1192"/>
      <c r="G124" s="1192"/>
      <c r="H124" s="1192"/>
      <c r="I124" s="1192"/>
      <c r="J124" s="1192"/>
      <c r="K124" s="1192"/>
    </row>
    <row r="125" spans="2:11" ht="27" hidden="1" thickBot="1">
      <c r="B125" s="1192"/>
      <c r="C125" s="1192"/>
      <c r="D125" s="1192"/>
      <c r="E125" s="1192"/>
      <c r="F125" s="1192"/>
      <c r="G125" s="1192"/>
      <c r="H125" s="1192"/>
      <c r="I125" s="1192"/>
      <c r="J125" s="1192"/>
      <c r="K125" s="1192"/>
    </row>
    <row r="126" spans="2:11" ht="27" hidden="1" thickBot="1">
      <c r="B126" s="1192"/>
      <c r="C126" s="1192"/>
      <c r="D126" s="1192"/>
      <c r="E126" s="1192"/>
      <c r="F126" s="1192"/>
      <c r="G126" s="1192"/>
      <c r="H126" s="1192"/>
      <c r="I126" s="1192"/>
      <c r="J126" s="1192"/>
      <c r="K126" s="1192"/>
    </row>
    <row r="127" spans="2:11" ht="27" hidden="1" thickBot="1">
      <c r="B127" s="1192"/>
      <c r="C127" s="1192"/>
      <c r="D127" s="1192"/>
      <c r="E127" s="1192"/>
      <c r="F127" s="1192"/>
      <c r="G127" s="1192"/>
      <c r="H127" s="1192"/>
      <c r="I127" s="1192"/>
      <c r="J127" s="1192"/>
      <c r="K127" s="1192"/>
    </row>
    <row r="128" spans="2:11" ht="27" hidden="1" thickBot="1">
      <c r="B128" s="1192"/>
      <c r="C128" s="1192"/>
      <c r="D128" s="1192"/>
      <c r="E128" s="1192"/>
      <c r="F128" s="1192"/>
      <c r="G128" s="1192"/>
      <c r="H128" s="1192"/>
      <c r="I128" s="1192"/>
      <c r="J128" s="1192"/>
      <c r="K128" s="1192"/>
    </row>
    <row r="129" spans="2:11" ht="27" hidden="1" thickBot="1">
      <c r="B129" s="1192"/>
      <c r="C129" s="1192"/>
      <c r="D129" s="1192"/>
      <c r="E129" s="1192"/>
      <c r="F129" s="1192"/>
      <c r="G129" s="1192"/>
      <c r="H129" s="1192"/>
      <c r="I129" s="1192"/>
      <c r="J129" s="1192"/>
      <c r="K129" s="1192"/>
    </row>
    <row r="130" spans="2:11" ht="27" hidden="1" thickBot="1">
      <c r="B130" s="1192"/>
      <c r="C130" s="1192"/>
      <c r="D130" s="1192"/>
      <c r="E130" s="1192"/>
      <c r="F130" s="1192"/>
      <c r="G130" s="1192"/>
      <c r="H130" s="1192"/>
      <c r="I130" s="1192"/>
      <c r="J130" s="1192"/>
      <c r="K130" s="1192"/>
    </row>
    <row r="131" spans="2:11" ht="27" hidden="1" thickBot="1">
      <c r="B131" s="1192"/>
      <c r="C131" s="1192"/>
      <c r="D131" s="1192"/>
      <c r="E131" s="1192"/>
      <c r="F131" s="1192"/>
      <c r="G131" s="1192"/>
      <c r="H131" s="1192"/>
      <c r="I131" s="1192"/>
      <c r="J131" s="1192"/>
      <c r="K131" s="1192"/>
    </row>
    <row r="132" spans="2:11" ht="27" hidden="1" thickBot="1">
      <c r="B132" s="1192"/>
      <c r="C132" s="1192"/>
      <c r="D132" s="1192"/>
      <c r="E132" s="1192"/>
      <c r="F132" s="1192"/>
      <c r="G132" s="1192"/>
      <c r="H132" s="1192"/>
      <c r="I132" s="1192"/>
      <c r="J132" s="1192"/>
      <c r="K132" s="1192"/>
    </row>
    <row r="133" spans="2:11" ht="27" hidden="1" thickBot="1">
      <c r="B133" s="1192"/>
      <c r="C133" s="1192"/>
      <c r="D133" s="1192"/>
      <c r="E133" s="1192"/>
      <c r="F133" s="1192"/>
      <c r="G133" s="1192"/>
      <c r="H133" s="1192"/>
      <c r="I133" s="1192"/>
      <c r="J133" s="1192"/>
      <c r="K133" s="1192"/>
    </row>
    <row r="134" spans="2:11" ht="27" hidden="1" thickBot="1">
      <c r="B134" s="1192"/>
      <c r="C134" s="1192"/>
      <c r="D134" s="1192"/>
      <c r="E134" s="1192"/>
      <c r="F134" s="1192"/>
      <c r="G134" s="1192"/>
      <c r="H134" s="1192"/>
      <c r="I134" s="1192"/>
      <c r="J134" s="1192"/>
      <c r="K134" s="1192"/>
    </row>
    <row r="135" spans="2:11" ht="27" hidden="1" thickBot="1">
      <c r="B135" s="1192"/>
      <c r="C135" s="1192"/>
      <c r="D135" s="1192"/>
      <c r="E135" s="1192"/>
      <c r="F135" s="1192"/>
      <c r="G135" s="1192"/>
      <c r="H135" s="1192"/>
      <c r="I135" s="1192"/>
      <c r="J135" s="1192"/>
      <c r="K135" s="1192"/>
    </row>
    <row r="136" spans="2:11" ht="27" hidden="1" thickBot="1">
      <c r="B136" s="1192"/>
      <c r="C136" s="1192"/>
      <c r="D136" s="1192"/>
      <c r="E136" s="1192"/>
      <c r="F136" s="1192"/>
      <c r="G136" s="1192"/>
      <c r="H136" s="1192"/>
      <c r="I136" s="1192"/>
      <c r="J136" s="1192"/>
      <c r="K136" s="1192"/>
    </row>
    <row r="137" spans="2:11" ht="27" hidden="1" thickBot="1">
      <c r="B137" s="1192"/>
      <c r="C137" s="1192"/>
      <c r="D137" s="1192"/>
      <c r="E137" s="1192"/>
      <c r="F137" s="1192"/>
      <c r="G137" s="1192"/>
      <c r="H137" s="1192"/>
      <c r="I137" s="1192"/>
      <c r="J137" s="1192"/>
      <c r="K137" s="1192"/>
    </row>
    <row r="138" spans="2:11" ht="27" hidden="1" thickBot="1">
      <c r="B138" s="1192"/>
      <c r="C138" s="1192"/>
      <c r="D138" s="1192"/>
      <c r="E138" s="1192"/>
      <c r="F138" s="1192"/>
      <c r="G138" s="1192"/>
      <c r="H138" s="1192"/>
      <c r="I138" s="1192"/>
      <c r="J138" s="1192"/>
      <c r="K138" s="1192"/>
    </row>
    <row r="139" spans="2:11" ht="27" hidden="1" thickBot="1">
      <c r="B139" s="1192"/>
      <c r="C139" s="1192"/>
      <c r="D139" s="1192"/>
      <c r="E139" s="1192"/>
      <c r="F139" s="1192"/>
      <c r="G139" s="1192"/>
      <c r="H139" s="1192"/>
      <c r="I139" s="1192"/>
      <c r="J139" s="1192"/>
      <c r="K139" s="1192"/>
    </row>
    <row r="140" spans="2:11" ht="27" hidden="1" thickBot="1">
      <c r="B140" s="1192"/>
      <c r="C140" s="1192"/>
      <c r="D140" s="1192"/>
      <c r="E140" s="1192"/>
      <c r="F140" s="1192"/>
      <c r="G140" s="1192"/>
      <c r="H140" s="1192"/>
      <c r="I140" s="1192"/>
      <c r="J140" s="1192"/>
      <c r="K140" s="1192"/>
    </row>
    <row r="141" spans="2:11" ht="27" hidden="1" thickBot="1">
      <c r="B141" s="1192"/>
      <c r="C141" s="1192" t="s">
        <v>69</v>
      </c>
      <c r="D141" s="1194">
        <v>1327</v>
      </c>
      <c r="E141" s="1192"/>
      <c r="F141" s="1192"/>
      <c r="G141" s="1192"/>
      <c r="H141" s="1192"/>
      <c r="I141" s="1192"/>
      <c r="J141" s="1192"/>
      <c r="K141" s="1192"/>
    </row>
    <row r="142" spans="2:11" ht="27" hidden="1" thickBot="1">
      <c r="B142" s="1192"/>
      <c r="C142" s="1192" t="s">
        <v>62</v>
      </c>
      <c r="D142" s="1194">
        <v>1050</v>
      </c>
      <c r="E142" s="1192"/>
      <c r="F142" s="1192"/>
      <c r="G142" s="1192"/>
      <c r="H142" s="1192"/>
      <c r="I142" s="1192"/>
      <c r="J142" s="1192"/>
      <c r="K142" s="1192"/>
    </row>
    <row r="143" spans="2:11" ht="27" hidden="1" thickBot="1">
      <c r="B143" s="1192"/>
      <c r="C143" s="1192" t="s">
        <v>64</v>
      </c>
      <c r="D143" s="1194">
        <v>875</v>
      </c>
      <c r="E143" s="1192"/>
      <c r="F143" s="1192"/>
      <c r="G143" s="1192"/>
      <c r="H143" s="1192"/>
      <c r="I143" s="1192"/>
      <c r="J143" s="1192"/>
      <c r="K143" s="1192"/>
    </row>
    <row r="144" spans="2:11" ht="27" hidden="1" thickBot="1">
      <c r="B144" s="1192"/>
      <c r="C144" s="1192" t="s">
        <v>65</v>
      </c>
      <c r="D144" s="1194">
        <v>862</v>
      </c>
      <c r="E144" s="1192"/>
      <c r="F144" s="1192"/>
      <c r="G144" s="1192"/>
      <c r="H144" s="1192"/>
      <c r="I144" s="1192"/>
      <c r="J144" s="1192"/>
      <c r="K144" s="1192"/>
    </row>
    <row r="145" spans="1:11" ht="27" hidden="1" thickBot="1">
      <c r="B145" s="1192"/>
      <c r="C145" s="1192" t="s">
        <v>66</v>
      </c>
      <c r="D145" s="1194">
        <v>664</v>
      </c>
      <c r="E145" s="1192"/>
      <c r="F145" s="1192"/>
      <c r="G145" s="1192"/>
      <c r="H145" s="1192"/>
      <c r="I145" s="1192"/>
      <c r="J145" s="1192"/>
      <c r="K145" s="1192"/>
    </row>
    <row r="146" spans="1:11" ht="27" hidden="1" thickBot="1">
      <c r="B146" s="1192"/>
      <c r="C146" s="1192" t="s">
        <v>63</v>
      </c>
      <c r="D146" s="1194">
        <v>624</v>
      </c>
      <c r="E146" s="1192"/>
      <c r="F146" s="1192"/>
      <c r="G146" s="1192"/>
      <c r="H146" s="1192"/>
      <c r="I146" s="1192"/>
      <c r="J146" s="1192"/>
      <c r="K146" s="1192"/>
    </row>
    <row r="147" spans="1:11" ht="27" hidden="1" thickBot="1">
      <c r="B147" s="1192"/>
      <c r="C147" s="1192" t="s">
        <v>67</v>
      </c>
      <c r="D147" s="1194">
        <v>496</v>
      </c>
      <c r="E147" s="1192"/>
      <c r="F147" s="1192"/>
      <c r="G147" s="1192"/>
      <c r="H147" s="1192"/>
      <c r="I147" s="1192"/>
      <c r="J147" s="1192"/>
      <c r="K147" s="1192"/>
    </row>
    <row r="148" spans="1:11" ht="27" hidden="1" thickBot="1">
      <c r="B148" s="1192"/>
      <c r="C148" s="1192" t="s">
        <v>60</v>
      </c>
      <c r="D148" s="1194">
        <v>278</v>
      </c>
      <c r="E148" s="1192"/>
      <c r="F148" s="1192"/>
      <c r="G148" s="1192"/>
      <c r="H148" s="1192"/>
      <c r="I148" s="1192"/>
      <c r="J148" s="1192"/>
      <c r="K148" s="1192"/>
    </row>
    <row r="149" spans="1:11" ht="27" hidden="1" thickBot="1">
      <c r="B149" s="1192"/>
      <c r="C149" s="1192" t="s">
        <v>68</v>
      </c>
      <c r="D149" s="1194">
        <v>171</v>
      </c>
      <c r="E149" s="1192"/>
      <c r="F149" s="1192"/>
      <c r="G149" s="1192"/>
      <c r="H149" s="1192"/>
      <c r="I149" s="1192"/>
      <c r="J149" s="1192"/>
      <c r="K149" s="1192"/>
    </row>
    <row r="150" spans="1:11" ht="27" hidden="1" thickBot="1">
      <c r="B150" s="1192"/>
      <c r="C150" s="1192" t="s">
        <v>58</v>
      </c>
      <c r="D150" s="1194">
        <v>103</v>
      </c>
      <c r="E150" s="1192"/>
      <c r="F150" s="1192"/>
      <c r="G150" s="1192"/>
      <c r="H150" s="1192"/>
      <c r="I150" s="1192"/>
      <c r="J150" s="1192"/>
      <c r="K150" s="1192"/>
    </row>
    <row r="151" spans="1:11" ht="27" hidden="1" thickBot="1">
      <c r="B151" s="1192"/>
      <c r="C151" s="1192" t="s">
        <v>79</v>
      </c>
      <c r="D151" s="1194">
        <v>12</v>
      </c>
      <c r="E151" s="1192"/>
      <c r="F151" s="1192"/>
      <c r="G151" s="1192"/>
      <c r="H151" s="1192"/>
      <c r="I151" s="1192"/>
      <c r="J151" s="1192"/>
      <c r="K151" s="1192"/>
    </row>
    <row r="152" spans="1:11" ht="27" hidden="1" thickBot="1">
      <c r="B152" s="1192"/>
      <c r="C152" s="1192" t="s">
        <v>78</v>
      </c>
      <c r="D152" s="1194">
        <v>0</v>
      </c>
      <c r="E152" s="1192"/>
      <c r="F152" s="1192"/>
      <c r="G152" s="1192"/>
      <c r="H152" s="1192"/>
      <c r="I152" s="1192"/>
      <c r="J152" s="1192"/>
      <c r="K152" s="1192"/>
    </row>
    <row r="153" spans="1:11" ht="27" hidden="1" thickBot="1">
      <c r="B153" s="1192"/>
      <c r="C153" s="1192" t="s">
        <v>59</v>
      </c>
      <c r="D153" s="1194">
        <v>0</v>
      </c>
      <c r="E153" s="1192"/>
      <c r="F153" s="1192"/>
      <c r="G153" s="1192"/>
      <c r="H153" s="1192"/>
      <c r="I153" s="1192"/>
      <c r="J153" s="1192"/>
      <c r="K153" s="1192"/>
    </row>
    <row r="154" spans="1:11" ht="27" hidden="1" thickBot="1">
      <c r="B154" s="1192"/>
      <c r="C154" s="1192" t="s">
        <v>61</v>
      </c>
      <c r="D154" s="1194">
        <v>0</v>
      </c>
      <c r="E154" s="1192"/>
      <c r="F154" s="1192"/>
      <c r="G154" s="1192"/>
      <c r="H154" s="1192"/>
      <c r="I154" s="1192"/>
      <c r="J154" s="1192"/>
      <c r="K154" s="1192"/>
    </row>
    <row r="155" spans="1:11" ht="26.25" thickBot="1">
      <c r="A155" s="1195" t="s">
        <v>190</v>
      </c>
      <c r="B155" s="1196">
        <f t="shared" ref="B155:K155" si="5">+B74+B104</f>
        <v>20074139.497192118</v>
      </c>
      <c r="C155" s="1196">
        <f t="shared" si="5"/>
        <v>1426485.5069724279</v>
      </c>
      <c r="D155" s="1196">
        <f t="shared" si="5"/>
        <v>1619898.8117202423</v>
      </c>
      <c r="E155" s="1196">
        <f t="shared" si="5"/>
        <v>14786946.02069</v>
      </c>
      <c r="F155" s="1196">
        <f t="shared" si="5"/>
        <v>22792767.486390002</v>
      </c>
      <c r="G155" s="1196">
        <f t="shared" si="5"/>
        <v>5535253</v>
      </c>
      <c r="H155" s="1196">
        <f t="shared" si="5"/>
        <v>1083757.2214299999</v>
      </c>
      <c r="I155" s="1196">
        <f t="shared" si="5"/>
        <v>3912349</v>
      </c>
      <c r="J155" s="1196">
        <f t="shared" si="5"/>
        <v>3211364</v>
      </c>
      <c r="K155" s="1197">
        <f t="shared" si="5"/>
        <v>74442960.544394791</v>
      </c>
    </row>
    <row r="156" spans="1:11" ht="15.75"/>
    <row r="157" spans="1:11" ht="15.75"/>
    <row r="158" spans="1:11" ht="15.75">
      <c r="B158" s="1118" t="s">
        <v>0</v>
      </c>
      <c r="F158" s="1198" t="s">
        <v>0</v>
      </c>
    </row>
    <row r="159" spans="1:11" ht="15.75">
      <c r="B159" s="1198"/>
      <c r="F159" s="1355" t="s">
        <v>0</v>
      </c>
    </row>
    <row r="160" spans="1:11" ht="15.75">
      <c r="F160" s="1198" t="s">
        <v>0</v>
      </c>
    </row>
    <row r="161" spans="2:7" ht="15.75">
      <c r="B161" s="1355" t="s">
        <v>0</v>
      </c>
      <c r="E161" s="1355"/>
      <c r="F161" s="1355"/>
      <c r="G161" s="1198" t="s">
        <v>0</v>
      </c>
    </row>
    <row r="162" spans="2:7" ht="15.75">
      <c r="B162" s="1355"/>
      <c r="F162" s="1355"/>
    </row>
    <row r="163" spans="2:7" ht="15.75"/>
    <row r="164" spans="2:7" ht="15.75">
      <c r="E164" s="1355"/>
    </row>
    <row r="165" spans="2:7" ht="15.75">
      <c r="B165" s="1354"/>
      <c r="F165" s="1198"/>
    </row>
    <row r="166" spans="2:7" ht="15.75"/>
    <row r="167" spans="2:7" ht="15.75"/>
  </sheetData>
  <phoneticPr fontId="73" type="noConversion"/>
  <printOptions horizontalCentered="1"/>
  <pageMargins left="0.31496062992126" right="0.23622047244094499" top="0.21" bottom="0.24" header="0.14000000000000001" footer="0.17"/>
  <pageSetup scale="25" orientation="portrait" r:id="rId1"/>
  <headerFooter alignWithMargins="0">
    <oddHeader xml:space="preserve">&amp;C&amp;"CG Times,Bold"             &amp;16               </oddHeader>
    <oddFooter>&amp;R&amp;20&amp;P</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V167"/>
  <sheetViews>
    <sheetView topLeftCell="A8" zoomScale="75" workbookViewId="0">
      <pane xSplit="1" ySplit="1" topLeftCell="B9"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0" customHeight="1" zeroHeight="1"/>
  <cols>
    <col min="1" max="1" width="49" style="1118" customWidth="1"/>
    <col min="2" max="2" width="21.625" style="1118" customWidth="1"/>
    <col min="3" max="3" width="22.375" style="1118" customWidth="1"/>
    <col min="4" max="4" width="20.875" style="1118" customWidth="1"/>
    <col min="5" max="5" width="27" style="1118" customWidth="1"/>
    <col min="6" max="6" width="22.125" style="1118" customWidth="1"/>
    <col min="7" max="7" width="21.375" style="1118" customWidth="1"/>
    <col min="8" max="9" width="18.625" style="1118" customWidth="1"/>
    <col min="10" max="10" width="21.625" style="1118" customWidth="1"/>
    <col min="11" max="11" width="27.25" style="1118" customWidth="1"/>
    <col min="12" max="12" width="10.75" style="1118" customWidth="1"/>
    <col min="13" max="13" width="11.75" style="1118" customWidth="1"/>
    <col min="14" max="14" width="9" style="1118"/>
    <col min="15" max="15" width="14" style="1118" customWidth="1"/>
    <col min="16" max="16" width="9" style="1118"/>
    <col min="17" max="30" width="15.625" style="1118" customWidth="1"/>
    <col min="31" max="54" width="9" style="1118"/>
    <col min="55" max="56" width="10" style="1118" customWidth="1"/>
    <col min="57" max="57" width="10.75" style="1118" customWidth="1"/>
    <col min="58" max="58" width="10" style="1118" customWidth="1"/>
    <col min="59" max="59" width="10.75" style="1118" customWidth="1"/>
    <col min="60" max="60" width="14.5" style="1118" customWidth="1"/>
    <col min="61" max="61" width="12.625" style="1118" customWidth="1"/>
    <col min="62" max="67" width="12.5" style="1118" customWidth="1"/>
    <col min="68" max="16384" width="9" style="1118"/>
  </cols>
  <sheetData>
    <row r="1" spans="1:13" ht="18.75">
      <c r="A1" s="1115" t="s">
        <v>189</v>
      </c>
      <c r="B1" s="1116"/>
      <c r="C1" s="1116"/>
      <c r="D1" s="1116"/>
      <c r="E1" s="1116"/>
      <c r="F1" s="1116"/>
      <c r="G1" s="1116"/>
      <c r="H1" s="1116"/>
      <c r="I1" s="1116"/>
      <c r="J1" s="1116"/>
      <c r="K1" s="1116"/>
      <c r="L1" s="1117"/>
      <c r="M1" s="1117"/>
    </row>
    <row r="2" spans="1:13" ht="18.75">
      <c r="A2" s="1115" t="s">
        <v>868</v>
      </c>
      <c r="B2" s="1116"/>
      <c r="C2" s="1116"/>
      <c r="D2" s="1116"/>
      <c r="E2" s="1116"/>
      <c r="F2" s="1116"/>
      <c r="G2" s="1116"/>
      <c r="H2" s="1116"/>
      <c r="I2" s="1116"/>
      <c r="J2" s="1116"/>
      <c r="K2" s="1116"/>
      <c r="L2" s="1117"/>
      <c r="M2" s="1117"/>
    </row>
    <row r="3" spans="1:13" ht="15.75">
      <c r="A3" s="1119" t="s">
        <v>968</v>
      </c>
      <c r="B3" s="1119"/>
      <c r="C3" s="1119"/>
      <c r="D3" s="1119"/>
      <c r="E3" s="1119"/>
      <c r="F3" s="1119"/>
      <c r="G3" s="1119"/>
      <c r="H3" s="1119"/>
      <c r="I3" s="1119"/>
      <c r="J3" s="1119"/>
      <c r="K3" s="1119"/>
      <c r="L3" s="1117"/>
      <c r="M3" s="1116"/>
    </row>
    <row r="4" spans="1:13" ht="20.25">
      <c r="A4" s="1120"/>
      <c r="B4" s="1120"/>
      <c r="C4" s="1120"/>
      <c r="D4" s="1120"/>
      <c r="E4" s="1120"/>
      <c r="F4" s="1120"/>
      <c r="G4" s="1120"/>
      <c r="H4" s="1120"/>
      <c r="I4" s="1120"/>
      <c r="J4" s="1120"/>
      <c r="K4" s="1120"/>
      <c r="L4" s="1116"/>
      <c r="M4" s="1116"/>
    </row>
    <row r="5" spans="1:13" ht="15.75">
      <c r="A5" s="1121"/>
      <c r="B5" s="1121"/>
      <c r="C5" s="1121"/>
      <c r="D5" s="1121"/>
      <c r="E5" s="1121"/>
      <c r="F5" s="1121"/>
      <c r="G5" s="1121"/>
      <c r="H5" s="1121"/>
      <c r="I5" s="1121"/>
      <c r="J5" s="1121"/>
      <c r="K5" s="1121"/>
      <c r="L5" s="1116"/>
      <c r="M5" s="1116"/>
    </row>
    <row r="6" spans="1:13" ht="20.25">
      <c r="A6" s="1122" t="s">
        <v>867</v>
      </c>
      <c r="B6" s="1116"/>
      <c r="C6" s="1116"/>
      <c r="D6" s="1116"/>
      <c r="E6" s="1116"/>
      <c r="F6" s="1116"/>
      <c r="G6" s="1116"/>
      <c r="H6" s="1116"/>
      <c r="I6" s="1116"/>
      <c r="J6" s="1116"/>
      <c r="K6" s="1116"/>
      <c r="L6" s="1116"/>
      <c r="M6" s="1116"/>
    </row>
    <row r="7" spans="1:13" ht="16.5" thickBot="1">
      <c r="A7" s="1116"/>
      <c r="B7" s="1116"/>
      <c r="C7" s="1116"/>
      <c r="D7" s="1116"/>
      <c r="E7" s="1116"/>
      <c r="F7" s="1116"/>
      <c r="G7" s="1116"/>
    </row>
    <row r="8" spans="1:13" ht="19.5" thickBot="1">
      <c r="A8" s="1123"/>
      <c r="B8" s="1318" t="s">
        <v>125</v>
      </c>
      <c r="C8" s="1319" t="s">
        <v>60</v>
      </c>
      <c r="D8" s="1318" t="s">
        <v>126</v>
      </c>
      <c r="E8" s="1318" t="s">
        <v>64</v>
      </c>
      <c r="F8" s="1318" t="s">
        <v>65</v>
      </c>
      <c r="G8" s="1318" t="s">
        <v>133</v>
      </c>
      <c r="H8" s="1318" t="s">
        <v>67</v>
      </c>
      <c r="I8" s="1318" t="s">
        <v>68</v>
      </c>
      <c r="J8" s="1320" t="s">
        <v>69</v>
      </c>
      <c r="K8" s="1124" t="s">
        <v>70</v>
      </c>
      <c r="L8" s="1121"/>
      <c r="M8" s="1121"/>
    </row>
    <row r="9" spans="1:13" ht="16.5" thickTop="1">
      <c r="A9" s="1125"/>
      <c r="B9" s="1126" t="s">
        <v>0</v>
      </c>
      <c r="C9" s="1127"/>
      <c r="D9" s="1126"/>
      <c r="E9" s="1126"/>
      <c r="F9" s="1126" t="s">
        <v>0</v>
      </c>
      <c r="G9" s="1126"/>
      <c r="H9" s="1126"/>
      <c r="I9" s="1126"/>
      <c r="J9" s="1128"/>
      <c r="K9" s="1129"/>
      <c r="L9" s="1121"/>
      <c r="M9" s="1121"/>
    </row>
    <row r="10" spans="1:13" ht="30" customHeight="1">
      <c r="A10" s="1130" t="s">
        <v>143</v>
      </c>
      <c r="B10" s="1131">
        <v>1005587.4717766531</v>
      </c>
      <c r="C10" s="1132">
        <v>168493.92819000001</v>
      </c>
      <c r="D10" s="1132">
        <v>279616.70292267797</v>
      </c>
      <c r="E10" s="1133">
        <v>1229100.1973700002</v>
      </c>
      <c r="F10" s="1133">
        <v>2060038.74</v>
      </c>
      <c r="G10" s="1134">
        <v>396305</v>
      </c>
      <c r="H10" s="1133">
        <v>182935.63816</v>
      </c>
      <c r="I10" s="1133">
        <v>294638</v>
      </c>
      <c r="J10" s="1135">
        <v>520343</v>
      </c>
      <c r="K10" s="1136">
        <f t="shared" ref="K10:K41" si="0">SUM(B10:J10)</f>
        <v>6137058.6784193311</v>
      </c>
      <c r="L10" s="1121"/>
      <c r="M10" s="1121"/>
    </row>
    <row r="11" spans="1:13" ht="30" customHeight="1">
      <c r="A11" s="1130" t="s">
        <v>144</v>
      </c>
      <c r="B11" s="1131">
        <v>0</v>
      </c>
      <c r="C11" s="1133">
        <v>0</v>
      </c>
      <c r="D11" s="1132">
        <v>0</v>
      </c>
      <c r="E11" s="1133">
        <v>1941287.0628799999</v>
      </c>
      <c r="F11" s="1133">
        <v>0</v>
      </c>
      <c r="G11" s="1134">
        <v>0</v>
      </c>
      <c r="H11" s="1133">
        <v>0</v>
      </c>
      <c r="I11" s="1133">
        <v>0</v>
      </c>
      <c r="J11" s="1137">
        <v>0</v>
      </c>
      <c r="K11" s="1136">
        <f t="shared" si="0"/>
        <v>1941287.0628799999</v>
      </c>
      <c r="L11" s="1121"/>
      <c r="M11" s="1121"/>
    </row>
    <row r="12" spans="1:13" ht="30" customHeight="1">
      <c r="A12" s="1130" t="s">
        <v>689</v>
      </c>
      <c r="B12" s="1131">
        <v>0</v>
      </c>
      <c r="C12" s="1133">
        <v>0</v>
      </c>
      <c r="D12" s="1132"/>
      <c r="E12" s="1133">
        <v>0</v>
      </c>
      <c r="F12" s="1133">
        <v>0</v>
      </c>
      <c r="G12" s="1134">
        <v>0</v>
      </c>
      <c r="H12" s="1133">
        <v>0</v>
      </c>
      <c r="I12" s="1133">
        <v>0</v>
      </c>
      <c r="J12" s="1137">
        <v>0</v>
      </c>
      <c r="K12" s="1136">
        <f t="shared" si="0"/>
        <v>0</v>
      </c>
      <c r="L12" s="1121"/>
      <c r="M12" s="1121"/>
    </row>
    <row r="13" spans="1:13" ht="30" customHeight="1">
      <c r="A13" s="1130" t="s">
        <v>145</v>
      </c>
      <c r="B13" s="1138">
        <f>SUM(B14:B15)</f>
        <v>390611.51133835502</v>
      </c>
      <c r="C13" s="1139">
        <v>0</v>
      </c>
      <c r="D13" s="1140">
        <v>0</v>
      </c>
      <c r="E13" s="1139">
        <v>490376.95257000008</v>
      </c>
      <c r="F13" s="1139">
        <v>0</v>
      </c>
      <c r="G13" s="1141">
        <v>0</v>
      </c>
      <c r="H13" s="1139">
        <v>0</v>
      </c>
      <c r="I13" s="1139">
        <v>0</v>
      </c>
      <c r="J13" s="1142">
        <v>0</v>
      </c>
      <c r="K13" s="1143">
        <f t="shared" si="0"/>
        <v>880988.4639083551</v>
      </c>
      <c r="L13" s="1121"/>
      <c r="M13" s="1121"/>
    </row>
    <row r="14" spans="1:13" ht="30" customHeight="1">
      <c r="A14" s="1130" t="s">
        <v>691</v>
      </c>
      <c r="B14" s="1144">
        <v>197845.814071475</v>
      </c>
      <c r="C14" s="1145">
        <v>0</v>
      </c>
      <c r="D14" s="1146">
        <v>0</v>
      </c>
      <c r="E14" s="1145">
        <v>0</v>
      </c>
      <c r="F14" s="1145">
        <v>0</v>
      </c>
      <c r="G14" s="1145">
        <v>0</v>
      </c>
      <c r="H14" s="1145">
        <v>0</v>
      </c>
      <c r="I14" s="1145">
        <v>0</v>
      </c>
      <c r="J14" s="1147">
        <v>0</v>
      </c>
      <c r="K14" s="1148">
        <f t="shared" si="0"/>
        <v>197845.814071475</v>
      </c>
      <c r="L14" s="1121"/>
      <c r="M14" s="1121"/>
    </row>
    <row r="15" spans="1:13" ht="30" customHeight="1">
      <c r="A15" s="1130" t="s">
        <v>692</v>
      </c>
      <c r="B15" s="1144">
        <v>192765.69726688002</v>
      </c>
      <c r="C15" s="1145">
        <v>0</v>
      </c>
      <c r="D15" s="1146">
        <v>0</v>
      </c>
      <c r="E15" s="1145">
        <v>0</v>
      </c>
      <c r="F15" s="1145">
        <v>0</v>
      </c>
      <c r="G15" s="1145">
        <v>0</v>
      </c>
      <c r="H15" s="1145">
        <v>0</v>
      </c>
      <c r="I15" s="1145">
        <v>0</v>
      </c>
      <c r="J15" s="1147">
        <v>0</v>
      </c>
      <c r="K15" s="1148">
        <f t="shared" si="0"/>
        <v>192765.69726688002</v>
      </c>
      <c r="L15" s="1121"/>
      <c r="M15" s="1121"/>
    </row>
    <row r="16" spans="1:13" ht="30" customHeight="1">
      <c r="A16" s="1149" t="s">
        <v>146</v>
      </c>
      <c r="B16" s="1150">
        <f>SUM(B17:B21)</f>
        <v>695534.60630071606</v>
      </c>
      <c r="C16" s="1150">
        <v>31111.023300000001</v>
      </c>
      <c r="D16" s="1150">
        <v>0</v>
      </c>
      <c r="E16" s="1150">
        <f>SUM(E17:E24)</f>
        <v>1103019.4589499999</v>
      </c>
      <c r="F16" s="1150">
        <f>SUM(F17:F27)</f>
        <v>2547633.3184999996</v>
      </c>
      <c r="G16" s="1199">
        <f>SUM(G17:G21)</f>
        <v>327967</v>
      </c>
      <c r="H16" s="1199">
        <f>SUM(H17:H27)</f>
        <v>169414.94489000001</v>
      </c>
      <c r="I16" s="1150">
        <v>0</v>
      </c>
      <c r="J16" s="1200">
        <v>367273</v>
      </c>
      <c r="K16" s="1143">
        <f t="shared" si="0"/>
        <v>5241953.3519407157</v>
      </c>
      <c r="L16" s="1121"/>
      <c r="M16" s="1121"/>
    </row>
    <row r="17" spans="1:13" ht="30" customHeight="1">
      <c r="A17" s="1149" t="s">
        <v>693</v>
      </c>
      <c r="B17" s="1145">
        <v>304405.841590786</v>
      </c>
      <c r="C17" s="1145">
        <v>0</v>
      </c>
      <c r="D17" s="1145">
        <v>0</v>
      </c>
      <c r="E17" s="1145">
        <v>0</v>
      </c>
      <c r="F17" s="1145">
        <v>0</v>
      </c>
      <c r="G17" s="1145">
        <v>0</v>
      </c>
      <c r="H17" s="1145">
        <v>0</v>
      </c>
      <c r="I17" s="1145">
        <v>0</v>
      </c>
      <c r="J17" s="1147">
        <v>0</v>
      </c>
      <c r="K17" s="1148">
        <f t="shared" si="0"/>
        <v>304405.841590786</v>
      </c>
      <c r="L17" s="1121"/>
      <c r="M17" s="1121"/>
    </row>
    <row r="18" spans="1:13" ht="30" customHeight="1">
      <c r="A18" s="1149" t="s">
        <v>694</v>
      </c>
      <c r="B18" s="1145">
        <v>273070.64473837102</v>
      </c>
      <c r="C18" s="1145">
        <v>0</v>
      </c>
      <c r="D18" s="1145">
        <v>0</v>
      </c>
      <c r="E18" s="1145">
        <v>0</v>
      </c>
      <c r="F18" s="1145">
        <v>0</v>
      </c>
      <c r="G18" s="1145">
        <v>0</v>
      </c>
      <c r="H18" s="1145">
        <v>0</v>
      </c>
      <c r="I18" s="1145">
        <v>0</v>
      </c>
      <c r="J18" s="1147">
        <v>0</v>
      </c>
      <c r="K18" s="1148">
        <f t="shared" si="0"/>
        <v>273070.64473837102</v>
      </c>
      <c r="L18" s="1121"/>
      <c r="M18" s="1121"/>
    </row>
    <row r="19" spans="1:13" ht="30" customHeight="1">
      <c r="A19" s="1149" t="s">
        <v>695</v>
      </c>
      <c r="B19" s="1145">
        <v>0</v>
      </c>
      <c r="C19" s="1145">
        <v>0</v>
      </c>
      <c r="D19" s="1145">
        <v>0</v>
      </c>
      <c r="E19" s="1145">
        <v>0</v>
      </c>
      <c r="F19" s="1145">
        <v>0</v>
      </c>
      <c r="G19" s="1145">
        <v>319339</v>
      </c>
      <c r="H19" s="1145">
        <v>0</v>
      </c>
      <c r="I19" s="1145">
        <v>0</v>
      </c>
      <c r="J19" s="1147">
        <v>0</v>
      </c>
      <c r="K19" s="1148">
        <f t="shared" si="0"/>
        <v>319339</v>
      </c>
      <c r="L19" s="1121"/>
      <c r="M19" s="1121"/>
    </row>
    <row r="20" spans="1:13" ht="30" customHeight="1">
      <c r="A20" s="1149" t="s">
        <v>696</v>
      </c>
      <c r="B20" s="1145">
        <v>118058.11997155902</v>
      </c>
      <c r="C20" s="1145">
        <v>0</v>
      </c>
      <c r="D20" s="1145">
        <v>0</v>
      </c>
      <c r="E20" s="1145">
        <v>0</v>
      </c>
      <c r="F20" s="1145">
        <v>1297953.88536</v>
      </c>
      <c r="G20" s="1145">
        <v>0</v>
      </c>
      <c r="H20" s="1145">
        <v>0</v>
      </c>
      <c r="I20" s="1145">
        <v>0</v>
      </c>
      <c r="J20" s="1147">
        <v>0</v>
      </c>
      <c r="K20" s="1148">
        <f t="shared" si="0"/>
        <v>1416012.0053315589</v>
      </c>
      <c r="L20" s="1121"/>
      <c r="M20" s="1121"/>
    </row>
    <row r="21" spans="1:13" ht="30" customHeight="1">
      <c r="A21" s="1149" t="s">
        <v>921</v>
      </c>
      <c r="B21" s="1145">
        <v>0</v>
      </c>
      <c r="C21" s="1145">
        <v>0</v>
      </c>
      <c r="D21" s="1145">
        <v>0</v>
      </c>
      <c r="E21" s="1145">
        <v>0</v>
      </c>
      <c r="F21" s="1145">
        <v>0</v>
      </c>
      <c r="G21" s="1145">
        <v>8628</v>
      </c>
      <c r="H21" s="1145">
        <v>0</v>
      </c>
      <c r="I21" s="1145">
        <v>0</v>
      </c>
      <c r="J21" s="1147">
        <v>0</v>
      </c>
      <c r="K21" s="1148">
        <f t="shared" si="0"/>
        <v>8628</v>
      </c>
      <c r="L21" s="1121"/>
      <c r="M21" s="1121"/>
    </row>
    <row r="22" spans="1:13" ht="30" customHeight="1">
      <c r="A22" s="1149" t="s">
        <v>827</v>
      </c>
      <c r="B22" s="1145">
        <v>0</v>
      </c>
      <c r="C22" s="1145">
        <v>0</v>
      </c>
      <c r="D22" s="1145">
        <v>0</v>
      </c>
      <c r="E22" s="1145">
        <v>0</v>
      </c>
      <c r="F22" s="1145">
        <v>0</v>
      </c>
      <c r="G22" s="1145">
        <v>0</v>
      </c>
      <c r="H22" s="1145">
        <v>169414.94489000001</v>
      </c>
      <c r="I22" s="1145">
        <v>0</v>
      </c>
      <c r="J22" s="1147">
        <v>0</v>
      </c>
      <c r="K22" s="1148">
        <f t="shared" si="0"/>
        <v>169414.94489000001</v>
      </c>
      <c r="L22" s="1121"/>
      <c r="M22" s="1121"/>
    </row>
    <row r="23" spans="1:13" ht="30" customHeight="1">
      <c r="A23" s="1149" t="s">
        <v>698</v>
      </c>
      <c r="B23" s="1145">
        <v>0</v>
      </c>
      <c r="C23" s="1145">
        <v>0</v>
      </c>
      <c r="D23" s="1145">
        <v>0</v>
      </c>
      <c r="E23" s="1145">
        <v>328435.37086999998</v>
      </c>
      <c r="F23" s="1145">
        <v>0</v>
      </c>
      <c r="G23" s="1145">
        <v>0</v>
      </c>
      <c r="H23" s="1145">
        <v>0</v>
      </c>
      <c r="I23" s="1145">
        <v>0</v>
      </c>
      <c r="J23" s="1147">
        <v>0</v>
      </c>
      <c r="K23" s="1148">
        <f t="shared" si="0"/>
        <v>328435.37086999998</v>
      </c>
      <c r="L23" s="1121"/>
      <c r="M23" s="1121"/>
    </row>
    <row r="24" spans="1:13" ht="30" customHeight="1">
      <c r="A24" s="1149" t="s">
        <v>699</v>
      </c>
      <c r="B24" s="1145">
        <v>0</v>
      </c>
      <c r="C24" s="1145">
        <v>0</v>
      </c>
      <c r="D24" s="1145">
        <v>0</v>
      </c>
      <c r="E24" s="1145">
        <v>774584.08808000002</v>
      </c>
      <c r="F24" s="1145">
        <v>0</v>
      </c>
      <c r="G24" s="1145">
        <v>0</v>
      </c>
      <c r="H24" s="1145">
        <v>0</v>
      </c>
      <c r="I24" s="1145">
        <v>0</v>
      </c>
      <c r="J24" s="1147">
        <v>0</v>
      </c>
      <c r="K24" s="1148">
        <f t="shared" si="0"/>
        <v>774584.08808000002</v>
      </c>
      <c r="L24" s="1121"/>
      <c r="M24" s="1121"/>
    </row>
    <row r="25" spans="1:13" ht="30" customHeight="1">
      <c r="A25" s="1149" t="s">
        <v>700</v>
      </c>
      <c r="B25" s="1145">
        <v>0</v>
      </c>
      <c r="C25" s="1145">
        <v>0</v>
      </c>
      <c r="D25" s="1145">
        <v>0</v>
      </c>
      <c r="E25" s="1145">
        <v>0</v>
      </c>
      <c r="F25" s="1145">
        <v>551609.36265000002</v>
      </c>
      <c r="G25" s="1145">
        <v>0</v>
      </c>
      <c r="H25" s="1145">
        <v>0</v>
      </c>
      <c r="I25" s="1145">
        <v>0</v>
      </c>
      <c r="J25" s="1147">
        <v>0</v>
      </c>
      <c r="K25" s="1148">
        <f t="shared" si="0"/>
        <v>551609.36265000002</v>
      </c>
      <c r="L25" s="1121"/>
      <c r="M25" s="1121"/>
    </row>
    <row r="26" spans="1:13" ht="30" customHeight="1">
      <c r="A26" s="1149" t="s">
        <v>701</v>
      </c>
      <c r="B26" s="1145">
        <v>0</v>
      </c>
      <c r="C26" s="1145">
        <v>0</v>
      </c>
      <c r="D26" s="1145">
        <v>0</v>
      </c>
      <c r="E26" s="1145">
        <v>0</v>
      </c>
      <c r="F26" s="1145">
        <v>685910.86210000003</v>
      </c>
      <c r="G26" s="1145">
        <v>0</v>
      </c>
      <c r="H26" s="1145">
        <v>0</v>
      </c>
      <c r="I26" s="1145">
        <v>0</v>
      </c>
      <c r="J26" s="1147">
        <v>0</v>
      </c>
      <c r="K26" s="1148">
        <f t="shared" si="0"/>
        <v>685910.86210000003</v>
      </c>
      <c r="L26" s="1121"/>
      <c r="M26" s="1121"/>
    </row>
    <row r="27" spans="1:13" ht="30" customHeight="1">
      <c r="A27" s="1149" t="s">
        <v>702</v>
      </c>
      <c r="B27" s="1145">
        <v>0</v>
      </c>
      <c r="C27" s="1145">
        <v>0</v>
      </c>
      <c r="D27" s="1145">
        <v>0</v>
      </c>
      <c r="E27" s="1145">
        <v>0</v>
      </c>
      <c r="F27" s="1145">
        <v>12159.20839</v>
      </c>
      <c r="G27" s="1145">
        <v>0</v>
      </c>
      <c r="H27" s="1145">
        <v>0</v>
      </c>
      <c r="I27" s="1145">
        <v>0</v>
      </c>
      <c r="J27" s="1147">
        <v>0</v>
      </c>
      <c r="K27" s="1148">
        <f t="shared" si="0"/>
        <v>12159.20839</v>
      </c>
      <c r="L27" s="1121"/>
      <c r="M27" s="1121"/>
    </row>
    <row r="28" spans="1:13" ht="30" customHeight="1">
      <c r="A28" s="1149" t="s">
        <v>147</v>
      </c>
      <c r="B28" s="1138">
        <f>SUM(B29:B32)</f>
        <v>937130.657996636</v>
      </c>
      <c r="C28" s="1139">
        <v>222467.74833999999</v>
      </c>
      <c r="D28" s="1140">
        <v>358706.68692386901</v>
      </c>
      <c r="E28" s="1139">
        <f>SUM(E29:E34)</f>
        <v>2687102.6963299997</v>
      </c>
      <c r="F28" s="1139">
        <f>SUM(F29:F34)</f>
        <v>2024530.58873</v>
      </c>
      <c r="G28" s="1141">
        <f>SUM(G29:G32)</f>
        <v>732081</v>
      </c>
      <c r="H28" s="1139">
        <v>0</v>
      </c>
      <c r="I28" s="1139">
        <v>0</v>
      </c>
      <c r="J28" s="1142">
        <v>498168</v>
      </c>
      <c r="K28" s="1143">
        <f t="shared" si="0"/>
        <v>7460187.3783205049</v>
      </c>
      <c r="L28" s="1121"/>
      <c r="M28" s="1121"/>
    </row>
    <row r="29" spans="1:13" ht="30" customHeight="1">
      <c r="A29" s="1149" t="s">
        <v>703</v>
      </c>
      <c r="B29" s="1144">
        <v>368503.88293038501</v>
      </c>
      <c r="C29" s="1145">
        <v>0</v>
      </c>
      <c r="D29" s="1146">
        <v>0</v>
      </c>
      <c r="E29" s="1145">
        <v>1078964.6791599998</v>
      </c>
      <c r="F29" s="1145">
        <v>1546681.90961</v>
      </c>
      <c r="G29" s="1145">
        <v>361946</v>
      </c>
      <c r="H29" s="1145">
        <v>0</v>
      </c>
      <c r="I29" s="1145">
        <v>0</v>
      </c>
      <c r="J29" s="1147">
        <v>0</v>
      </c>
      <c r="K29" s="1148">
        <f t="shared" si="0"/>
        <v>3356096.4717003847</v>
      </c>
      <c r="L29" s="1121"/>
      <c r="M29" s="1121"/>
    </row>
    <row r="30" spans="1:13" ht="30" customHeight="1">
      <c r="A30" s="1149" t="s">
        <v>704</v>
      </c>
      <c r="B30" s="1144">
        <v>212738.86996734401</v>
      </c>
      <c r="C30" s="1145">
        <v>0</v>
      </c>
      <c r="D30" s="1146">
        <v>0</v>
      </c>
      <c r="E30" s="1145">
        <v>0</v>
      </c>
      <c r="F30" s="1145">
        <v>0</v>
      </c>
      <c r="G30" s="1145">
        <v>125769</v>
      </c>
      <c r="H30" s="1145">
        <v>0</v>
      </c>
      <c r="I30" s="1145">
        <v>0</v>
      </c>
      <c r="J30" s="1147">
        <v>0</v>
      </c>
      <c r="K30" s="1148">
        <f t="shared" si="0"/>
        <v>338507.86996734398</v>
      </c>
      <c r="L30" s="1121"/>
      <c r="M30" s="1121"/>
    </row>
    <row r="31" spans="1:13" ht="30" customHeight="1">
      <c r="A31" s="1149" t="s">
        <v>705</v>
      </c>
      <c r="B31" s="1144">
        <v>288518.672974566</v>
      </c>
      <c r="C31" s="1145">
        <v>0</v>
      </c>
      <c r="D31" s="1146">
        <v>0</v>
      </c>
      <c r="E31" s="1145">
        <v>0</v>
      </c>
      <c r="F31" s="1145">
        <v>0</v>
      </c>
      <c r="G31" s="1145">
        <v>0</v>
      </c>
      <c r="H31" s="1145">
        <v>0</v>
      </c>
      <c r="I31" s="1145">
        <v>0</v>
      </c>
      <c r="J31" s="1147">
        <v>0</v>
      </c>
      <c r="K31" s="1148">
        <f t="shared" si="0"/>
        <v>288518.672974566</v>
      </c>
      <c r="L31" s="1121"/>
      <c r="M31" s="1121"/>
    </row>
    <row r="32" spans="1:13" ht="30" customHeight="1">
      <c r="A32" s="1149" t="s">
        <v>706</v>
      </c>
      <c r="B32" s="1144">
        <v>67369.232124340997</v>
      </c>
      <c r="C32" s="1145">
        <v>0</v>
      </c>
      <c r="D32" s="1146">
        <v>0</v>
      </c>
      <c r="E32" s="1145">
        <v>236788.73862000002</v>
      </c>
      <c r="F32" s="1145">
        <v>164573.99004</v>
      </c>
      <c r="G32" s="1145">
        <v>244366</v>
      </c>
      <c r="H32" s="1145">
        <v>0</v>
      </c>
      <c r="I32" s="1145">
        <v>0</v>
      </c>
      <c r="J32" s="1147">
        <v>0</v>
      </c>
      <c r="K32" s="1148">
        <f t="shared" si="0"/>
        <v>713097.96078434098</v>
      </c>
      <c r="L32" s="1121"/>
      <c r="M32" s="1121"/>
    </row>
    <row r="33" spans="1:15" ht="30" customHeight="1">
      <c r="A33" s="1149" t="s">
        <v>707</v>
      </c>
      <c r="B33" s="1144">
        <v>0</v>
      </c>
      <c r="C33" s="1145">
        <v>0</v>
      </c>
      <c r="D33" s="1146">
        <v>0</v>
      </c>
      <c r="E33" s="1145">
        <v>862681.72851000004</v>
      </c>
      <c r="F33" s="1145">
        <v>313274.68907999998</v>
      </c>
      <c r="G33" s="1145">
        <v>0</v>
      </c>
      <c r="H33" s="1145">
        <v>0</v>
      </c>
      <c r="I33" s="1145">
        <v>0</v>
      </c>
      <c r="J33" s="1147">
        <v>0</v>
      </c>
      <c r="K33" s="1148">
        <f t="shared" si="0"/>
        <v>1175956.41759</v>
      </c>
      <c r="L33" s="1121"/>
      <c r="M33" s="1121"/>
    </row>
    <row r="34" spans="1:15" ht="30" customHeight="1">
      <c r="A34" s="1149" t="s">
        <v>708</v>
      </c>
      <c r="B34" s="1144">
        <v>0</v>
      </c>
      <c r="C34" s="1145">
        <v>0</v>
      </c>
      <c r="D34" s="1146">
        <v>0</v>
      </c>
      <c r="E34" s="1145">
        <v>508667.55003999994</v>
      </c>
      <c r="F34" s="1145">
        <v>0</v>
      </c>
      <c r="G34" s="1145">
        <v>0</v>
      </c>
      <c r="H34" s="1145">
        <v>0</v>
      </c>
      <c r="I34" s="1145">
        <v>0</v>
      </c>
      <c r="J34" s="1147">
        <v>0</v>
      </c>
      <c r="K34" s="1148">
        <f t="shared" si="0"/>
        <v>508667.55003999994</v>
      </c>
      <c r="L34" s="1121"/>
      <c r="M34" s="1121"/>
    </row>
    <row r="35" spans="1:15" ht="30" customHeight="1">
      <c r="A35" s="1149" t="s">
        <v>148</v>
      </c>
      <c r="B35" s="1153">
        <v>208058.28622128404</v>
      </c>
      <c r="C35" s="1154">
        <v>0</v>
      </c>
      <c r="D35" s="1155">
        <v>128154.090811459</v>
      </c>
      <c r="E35" s="1154">
        <v>975838.36939999997</v>
      </c>
      <c r="F35" s="1154">
        <v>674699.68589999992</v>
      </c>
      <c r="G35" s="1156">
        <v>0</v>
      </c>
      <c r="H35" s="1154">
        <v>0</v>
      </c>
      <c r="I35" s="1154">
        <v>0</v>
      </c>
      <c r="J35" s="1157">
        <v>0</v>
      </c>
      <c r="K35" s="1143">
        <f t="shared" si="0"/>
        <v>1986750.432332743</v>
      </c>
      <c r="L35" s="1121"/>
      <c r="M35" s="1121"/>
    </row>
    <row r="36" spans="1:15" ht="30" customHeight="1">
      <c r="A36" s="1149" t="s">
        <v>481</v>
      </c>
      <c r="B36" s="1153">
        <v>294415.46639977</v>
      </c>
      <c r="C36" s="1154">
        <v>0</v>
      </c>
      <c r="D36" s="1155">
        <v>0</v>
      </c>
      <c r="E36" s="1154">
        <v>408596.36415000004</v>
      </c>
      <c r="F36" s="1154">
        <v>0</v>
      </c>
      <c r="G36" s="1156">
        <v>0</v>
      </c>
      <c r="H36" s="1154">
        <v>0</v>
      </c>
      <c r="I36" s="1154">
        <v>0</v>
      </c>
      <c r="J36" s="1157">
        <v>0</v>
      </c>
      <c r="K36" s="1143">
        <f t="shared" si="0"/>
        <v>703011.83054977003</v>
      </c>
      <c r="L36" s="1121"/>
      <c r="M36" s="1121"/>
      <c r="O36" s="1158" t="s">
        <v>0</v>
      </c>
    </row>
    <row r="37" spans="1:15" ht="30" customHeight="1">
      <c r="A37" s="1149" t="s">
        <v>149</v>
      </c>
      <c r="B37" s="1153">
        <v>0</v>
      </c>
      <c r="C37" s="1154">
        <v>0</v>
      </c>
      <c r="D37" s="1155">
        <v>0</v>
      </c>
      <c r="E37" s="1154">
        <v>0</v>
      </c>
      <c r="F37" s="1154">
        <v>67037.554299999989</v>
      </c>
      <c r="G37" s="1156">
        <v>191491</v>
      </c>
      <c r="H37" s="1154">
        <v>0</v>
      </c>
      <c r="I37" s="1154">
        <v>0</v>
      </c>
      <c r="J37" s="1157">
        <v>0</v>
      </c>
      <c r="K37" s="1143">
        <f t="shared" si="0"/>
        <v>258528.55429999999</v>
      </c>
      <c r="L37" s="1121"/>
      <c r="M37" s="1121"/>
      <c r="O37" s="1158" t="s">
        <v>0</v>
      </c>
    </row>
    <row r="38" spans="1:15" ht="30" customHeight="1">
      <c r="A38" s="1149" t="s">
        <v>150</v>
      </c>
      <c r="B38" s="1153">
        <v>70044.018678835011</v>
      </c>
      <c r="C38" s="1154">
        <v>20675.474920000001</v>
      </c>
      <c r="D38" s="1155">
        <v>0</v>
      </c>
      <c r="E38" s="1154">
        <v>435622.62813999999</v>
      </c>
      <c r="F38" s="1154">
        <v>136024.73127000002</v>
      </c>
      <c r="G38" s="1156">
        <v>210216</v>
      </c>
      <c r="H38" s="1154">
        <v>0</v>
      </c>
      <c r="I38" s="1154">
        <v>0</v>
      </c>
      <c r="J38" s="1157">
        <v>0</v>
      </c>
      <c r="K38" s="1143">
        <f t="shared" si="0"/>
        <v>872582.85300883499</v>
      </c>
      <c r="L38" s="1121"/>
      <c r="M38" s="1121"/>
    </row>
    <row r="39" spans="1:15" ht="30" customHeight="1">
      <c r="A39" s="1149" t="s">
        <v>709</v>
      </c>
      <c r="B39" s="1153">
        <v>0</v>
      </c>
      <c r="C39" s="1154">
        <v>0</v>
      </c>
      <c r="D39" s="1155">
        <v>0</v>
      </c>
      <c r="E39" s="1154">
        <v>367131.37261999998</v>
      </c>
      <c r="F39" s="1154">
        <v>0</v>
      </c>
      <c r="G39" s="1156">
        <v>26982</v>
      </c>
      <c r="H39" s="1154">
        <v>0</v>
      </c>
      <c r="I39" s="1154">
        <v>0</v>
      </c>
      <c r="J39" s="1157">
        <v>0</v>
      </c>
      <c r="K39" s="1143">
        <f t="shared" si="0"/>
        <v>394113.37261999998</v>
      </c>
      <c r="L39" s="1121"/>
      <c r="M39" s="1121"/>
    </row>
    <row r="40" spans="1:15" ht="30" customHeight="1">
      <c r="A40" s="1149" t="s">
        <v>151</v>
      </c>
      <c r="B40" s="1138">
        <f>SUM(B41:B42)</f>
        <v>453350.30801452405</v>
      </c>
      <c r="C40" s="1139">
        <v>0</v>
      </c>
      <c r="D40" s="1140">
        <v>94589.650698920988</v>
      </c>
      <c r="E40" s="1139">
        <f>SUM(E41:E43)</f>
        <v>868632.32686999987</v>
      </c>
      <c r="F40" s="1139">
        <v>0</v>
      </c>
      <c r="G40" s="1141">
        <v>95038</v>
      </c>
      <c r="H40" s="1139">
        <v>0</v>
      </c>
      <c r="I40" s="1139">
        <v>0</v>
      </c>
      <c r="J40" s="1142">
        <v>303445</v>
      </c>
      <c r="K40" s="1143">
        <f t="shared" si="0"/>
        <v>1815055.2855834449</v>
      </c>
      <c r="L40" s="1121"/>
      <c r="M40" s="1121"/>
    </row>
    <row r="41" spans="1:15" ht="30" customHeight="1">
      <c r="A41" s="1149" t="s">
        <v>710</v>
      </c>
      <c r="B41" s="1144">
        <v>253655.73535973701</v>
      </c>
      <c r="C41" s="1145">
        <v>0</v>
      </c>
      <c r="D41" s="1146">
        <v>0</v>
      </c>
      <c r="E41" s="1145">
        <v>0</v>
      </c>
      <c r="F41" s="1145">
        <v>0</v>
      </c>
      <c r="G41" s="1145">
        <v>0</v>
      </c>
      <c r="H41" s="1145">
        <v>0</v>
      </c>
      <c r="I41" s="1145">
        <v>0</v>
      </c>
      <c r="J41" s="1147">
        <v>0</v>
      </c>
      <c r="K41" s="1148">
        <f t="shared" si="0"/>
        <v>253655.73535973701</v>
      </c>
      <c r="L41" s="1121"/>
      <c r="M41" s="1121"/>
    </row>
    <row r="42" spans="1:15" ht="30" customHeight="1">
      <c r="A42" s="1149" t="s">
        <v>711</v>
      </c>
      <c r="B42" s="1144">
        <v>199694.57265478701</v>
      </c>
      <c r="C42" s="1145">
        <v>0</v>
      </c>
      <c r="D42" s="1146">
        <v>0</v>
      </c>
      <c r="E42" s="1145">
        <v>539292.71556999988</v>
      </c>
      <c r="F42" s="1145">
        <v>0</v>
      </c>
      <c r="G42" s="1145">
        <v>0</v>
      </c>
      <c r="H42" s="1145">
        <v>0</v>
      </c>
      <c r="I42" s="1145">
        <v>0</v>
      </c>
      <c r="J42" s="1147">
        <v>0</v>
      </c>
      <c r="K42" s="1148">
        <f t="shared" ref="K42:K74" si="1">SUM(B42:J42)</f>
        <v>738987.28822478687</v>
      </c>
      <c r="L42" s="1121"/>
      <c r="M42" s="1121"/>
    </row>
    <row r="43" spans="1:15" ht="30" customHeight="1">
      <c r="A43" s="1149" t="s">
        <v>712</v>
      </c>
      <c r="B43" s="1144">
        <v>0</v>
      </c>
      <c r="C43" s="1145">
        <v>0</v>
      </c>
      <c r="D43" s="1146">
        <v>0</v>
      </c>
      <c r="E43" s="1145">
        <v>329339.61129999999</v>
      </c>
      <c r="F43" s="1145">
        <v>0</v>
      </c>
      <c r="G43" s="1145">
        <v>0</v>
      </c>
      <c r="H43" s="1145">
        <v>0</v>
      </c>
      <c r="I43" s="1145">
        <v>0</v>
      </c>
      <c r="J43" s="1147">
        <v>0</v>
      </c>
      <c r="K43" s="1148">
        <f t="shared" si="1"/>
        <v>329339.61129999999</v>
      </c>
      <c r="L43" s="1121"/>
      <c r="M43" s="1121"/>
    </row>
    <row r="44" spans="1:15" ht="30" customHeight="1">
      <c r="A44" s="1149" t="s">
        <v>508</v>
      </c>
      <c r="B44" s="1153">
        <v>0</v>
      </c>
      <c r="C44" s="1154">
        <v>0</v>
      </c>
      <c r="D44" s="1155">
        <v>0</v>
      </c>
      <c r="E44" s="1154">
        <v>0</v>
      </c>
      <c r="F44" s="1154">
        <v>527851.49038999993</v>
      </c>
      <c r="G44" s="1156">
        <v>0</v>
      </c>
      <c r="H44" s="1154">
        <v>0</v>
      </c>
      <c r="I44" s="1154">
        <v>0</v>
      </c>
      <c r="J44" s="1157">
        <v>0</v>
      </c>
      <c r="K44" s="1143">
        <f t="shared" si="1"/>
        <v>527851.49038999993</v>
      </c>
      <c r="L44" s="1121"/>
      <c r="M44" s="1121"/>
    </row>
    <row r="45" spans="1:15" ht="30" customHeight="1">
      <c r="A45" s="1149" t="s">
        <v>152</v>
      </c>
      <c r="B45" s="1153">
        <v>0</v>
      </c>
      <c r="C45" s="1154">
        <v>0</v>
      </c>
      <c r="D45" s="1155">
        <v>0</v>
      </c>
      <c r="E45" s="1154">
        <v>386253.07764999999</v>
      </c>
      <c r="F45" s="1154">
        <v>0</v>
      </c>
      <c r="G45" s="1156">
        <v>23185</v>
      </c>
      <c r="H45" s="1154">
        <v>0</v>
      </c>
      <c r="I45" s="1154">
        <v>0</v>
      </c>
      <c r="J45" s="1157">
        <v>0</v>
      </c>
      <c r="K45" s="1143">
        <f t="shared" si="1"/>
        <v>409438.07764999999</v>
      </c>
      <c r="L45" s="1121"/>
      <c r="M45" s="1121"/>
    </row>
    <row r="46" spans="1:15" ht="30" customHeight="1">
      <c r="A46" s="1149" t="s">
        <v>153</v>
      </c>
      <c r="B46" s="1153">
        <v>0</v>
      </c>
      <c r="C46" s="1154">
        <v>0</v>
      </c>
      <c r="D46" s="1155">
        <v>0</v>
      </c>
      <c r="E46" s="1154">
        <v>0</v>
      </c>
      <c r="F46" s="1154">
        <v>0</v>
      </c>
      <c r="G46" s="1156">
        <v>0</v>
      </c>
      <c r="H46" s="1154">
        <v>0</v>
      </c>
      <c r="I46" s="1154">
        <v>0</v>
      </c>
      <c r="J46" s="1157">
        <v>0</v>
      </c>
      <c r="K46" s="1143">
        <f t="shared" si="1"/>
        <v>0</v>
      </c>
      <c r="L46" s="1121"/>
      <c r="M46" s="1121"/>
    </row>
    <row r="47" spans="1:15" ht="30" customHeight="1">
      <c r="A47" s="1149" t="s">
        <v>154</v>
      </c>
      <c r="B47" s="1153">
        <v>0</v>
      </c>
      <c r="C47" s="1154">
        <v>0</v>
      </c>
      <c r="D47" s="1155">
        <v>0</v>
      </c>
      <c r="E47" s="1154">
        <v>174657.74276999998</v>
      </c>
      <c r="F47" s="1154">
        <v>0</v>
      </c>
      <c r="G47" s="1156">
        <v>0</v>
      </c>
      <c r="H47" s="1154">
        <v>0</v>
      </c>
      <c r="I47" s="1154">
        <v>0</v>
      </c>
      <c r="J47" s="1157">
        <v>0</v>
      </c>
      <c r="K47" s="1143">
        <f t="shared" si="1"/>
        <v>174657.74276999998</v>
      </c>
      <c r="L47" s="1121"/>
      <c r="M47" s="1121"/>
    </row>
    <row r="48" spans="1:15" ht="30" customHeight="1">
      <c r="A48" s="1149" t="s">
        <v>713</v>
      </c>
      <c r="B48" s="1153">
        <v>0</v>
      </c>
      <c r="C48" s="1154">
        <v>0</v>
      </c>
      <c r="D48" s="1155">
        <v>0</v>
      </c>
      <c r="E48" s="1154">
        <v>0</v>
      </c>
      <c r="F48" s="1154">
        <v>0</v>
      </c>
      <c r="G48" s="1156">
        <v>0</v>
      </c>
      <c r="H48" s="1154">
        <v>0</v>
      </c>
      <c r="I48" s="1154">
        <v>0</v>
      </c>
      <c r="J48" s="1157">
        <v>0</v>
      </c>
      <c r="K48" s="1143">
        <f t="shared" si="1"/>
        <v>0</v>
      </c>
      <c r="L48" s="1121"/>
      <c r="M48" s="1121"/>
    </row>
    <row r="49" spans="1:15" ht="30" customHeight="1">
      <c r="A49" s="1149" t="s">
        <v>494</v>
      </c>
      <c r="B49" s="1153">
        <v>0</v>
      </c>
      <c r="C49" s="1154">
        <v>0</v>
      </c>
      <c r="D49" s="1155">
        <v>0</v>
      </c>
      <c r="E49" s="1154">
        <v>0</v>
      </c>
      <c r="F49" s="1154">
        <v>0</v>
      </c>
      <c r="G49" s="1156">
        <v>215076</v>
      </c>
      <c r="H49" s="1154">
        <v>0</v>
      </c>
      <c r="I49" s="1154">
        <v>0</v>
      </c>
      <c r="J49" s="1157">
        <v>0</v>
      </c>
      <c r="K49" s="1143">
        <f t="shared" si="1"/>
        <v>215076</v>
      </c>
      <c r="L49" s="1121"/>
      <c r="M49" s="1121"/>
    </row>
    <row r="50" spans="1:15" ht="30" customHeight="1">
      <c r="A50" s="1149" t="s">
        <v>155</v>
      </c>
      <c r="B50" s="1153">
        <v>169720.99492375</v>
      </c>
      <c r="C50" s="1154">
        <v>97232.165489999999</v>
      </c>
      <c r="D50" s="1155">
        <v>130255.85093086898</v>
      </c>
      <c r="E50" s="1154">
        <v>0</v>
      </c>
      <c r="F50" s="1154">
        <v>0</v>
      </c>
      <c r="G50" s="1156">
        <v>0</v>
      </c>
      <c r="H50" s="1154">
        <v>0</v>
      </c>
      <c r="I50" s="1154">
        <v>0</v>
      </c>
      <c r="J50" s="1157">
        <v>0</v>
      </c>
      <c r="K50" s="1143">
        <f t="shared" si="1"/>
        <v>397209.01134461898</v>
      </c>
      <c r="L50" s="1121"/>
      <c r="M50" s="1121"/>
    </row>
    <row r="51" spans="1:15" ht="30" customHeight="1">
      <c r="A51" s="1149" t="s">
        <v>156</v>
      </c>
      <c r="B51" s="1153">
        <v>0</v>
      </c>
      <c r="C51" s="1154">
        <v>0</v>
      </c>
      <c r="D51" s="1155">
        <v>0</v>
      </c>
      <c r="E51" s="1154">
        <v>0</v>
      </c>
      <c r="F51" s="1154">
        <v>633360.39364999998</v>
      </c>
      <c r="G51" s="1156">
        <v>0</v>
      </c>
      <c r="H51" s="1154">
        <v>0</v>
      </c>
      <c r="I51" s="1154">
        <v>0</v>
      </c>
      <c r="J51" s="1157">
        <v>0</v>
      </c>
      <c r="K51" s="1143">
        <f t="shared" si="1"/>
        <v>633360.39364999998</v>
      </c>
      <c r="L51" s="1121"/>
      <c r="M51" s="1121"/>
    </row>
    <row r="52" spans="1:15" ht="30" customHeight="1">
      <c r="A52" s="1149" t="s">
        <v>492</v>
      </c>
      <c r="B52" s="1153">
        <v>124207.44989154198</v>
      </c>
      <c r="C52" s="1154">
        <v>0</v>
      </c>
      <c r="D52" s="1155">
        <v>0</v>
      </c>
      <c r="E52" s="1154">
        <v>0</v>
      </c>
      <c r="F52" s="1154">
        <v>0</v>
      </c>
      <c r="G52" s="1156">
        <v>0</v>
      </c>
      <c r="H52" s="1154">
        <v>0</v>
      </c>
      <c r="I52" s="1154">
        <v>0</v>
      </c>
      <c r="J52" s="1157">
        <v>0</v>
      </c>
      <c r="K52" s="1143">
        <f t="shared" si="1"/>
        <v>124207.44989154198</v>
      </c>
      <c r="L52" s="1121"/>
      <c r="M52" s="1121"/>
    </row>
    <row r="53" spans="1:15" ht="30" customHeight="1">
      <c r="A53" s="1149" t="s">
        <v>646</v>
      </c>
      <c r="B53" s="1153">
        <v>0</v>
      </c>
      <c r="C53" s="1154">
        <v>0</v>
      </c>
      <c r="D53" s="1155">
        <v>0</v>
      </c>
      <c r="E53" s="1154">
        <v>0</v>
      </c>
      <c r="F53" s="1154">
        <v>256189.70122999998</v>
      </c>
      <c r="G53" s="1156">
        <v>0</v>
      </c>
      <c r="H53" s="1154">
        <v>0</v>
      </c>
      <c r="I53" s="1154">
        <v>0</v>
      </c>
      <c r="J53" s="1157">
        <v>0</v>
      </c>
      <c r="K53" s="1143">
        <f t="shared" si="1"/>
        <v>256189.70122999998</v>
      </c>
      <c r="L53" s="1121"/>
      <c r="M53" s="1121"/>
    </row>
    <row r="54" spans="1:15" ht="30" customHeight="1">
      <c r="A54" s="1149" t="s">
        <v>493</v>
      </c>
      <c r="B54" s="1153">
        <v>0</v>
      </c>
      <c r="C54" s="1154">
        <v>0</v>
      </c>
      <c r="D54" s="1155">
        <v>0</v>
      </c>
      <c r="E54" s="1154">
        <v>0</v>
      </c>
      <c r="F54" s="1154">
        <v>0</v>
      </c>
      <c r="G54" s="1156">
        <v>0</v>
      </c>
      <c r="H54" s="1154">
        <v>0</v>
      </c>
      <c r="I54" s="1154">
        <v>0</v>
      </c>
      <c r="J54" s="1157">
        <v>0</v>
      </c>
      <c r="K54" s="1143">
        <f t="shared" si="1"/>
        <v>0</v>
      </c>
      <c r="L54" s="1121"/>
      <c r="M54" s="1121"/>
    </row>
    <row r="55" spans="1:15" ht="30" customHeight="1">
      <c r="A55" s="1149" t="s">
        <v>157</v>
      </c>
      <c r="B55" s="1153">
        <v>0</v>
      </c>
      <c r="C55" s="1154">
        <v>0</v>
      </c>
      <c r="D55" s="1155">
        <v>0</v>
      </c>
      <c r="E55" s="1154">
        <v>0</v>
      </c>
      <c r="F55" s="1154">
        <v>48265.179250000001</v>
      </c>
      <c r="G55" s="1156">
        <v>0</v>
      </c>
      <c r="H55" s="1154">
        <v>0</v>
      </c>
      <c r="I55" s="1154">
        <v>0</v>
      </c>
      <c r="J55" s="1157">
        <v>0</v>
      </c>
      <c r="K55" s="1143">
        <f t="shared" si="1"/>
        <v>48265.179250000001</v>
      </c>
      <c r="L55" s="1121"/>
      <c r="M55" s="1121"/>
    </row>
    <row r="56" spans="1:15" ht="30" customHeight="1">
      <c r="A56" s="1149" t="s">
        <v>158</v>
      </c>
      <c r="B56" s="1153">
        <v>0</v>
      </c>
      <c r="C56" s="1154">
        <v>0</v>
      </c>
      <c r="D56" s="1155">
        <v>0</v>
      </c>
      <c r="E56" s="1154">
        <v>0</v>
      </c>
      <c r="F56" s="1154">
        <v>619032.66817999992</v>
      </c>
      <c r="G56" s="1156">
        <v>0</v>
      </c>
      <c r="H56" s="1154">
        <v>0</v>
      </c>
      <c r="I56" s="1154">
        <v>0</v>
      </c>
      <c r="J56" s="1157">
        <v>0</v>
      </c>
      <c r="K56" s="1143">
        <f t="shared" si="1"/>
        <v>619032.66817999992</v>
      </c>
      <c r="L56" s="1121"/>
      <c r="M56" s="1121"/>
    </row>
    <row r="57" spans="1:15" ht="30" customHeight="1">
      <c r="A57" s="1149" t="s">
        <v>159</v>
      </c>
      <c r="B57" s="1153">
        <v>0</v>
      </c>
      <c r="C57" s="1154">
        <v>0</v>
      </c>
      <c r="D57" s="1155">
        <v>0</v>
      </c>
      <c r="E57" s="1154">
        <v>0</v>
      </c>
      <c r="F57" s="1154">
        <v>983619.71983000007</v>
      </c>
      <c r="G57" s="1156">
        <v>0</v>
      </c>
      <c r="H57" s="1154">
        <v>0</v>
      </c>
      <c r="I57" s="1154">
        <v>0</v>
      </c>
      <c r="J57" s="1157">
        <v>0</v>
      </c>
      <c r="K57" s="1143">
        <f t="shared" si="1"/>
        <v>983619.71983000007</v>
      </c>
      <c r="L57" s="1121"/>
      <c r="M57" s="1121"/>
    </row>
    <row r="58" spans="1:15" ht="30" customHeight="1">
      <c r="A58" s="1149" t="s">
        <v>160</v>
      </c>
      <c r="B58" s="1153">
        <v>187291.87731551702</v>
      </c>
      <c r="C58" s="1154">
        <v>0</v>
      </c>
      <c r="D58" s="1155">
        <v>0</v>
      </c>
      <c r="E58" s="1154">
        <v>388219.55896000005</v>
      </c>
      <c r="F58" s="1154">
        <v>686777.24167999998</v>
      </c>
      <c r="G58" s="1156">
        <v>0</v>
      </c>
      <c r="H58" s="1154">
        <v>0</v>
      </c>
      <c r="I58" s="1154">
        <v>0</v>
      </c>
      <c r="J58" s="1157">
        <v>0</v>
      </c>
      <c r="K58" s="1143">
        <f t="shared" si="1"/>
        <v>1262288.6779555171</v>
      </c>
      <c r="L58" s="1121"/>
      <c r="M58" s="1121"/>
    </row>
    <row r="59" spans="1:15" ht="30" customHeight="1">
      <c r="A59" s="1149" t="s">
        <v>161</v>
      </c>
      <c r="B59" s="1153">
        <v>0</v>
      </c>
      <c r="C59" s="1154">
        <v>0</v>
      </c>
      <c r="D59" s="1155">
        <v>0</v>
      </c>
      <c r="E59" s="1154">
        <v>511108.72592</v>
      </c>
      <c r="F59" s="1154">
        <v>703336.48638999998</v>
      </c>
      <c r="G59" s="1156">
        <v>0</v>
      </c>
      <c r="H59" s="1154">
        <v>0</v>
      </c>
      <c r="I59" s="1154">
        <v>0</v>
      </c>
      <c r="J59" s="1157">
        <v>0</v>
      </c>
      <c r="K59" s="1143">
        <f t="shared" si="1"/>
        <v>1214445.2123099999</v>
      </c>
      <c r="L59" s="1121"/>
      <c r="M59" s="1121"/>
    </row>
    <row r="60" spans="1:15" ht="30" customHeight="1">
      <c r="A60" s="1159" t="s">
        <v>162</v>
      </c>
      <c r="B60" s="1160">
        <v>0</v>
      </c>
      <c r="C60" s="1160">
        <v>0</v>
      </c>
      <c r="D60" s="1160">
        <v>0</v>
      </c>
      <c r="E60" s="1160">
        <v>99207.899739999993</v>
      </c>
      <c r="F60" s="1160">
        <v>335232.06122000003</v>
      </c>
      <c r="G60" s="1161">
        <v>0</v>
      </c>
      <c r="H60" s="1160">
        <v>0</v>
      </c>
      <c r="I60" s="1160">
        <v>0</v>
      </c>
      <c r="J60" s="1162">
        <v>0</v>
      </c>
      <c r="K60" s="1143">
        <f t="shared" si="1"/>
        <v>434439.96096000005</v>
      </c>
      <c r="O60" s="1118" t="s">
        <v>0</v>
      </c>
    </row>
    <row r="61" spans="1:15" ht="30" customHeight="1">
      <c r="A61" s="1159" t="s">
        <v>163</v>
      </c>
      <c r="B61" s="1160">
        <v>0</v>
      </c>
      <c r="C61" s="1160">
        <v>0</v>
      </c>
      <c r="D61" s="1160">
        <v>0</v>
      </c>
      <c r="E61" s="1160">
        <v>0</v>
      </c>
      <c r="F61" s="1160">
        <v>38494.85441</v>
      </c>
      <c r="G61" s="1161">
        <v>0</v>
      </c>
      <c r="H61" s="1160">
        <v>0</v>
      </c>
      <c r="I61" s="1160">
        <v>0</v>
      </c>
      <c r="J61" s="1162">
        <v>0</v>
      </c>
      <c r="K61" s="1143">
        <f t="shared" si="1"/>
        <v>38494.85441</v>
      </c>
    </row>
    <row r="62" spans="1:15" ht="30" customHeight="1">
      <c r="A62" s="1159" t="s">
        <v>164</v>
      </c>
      <c r="B62" s="1160">
        <v>0</v>
      </c>
      <c r="C62" s="1160">
        <v>0</v>
      </c>
      <c r="D62" s="1160">
        <v>0</v>
      </c>
      <c r="E62" s="1160">
        <v>0</v>
      </c>
      <c r="F62" s="1160">
        <v>326748.32084</v>
      </c>
      <c r="G62" s="1161">
        <v>0</v>
      </c>
      <c r="H62" s="1160">
        <v>0</v>
      </c>
      <c r="I62" s="1160">
        <v>0</v>
      </c>
      <c r="J62" s="1162">
        <v>0</v>
      </c>
      <c r="K62" s="1143">
        <f t="shared" si="1"/>
        <v>326748.32084</v>
      </c>
    </row>
    <row r="63" spans="1:15" ht="30" customHeight="1">
      <c r="A63" s="1159" t="s">
        <v>165</v>
      </c>
      <c r="B63" s="1160">
        <v>0</v>
      </c>
      <c r="C63" s="1160">
        <v>0</v>
      </c>
      <c r="D63" s="1160">
        <v>0</v>
      </c>
      <c r="E63" s="1160">
        <v>381941.02110000001</v>
      </c>
      <c r="F63" s="1160">
        <v>517199.68004000001</v>
      </c>
      <c r="G63" s="1161">
        <v>0</v>
      </c>
      <c r="H63" s="1160">
        <v>0</v>
      </c>
      <c r="I63" s="1160">
        <v>0</v>
      </c>
      <c r="J63" s="1162">
        <v>0</v>
      </c>
      <c r="K63" s="1143">
        <f t="shared" si="1"/>
        <v>899140.70114000002</v>
      </c>
    </row>
    <row r="64" spans="1:15" ht="30" customHeight="1">
      <c r="A64" s="1159" t="s">
        <v>166</v>
      </c>
      <c r="B64" s="1160">
        <v>0</v>
      </c>
      <c r="C64" s="1160">
        <v>0</v>
      </c>
      <c r="D64" s="1160">
        <v>0</v>
      </c>
      <c r="E64" s="1160">
        <v>0</v>
      </c>
      <c r="F64" s="1160">
        <v>244820.29925000001</v>
      </c>
      <c r="G64" s="1161">
        <v>0</v>
      </c>
      <c r="H64" s="1160">
        <v>0</v>
      </c>
      <c r="I64" s="1160">
        <v>0</v>
      </c>
      <c r="J64" s="1162">
        <v>0</v>
      </c>
      <c r="K64" s="1143">
        <f t="shared" si="1"/>
        <v>244820.29925000001</v>
      </c>
    </row>
    <row r="65" spans="1:13" ht="30" customHeight="1">
      <c r="A65" s="1159" t="s">
        <v>167</v>
      </c>
      <c r="B65" s="1160">
        <v>322052.372865577</v>
      </c>
      <c r="C65" s="1160">
        <v>0</v>
      </c>
      <c r="D65" s="1160">
        <v>0</v>
      </c>
      <c r="E65" s="1160">
        <v>308592.38594000001</v>
      </c>
      <c r="F65" s="1160">
        <v>492416.31419</v>
      </c>
      <c r="G65" s="1161">
        <v>0</v>
      </c>
      <c r="H65" s="1160">
        <v>0</v>
      </c>
      <c r="I65" s="1160">
        <v>0</v>
      </c>
      <c r="J65" s="1162">
        <v>0</v>
      </c>
      <c r="K65" s="1143">
        <f t="shared" si="1"/>
        <v>1123061.072995577</v>
      </c>
    </row>
    <row r="66" spans="1:13" ht="30" customHeight="1">
      <c r="A66" s="1163" t="s">
        <v>168</v>
      </c>
      <c r="B66" s="1160">
        <v>0</v>
      </c>
      <c r="C66" s="1160">
        <v>0</v>
      </c>
      <c r="D66" s="1160">
        <v>0</v>
      </c>
      <c r="E66" s="1160">
        <v>330055.03193</v>
      </c>
      <c r="F66" s="1160">
        <v>364570.06147000002</v>
      </c>
      <c r="G66" s="1161">
        <v>0</v>
      </c>
      <c r="H66" s="1160">
        <v>0</v>
      </c>
      <c r="I66" s="1160">
        <v>0</v>
      </c>
      <c r="J66" s="1162">
        <v>0</v>
      </c>
      <c r="K66" s="1143">
        <f t="shared" si="1"/>
        <v>694625.09340000001</v>
      </c>
    </row>
    <row r="67" spans="1:13" ht="30" customHeight="1">
      <c r="A67" s="1163" t="s">
        <v>169</v>
      </c>
      <c r="B67" s="1160">
        <v>106616.188301849</v>
      </c>
      <c r="C67" s="1160">
        <v>0</v>
      </c>
      <c r="D67" s="1160">
        <v>0</v>
      </c>
      <c r="E67" s="1160">
        <v>676894.59611000004</v>
      </c>
      <c r="F67" s="1160">
        <v>529126.24632000003</v>
      </c>
      <c r="G67" s="1161">
        <v>0</v>
      </c>
      <c r="H67" s="1160">
        <v>156468.85566999999</v>
      </c>
      <c r="I67" s="1160">
        <v>0</v>
      </c>
      <c r="J67" s="1162">
        <v>0</v>
      </c>
      <c r="K67" s="1143">
        <f t="shared" si="1"/>
        <v>1469105.8864018489</v>
      </c>
    </row>
    <row r="68" spans="1:13" ht="30" customHeight="1">
      <c r="A68" s="1163" t="s">
        <v>714</v>
      </c>
      <c r="B68" s="1160">
        <v>0</v>
      </c>
      <c r="C68" s="1160">
        <v>0</v>
      </c>
      <c r="D68" s="1160">
        <v>0</v>
      </c>
      <c r="E68" s="1160">
        <v>58.828209999999999</v>
      </c>
      <c r="F68" s="1160">
        <v>0</v>
      </c>
      <c r="G68" s="1161">
        <v>0</v>
      </c>
      <c r="H68" s="1160">
        <v>0</v>
      </c>
      <c r="I68" s="1160">
        <v>0</v>
      </c>
      <c r="J68" s="1162"/>
      <c r="K68" s="1453">
        <f t="shared" si="1"/>
        <v>58.828209999999999</v>
      </c>
    </row>
    <row r="69" spans="1:13" ht="30" customHeight="1">
      <c r="A69" s="1163" t="s">
        <v>653</v>
      </c>
      <c r="B69" s="1160">
        <v>25931.339251779002</v>
      </c>
      <c r="C69" s="1160">
        <v>39952.240810000003</v>
      </c>
      <c r="D69" s="1160">
        <v>0</v>
      </c>
      <c r="E69" s="1160">
        <v>0</v>
      </c>
      <c r="F69" s="1160">
        <v>240918.02593999999</v>
      </c>
      <c r="G69" s="1161">
        <v>88238</v>
      </c>
      <c r="H69" s="1160">
        <v>0</v>
      </c>
      <c r="I69" s="1160">
        <v>0</v>
      </c>
      <c r="J69" s="1162">
        <v>0</v>
      </c>
      <c r="K69" s="1143">
        <f t="shared" si="1"/>
        <v>395039.60600177897</v>
      </c>
    </row>
    <row r="70" spans="1:13" ht="30" customHeight="1">
      <c r="A70" s="1159" t="s">
        <v>170</v>
      </c>
      <c r="B70" s="1160">
        <v>0</v>
      </c>
      <c r="C70" s="1160">
        <v>0</v>
      </c>
      <c r="D70" s="1160">
        <v>0</v>
      </c>
      <c r="E70" s="1160">
        <v>0</v>
      </c>
      <c r="F70" s="1160">
        <v>0</v>
      </c>
      <c r="G70" s="1161">
        <v>0</v>
      </c>
      <c r="H70" s="1160">
        <v>0</v>
      </c>
      <c r="I70" s="1160">
        <v>0</v>
      </c>
      <c r="J70" s="1162">
        <v>0</v>
      </c>
      <c r="K70" s="1143">
        <f t="shared" si="1"/>
        <v>0</v>
      </c>
    </row>
    <row r="71" spans="1:13" ht="30" customHeight="1">
      <c r="A71" s="1159" t="s">
        <v>460</v>
      </c>
      <c r="B71" s="1160">
        <v>0</v>
      </c>
      <c r="C71" s="1160">
        <v>0</v>
      </c>
      <c r="D71" s="1160">
        <v>0</v>
      </c>
      <c r="E71" s="1160">
        <v>0</v>
      </c>
      <c r="F71" s="1160">
        <v>0</v>
      </c>
      <c r="G71" s="1161">
        <v>0</v>
      </c>
      <c r="H71" s="1160">
        <v>0</v>
      </c>
      <c r="I71" s="1160">
        <v>0</v>
      </c>
      <c r="J71" s="1164">
        <v>0</v>
      </c>
      <c r="K71" s="1143">
        <f t="shared" si="1"/>
        <v>0</v>
      </c>
    </row>
    <row r="72" spans="1:13" ht="30" customHeight="1">
      <c r="A72" s="1410" t="s">
        <v>855</v>
      </c>
      <c r="B72" s="1160">
        <v>0</v>
      </c>
      <c r="C72" s="1160">
        <v>0</v>
      </c>
      <c r="D72" s="1160">
        <v>0</v>
      </c>
      <c r="E72" s="1160">
        <v>0</v>
      </c>
      <c r="F72" s="1160">
        <v>89770.629889999997</v>
      </c>
      <c r="G72" s="1161">
        <v>0</v>
      </c>
      <c r="H72" s="1160">
        <v>0</v>
      </c>
      <c r="I72" s="1160">
        <v>0</v>
      </c>
      <c r="J72" s="1164">
        <v>0</v>
      </c>
      <c r="K72" s="1143">
        <f t="shared" si="1"/>
        <v>89770.629889999997</v>
      </c>
    </row>
    <row r="73" spans="1:13" ht="30" customHeight="1" thickBot="1">
      <c r="A73" s="1412" t="s">
        <v>171</v>
      </c>
      <c r="B73" s="1165">
        <v>3122.826998732</v>
      </c>
      <c r="C73" s="1165">
        <v>0</v>
      </c>
      <c r="D73" s="1165">
        <v>0</v>
      </c>
      <c r="E73" s="1165">
        <v>0</v>
      </c>
      <c r="F73" s="1165">
        <v>247196.18778000001</v>
      </c>
      <c r="G73" s="1166">
        <v>0</v>
      </c>
      <c r="H73" s="1165">
        <v>0</v>
      </c>
      <c r="I73" s="1165">
        <v>0</v>
      </c>
      <c r="J73" s="1167">
        <v>0</v>
      </c>
      <c r="K73" s="1168">
        <f t="shared" si="1"/>
        <v>250319.014778732</v>
      </c>
      <c r="L73" s="1116"/>
      <c r="M73" s="1116"/>
    </row>
    <row r="74" spans="1:13" s="1173" customFormat="1" ht="30" customHeight="1" thickBot="1">
      <c r="A74" s="1169" t="s">
        <v>70</v>
      </c>
      <c r="B74" s="1170">
        <f>+B10+B13+B16+B28+B35+B36+B38+B40+B50+B52+B58+B65+B67+B69+B73</f>
        <v>4993675.3762755198</v>
      </c>
      <c r="C74" s="1170">
        <f t="shared" ref="C74:J74" si="2">SUM(C10:C73)</f>
        <v>579932.58105000004</v>
      </c>
      <c r="D74" s="1170">
        <f t="shared" si="2"/>
        <v>991322.98228779598</v>
      </c>
      <c r="E74" s="1170">
        <f>+E10+E11+E12+E13+E16+E28+E35+E36+E38+E39+E40+E45+E46+E47+E58+E59+E60+E63+E65+E66+E67+E68</f>
        <v>13763696.297609998</v>
      </c>
      <c r="F74" s="1170">
        <f>+F10+F16+F28+F35+F37+F38+F44+F51+F53+F55+F56+F57+F58+F59+F60+F61+F62+F63+F64+F65+F66+F67+F69+F72+F73</f>
        <v>15394890.18065</v>
      </c>
      <c r="G74" s="1170">
        <f>+G10+G11+G16+G28+G37+G38+G39+G40+G45+G49+G69</f>
        <v>2306579</v>
      </c>
      <c r="H74" s="1170">
        <f>+H10+H11+H16+H67</f>
        <v>508819.43871999998</v>
      </c>
      <c r="I74" s="1170">
        <f t="shared" si="2"/>
        <v>294638</v>
      </c>
      <c r="J74" s="1170">
        <f t="shared" si="2"/>
        <v>1689229</v>
      </c>
      <c r="K74" s="1171">
        <f t="shared" si="1"/>
        <v>40522782.856593311</v>
      </c>
      <c r="L74" s="1172"/>
      <c r="M74" s="1172"/>
    </row>
    <row r="75" spans="1:13" ht="27">
      <c r="A75" s="1174"/>
      <c r="B75" s="1175"/>
      <c r="C75" s="1175"/>
      <c r="D75" s="1175"/>
      <c r="E75" s="1175"/>
      <c r="F75" s="1175"/>
      <c r="G75" s="1175"/>
      <c r="H75" s="1175"/>
      <c r="I75" s="1175"/>
      <c r="J75" s="1176"/>
      <c r="K75" s="1175"/>
      <c r="L75" s="1116"/>
      <c r="M75" s="1116"/>
    </row>
    <row r="76" spans="1:13" ht="27">
      <c r="A76" s="1174"/>
      <c r="B76" s="1455" t="s">
        <v>0</v>
      </c>
      <c r="C76" s="1175"/>
      <c r="D76" s="1175"/>
      <c r="E76" s="1175"/>
      <c r="F76" s="1175"/>
      <c r="G76" s="1175"/>
      <c r="H76" s="1175"/>
      <c r="I76" s="1175"/>
      <c r="J76" s="1176"/>
      <c r="K76" s="1175"/>
      <c r="L76" s="1116"/>
      <c r="M76" s="1116"/>
    </row>
    <row r="77" spans="1:13" ht="25.5" customHeight="1">
      <c r="A77" s="1177" t="s">
        <v>172</v>
      </c>
      <c r="B77" s="1454" t="s">
        <v>0</v>
      </c>
      <c r="C77" s="1178" t="s">
        <v>0</v>
      </c>
      <c r="D77" s="1178"/>
      <c r="E77" s="1178"/>
      <c r="F77" s="1454" t="s">
        <v>0</v>
      </c>
      <c r="G77" s="1179"/>
      <c r="H77" s="1179"/>
      <c r="I77" s="1179"/>
      <c r="J77" s="1179"/>
      <c r="K77" s="1179"/>
      <c r="L77" s="1180"/>
      <c r="M77" s="1180"/>
    </row>
    <row r="78" spans="1:13" s="1121" customFormat="1" ht="30" customHeight="1">
      <c r="A78" s="1181" t="s">
        <v>173</v>
      </c>
      <c r="B78" s="1160">
        <v>342994.15425353602</v>
      </c>
      <c r="C78" s="1160">
        <v>0</v>
      </c>
      <c r="D78" s="1160">
        <v>0</v>
      </c>
      <c r="E78" s="1160">
        <v>0</v>
      </c>
      <c r="F78" s="1160">
        <v>0</v>
      </c>
      <c r="G78" s="1160">
        <v>0</v>
      </c>
      <c r="H78" s="1160">
        <v>0</v>
      </c>
      <c r="I78" s="1160">
        <v>0</v>
      </c>
      <c r="J78" s="1182">
        <v>0</v>
      </c>
      <c r="K78" s="1143">
        <f t="shared" ref="K78:K104" si="3">SUM(B78:J78)</f>
        <v>342994.15425353602</v>
      </c>
    </row>
    <row r="79" spans="1:13" s="1121" customFormat="1" ht="30" customHeight="1">
      <c r="A79" s="1181" t="s">
        <v>174</v>
      </c>
      <c r="B79" s="1160">
        <v>306013.05142331502</v>
      </c>
      <c r="C79" s="1160">
        <v>0</v>
      </c>
      <c r="D79" s="1160">
        <v>0</v>
      </c>
      <c r="E79" s="1160">
        <v>431962.97469999996</v>
      </c>
      <c r="F79" s="1160">
        <v>330817.31586999999</v>
      </c>
      <c r="G79" s="1160">
        <v>0</v>
      </c>
      <c r="H79" s="1160">
        <v>0</v>
      </c>
      <c r="I79" s="1160">
        <v>0</v>
      </c>
      <c r="J79" s="1182">
        <v>0</v>
      </c>
      <c r="K79" s="1143">
        <f t="shared" si="3"/>
        <v>1068793.3419933149</v>
      </c>
    </row>
    <row r="80" spans="1:13" s="1121" customFormat="1" ht="30" customHeight="1">
      <c r="A80" s="1181" t="s">
        <v>175</v>
      </c>
      <c r="B80" s="1160">
        <v>182958.73147822701</v>
      </c>
      <c r="C80" s="1160">
        <v>0</v>
      </c>
      <c r="D80" s="1160">
        <v>0</v>
      </c>
      <c r="E80" s="1160">
        <v>0</v>
      </c>
      <c r="F80" s="1160">
        <v>128635.88286</v>
      </c>
      <c r="G80" s="1160">
        <v>58118</v>
      </c>
      <c r="H80" s="1160">
        <v>0</v>
      </c>
      <c r="I80" s="1160">
        <v>0</v>
      </c>
      <c r="J80" s="1182">
        <v>0</v>
      </c>
      <c r="K80" s="1143">
        <f t="shared" si="3"/>
        <v>369712.61433822702</v>
      </c>
    </row>
    <row r="81" spans="1:11" s="1121" customFormat="1" ht="30" customHeight="1">
      <c r="A81" s="1181" t="s">
        <v>675</v>
      </c>
      <c r="B81" s="1183">
        <f>SUM(B82:B83)</f>
        <v>483669.1876379</v>
      </c>
      <c r="C81" s="1183">
        <v>0</v>
      </c>
      <c r="D81" s="1183">
        <v>308541.670003584</v>
      </c>
      <c r="E81" s="1183">
        <f>SUM(E82:E83)</f>
        <v>1399558.0881099999</v>
      </c>
      <c r="F81" s="1183">
        <f>SUM(F82:F83)</f>
        <v>1002400.85476</v>
      </c>
      <c r="G81" s="1183">
        <v>131139</v>
      </c>
      <c r="H81" s="1183">
        <v>0</v>
      </c>
      <c r="I81" s="1183">
        <v>0</v>
      </c>
      <c r="J81" s="1184">
        <v>0</v>
      </c>
      <c r="K81" s="1143">
        <f t="shared" si="3"/>
        <v>3325308.800511484</v>
      </c>
    </row>
    <row r="82" spans="1:11" s="1121" customFormat="1" ht="30" customHeight="1">
      <c r="A82" s="1181" t="s">
        <v>715</v>
      </c>
      <c r="B82" s="1185">
        <v>482898.61808777798</v>
      </c>
      <c r="C82" s="1185">
        <v>0</v>
      </c>
      <c r="D82" s="1185">
        <v>0</v>
      </c>
      <c r="E82" s="1185">
        <v>920893.80555999989</v>
      </c>
      <c r="F82" s="1185">
        <v>673936.53577999992</v>
      </c>
      <c r="G82" s="1185">
        <v>0</v>
      </c>
      <c r="H82" s="1185">
        <v>0</v>
      </c>
      <c r="I82" s="1185">
        <v>0</v>
      </c>
      <c r="J82" s="1186">
        <v>0</v>
      </c>
      <c r="K82" s="1148">
        <f t="shared" si="3"/>
        <v>2077728.9594277777</v>
      </c>
    </row>
    <row r="83" spans="1:11" s="1121" customFormat="1" ht="30" customHeight="1">
      <c r="A83" s="1181" t="s">
        <v>716</v>
      </c>
      <c r="B83" s="1185">
        <v>770.56955012200012</v>
      </c>
      <c r="C83" s="1185">
        <v>0</v>
      </c>
      <c r="D83" s="1185">
        <v>0</v>
      </c>
      <c r="E83" s="1185">
        <v>478664.28254999995</v>
      </c>
      <c r="F83" s="1185">
        <v>328464.31898000004</v>
      </c>
      <c r="G83" s="1185">
        <v>0</v>
      </c>
      <c r="H83" s="1185">
        <v>0</v>
      </c>
      <c r="I83" s="1185">
        <v>0</v>
      </c>
      <c r="J83" s="1186">
        <v>0</v>
      </c>
      <c r="K83" s="1148">
        <f t="shared" si="3"/>
        <v>807899.171080122</v>
      </c>
    </row>
    <row r="84" spans="1:11" s="1121" customFormat="1" ht="30" customHeight="1">
      <c r="A84" s="1181" t="s">
        <v>176</v>
      </c>
      <c r="B84" s="1183">
        <f>SUM(B85:B86)</f>
        <v>485765.67629841302</v>
      </c>
      <c r="C84" s="1183">
        <v>0</v>
      </c>
      <c r="D84" s="1183">
        <v>189299.87580818901</v>
      </c>
      <c r="E84" s="1183">
        <v>473240.62264000007</v>
      </c>
      <c r="F84" s="1183">
        <v>584492.68498999998</v>
      </c>
      <c r="G84" s="1183">
        <v>83899</v>
      </c>
      <c r="H84" s="1183">
        <v>0</v>
      </c>
      <c r="I84" s="1183">
        <v>0</v>
      </c>
      <c r="J84" s="1184">
        <v>0</v>
      </c>
      <c r="K84" s="1143">
        <f t="shared" si="3"/>
        <v>1816697.8597366021</v>
      </c>
    </row>
    <row r="85" spans="1:11" s="1121" customFormat="1" ht="30" customHeight="1">
      <c r="A85" s="1181" t="s">
        <v>717</v>
      </c>
      <c r="B85" s="1185">
        <v>403882.64409138402</v>
      </c>
      <c r="C85" s="1185">
        <v>0</v>
      </c>
      <c r="D85" s="1185">
        <v>0</v>
      </c>
      <c r="E85" s="1185">
        <v>0</v>
      </c>
      <c r="F85" s="1185">
        <v>0</v>
      </c>
      <c r="G85" s="1185">
        <v>0</v>
      </c>
      <c r="H85" s="1185">
        <v>0</v>
      </c>
      <c r="I85" s="1185">
        <v>0</v>
      </c>
      <c r="J85" s="1186">
        <v>0</v>
      </c>
      <c r="K85" s="1148">
        <f t="shared" si="3"/>
        <v>403882.64409138402</v>
      </c>
    </row>
    <row r="86" spans="1:11" s="1121" customFormat="1" ht="30" customHeight="1">
      <c r="A86" s="1181" t="s">
        <v>718</v>
      </c>
      <c r="B86" s="1185">
        <v>81883.032207028999</v>
      </c>
      <c r="C86" s="1185">
        <v>0</v>
      </c>
      <c r="D86" s="1185">
        <v>0</v>
      </c>
      <c r="E86" s="1185">
        <v>0</v>
      </c>
      <c r="F86" s="1185">
        <v>0</v>
      </c>
      <c r="G86" s="1185">
        <v>0</v>
      </c>
      <c r="H86" s="1185">
        <v>0</v>
      </c>
      <c r="I86" s="1185">
        <v>0</v>
      </c>
      <c r="J86" s="1186">
        <v>0</v>
      </c>
      <c r="K86" s="1148">
        <f t="shared" si="3"/>
        <v>81883.032207028999</v>
      </c>
    </row>
    <row r="87" spans="1:11" s="1121" customFormat="1" ht="30" customHeight="1">
      <c r="A87" s="1181" t="s">
        <v>177</v>
      </c>
      <c r="B87" s="1160">
        <v>289756.839147188</v>
      </c>
      <c r="C87" s="1160">
        <v>0</v>
      </c>
      <c r="D87" s="1160">
        <v>0</v>
      </c>
      <c r="E87" s="1160">
        <v>0</v>
      </c>
      <c r="F87" s="1160">
        <v>0</v>
      </c>
      <c r="G87" s="1160">
        <v>0</v>
      </c>
      <c r="H87" s="1160">
        <v>0</v>
      </c>
      <c r="I87" s="1160">
        <v>0</v>
      </c>
      <c r="J87" s="1182">
        <v>0</v>
      </c>
      <c r="K87" s="1143">
        <f t="shared" si="3"/>
        <v>289756.839147188</v>
      </c>
    </row>
    <row r="88" spans="1:11" s="1121" customFormat="1" ht="30" customHeight="1">
      <c r="A88" s="1181" t="s">
        <v>485</v>
      </c>
      <c r="B88" s="1160">
        <v>0</v>
      </c>
      <c r="C88" s="1160">
        <v>0</v>
      </c>
      <c r="D88" s="1160">
        <v>0</v>
      </c>
      <c r="E88" s="1160">
        <v>162447.75732999999</v>
      </c>
      <c r="F88" s="1160">
        <v>0</v>
      </c>
      <c r="G88" s="1160">
        <v>0</v>
      </c>
      <c r="H88" s="1160">
        <v>0</v>
      </c>
      <c r="I88" s="1160">
        <v>0</v>
      </c>
      <c r="J88" s="1182">
        <v>0</v>
      </c>
      <c r="K88" s="1143">
        <f t="shared" si="3"/>
        <v>162447.75732999999</v>
      </c>
    </row>
    <row r="89" spans="1:11" s="1121" customFormat="1" ht="30" customHeight="1">
      <c r="A89" s="1181" t="s">
        <v>459</v>
      </c>
      <c r="B89" s="1160">
        <v>51381.581799817002</v>
      </c>
      <c r="C89" s="1160">
        <v>0</v>
      </c>
      <c r="D89" s="1160">
        <v>71174.232475889003</v>
      </c>
      <c r="E89" s="1160">
        <v>202847.46111999996</v>
      </c>
      <c r="F89" s="1160">
        <v>131529.58111</v>
      </c>
      <c r="G89" s="1160">
        <v>0</v>
      </c>
      <c r="H89" s="1160">
        <v>0</v>
      </c>
      <c r="I89" s="1160">
        <v>0</v>
      </c>
      <c r="J89" s="1182">
        <v>0</v>
      </c>
      <c r="K89" s="1143">
        <f t="shared" si="3"/>
        <v>456932.85650570597</v>
      </c>
    </row>
    <row r="90" spans="1:11" s="1121" customFormat="1" ht="30" customHeight="1">
      <c r="A90" s="1181" t="s">
        <v>178</v>
      </c>
      <c r="B90" s="1160">
        <v>150270.61418199199</v>
      </c>
      <c r="C90" s="1160">
        <v>0</v>
      </c>
      <c r="D90" s="1160">
        <v>0</v>
      </c>
      <c r="E90" s="1160">
        <v>0</v>
      </c>
      <c r="F90" s="1160">
        <v>0</v>
      </c>
      <c r="G90" s="1160">
        <v>0</v>
      </c>
      <c r="H90" s="1160">
        <v>0</v>
      </c>
      <c r="I90" s="1160">
        <v>0</v>
      </c>
      <c r="J90" s="1182">
        <v>0</v>
      </c>
      <c r="K90" s="1143">
        <f t="shared" si="3"/>
        <v>150270.61418199199</v>
      </c>
    </row>
    <row r="91" spans="1:11" s="1121" customFormat="1" ht="30" customHeight="1">
      <c r="A91" s="1181" t="s">
        <v>179</v>
      </c>
      <c r="B91" s="1160">
        <v>423266.22678230406</v>
      </c>
      <c r="C91" s="1160">
        <v>0</v>
      </c>
      <c r="D91" s="1160">
        <v>164791.50034817401</v>
      </c>
      <c r="E91" s="1160">
        <v>440377.28830999997</v>
      </c>
      <c r="F91" s="1160">
        <v>437232.54077000002</v>
      </c>
      <c r="G91" s="1160">
        <v>96848</v>
      </c>
      <c r="H91" s="1160">
        <v>0</v>
      </c>
      <c r="I91" s="1160">
        <v>0</v>
      </c>
      <c r="J91" s="1182">
        <v>0</v>
      </c>
      <c r="K91" s="1143">
        <f t="shared" si="3"/>
        <v>1562515.5562104781</v>
      </c>
    </row>
    <row r="92" spans="1:11" s="1121" customFormat="1" ht="30" customHeight="1">
      <c r="A92" s="1181" t="s">
        <v>180</v>
      </c>
      <c r="B92" s="1160">
        <v>457718.36984621501</v>
      </c>
      <c r="C92" s="1160">
        <v>0</v>
      </c>
      <c r="D92" s="1160">
        <v>114896.694941596</v>
      </c>
      <c r="E92" s="1160">
        <v>255556.14696000001</v>
      </c>
      <c r="F92" s="1160">
        <v>372032.83449000004</v>
      </c>
      <c r="G92" s="1160">
        <v>0</v>
      </c>
      <c r="H92" s="1160">
        <v>0</v>
      </c>
      <c r="I92" s="1160">
        <v>0</v>
      </c>
      <c r="J92" s="1182">
        <v>0</v>
      </c>
      <c r="K92" s="1143">
        <f t="shared" si="3"/>
        <v>1200204.046237811</v>
      </c>
    </row>
    <row r="93" spans="1:11" s="1121" customFormat="1" ht="30" customHeight="1">
      <c r="A93" s="1181" t="s">
        <v>181</v>
      </c>
      <c r="B93" s="1160">
        <v>233541.582219726</v>
      </c>
      <c r="C93" s="1160">
        <v>0</v>
      </c>
      <c r="D93" s="1160">
        <v>0</v>
      </c>
      <c r="E93" s="1160">
        <v>176547.69479999997</v>
      </c>
      <c r="F93" s="1160">
        <v>159852.04819999999</v>
      </c>
      <c r="G93" s="1160">
        <v>0</v>
      </c>
      <c r="H93" s="1160">
        <v>0</v>
      </c>
      <c r="I93" s="1160">
        <v>0</v>
      </c>
      <c r="J93" s="1182">
        <v>0</v>
      </c>
      <c r="K93" s="1143">
        <f t="shared" si="3"/>
        <v>569941.32521972596</v>
      </c>
    </row>
    <row r="94" spans="1:11" s="1121" customFormat="1" ht="30" customHeight="1">
      <c r="A94" s="1181" t="s">
        <v>182</v>
      </c>
      <c r="B94" s="1160">
        <v>165028.83839818902</v>
      </c>
      <c r="C94" s="1160">
        <v>0</v>
      </c>
      <c r="D94" s="1160">
        <v>0</v>
      </c>
      <c r="E94" s="1160">
        <v>175726.88282000003</v>
      </c>
      <c r="F94" s="1160">
        <v>185827.45308000001</v>
      </c>
      <c r="G94" s="1160">
        <v>0</v>
      </c>
      <c r="H94" s="1160">
        <v>0</v>
      </c>
      <c r="I94" s="1160">
        <v>0</v>
      </c>
      <c r="J94" s="1182">
        <v>0</v>
      </c>
      <c r="K94" s="1143">
        <f t="shared" si="3"/>
        <v>526583.17429818911</v>
      </c>
    </row>
    <row r="95" spans="1:11" s="1121" customFormat="1" ht="30" customHeight="1">
      <c r="A95" s="1181" t="s">
        <v>483</v>
      </c>
      <c r="B95" s="1160">
        <v>0</v>
      </c>
      <c r="C95" s="1160">
        <v>0</v>
      </c>
      <c r="D95" s="1160">
        <v>0</v>
      </c>
      <c r="E95" s="1160">
        <v>100187.91681</v>
      </c>
      <c r="F95" s="1160">
        <v>227480.41580000002</v>
      </c>
      <c r="G95" s="1160">
        <v>0</v>
      </c>
      <c r="H95" s="1160">
        <v>0</v>
      </c>
      <c r="I95" s="1160">
        <v>0</v>
      </c>
      <c r="J95" s="1182">
        <v>0</v>
      </c>
      <c r="K95" s="1143">
        <f t="shared" si="3"/>
        <v>327668.33261000004</v>
      </c>
    </row>
    <row r="96" spans="1:11" s="1121" customFormat="1" ht="30" customHeight="1">
      <c r="A96" s="1181" t="s">
        <v>183</v>
      </c>
      <c r="B96" s="1160">
        <v>216214.68432215703</v>
      </c>
      <c r="C96" s="1160">
        <v>0</v>
      </c>
      <c r="D96" s="1160">
        <v>682.67964108000012</v>
      </c>
      <c r="E96" s="1160">
        <v>122647.77347</v>
      </c>
      <c r="F96" s="1160">
        <v>173009.60819</v>
      </c>
      <c r="G96" s="1160">
        <v>0</v>
      </c>
      <c r="H96" s="1160">
        <v>0</v>
      </c>
      <c r="I96" s="1160">
        <v>0</v>
      </c>
      <c r="J96" s="1182">
        <v>0</v>
      </c>
      <c r="K96" s="1143">
        <f t="shared" si="3"/>
        <v>512554.74562323705</v>
      </c>
    </row>
    <row r="97" spans="1:22" s="1121" customFormat="1" ht="30" customHeight="1">
      <c r="A97" s="1181" t="s">
        <v>501</v>
      </c>
      <c r="B97" s="1160">
        <v>0</v>
      </c>
      <c r="C97" s="1160">
        <v>0</v>
      </c>
      <c r="D97" s="1160">
        <v>0</v>
      </c>
      <c r="E97" s="1160">
        <v>0</v>
      </c>
      <c r="F97" s="1160">
        <v>140696.00891999999</v>
      </c>
      <c r="G97" s="1160">
        <v>0</v>
      </c>
      <c r="H97" s="1160">
        <v>0</v>
      </c>
      <c r="I97" s="1160">
        <v>0</v>
      </c>
      <c r="J97" s="1182">
        <v>0</v>
      </c>
      <c r="K97" s="1143">
        <f t="shared" si="3"/>
        <v>140696.00891999999</v>
      </c>
    </row>
    <row r="98" spans="1:22" s="1121" customFormat="1" ht="30" customHeight="1">
      <c r="A98" s="1181" t="s">
        <v>184</v>
      </c>
      <c r="B98" s="1160">
        <v>350382.18220848602</v>
      </c>
      <c r="C98" s="1160">
        <v>0</v>
      </c>
      <c r="D98" s="1160">
        <v>0</v>
      </c>
      <c r="E98" s="1160">
        <v>390959.63081</v>
      </c>
      <c r="F98" s="1160">
        <v>30019.253280000001</v>
      </c>
      <c r="G98" s="1160">
        <v>0</v>
      </c>
      <c r="H98" s="1160">
        <v>0</v>
      </c>
      <c r="I98" s="1160">
        <v>0</v>
      </c>
      <c r="J98" s="1182">
        <v>0</v>
      </c>
      <c r="K98" s="1143">
        <f t="shared" si="3"/>
        <v>771361.06629848597</v>
      </c>
    </row>
    <row r="99" spans="1:22" s="1121" customFormat="1" ht="30" customHeight="1">
      <c r="A99" s="1181" t="s">
        <v>482</v>
      </c>
      <c r="B99" s="1160">
        <v>164529.50059897301</v>
      </c>
      <c r="C99" s="1160">
        <v>0</v>
      </c>
      <c r="D99" s="1160">
        <v>0</v>
      </c>
      <c r="E99" s="1160">
        <v>0</v>
      </c>
      <c r="F99" s="1160">
        <v>0</v>
      </c>
      <c r="G99" s="1160">
        <v>0</v>
      </c>
      <c r="H99" s="1160">
        <v>0</v>
      </c>
      <c r="I99" s="1160">
        <v>0</v>
      </c>
      <c r="J99" s="1182">
        <v>0</v>
      </c>
      <c r="K99" s="1143">
        <f t="shared" si="3"/>
        <v>164529.50059897301</v>
      </c>
    </row>
    <row r="100" spans="1:22" s="1121" customFormat="1" ht="30" customHeight="1">
      <c r="A100" s="1181" t="s">
        <v>185</v>
      </c>
      <c r="B100" s="1160">
        <v>0</v>
      </c>
      <c r="C100" s="1160">
        <v>0</v>
      </c>
      <c r="D100" s="1160">
        <v>1124.6656777820001</v>
      </c>
      <c r="E100" s="1160">
        <v>0</v>
      </c>
      <c r="F100" s="1160">
        <v>199907.37097999998</v>
      </c>
      <c r="G100" s="1160">
        <v>0</v>
      </c>
      <c r="H100" s="1160">
        <v>0</v>
      </c>
      <c r="I100" s="1160">
        <v>0</v>
      </c>
      <c r="J100" s="1182">
        <v>0</v>
      </c>
      <c r="K100" s="1143">
        <f t="shared" si="3"/>
        <v>201032.03665778198</v>
      </c>
    </row>
    <row r="101" spans="1:22" s="1121" customFormat="1" ht="30" customHeight="1">
      <c r="A101" s="1181" t="s">
        <v>186</v>
      </c>
      <c r="B101" s="1160">
        <v>0</v>
      </c>
      <c r="C101" s="1160">
        <v>0</v>
      </c>
      <c r="D101" s="1160">
        <v>0</v>
      </c>
      <c r="E101" s="1160">
        <v>0</v>
      </c>
      <c r="F101" s="1160">
        <v>248772.67209000001</v>
      </c>
      <c r="G101" s="1160">
        <v>0</v>
      </c>
      <c r="H101" s="1160">
        <v>0</v>
      </c>
      <c r="I101" s="1160">
        <v>0</v>
      </c>
      <c r="J101" s="1182">
        <v>0</v>
      </c>
      <c r="K101" s="1143">
        <f t="shared" si="3"/>
        <v>248772.67209000001</v>
      </c>
    </row>
    <row r="102" spans="1:22" s="1121" customFormat="1" ht="30" customHeight="1">
      <c r="A102" s="1181" t="s">
        <v>187</v>
      </c>
      <c r="B102" s="1160">
        <v>22963.628052420001</v>
      </c>
      <c r="C102" s="1160">
        <v>0</v>
      </c>
      <c r="D102" s="1160">
        <v>0</v>
      </c>
      <c r="E102" s="1160">
        <v>0</v>
      </c>
      <c r="F102" s="1160">
        <v>0</v>
      </c>
      <c r="G102" s="1160">
        <v>0</v>
      </c>
      <c r="H102" s="1160">
        <v>0</v>
      </c>
      <c r="I102" s="1160">
        <v>0</v>
      </c>
      <c r="J102" s="1182">
        <v>0</v>
      </c>
      <c r="K102" s="1143">
        <f t="shared" si="3"/>
        <v>22963.628052420001</v>
      </c>
    </row>
    <row r="103" spans="1:22" s="1121" customFormat="1" ht="30" customHeight="1" thickBot="1">
      <c r="A103" s="1181" t="s">
        <v>188</v>
      </c>
      <c r="B103" s="1187">
        <v>506225.22806142597</v>
      </c>
      <c r="C103" s="1187">
        <v>0</v>
      </c>
      <c r="D103" s="1187">
        <v>0</v>
      </c>
      <c r="E103" s="1187">
        <v>482588.19101999997</v>
      </c>
      <c r="F103" s="1187">
        <v>540572.06698</v>
      </c>
      <c r="G103" s="1187">
        <v>0</v>
      </c>
      <c r="H103" s="1187">
        <v>0</v>
      </c>
      <c r="I103" s="1187">
        <v>0</v>
      </c>
      <c r="J103" s="1188">
        <v>0</v>
      </c>
      <c r="K103" s="1143">
        <f t="shared" si="3"/>
        <v>1529385.4860614259</v>
      </c>
    </row>
    <row r="104" spans="1:22" s="1121" customFormat="1" ht="30" customHeight="1" thickBot="1">
      <c r="A104" s="1189" t="s">
        <v>70</v>
      </c>
      <c r="B104" s="1171">
        <f>+B78+B79+B80+B81+B84+B87+B89+B90+B91+B92+B93+B94+B96+B98+B99+B102+B103</f>
        <v>4832680.0767102838</v>
      </c>
      <c r="C104" s="1171">
        <f t="shared" ref="C104:J104" si="4">SUM(C78:C103)</f>
        <v>0</v>
      </c>
      <c r="D104" s="1171">
        <f t="shared" si="4"/>
        <v>850511.31889629411</v>
      </c>
      <c r="E104" s="1171">
        <f>+E79+E81+E84+E88+E89+E91+E92+E93+E94+E95+E96+E98+E103</f>
        <v>4814648.4288999997</v>
      </c>
      <c r="F104" s="1171">
        <f>+F79+F80+F81+F84+F89+F91+F92+F93+F94+F95+F96+F97+F98+F100+F101+F103</f>
        <v>4893278.5923699988</v>
      </c>
      <c r="G104" s="1171">
        <f t="shared" si="4"/>
        <v>370004</v>
      </c>
      <c r="H104" s="1171">
        <f t="shared" si="4"/>
        <v>0</v>
      </c>
      <c r="I104" s="1171">
        <f t="shared" si="4"/>
        <v>0</v>
      </c>
      <c r="J104" s="1190">
        <f t="shared" si="4"/>
        <v>0</v>
      </c>
      <c r="K104" s="1191">
        <f t="shared" si="3"/>
        <v>15761122.416876577</v>
      </c>
    </row>
    <row r="105" spans="1:22" ht="20.100000000000001" customHeight="1" thickBot="1">
      <c r="A105" s="1180" t="s">
        <v>0</v>
      </c>
      <c r="B105" s="1192"/>
      <c r="C105" s="1192"/>
      <c r="D105" s="1192"/>
      <c r="E105" s="1192"/>
      <c r="F105" s="1192"/>
      <c r="G105" s="1192"/>
      <c r="H105" s="1192"/>
      <c r="I105" s="1192"/>
      <c r="J105" s="1192"/>
      <c r="K105" s="1192"/>
    </row>
    <row r="106" spans="1:22" ht="20.100000000000001" hidden="1" customHeight="1">
      <c r="B106" s="1192"/>
      <c r="C106" s="1192"/>
      <c r="D106" s="1192"/>
      <c r="E106" s="1192"/>
      <c r="F106" s="1192"/>
      <c r="G106" s="1192"/>
      <c r="H106" s="1192"/>
      <c r="I106" s="1192"/>
      <c r="J106" s="1192"/>
      <c r="K106" s="1192"/>
    </row>
    <row r="107" spans="1:22" ht="27" hidden="1" thickBot="1">
      <c r="B107" s="1192"/>
      <c r="C107" s="1192"/>
      <c r="D107" s="1192"/>
      <c r="E107" s="1192"/>
      <c r="F107" s="1192"/>
      <c r="G107" s="1192"/>
      <c r="H107" s="1192"/>
      <c r="I107" s="1192"/>
      <c r="J107" s="1192"/>
      <c r="K107" s="1192"/>
      <c r="R107" s="1193"/>
    </row>
    <row r="108" spans="1:22" ht="27" hidden="1" thickBot="1">
      <c r="B108" s="1192"/>
      <c r="C108" s="1192"/>
      <c r="D108" s="1192"/>
      <c r="E108" s="1192"/>
      <c r="F108" s="1192"/>
      <c r="G108" s="1192"/>
      <c r="H108" s="1192"/>
      <c r="I108" s="1192"/>
      <c r="J108" s="1192"/>
      <c r="K108" s="1192"/>
      <c r="R108" s="1193"/>
    </row>
    <row r="109" spans="1:22" ht="27" hidden="1" thickBot="1">
      <c r="B109" s="1192"/>
      <c r="C109" s="1192"/>
      <c r="D109" s="1192"/>
      <c r="E109" s="1192"/>
      <c r="F109" s="1192"/>
      <c r="G109" s="1192"/>
      <c r="H109" s="1192"/>
      <c r="I109" s="1192"/>
      <c r="J109" s="1192"/>
      <c r="K109" s="1192"/>
    </row>
    <row r="110" spans="1:22" ht="27" hidden="1" thickBot="1">
      <c r="B110" s="1192"/>
      <c r="C110" s="1192"/>
      <c r="D110" s="1192"/>
      <c r="E110" s="1192"/>
      <c r="F110" s="1192"/>
      <c r="G110" s="1192"/>
      <c r="H110" s="1192"/>
      <c r="I110" s="1192"/>
      <c r="J110" s="1192"/>
      <c r="K110" s="1192"/>
      <c r="V110" s="1180"/>
    </row>
    <row r="111" spans="1:22" ht="27" hidden="1" thickBot="1">
      <c r="B111" s="1192"/>
      <c r="C111" s="1192"/>
      <c r="D111" s="1192"/>
      <c r="E111" s="1192"/>
      <c r="F111" s="1192"/>
      <c r="G111" s="1192"/>
      <c r="H111" s="1192"/>
      <c r="I111" s="1192"/>
      <c r="J111" s="1192"/>
      <c r="K111" s="1192"/>
    </row>
    <row r="112" spans="1:22" ht="27" hidden="1" thickBot="1">
      <c r="B112" s="1192"/>
      <c r="C112" s="1192"/>
      <c r="D112" s="1192"/>
      <c r="E112" s="1192"/>
      <c r="F112" s="1192"/>
      <c r="G112" s="1192"/>
      <c r="H112" s="1192"/>
      <c r="I112" s="1192"/>
      <c r="J112" s="1192"/>
      <c r="K112" s="1192"/>
    </row>
    <row r="113" spans="2:11" ht="27" hidden="1" thickBot="1">
      <c r="B113" s="1192"/>
      <c r="C113" s="1192"/>
      <c r="D113" s="1192"/>
      <c r="E113" s="1192"/>
      <c r="F113" s="1192"/>
      <c r="G113" s="1192"/>
      <c r="H113" s="1192"/>
      <c r="I113" s="1192"/>
      <c r="J113" s="1192"/>
      <c r="K113" s="1192"/>
    </row>
    <row r="114" spans="2:11" ht="27" hidden="1" thickBot="1">
      <c r="B114" s="1192"/>
      <c r="C114" s="1192"/>
      <c r="D114" s="1192"/>
      <c r="E114" s="1192"/>
      <c r="F114" s="1192"/>
      <c r="G114" s="1192"/>
      <c r="H114" s="1192"/>
      <c r="I114" s="1192"/>
      <c r="J114" s="1192"/>
      <c r="K114" s="1192"/>
    </row>
    <row r="115" spans="2:11" ht="27" hidden="1" thickBot="1">
      <c r="B115" s="1192"/>
      <c r="C115" s="1192"/>
      <c r="D115" s="1192"/>
      <c r="E115" s="1192"/>
      <c r="F115" s="1192"/>
      <c r="G115" s="1192"/>
      <c r="H115" s="1192"/>
      <c r="I115" s="1192"/>
      <c r="J115" s="1192"/>
      <c r="K115" s="1192"/>
    </row>
    <row r="116" spans="2:11" ht="27" hidden="1" thickBot="1">
      <c r="B116" s="1192"/>
      <c r="C116" s="1192"/>
      <c r="D116" s="1192"/>
      <c r="E116" s="1192"/>
      <c r="F116" s="1192"/>
      <c r="G116" s="1192"/>
      <c r="H116" s="1192"/>
      <c r="I116" s="1192"/>
      <c r="J116" s="1192"/>
      <c r="K116" s="1192"/>
    </row>
    <row r="117" spans="2:11" ht="27" hidden="1" thickBot="1">
      <c r="B117" s="1192"/>
      <c r="C117" s="1192"/>
      <c r="D117" s="1192"/>
      <c r="E117" s="1192"/>
      <c r="F117" s="1192"/>
      <c r="G117" s="1192"/>
      <c r="H117" s="1192"/>
      <c r="I117" s="1192"/>
      <c r="J117" s="1192"/>
      <c r="K117" s="1192"/>
    </row>
    <row r="118" spans="2:11" ht="27" hidden="1" thickBot="1">
      <c r="B118" s="1192"/>
      <c r="C118" s="1192"/>
      <c r="D118" s="1192"/>
      <c r="E118" s="1192"/>
      <c r="F118" s="1192"/>
      <c r="G118" s="1192"/>
      <c r="H118" s="1192"/>
      <c r="I118" s="1192"/>
      <c r="J118" s="1192"/>
      <c r="K118" s="1192"/>
    </row>
    <row r="119" spans="2:11" ht="27" hidden="1" thickBot="1">
      <c r="B119" s="1192"/>
      <c r="C119" s="1192"/>
      <c r="D119" s="1192"/>
      <c r="E119" s="1192"/>
      <c r="F119" s="1192"/>
      <c r="G119" s="1192"/>
      <c r="H119" s="1192"/>
      <c r="I119" s="1192"/>
      <c r="J119" s="1192"/>
      <c r="K119" s="1192"/>
    </row>
    <row r="120" spans="2:11" ht="27" hidden="1" thickBot="1">
      <c r="B120" s="1192"/>
      <c r="C120" s="1192"/>
      <c r="D120" s="1192"/>
      <c r="E120" s="1192"/>
      <c r="F120" s="1192"/>
      <c r="G120" s="1192"/>
      <c r="H120" s="1192"/>
      <c r="I120" s="1192"/>
      <c r="J120" s="1192"/>
      <c r="K120" s="1192"/>
    </row>
    <row r="121" spans="2:11" ht="27" hidden="1" thickBot="1">
      <c r="B121" s="1192"/>
      <c r="C121" s="1192"/>
      <c r="D121" s="1192"/>
      <c r="E121" s="1192"/>
      <c r="F121" s="1192"/>
      <c r="G121" s="1192"/>
      <c r="H121" s="1192"/>
      <c r="I121" s="1192"/>
      <c r="J121" s="1192"/>
      <c r="K121" s="1192"/>
    </row>
    <row r="122" spans="2:11" ht="27" hidden="1" thickBot="1">
      <c r="B122" s="1192"/>
      <c r="C122" s="1192"/>
      <c r="D122" s="1192"/>
      <c r="E122" s="1192"/>
      <c r="F122" s="1192"/>
      <c r="G122" s="1192"/>
      <c r="H122" s="1192"/>
      <c r="I122" s="1192"/>
      <c r="J122" s="1192"/>
      <c r="K122" s="1192"/>
    </row>
    <row r="123" spans="2:11" ht="27" hidden="1" thickBot="1">
      <c r="B123" s="1192"/>
      <c r="C123" s="1192"/>
      <c r="D123" s="1192"/>
      <c r="E123" s="1192"/>
      <c r="F123" s="1192"/>
      <c r="G123" s="1192"/>
      <c r="H123" s="1192"/>
      <c r="I123" s="1192"/>
      <c r="J123" s="1192"/>
      <c r="K123" s="1192"/>
    </row>
    <row r="124" spans="2:11" ht="27" hidden="1" thickBot="1">
      <c r="B124" s="1192"/>
      <c r="C124" s="1192"/>
      <c r="D124" s="1192"/>
      <c r="E124" s="1192"/>
      <c r="F124" s="1192"/>
      <c r="G124" s="1192"/>
      <c r="H124" s="1192"/>
      <c r="I124" s="1192"/>
      <c r="J124" s="1192"/>
      <c r="K124" s="1192"/>
    </row>
    <row r="125" spans="2:11" ht="27" hidden="1" thickBot="1">
      <c r="B125" s="1192"/>
      <c r="C125" s="1192"/>
      <c r="D125" s="1192"/>
      <c r="E125" s="1192"/>
      <c r="F125" s="1192"/>
      <c r="G125" s="1192"/>
      <c r="H125" s="1192"/>
      <c r="I125" s="1192"/>
      <c r="J125" s="1192"/>
      <c r="K125" s="1192"/>
    </row>
    <row r="126" spans="2:11" ht="27" hidden="1" thickBot="1">
      <c r="B126" s="1192"/>
      <c r="C126" s="1192"/>
      <c r="D126" s="1192"/>
      <c r="E126" s="1192"/>
      <c r="F126" s="1192"/>
      <c r="G126" s="1192"/>
      <c r="H126" s="1192"/>
      <c r="I126" s="1192"/>
      <c r="J126" s="1192"/>
      <c r="K126" s="1192"/>
    </row>
    <row r="127" spans="2:11" ht="27" hidden="1" thickBot="1">
      <c r="B127" s="1192"/>
      <c r="C127" s="1192"/>
      <c r="D127" s="1192"/>
      <c r="E127" s="1192"/>
      <c r="F127" s="1192"/>
      <c r="G127" s="1192"/>
      <c r="H127" s="1192"/>
      <c r="I127" s="1192"/>
      <c r="J127" s="1192"/>
      <c r="K127" s="1192"/>
    </row>
    <row r="128" spans="2:11" ht="27" hidden="1" thickBot="1">
      <c r="B128" s="1192"/>
      <c r="C128" s="1192"/>
      <c r="D128" s="1192"/>
      <c r="E128" s="1192"/>
      <c r="F128" s="1192"/>
      <c r="G128" s="1192"/>
      <c r="H128" s="1192"/>
      <c r="I128" s="1192"/>
      <c r="J128" s="1192"/>
      <c r="K128" s="1192"/>
    </row>
    <row r="129" spans="2:11" ht="27" hidden="1" thickBot="1">
      <c r="B129" s="1192"/>
      <c r="C129" s="1192"/>
      <c r="D129" s="1192"/>
      <c r="E129" s="1192"/>
      <c r="F129" s="1192"/>
      <c r="G129" s="1192"/>
      <c r="H129" s="1192"/>
      <c r="I129" s="1192"/>
      <c r="J129" s="1192"/>
      <c r="K129" s="1192"/>
    </row>
    <row r="130" spans="2:11" ht="27" hidden="1" thickBot="1">
      <c r="B130" s="1192"/>
      <c r="C130" s="1192"/>
      <c r="D130" s="1192"/>
      <c r="E130" s="1192"/>
      <c r="F130" s="1192"/>
      <c r="G130" s="1192"/>
      <c r="H130" s="1192"/>
      <c r="I130" s="1192"/>
      <c r="J130" s="1192"/>
      <c r="K130" s="1192"/>
    </row>
    <row r="131" spans="2:11" ht="27" hidden="1" thickBot="1">
      <c r="B131" s="1192"/>
      <c r="C131" s="1192"/>
      <c r="D131" s="1192"/>
      <c r="E131" s="1192"/>
      <c r="F131" s="1192"/>
      <c r="G131" s="1192"/>
      <c r="H131" s="1192"/>
      <c r="I131" s="1192"/>
      <c r="J131" s="1192"/>
      <c r="K131" s="1192"/>
    </row>
    <row r="132" spans="2:11" ht="27" hidden="1" thickBot="1">
      <c r="B132" s="1192"/>
      <c r="C132" s="1192"/>
      <c r="D132" s="1192"/>
      <c r="E132" s="1192"/>
      <c r="F132" s="1192"/>
      <c r="G132" s="1192"/>
      <c r="H132" s="1192"/>
      <c r="I132" s="1192"/>
      <c r="J132" s="1192"/>
      <c r="K132" s="1192"/>
    </row>
    <row r="133" spans="2:11" ht="27" hidden="1" thickBot="1">
      <c r="B133" s="1192"/>
      <c r="C133" s="1192"/>
      <c r="D133" s="1192"/>
      <c r="E133" s="1192"/>
      <c r="F133" s="1192"/>
      <c r="G133" s="1192"/>
      <c r="H133" s="1192"/>
      <c r="I133" s="1192"/>
      <c r="J133" s="1192"/>
      <c r="K133" s="1192"/>
    </row>
    <row r="134" spans="2:11" ht="27" hidden="1" thickBot="1">
      <c r="B134" s="1192"/>
      <c r="C134" s="1192"/>
      <c r="D134" s="1192"/>
      <c r="E134" s="1192"/>
      <c r="F134" s="1192"/>
      <c r="G134" s="1192"/>
      <c r="H134" s="1192"/>
      <c r="I134" s="1192"/>
      <c r="J134" s="1192"/>
      <c r="K134" s="1192"/>
    </row>
    <row r="135" spans="2:11" ht="27" hidden="1" thickBot="1">
      <c r="B135" s="1192"/>
      <c r="C135" s="1192"/>
      <c r="D135" s="1192"/>
      <c r="E135" s="1192"/>
      <c r="F135" s="1192"/>
      <c r="G135" s="1192"/>
      <c r="H135" s="1192"/>
      <c r="I135" s="1192"/>
      <c r="J135" s="1192"/>
      <c r="K135" s="1192"/>
    </row>
    <row r="136" spans="2:11" ht="27" hidden="1" thickBot="1">
      <c r="B136" s="1192"/>
      <c r="C136" s="1192"/>
      <c r="D136" s="1192"/>
      <c r="E136" s="1192"/>
      <c r="F136" s="1192"/>
      <c r="G136" s="1192"/>
      <c r="H136" s="1192"/>
      <c r="I136" s="1192"/>
      <c r="J136" s="1192"/>
      <c r="K136" s="1192"/>
    </row>
    <row r="137" spans="2:11" ht="27" hidden="1" thickBot="1">
      <c r="B137" s="1192"/>
      <c r="C137" s="1192"/>
      <c r="D137" s="1192"/>
      <c r="E137" s="1192"/>
      <c r="F137" s="1192"/>
      <c r="G137" s="1192"/>
      <c r="H137" s="1192"/>
      <c r="I137" s="1192"/>
      <c r="J137" s="1192"/>
      <c r="K137" s="1192"/>
    </row>
    <row r="138" spans="2:11" ht="27" hidden="1" thickBot="1">
      <c r="B138" s="1192"/>
      <c r="C138" s="1192"/>
      <c r="D138" s="1192"/>
      <c r="E138" s="1192"/>
      <c r="F138" s="1192"/>
      <c r="G138" s="1192"/>
      <c r="H138" s="1192"/>
      <c r="I138" s="1192"/>
      <c r="J138" s="1192"/>
      <c r="K138" s="1192"/>
    </row>
    <row r="139" spans="2:11" ht="27" hidden="1" thickBot="1">
      <c r="B139" s="1192"/>
      <c r="C139" s="1192"/>
      <c r="D139" s="1192"/>
      <c r="E139" s="1192"/>
      <c r="F139" s="1192"/>
      <c r="G139" s="1192"/>
      <c r="H139" s="1192"/>
      <c r="I139" s="1192"/>
      <c r="J139" s="1192"/>
      <c r="K139" s="1192"/>
    </row>
    <row r="140" spans="2:11" ht="27" hidden="1" thickBot="1">
      <c r="B140" s="1192"/>
      <c r="C140" s="1192"/>
      <c r="D140" s="1192"/>
      <c r="E140" s="1192"/>
      <c r="F140" s="1192"/>
      <c r="G140" s="1192"/>
      <c r="H140" s="1192"/>
      <c r="I140" s="1192"/>
      <c r="J140" s="1192"/>
      <c r="K140" s="1192"/>
    </row>
    <row r="141" spans="2:11" ht="27" hidden="1" thickBot="1">
      <c r="B141" s="1192"/>
      <c r="C141" s="1192" t="s">
        <v>69</v>
      </c>
      <c r="D141" s="1194">
        <v>1327</v>
      </c>
      <c r="E141" s="1192"/>
      <c r="F141" s="1192"/>
      <c r="G141" s="1192"/>
      <c r="H141" s="1192"/>
      <c r="I141" s="1192"/>
      <c r="J141" s="1192"/>
      <c r="K141" s="1192"/>
    </row>
    <row r="142" spans="2:11" ht="27" hidden="1" thickBot="1">
      <c r="B142" s="1192"/>
      <c r="C142" s="1192" t="s">
        <v>62</v>
      </c>
      <c r="D142" s="1194">
        <v>1050</v>
      </c>
      <c r="E142" s="1192"/>
      <c r="F142" s="1192"/>
      <c r="G142" s="1192"/>
      <c r="H142" s="1192"/>
      <c r="I142" s="1192"/>
      <c r="J142" s="1192"/>
      <c r="K142" s="1192"/>
    </row>
    <row r="143" spans="2:11" ht="27" hidden="1" thickBot="1">
      <c r="B143" s="1192"/>
      <c r="C143" s="1192" t="s">
        <v>64</v>
      </c>
      <c r="D143" s="1194">
        <v>875</v>
      </c>
      <c r="E143" s="1192"/>
      <c r="F143" s="1192"/>
      <c r="G143" s="1192"/>
      <c r="H143" s="1192"/>
      <c r="I143" s="1192"/>
      <c r="J143" s="1192"/>
      <c r="K143" s="1192"/>
    </row>
    <row r="144" spans="2:11" ht="27" hidden="1" thickBot="1">
      <c r="B144" s="1192"/>
      <c r="C144" s="1192" t="s">
        <v>65</v>
      </c>
      <c r="D144" s="1194">
        <v>862</v>
      </c>
      <c r="E144" s="1192"/>
      <c r="F144" s="1192"/>
      <c r="G144" s="1192"/>
      <c r="H144" s="1192"/>
      <c r="I144" s="1192"/>
      <c r="J144" s="1192"/>
      <c r="K144" s="1192"/>
    </row>
    <row r="145" spans="1:11" ht="27" hidden="1" thickBot="1">
      <c r="B145" s="1192"/>
      <c r="C145" s="1192" t="s">
        <v>66</v>
      </c>
      <c r="D145" s="1194">
        <v>664</v>
      </c>
      <c r="E145" s="1192"/>
      <c r="F145" s="1192"/>
      <c r="G145" s="1192"/>
      <c r="H145" s="1192"/>
      <c r="I145" s="1192"/>
      <c r="J145" s="1192"/>
      <c r="K145" s="1192"/>
    </row>
    <row r="146" spans="1:11" ht="27" hidden="1" thickBot="1">
      <c r="B146" s="1192"/>
      <c r="C146" s="1192" t="s">
        <v>63</v>
      </c>
      <c r="D146" s="1194">
        <v>624</v>
      </c>
      <c r="E146" s="1192"/>
      <c r="F146" s="1192"/>
      <c r="G146" s="1192"/>
      <c r="H146" s="1192"/>
      <c r="I146" s="1192"/>
      <c r="J146" s="1192"/>
      <c r="K146" s="1192"/>
    </row>
    <row r="147" spans="1:11" ht="27" hidden="1" thickBot="1">
      <c r="B147" s="1192"/>
      <c r="C147" s="1192" t="s">
        <v>67</v>
      </c>
      <c r="D147" s="1194">
        <v>496</v>
      </c>
      <c r="E147" s="1192"/>
      <c r="F147" s="1192"/>
      <c r="G147" s="1192"/>
      <c r="H147" s="1192"/>
      <c r="I147" s="1192"/>
      <c r="J147" s="1192"/>
      <c r="K147" s="1192"/>
    </row>
    <row r="148" spans="1:11" ht="27" hidden="1" thickBot="1">
      <c r="B148" s="1192"/>
      <c r="C148" s="1192" t="s">
        <v>60</v>
      </c>
      <c r="D148" s="1194">
        <v>278</v>
      </c>
      <c r="E148" s="1192"/>
      <c r="F148" s="1192"/>
      <c r="G148" s="1192"/>
      <c r="H148" s="1192"/>
      <c r="I148" s="1192"/>
      <c r="J148" s="1192"/>
      <c r="K148" s="1192"/>
    </row>
    <row r="149" spans="1:11" ht="27" hidden="1" thickBot="1">
      <c r="B149" s="1192"/>
      <c r="C149" s="1192" t="s">
        <v>68</v>
      </c>
      <c r="D149" s="1194">
        <v>171</v>
      </c>
      <c r="E149" s="1192"/>
      <c r="F149" s="1192"/>
      <c r="G149" s="1192"/>
      <c r="H149" s="1192"/>
      <c r="I149" s="1192"/>
      <c r="J149" s="1192"/>
      <c r="K149" s="1192"/>
    </row>
    <row r="150" spans="1:11" ht="27" hidden="1" thickBot="1">
      <c r="B150" s="1192"/>
      <c r="C150" s="1192" t="s">
        <v>58</v>
      </c>
      <c r="D150" s="1194">
        <v>103</v>
      </c>
      <c r="E150" s="1192"/>
      <c r="F150" s="1192"/>
      <c r="G150" s="1192"/>
      <c r="H150" s="1192"/>
      <c r="I150" s="1192"/>
      <c r="J150" s="1192"/>
      <c r="K150" s="1192"/>
    </row>
    <row r="151" spans="1:11" ht="27" hidden="1" thickBot="1">
      <c r="B151" s="1192"/>
      <c r="C151" s="1192" t="s">
        <v>79</v>
      </c>
      <c r="D151" s="1194">
        <v>12</v>
      </c>
      <c r="E151" s="1192"/>
      <c r="F151" s="1192"/>
      <c r="G151" s="1192"/>
      <c r="H151" s="1192"/>
      <c r="I151" s="1192"/>
      <c r="J151" s="1192"/>
      <c r="K151" s="1192"/>
    </row>
    <row r="152" spans="1:11" ht="27" hidden="1" thickBot="1">
      <c r="B152" s="1192"/>
      <c r="C152" s="1192" t="s">
        <v>78</v>
      </c>
      <c r="D152" s="1194">
        <v>0</v>
      </c>
      <c r="E152" s="1192"/>
      <c r="F152" s="1192"/>
      <c r="G152" s="1192"/>
      <c r="H152" s="1192"/>
      <c r="I152" s="1192"/>
      <c r="J152" s="1192"/>
      <c r="K152" s="1192"/>
    </row>
    <row r="153" spans="1:11" ht="27" hidden="1" thickBot="1">
      <c r="B153" s="1192"/>
      <c r="C153" s="1192" t="s">
        <v>59</v>
      </c>
      <c r="D153" s="1194">
        <v>0</v>
      </c>
      <c r="E153" s="1192"/>
      <c r="F153" s="1192"/>
      <c r="G153" s="1192"/>
      <c r="H153" s="1192"/>
      <c r="I153" s="1192"/>
      <c r="J153" s="1192"/>
      <c r="K153" s="1192"/>
    </row>
    <row r="154" spans="1:11" ht="27" hidden="1" thickBot="1">
      <c r="B154" s="1192"/>
      <c r="C154" s="1192" t="s">
        <v>61</v>
      </c>
      <c r="D154" s="1194">
        <v>0</v>
      </c>
      <c r="E154" s="1192"/>
      <c r="F154" s="1192"/>
      <c r="G154" s="1192"/>
      <c r="H154" s="1192"/>
      <c r="I154" s="1192"/>
      <c r="J154" s="1192"/>
      <c r="K154" s="1192"/>
    </row>
    <row r="155" spans="1:11" ht="26.25" thickBot="1">
      <c r="A155" s="1195" t="s">
        <v>190</v>
      </c>
      <c r="B155" s="1196">
        <f t="shared" ref="B155:K155" si="5">+B74+B104</f>
        <v>9826355.4529858045</v>
      </c>
      <c r="C155" s="1196">
        <f t="shared" si="5"/>
        <v>579932.58105000004</v>
      </c>
      <c r="D155" s="1196">
        <f t="shared" si="5"/>
        <v>1841834.3011840901</v>
      </c>
      <c r="E155" s="1196">
        <f t="shared" si="5"/>
        <v>18578344.726509996</v>
      </c>
      <c r="F155" s="1196">
        <f t="shared" si="5"/>
        <v>20288168.773019999</v>
      </c>
      <c r="G155" s="1196">
        <f t="shared" si="5"/>
        <v>2676583</v>
      </c>
      <c r="H155" s="1196">
        <f t="shared" si="5"/>
        <v>508819.43871999998</v>
      </c>
      <c r="I155" s="1196">
        <f t="shared" si="5"/>
        <v>294638</v>
      </c>
      <c r="J155" s="1196">
        <f t="shared" si="5"/>
        <v>1689229</v>
      </c>
      <c r="K155" s="1197">
        <f t="shared" si="5"/>
        <v>56283905.273469888</v>
      </c>
    </row>
    <row r="156" spans="1:11" ht="15.75"/>
    <row r="157" spans="1:11" ht="15.75"/>
    <row r="158" spans="1:11" ht="15.75">
      <c r="B158" s="1198" t="s">
        <v>0</v>
      </c>
    </row>
    <row r="159" spans="1:11" ht="15.75">
      <c r="B159" s="1118" t="s">
        <v>0</v>
      </c>
      <c r="E159" s="1198" t="s">
        <v>0</v>
      </c>
      <c r="F159" s="1118" t="s">
        <v>0</v>
      </c>
    </row>
    <row r="160" spans="1:11" ht="15.75">
      <c r="B160" s="1198" t="s">
        <v>0</v>
      </c>
      <c r="F160" s="1198"/>
    </row>
    <row r="161" ht="15.75"/>
    <row r="162" ht="15.75"/>
    <row r="163" ht="15.75"/>
    <row r="164" ht="15.75"/>
    <row r="165" ht="15.75"/>
    <row r="166" ht="15.75"/>
    <row r="167" ht="15.75"/>
  </sheetData>
  <phoneticPr fontId="73" type="noConversion"/>
  <printOptions horizontalCentered="1"/>
  <pageMargins left="0.31496062992125984" right="0.23622047244094491" top="0.31" bottom="0.24" header="0.19" footer="0.15748031496062992"/>
  <pageSetup scale="25" orientation="portrait" r:id="rId1"/>
  <headerFooter alignWithMargins="0">
    <oddHeader xml:space="preserve">&amp;C&amp;"CG Times,Bold"             &amp;16               </oddHeader>
    <oddFooter>&amp;R&amp;20&amp;P</oddFooter>
  </headerFooter>
</worksheet>
</file>

<file path=xl/worksheets/sheet25.xml><?xml version="1.0" encoding="utf-8"?>
<worksheet xmlns="http://schemas.openxmlformats.org/spreadsheetml/2006/main" xmlns:r="http://schemas.openxmlformats.org/officeDocument/2006/relationships">
  <sheetPr>
    <pageSetUpPr fitToPage="1"/>
  </sheetPr>
  <dimension ref="A1:V166"/>
  <sheetViews>
    <sheetView topLeftCell="A8" zoomScale="75" workbookViewId="0">
      <pane xSplit="1" ySplit="1" topLeftCell="B10"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0" customHeight="1" zeroHeight="1"/>
  <cols>
    <col min="1" max="1" width="47.125" style="1118" customWidth="1"/>
    <col min="2" max="2" width="21" style="1118" customWidth="1"/>
    <col min="3" max="3" width="22.375" style="1118" customWidth="1"/>
    <col min="4" max="4" width="20.875" style="1118" customWidth="1"/>
    <col min="5" max="5" width="21.125" style="1118" customWidth="1"/>
    <col min="6" max="6" width="22.125" style="1118" customWidth="1"/>
    <col min="7" max="7" width="21" style="1118" customWidth="1"/>
    <col min="8" max="8" width="21.625" style="1118" customWidth="1"/>
    <col min="9" max="9" width="23.875" style="1118" customWidth="1"/>
    <col min="10" max="10" width="20" style="1118" customWidth="1"/>
    <col min="11" max="11" width="25.125" style="1118" customWidth="1"/>
    <col min="12" max="12" width="10.75" style="1118" customWidth="1"/>
    <col min="13" max="13" width="11.75" style="1118" customWidth="1"/>
    <col min="14" max="14" width="9" style="1118"/>
    <col min="15" max="15" width="14" style="1118" customWidth="1"/>
    <col min="16" max="16" width="9" style="1118"/>
    <col min="17" max="30" width="15.625" style="1118" customWidth="1"/>
    <col min="31" max="54" width="9" style="1118"/>
    <col min="55" max="56" width="10" style="1118" customWidth="1"/>
    <col min="57" max="57" width="10.75" style="1118" customWidth="1"/>
    <col min="58" max="58" width="10" style="1118" customWidth="1"/>
    <col min="59" max="59" width="10.75" style="1118" customWidth="1"/>
    <col min="60" max="60" width="14.5" style="1118" customWidth="1"/>
    <col min="61" max="61" width="12.625" style="1118" customWidth="1"/>
    <col min="62" max="67" width="12.5" style="1118" customWidth="1"/>
    <col min="68" max="16384" width="9" style="1118"/>
  </cols>
  <sheetData>
    <row r="1" spans="1:13" ht="18.75">
      <c r="A1" s="1115" t="s">
        <v>191</v>
      </c>
      <c r="B1" s="1116"/>
      <c r="C1" s="1116"/>
      <c r="D1" s="1116"/>
      <c r="E1" s="1116"/>
      <c r="F1" s="1116"/>
      <c r="G1" s="1116"/>
      <c r="H1" s="1116"/>
      <c r="I1" s="1116"/>
      <c r="J1" s="1116"/>
      <c r="K1" s="1116"/>
      <c r="L1" s="1117"/>
      <c r="M1" s="1117"/>
    </row>
    <row r="2" spans="1:13" ht="18.75">
      <c r="A2" s="1115" t="s">
        <v>868</v>
      </c>
      <c r="B2" s="1116"/>
      <c r="C2" s="1116"/>
      <c r="D2" s="1116"/>
      <c r="E2" s="1116"/>
      <c r="F2" s="1116"/>
      <c r="G2" s="1116"/>
      <c r="H2" s="1116"/>
      <c r="I2" s="1116"/>
      <c r="J2" s="1116"/>
      <c r="K2" s="1116"/>
      <c r="L2" s="1117"/>
      <c r="M2" s="1117"/>
    </row>
    <row r="3" spans="1:13" ht="15.75">
      <c r="A3" s="1119" t="s">
        <v>968</v>
      </c>
      <c r="B3" s="1119"/>
      <c r="C3" s="1119"/>
      <c r="D3" s="1119"/>
      <c r="E3" s="1119"/>
      <c r="F3" s="1119"/>
      <c r="G3" s="1119"/>
      <c r="H3" s="1119"/>
      <c r="I3" s="1119"/>
      <c r="J3" s="1119"/>
      <c r="K3" s="1119"/>
      <c r="L3" s="1117"/>
      <c r="M3" s="1116"/>
    </row>
    <row r="4" spans="1:13" ht="20.25">
      <c r="A4" s="1120"/>
      <c r="B4" s="1120"/>
      <c r="C4" s="1120"/>
      <c r="D4" s="1120"/>
      <c r="E4" s="1120"/>
      <c r="F4" s="1120"/>
      <c r="G4" s="1120"/>
      <c r="H4" s="1120"/>
      <c r="I4" s="1120"/>
      <c r="J4" s="1120"/>
      <c r="K4" s="1120"/>
      <c r="L4" s="1116"/>
      <c r="M4" s="1116"/>
    </row>
    <row r="5" spans="1:13" ht="15.75">
      <c r="A5" s="1121"/>
      <c r="B5" s="1121"/>
      <c r="C5" s="1121"/>
      <c r="D5" s="1121"/>
      <c r="E5" s="1121"/>
      <c r="F5" s="1121"/>
      <c r="G5" s="1121"/>
      <c r="H5" s="1121"/>
      <c r="I5" s="1121"/>
      <c r="J5" s="1121"/>
      <c r="K5" s="1121"/>
      <c r="L5" s="1116"/>
      <c r="M5" s="1116"/>
    </row>
    <row r="6" spans="1:13" ht="20.25">
      <c r="A6" s="1122" t="s">
        <v>867</v>
      </c>
      <c r="B6" s="1116"/>
      <c r="C6" s="1116"/>
      <c r="D6" s="1116"/>
      <c r="E6" s="1116"/>
      <c r="F6" s="1116"/>
      <c r="G6" s="1116"/>
      <c r="H6" s="1116"/>
      <c r="I6" s="1116"/>
      <c r="J6" s="1116"/>
      <c r="K6" s="1116"/>
      <c r="L6" s="1116"/>
      <c r="M6" s="1116"/>
    </row>
    <row r="7" spans="1:13" ht="16.5" thickBot="1">
      <c r="A7" s="1116"/>
      <c r="B7" s="1116"/>
      <c r="C7" s="1116"/>
      <c r="D7" s="1116"/>
      <c r="E7" s="1116"/>
      <c r="F7" s="1116"/>
      <c r="G7" s="1116"/>
    </row>
    <row r="8" spans="1:13" ht="19.5" thickBot="1">
      <c r="A8" s="1123"/>
      <c r="B8" s="1318" t="s">
        <v>125</v>
      </c>
      <c r="C8" s="1319" t="s">
        <v>60</v>
      </c>
      <c r="D8" s="1318" t="s">
        <v>126</v>
      </c>
      <c r="E8" s="1318" t="s">
        <v>64</v>
      </c>
      <c r="F8" s="1318" t="s">
        <v>65</v>
      </c>
      <c r="G8" s="1318" t="s">
        <v>133</v>
      </c>
      <c r="H8" s="1318" t="s">
        <v>67</v>
      </c>
      <c r="I8" s="1318" t="s">
        <v>68</v>
      </c>
      <c r="J8" s="1320" t="s">
        <v>69</v>
      </c>
      <c r="K8" s="1124" t="s">
        <v>70</v>
      </c>
      <c r="L8" s="1121"/>
      <c r="M8" s="1121"/>
    </row>
    <row r="9" spans="1:13" ht="16.5" thickTop="1">
      <c r="A9" s="1125"/>
      <c r="B9" s="1126"/>
      <c r="C9" s="1127"/>
      <c r="D9" s="1126"/>
      <c r="E9" s="1126"/>
      <c r="F9" s="1126"/>
      <c r="G9" s="1126" t="s">
        <v>0</v>
      </c>
      <c r="H9" s="1126"/>
      <c r="I9" s="1126"/>
      <c r="J9" s="1128"/>
      <c r="K9" s="1129"/>
      <c r="L9" s="1121"/>
      <c r="M9" s="1121"/>
    </row>
    <row r="10" spans="1:13" ht="30" customHeight="1">
      <c r="A10" s="1130" t="s">
        <v>143</v>
      </c>
      <c r="B10" s="1131">
        <v>576776.49498191313</v>
      </c>
      <c r="C10" s="1132">
        <v>184033.82229000001</v>
      </c>
      <c r="D10" s="1132">
        <v>81940.298022058007</v>
      </c>
      <c r="E10" s="1133">
        <v>4048096.7035400001</v>
      </c>
      <c r="F10" s="1133">
        <v>87603.706910000008</v>
      </c>
      <c r="G10" s="1133">
        <f>+[1]Annexe14!$F$29</f>
        <v>1278050</v>
      </c>
      <c r="H10" s="1133">
        <v>2620873.9028500002</v>
      </c>
      <c r="I10" s="1133">
        <v>381091</v>
      </c>
      <c r="J10" s="1135">
        <v>108688</v>
      </c>
      <c r="K10" s="1136">
        <f t="shared" ref="K10:K41" si="0">SUM(B10:J10)</f>
        <v>9367153.9285939708</v>
      </c>
      <c r="L10" s="1121"/>
      <c r="M10" s="1121"/>
    </row>
    <row r="11" spans="1:13" ht="30" customHeight="1">
      <c r="A11" s="1130" t="s">
        <v>144</v>
      </c>
      <c r="B11" s="1131">
        <v>0</v>
      </c>
      <c r="C11" s="1133">
        <v>0</v>
      </c>
      <c r="D11" s="1132">
        <v>0</v>
      </c>
      <c r="E11" s="1133">
        <v>475057.49314000004</v>
      </c>
      <c r="F11" s="1133">
        <v>0</v>
      </c>
      <c r="G11" s="1133">
        <v>0</v>
      </c>
      <c r="H11" s="1133">
        <v>0</v>
      </c>
      <c r="I11" s="1133">
        <v>0</v>
      </c>
      <c r="J11" s="1137">
        <v>0</v>
      </c>
      <c r="K11" s="1136">
        <f t="shared" si="0"/>
        <v>475057.49314000004</v>
      </c>
      <c r="L11" s="1121"/>
      <c r="M11" s="1121"/>
    </row>
    <row r="12" spans="1:13" ht="30" customHeight="1">
      <c r="A12" s="1130" t="s">
        <v>689</v>
      </c>
      <c r="B12" s="1131">
        <v>0</v>
      </c>
      <c r="C12" s="1133">
        <v>0</v>
      </c>
      <c r="D12" s="1132">
        <v>0</v>
      </c>
      <c r="E12" s="1133">
        <v>0</v>
      </c>
      <c r="F12" s="1133">
        <v>0</v>
      </c>
      <c r="G12" s="1133">
        <v>0</v>
      </c>
      <c r="H12" s="1133">
        <v>0</v>
      </c>
      <c r="I12" s="1133">
        <v>0</v>
      </c>
      <c r="J12" s="1137">
        <v>0</v>
      </c>
      <c r="K12" s="1136">
        <f t="shared" si="0"/>
        <v>0</v>
      </c>
      <c r="L12" s="1121"/>
      <c r="M12" s="1121"/>
    </row>
    <row r="13" spans="1:13" ht="30" customHeight="1">
      <c r="A13" s="1130" t="s">
        <v>145</v>
      </c>
      <c r="B13" s="1138">
        <f>SUM(B14:B15)</f>
        <v>84860.647032271008</v>
      </c>
      <c r="C13" s="1154">
        <v>0</v>
      </c>
      <c r="D13" s="1155">
        <v>0</v>
      </c>
      <c r="E13" s="1154">
        <v>171593.55108999999</v>
      </c>
      <c r="F13" s="1154">
        <v>0</v>
      </c>
      <c r="G13" s="1154">
        <v>0</v>
      </c>
      <c r="H13" s="1154">
        <v>0</v>
      </c>
      <c r="I13" s="1154">
        <v>0</v>
      </c>
      <c r="J13" s="1157">
        <v>0</v>
      </c>
      <c r="K13" s="1143">
        <f t="shared" si="0"/>
        <v>256454.19812227099</v>
      </c>
      <c r="L13" s="1121"/>
      <c r="M13" s="1121"/>
    </row>
    <row r="14" spans="1:13" ht="30" customHeight="1">
      <c r="A14" s="1130" t="s">
        <v>691</v>
      </c>
      <c r="B14" s="1144">
        <v>52285.024700306007</v>
      </c>
      <c r="C14" s="1154">
        <v>0</v>
      </c>
      <c r="D14" s="1155">
        <v>0</v>
      </c>
      <c r="E14" s="1154">
        <v>0</v>
      </c>
      <c r="F14" s="1154">
        <v>0</v>
      </c>
      <c r="G14" s="1154">
        <v>0</v>
      </c>
      <c r="H14" s="1154">
        <v>0</v>
      </c>
      <c r="I14" s="1154">
        <v>0</v>
      </c>
      <c r="J14" s="1157">
        <v>0</v>
      </c>
      <c r="K14" s="1143">
        <f t="shared" si="0"/>
        <v>52285.024700306007</v>
      </c>
      <c r="L14" s="1121"/>
      <c r="M14" s="1121"/>
    </row>
    <row r="15" spans="1:13" ht="30" customHeight="1">
      <c r="A15" s="1130" t="s">
        <v>692</v>
      </c>
      <c r="B15" s="1144">
        <v>32575.622331964998</v>
      </c>
      <c r="C15" s="1154">
        <v>0</v>
      </c>
      <c r="D15" s="1155">
        <v>0</v>
      </c>
      <c r="E15" s="1154">
        <v>0</v>
      </c>
      <c r="F15" s="1154">
        <v>0</v>
      </c>
      <c r="G15" s="1154">
        <v>0</v>
      </c>
      <c r="H15" s="1154">
        <v>0</v>
      </c>
      <c r="I15" s="1154">
        <v>0</v>
      </c>
      <c r="J15" s="1157">
        <v>0</v>
      </c>
      <c r="K15" s="1143">
        <f t="shared" si="0"/>
        <v>32575.622331964998</v>
      </c>
      <c r="L15" s="1121"/>
      <c r="M15" s="1121"/>
    </row>
    <row r="16" spans="1:13" ht="30" customHeight="1">
      <c r="A16" s="1149" t="s">
        <v>146</v>
      </c>
      <c r="B16" s="1199">
        <f>SUM(B17:B27)</f>
        <v>219989.90071545701</v>
      </c>
      <c r="C16" s="1150">
        <v>2967.5567500000002</v>
      </c>
      <c r="D16" s="1150">
        <v>0</v>
      </c>
      <c r="E16" s="1150">
        <f>SUM(E17:E24)</f>
        <v>1346490.94515</v>
      </c>
      <c r="F16" s="1150">
        <f>SUM(F17:F27)</f>
        <v>473279.75192000001</v>
      </c>
      <c r="G16" s="1150">
        <f>SUM(G17:G27)</f>
        <v>49334</v>
      </c>
      <c r="H16" s="1150">
        <f>SUM(H17:H22)</f>
        <v>223368.79613999999</v>
      </c>
      <c r="I16" s="1150">
        <v>0</v>
      </c>
      <c r="J16" s="1200">
        <v>86363</v>
      </c>
      <c r="K16" s="1143">
        <f t="shared" si="0"/>
        <v>2401793.9506754568</v>
      </c>
      <c r="L16" s="1121"/>
      <c r="M16" s="1121"/>
    </row>
    <row r="17" spans="1:13" ht="30" customHeight="1">
      <c r="A17" s="1149" t="s">
        <v>693</v>
      </c>
      <c r="B17" s="1145">
        <v>111037.14713614101</v>
      </c>
      <c r="C17" s="1145">
        <v>0</v>
      </c>
      <c r="D17" s="1145">
        <v>0</v>
      </c>
      <c r="E17" s="1145">
        <v>0</v>
      </c>
      <c r="F17" s="1145">
        <v>0</v>
      </c>
      <c r="G17" s="1145">
        <v>0</v>
      </c>
      <c r="H17" s="1145">
        <v>0</v>
      </c>
      <c r="I17" s="1145">
        <v>0</v>
      </c>
      <c r="J17" s="1147">
        <v>0</v>
      </c>
      <c r="K17" s="1148">
        <f t="shared" si="0"/>
        <v>111037.14713614101</v>
      </c>
      <c r="L17" s="1121"/>
      <c r="M17" s="1121"/>
    </row>
    <row r="18" spans="1:13" ht="30" customHeight="1">
      <c r="A18" s="1149" t="s">
        <v>694</v>
      </c>
      <c r="B18" s="1145">
        <v>99213.182318485007</v>
      </c>
      <c r="C18" s="1145">
        <v>0</v>
      </c>
      <c r="D18" s="1145">
        <v>0</v>
      </c>
      <c r="E18" s="1145">
        <v>0</v>
      </c>
      <c r="F18" s="1145">
        <v>0</v>
      </c>
      <c r="G18" s="1145">
        <v>0</v>
      </c>
      <c r="H18" s="1145">
        <v>0</v>
      </c>
      <c r="I18" s="1145">
        <v>0</v>
      </c>
      <c r="J18" s="1147">
        <v>0</v>
      </c>
      <c r="K18" s="1148">
        <f t="shared" si="0"/>
        <v>99213.182318485007</v>
      </c>
      <c r="L18" s="1121"/>
      <c r="M18" s="1121"/>
    </row>
    <row r="19" spans="1:13" ht="30" customHeight="1">
      <c r="A19" s="1149" t="s">
        <v>695</v>
      </c>
      <c r="B19" s="1145">
        <v>0</v>
      </c>
      <c r="C19" s="1145">
        <v>0</v>
      </c>
      <c r="D19" s="1145">
        <v>0</v>
      </c>
      <c r="E19" s="1145">
        <v>0</v>
      </c>
      <c r="F19" s="1145">
        <v>0</v>
      </c>
      <c r="G19" s="1145">
        <f>+[1]Annexe14!$F$30</f>
        <v>49334</v>
      </c>
      <c r="H19" s="1145">
        <v>0</v>
      </c>
      <c r="I19" s="1145">
        <v>0</v>
      </c>
      <c r="J19" s="1147">
        <v>0</v>
      </c>
      <c r="K19" s="1148">
        <f t="shared" si="0"/>
        <v>49334</v>
      </c>
      <c r="L19" s="1121"/>
      <c r="M19" s="1121"/>
    </row>
    <row r="20" spans="1:13" ht="30" customHeight="1">
      <c r="A20" s="1149" t="s">
        <v>696</v>
      </c>
      <c r="B20" s="1145">
        <v>9739.5712608310005</v>
      </c>
      <c r="C20" s="1145">
        <v>0</v>
      </c>
      <c r="D20" s="1145">
        <v>0</v>
      </c>
      <c r="E20" s="1145">
        <v>0</v>
      </c>
      <c r="F20" s="1145">
        <v>136461.80609</v>
      </c>
      <c r="G20" s="1145">
        <v>0</v>
      </c>
      <c r="H20" s="1145">
        <v>0</v>
      </c>
      <c r="I20" s="1145">
        <v>0</v>
      </c>
      <c r="J20" s="1147">
        <v>0</v>
      </c>
      <c r="K20" s="1148">
        <f t="shared" si="0"/>
        <v>146201.377350831</v>
      </c>
      <c r="L20" s="1121"/>
      <c r="M20" s="1121"/>
    </row>
    <row r="21" spans="1:13" ht="30" customHeight="1">
      <c r="A21" s="1149" t="s">
        <v>697</v>
      </c>
      <c r="B21" s="1145">
        <v>0</v>
      </c>
      <c r="C21" s="1145">
        <v>0</v>
      </c>
      <c r="D21" s="1145">
        <v>0</v>
      </c>
      <c r="E21" s="1145">
        <v>0</v>
      </c>
      <c r="F21" s="1145">
        <v>0</v>
      </c>
      <c r="G21" s="1145">
        <v>0</v>
      </c>
      <c r="H21" s="1145">
        <v>0</v>
      </c>
      <c r="I21" s="1145">
        <v>0</v>
      </c>
      <c r="J21" s="1147">
        <v>0</v>
      </c>
      <c r="K21" s="1148">
        <f t="shared" si="0"/>
        <v>0</v>
      </c>
      <c r="L21" s="1121"/>
      <c r="M21" s="1121"/>
    </row>
    <row r="22" spans="1:13" ht="30" customHeight="1">
      <c r="A22" s="1149" t="s">
        <v>827</v>
      </c>
      <c r="B22" s="1145">
        <v>0</v>
      </c>
      <c r="C22" s="1145">
        <v>0</v>
      </c>
      <c r="D22" s="1145">
        <v>0</v>
      </c>
      <c r="E22" s="1145">
        <v>0</v>
      </c>
      <c r="F22" s="1145">
        <v>0</v>
      </c>
      <c r="G22" s="1145">
        <v>0</v>
      </c>
      <c r="H22" s="1145">
        <v>223368.79613999999</v>
      </c>
      <c r="I22" s="1145">
        <v>0</v>
      </c>
      <c r="J22" s="1147">
        <v>0</v>
      </c>
      <c r="K22" s="1148">
        <f t="shared" si="0"/>
        <v>223368.79613999999</v>
      </c>
      <c r="L22" s="1121"/>
      <c r="M22" s="1121"/>
    </row>
    <row r="23" spans="1:13" ht="30" customHeight="1">
      <c r="A23" s="1149" t="s">
        <v>698</v>
      </c>
      <c r="B23" s="1145">
        <v>0</v>
      </c>
      <c r="C23" s="1145">
        <v>0</v>
      </c>
      <c r="D23" s="1145">
        <v>0</v>
      </c>
      <c r="E23" s="1145">
        <v>71377.842189999996</v>
      </c>
      <c r="F23" s="1145">
        <v>0</v>
      </c>
      <c r="G23" s="1145">
        <v>0</v>
      </c>
      <c r="H23" s="1145">
        <v>0</v>
      </c>
      <c r="I23" s="1145">
        <v>0</v>
      </c>
      <c r="J23" s="1147">
        <v>0</v>
      </c>
      <c r="K23" s="1148">
        <f t="shared" si="0"/>
        <v>71377.842189999996</v>
      </c>
      <c r="L23" s="1121"/>
      <c r="M23" s="1121"/>
    </row>
    <row r="24" spans="1:13" ht="30" customHeight="1">
      <c r="A24" s="1149" t="s">
        <v>699</v>
      </c>
      <c r="B24" s="1145">
        <v>0</v>
      </c>
      <c r="C24" s="1145">
        <v>0</v>
      </c>
      <c r="D24" s="1145">
        <v>0</v>
      </c>
      <c r="E24" s="1145">
        <v>1275113.10296</v>
      </c>
      <c r="F24" s="1145">
        <v>0</v>
      </c>
      <c r="G24" s="1145">
        <v>0</v>
      </c>
      <c r="H24" s="1145">
        <v>0</v>
      </c>
      <c r="I24" s="1145">
        <v>0</v>
      </c>
      <c r="J24" s="1147">
        <v>0</v>
      </c>
      <c r="K24" s="1148">
        <f t="shared" si="0"/>
        <v>1275113.10296</v>
      </c>
      <c r="L24" s="1121"/>
      <c r="M24" s="1121"/>
    </row>
    <row r="25" spans="1:13" ht="30" customHeight="1">
      <c r="A25" s="1149" t="s">
        <v>700</v>
      </c>
      <c r="B25" s="1145">
        <v>0</v>
      </c>
      <c r="C25" s="1145">
        <v>0</v>
      </c>
      <c r="D25" s="1145">
        <v>0</v>
      </c>
      <c r="E25" s="1145">
        <v>0</v>
      </c>
      <c r="F25" s="1145">
        <v>94394.206659999996</v>
      </c>
      <c r="G25" s="1145">
        <v>0</v>
      </c>
      <c r="H25" s="1145">
        <v>0</v>
      </c>
      <c r="I25" s="1145">
        <v>0</v>
      </c>
      <c r="J25" s="1147">
        <v>0</v>
      </c>
      <c r="K25" s="1148">
        <f t="shared" si="0"/>
        <v>94394.206659999996</v>
      </c>
      <c r="L25" s="1121"/>
      <c r="M25" s="1121"/>
    </row>
    <row r="26" spans="1:13" ht="30" customHeight="1">
      <c r="A26" s="1149" t="s">
        <v>701</v>
      </c>
      <c r="B26" s="1145">
        <v>0</v>
      </c>
      <c r="C26" s="1145">
        <v>0</v>
      </c>
      <c r="D26" s="1145">
        <v>0</v>
      </c>
      <c r="E26" s="1145">
        <v>0</v>
      </c>
      <c r="F26" s="1145">
        <v>242423.73917000002</v>
      </c>
      <c r="G26" s="1145">
        <v>0</v>
      </c>
      <c r="H26" s="1145">
        <v>0</v>
      </c>
      <c r="I26" s="1145">
        <v>0</v>
      </c>
      <c r="J26" s="1147">
        <v>0</v>
      </c>
      <c r="K26" s="1148">
        <f t="shared" si="0"/>
        <v>242423.73917000002</v>
      </c>
      <c r="L26" s="1121"/>
      <c r="M26" s="1121"/>
    </row>
    <row r="27" spans="1:13" ht="30" customHeight="1">
      <c r="A27" s="1149" t="s">
        <v>702</v>
      </c>
      <c r="B27" s="1145">
        <v>0</v>
      </c>
      <c r="C27" s="1145">
        <v>0</v>
      </c>
      <c r="D27" s="1145">
        <v>0</v>
      </c>
      <c r="E27" s="1145">
        <v>0</v>
      </c>
      <c r="F27" s="1145">
        <v>0</v>
      </c>
      <c r="G27" s="1145">
        <v>0</v>
      </c>
      <c r="H27" s="1145">
        <v>0</v>
      </c>
      <c r="I27" s="1145">
        <v>0</v>
      </c>
      <c r="J27" s="1147">
        <v>0</v>
      </c>
      <c r="K27" s="1148">
        <f t="shared" si="0"/>
        <v>0</v>
      </c>
      <c r="L27" s="1121"/>
      <c r="M27" s="1121"/>
    </row>
    <row r="28" spans="1:13" ht="30" customHeight="1">
      <c r="A28" s="1149" t="s">
        <v>147</v>
      </c>
      <c r="B28" s="1138">
        <f>SUM(B29:B32)</f>
        <v>869125.04492199398</v>
      </c>
      <c r="C28" s="1139">
        <v>678695.98406000005</v>
      </c>
      <c r="D28" s="1140">
        <v>466073.34237304801</v>
      </c>
      <c r="E28" s="1139">
        <f>SUM(E29:E34)</f>
        <v>893917.87662999996</v>
      </c>
      <c r="F28" s="1139">
        <f>SUM(F29:F34)</f>
        <v>2931540.7839799998</v>
      </c>
      <c r="G28" s="1139">
        <f>SUM(G29:G34)</f>
        <v>693757</v>
      </c>
      <c r="H28" s="1139">
        <v>0</v>
      </c>
      <c r="I28" s="1139">
        <v>0</v>
      </c>
      <c r="J28" s="1142">
        <v>60332</v>
      </c>
      <c r="K28" s="1143">
        <f t="shared" si="0"/>
        <v>6593442.0319650415</v>
      </c>
      <c r="L28" s="1121"/>
      <c r="M28" s="1121"/>
    </row>
    <row r="29" spans="1:13" ht="30" customHeight="1">
      <c r="A29" s="1149" t="s">
        <v>703</v>
      </c>
      <c r="B29" s="1144">
        <v>139899.510831925</v>
      </c>
      <c r="C29" s="1145">
        <v>0</v>
      </c>
      <c r="D29" s="1146">
        <v>0</v>
      </c>
      <c r="E29" s="1145">
        <v>544562.29032999999</v>
      </c>
      <c r="F29" s="1145">
        <v>1699630.3675400002</v>
      </c>
      <c r="G29" s="1145">
        <f>+[1]Annexe14!$F$32</f>
        <v>494051</v>
      </c>
      <c r="H29" s="1145">
        <v>0</v>
      </c>
      <c r="I29" s="1145">
        <v>0</v>
      </c>
      <c r="J29" s="1147">
        <v>0</v>
      </c>
      <c r="K29" s="1148">
        <f t="shared" si="0"/>
        <v>2878143.1687019253</v>
      </c>
      <c r="L29" s="1121"/>
      <c r="M29" s="1121"/>
    </row>
    <row r="30" spans="1:13" ht="30" customHeight="1">
      <c r="A30" s="1149" t="s">
        <v>704</v>
      </c>
      <c r="B30" s="1144">
        <v>70862.957604017007</v>
      </c>
      <c r="C30" s="1145">
        <v>0</v>
      </c>
      <c r="D30" s="1146">
        <v>0</v>
      </c>
      <c r="E30" s="1145">
        <v>0</v>
      </c>
      <c r="F30" s="1145">
        <v>0</v>
      </c>
      <c r="G30" s="1145">
        <f>+[1]Annexe14!$F$31</f>
        <v>60014</v>
      </c>
      <c r="H30" s="1145">
        <v>0</v>
      </c>
      <c r="I30" s="1145">
        <v>0</v>
      </c>
      <c r="J30" s="1147">
        <v>0</v>
      </c>
      <c r="K30" s="1148">
        <f t="shared" si="0"/>
        <v>130876.95760401701</v>
      </c>
      <c r="L30" s="1121"/>
      <c r="M30" s="1121"/>
    </row>
    <row r="31" spans="1:13" ht="30" customHeight="1">
      <c r="A31" s="1149" t="s">
        <v>705</v>
      </c>
      <c r="B31" s="1144">
        <v>652750.46807755902</v>
      </c>
      <c r="C31" s="1145">
        <v>0</v>
      </c>
      <c r="D31" s="1146">
        <v>0</v>
      </c>
      <c r="E31" s="1145">
        <v>0</v>
      </c>
      <c r="F31" s="1145">
        <v>0</v>
      </c>
      <c r="G31" s="1145">
        <v>0</v>
      </c>
      <c r="H31" s="1145">
        <v>0</v>
      </c>
      <c r="I31" s="1145">
        <v>0</v>
      </c>
      <c r="J31" s="1147">
        <v>0</v>
      </c>
      <c r="K31" s="1148">
        <f t="shared" si="0"/>
        <v>652750.46807755902</v>
      </c>
      <c r="L31" s="1121"/>
      <c r="M31" s="1121"/>
    </row>
    <row r="32" spans="1:13" ht="30" customHeight="1">
      <c r="A32" s="1149" t="s">
        <v>706</v>
      </c>
      <c r="B32" s="1144">
        <v>5612.1084084929989</v>
      </c>
      <c r="C32" s="1145">
        <v>0</v>
      </c>
      <c r="D32" s="1146">
        <v>0</v>
      </c>
      <c r="E32" s="1145">
        <v>19858.556409999997</v>
      </c>
      <c r="F32" s="1145">
        <v>912544.9500999999</v>
      </c>
      <c r="G32" s="1145">
        <f>+[1]Annexe14!$F$33</f>
        <v>139692</v>
      </c>
      <c r="H32" s="1145">
        <v>0</v>
      </c>
      <c r="I32" s="1145">
        <v>0</v>
      </c>
      <c r="J32" s="1147">
        <v>0</v>
      </c>
      <c r="K32" s="1148">
        <f t="shared" si="0"/>
        <v>1077707.6149184927</v>
      </c>
      <c r="L32" s="1121"/>
      <c r="M32" s="1121"/>
    </row>
    <row r="33" spans="1:18" ht="30" customHeight="1">
      <c r="A33" s="1149" t="s">
        <v>707</v>
      </c>
      <c r="B33" s="1144">
        <v>0</v>
      </c>
      <c r="C33" s="1145">
        <v>0</v>
      </c>
      <c r="D33" s="1146">
        <v>0</v>
      </c>
      <c r="E33" s="1145">
        <v>234999.20441000003</v>
      </c>
      <c r="F33" s="1145">
        <v>319365.46634000004</v>
      </c>
      <c r="G33" s="1145">
        <v>0</v>
      </c>
      <c r="H33" s="1145">
        <v>0</v>
      </c>
      <c r="I33" s="1145">
        <v>0</v>
      </c>
      <c r="J33" s="1147">
        <v>0</v>
      </c>
      <c r="K33" s="1148">
        <f t="shared" si="0"/>
        <v>554364.67075000005</v>
      </c>
      <c r="L33" s="1121"/>
      <c r="M33" s="1121"/>
    </row>
    <row r="34" spans="1:18" ht="30" customHeight="1">
      <c r="A34" s="1149" t="s">
        <v>708</v>
      </c>
      <c r="B34" s="1144">
        <v>0</v>
      </c>
      <c r="C34" s="1145">
        <v>0</v>
      </c>
      <c r="D34" s="1146">
        <v>0</v>
      </c>
      <c r="E34" s="1145">
        <v>94497.82548</v>
      </c>
      <c r="F34" s="1145">
        <v>0</v>
      </c>
      <c r="G34" s="1145">
        <v>0</v>
      </c>
      <c r="H34" s="1145">
        <v>0</v>
      </c>
      <c r="I34" s="1145">
        <v>0</v>
      </c>
      <c r="J34" s="1147">
        <v>0</v>
      </c>
      <c r="K34" s="1148">
        <f t="shared" si="0"/>
        <v>94497.82548</v>
      </c>
      <c r="L34" s="1121"/>
      <c r="M34" s="1121"/>
    </row>
    <row r="35" spans="1:18" ht="30" customHeight="1">
      <c r="A35" s="1149" t="s">
        <v>148</v>
      </c>
      <c r="B35" s="1153">
        <v>33312.244667179999</v>
      </c>
      <c r="C35" s="1154">
        <v>0</v>
      </c>
      <c r="D35" s="1155">
        <v>83062.520579978998</v>
      </c>
      <c r="E35" s="1154">
        <v>234988.86168</v>
      </c>
      <c r="F35" s="1154">
        <v>182754.14592000001</v>
      </c>
      <c r="G35" s="1154">
        <v>0</v>
      </c>
      <c r="H35" s="1154">
        <v>0</v>
      </c>
      <c r="I35" s="1154">
        <v>0</v>
      </c>
      <c r="J35" s="1157">
        <v>0</v>
      </c>
      <c r="K35" s="1143">
        <f t="shared" si="0"/>
        <v>534117.77284715907</v>
      </c>
      <c r="L35" s="1121"/>
      <c r="M35" s="1121"/>
    </row>
    <row r="36" spans="1:18" ht="30" customHeight="1">
      <c r="A36" s="1149" t="s">
        <v>481</v>
      </c>
      <c r="B36" s="1153">
        <v>21293.947649613001</v>
      </c>
      <c r="C36" s="1154">
        <v>0</v>
      </c>
      <c r="D36" s="1155">
        <v>0</v>
      </c>
      <c r="E36" s="1154">
        <v>289083.09136999998</v>
      </c>
      <c r="F36" s="1154">
        <v>0</v>
      </c>
      <c r="G36" s="1154">
        <v>0</v>
      </c>
      <c r="H36" s="1154">
        <v>0</v>
      </c>
      <c r="I36" s="1154">
        <v>0</v>
      </c>
      <c r="J36" s="1157">
        <v>0</v>
      </c>
      <c r="K36" s="1143">
        <f t="shared" si="0"/>
        <v>310377.039019613</v>
      </c>
      <c r="L36" s="1121"/>
      <c r="M36" s="1121"/>
    </row>
    <row r="37" spans="1:18" ht="30" customHeight="1">
      <c r="A37" s="1149" t="s">
        <v>149</v>
      </c>
      <c r="B37" s="1153">
        <v>0</v>
      </c>
      <c r="C37" s="1154">
        <v>0</v>
      </c>
      <c r="D37" s="1155">
        <v>0</v>
      </c>
      <c r="E37" s="1154">
        <v>0</v>
      </c>
      <c r="F37" s="1154">
        <v>10358.030000000001</v>
      </c>
      <c r="G37" s="1154">
        <f>+[1]Annexe14!$F$34</f>
        <v>17508</v>
      </c>
      <c r="H37" s="1154">
        <v>0</v>
      </c>
      <c r="I37" s="1154">
        <v>0</v>
      </c>
      <c r="J37" s="1157">
        <v>0</v>
      </c>
      <c r="K37" s="1143">
        <f t="shared" si="0"/>
        <v>27866.03</v>
      </c>
      <c r="L37" s="1121"/>
      <c r="M37" s="1121"/>
    </row>
    <row r="38" spans="1:18" ht="30" customHeight="1">
      <c r="A38" s="1149" t="s">
        <v>150</v>
      </c>
      <c r="B38" s="1153">
        <v>12821.150178008002</v>
      </c>
      <c r="C38" s="1154">
        <v>0</v>
      </c>
      <c r="D38" s="1155">
        <v>0</v>
      </c>
      <c r="E38" s="1154">
        <v>194398.38824</v>
      </c>
      <c r="F38" s="1154">
        <v>20025.214520000001</v>
      </c>
      <c r="G38" s="1154">
        <f>+[1]Annexe14!$F$35</f>
        <v>39763</v>
      </c>
      <c r="H38" s="1154">
        <v>0</v>
      </c>
      <c r="I38" s="1154">
        <v>0</v>
      </c>
      <c r="J38" s="1157">
        <v>0</v>
      </c>
      <c r="K38" s="1143">
        <f t="shared" si="0"/>
        <v>267007.75293800805</v>
      </c>
      <c r="L38" s="1121"/>
      <c r="M38" s="1121"/>
    </row>
    <row r="39" spans="1:18" ht="30" customHeight="1">
      <c r="A39" s="1149" t="s">
        <v>709</v>
      </c>
      <c r="B39" s="1153">
        <v>0</v>
      </c>
      <c r="C39" s="1154">
        <v>0</v>
      </c>
      <c r="D39" s="1155">
        <v>0</v>
      </c>
      <c r="E39" s="1154">
        <v>50918.079570000002</v>
      </c>
      <c r="F39" s="1154">
        <v>0</v>
      </c>
      <c r="G39" s="1154">
        <f>+[1]Annexe14!$F$44</f>
        <v>8429</v>
      </c>
      <c r="H39" s="1154">
        <v>0</v>
      </c>
      <c r="I39" s="1154">
        <v>0</v>
      </c>
      <c r="J39" s="1157">
        <v>0</v>
      </c>
      <c r="K39" s="1143">
        <f t="shared" si="0"/>
        <v>59347.079570000002</v>
      </c>
      <c r="L39" s="1121"/>
      <c r="M39" s="1121"/>
    </row>
    <row r="40" spans="1:18" ht="30" customHeight="1">
      <c r="A40" s="1149" t="s">
        <v>151</v>
      </c>
      <c r="B40" s="1138">
        <f>SUM(B41:B42)</f>
        <v>46188.425884331999</v>
      </c>
      <c r="C40" s="1139">
        <v>0</v>
      </c>
      <c r="D40" s="1140">
        <v>270564.57213790901</v>
      </c>
      <c r="E40" s="1139">
        <f>SUM(E41:E43)</f>
        <v>344155.57854999998</v>
      </c>
      <c r="F40" s="1139">
        <v>0</v>
      </c>
      <c r="G40" s="1139">
        <f>+[1]Annexe14!$F$36</f>
        <v>33874</v>
      </c>
      <c r="H40" s="1139">
        <v>0</v>
      </c>
      <c r="I40" s="1139">
        <v>0</v>
      </c>
      <c r="J40" s="1142">
        <v>70220</v>
      </c>
      <c r="K40" s="1143">
        <f t="shared" si="0"/>
        <v>765002.57657224103</v>
      </c>
      <c r="L40" s="1121"/>
      <c r="M40" s="1121"/>
    </row>
    <row r="41" spans="1:18" ht="30" customHeight="1">
      <c r="A41" s="1149" t="s">
        <v>710</v>
      </c>
      <c r="B41" s="1144">
        <v>17552.115549671002</v>
      </c>
      <c r="C41" s="1145">
        <v>0</v>
      </c>
      <c r="D41" s="1146">
        <v>0</v>
      </c>
      <c r="E41" s="1145">
        <v>0</v>
      </c>
      <c r="F41" s="1145">
        <v>0</v>
      </c>
      <c r="G41" s="1145">
        <v>0</v>
      </c>
      <c r="H41" s="1145">
        <v>0</v>
      </c>
      <c r="I41" s="1145">
        <v>0</v>
      </c>
      <c r="J41" s="1147">
        <v>0</v>
      </c>
      <c r="K41" s="1148">
        <f t="shared" si="0"/>
        <v>17552.115549671002</v>
      </c>
      <c r="L41" s="1121"/>
      <c r="M41" s="1121"/>
    </row>
    <row r="42" spans="1:18" ht="30" customHeight="1">
      <c r="A42" s="1149" t="s">
        <v>711</v>
      </c>
      <c r="B42" s="1144">
        <v>28636.310334661001</v>
      </c>
      <c r="C42" s="1145">
        <v>0</v>
      </c>
      <c r="D42" s="1146">
        <v>0</v>
      </c>
      <c r="E42" s="1145">
        <v>191237.38728</v>
      </c>
      <c r="F42" s="1145">
        <v>0</v>
      </c>
      <c r="G42" s="1145">
        <v>0</v>
      </c>
      <c r="H42" s="1145">
        <v>0</v>
      </c>
      <c r="I42" s="1145">
        <v>0</v>
      </c>
      <c r="J42" s="1147">
        <v>0</v>
      </c>
      <c r="K42" s="1148">
        <f t="shared" ref="K42:K72" si="1">SUM(B42:J42)</f>
        <v>219873.69761466101</v>
      </c>
      <c r="L42" s="1121"/>
      <c r="M42" s="1121"/>
    </row>
    <row r="43" spans="1:18" ht="30" customHeight="1">
      <c r="A43" s="1149" t="s">
        <v>712</v>
      </c>
      <c r="B43" s="1144">
        <v>0</v>
      </c>
      <c r="C43" s="1145">
        <v>0</v>
      </c>
      <c r="D43" s="1146">
        <v>0</v>
      </c>
      <c r="E43" s="1145">
        <v>152918.19126999998</v>
      </c>
      <c r="F43" s="1145">
        <v>0</v>
      </c>
      <c r="G43" s="1145">
        <v>0</v>
      </c>
      <c r="H43" s="1145">
        <v>0</v>
      </c>
      <c r="I43" s="1145">
        <v>0</v>
      </c>
      <c r="J43" s="1147">
        <v>0</v>
      </c>
      <c r="K43" s="1148">
        <f t="shared" si="1"/>
        <v>152918.19126999998</v>
      </c>
      <c r="L43" s="1121"/>
      <c r="M43" s="1121"/>
    </row>
    <row r="44" spans="1:18" ht="30" customHeight="1">
      <c r="A44" s="1149" t="s">
        <v>508</v>
      </c>
      <c r="B44" s="1153">
        <v>0</v>
      </c>
      <c r="C44" s="1154">
        <v>0</v>
      </c>
      <c r="D44" s="1155">
        <v>0</v>
      </c>
      <c r="E44" s="1154">
        <v>0</v>
      </c>
      <c r="F44" s="1154">
        <v>130332.27881</v>
      </c>
      <c r="G44" s="1154">
        <v>0</v>
      </c>
      <c r="H44" s="1154">
        <v>0</v>
      </c>
      <c r="I44" s="1154">
        <v>0</v>
      </c>
      <c r="J44" s="1157">
        <v>0</v>
      </c>
      <c r="K44" s="1143">
        <f t="shared" si="1"/>
        <v>130332.27881</v>
      </c>
      <c r="L44" s="1121"/>
      <c r="M44" s="1121"/>
      <c r="R44" s="1118" t="s">
        <v>0</v>
      </c>
    </row>
    <row r="45" spans="1:18" ht="30" customHeight="1">
      <c r="A45" s="1149" t="s">
        <v>152</v>
      </c>
      <c r="B45" s="1153">
        <v>0</v>
      </c>
      <c r="C45" s="1154">
        <v>0</v>
      </c>
      <c r="D45" s="1155">
        <v>0</v>
      </c>
      <c r="E45" s="1154">
        <v>55030.134879999998</v>
      </c>
      <c r="F45" s="1154">
        <v>0</v>
      </c>
      <c r="G45" s="1154">
        <f>+[1]Annexe14!$F$43</f>
        <v>100</v>
      </c>
      <c r="H45" s="1154">
        <v>0</v>
      </c>
      <c r="I45" s="1154">
        <v>0</v>
      </c>
      <c r="J45" s="1157">
        <v>0</v>
      </c>
      <c r="K45" s="1143">
        <f t="shared" si="1"/>
        <v>55130.134879999998</v>
      </c>
      <c r="L45" s="1121"/>
      <c r="M45" s="1121"/>
      <c r="R45" s="1118" t="s">
        <v>0</v>
      </c>
    </row>
    <row r="46" spans="1:18" ht="30" customHeight="1">
      <c r="A46" s="1149" t="s">
        <v>153</v>
      </c>
      <c r="B46" s="1153">
        <v>0</v>
      </c>
      <c r="C46" s="1154">
        <v>0</v>
      </c>
      <c r="D46" s="1155">
        <v>0</v>
      </c>
      <c r="E46" s="1154">
        <v>0</v>
      </c>
      <c r="F46" s="1154">
        <v>0</v>
      </c>
      <c r="G46" s="1154">
        <v>0</v>
      </c>
      <c r="H46" s="1154">
        <v>0</v>
      </c>
      <c r="I46" s="1154">
        <v>0</v>
      </c>
      <c r="J46" s="1157">
        <v>0</v>
      </c>
      <c r="K46" s="1143">
        <f t="shared" si="1"/>
        <v>0</v>
      </c>
      <c r="L46" s="1121"/>
      <c r="M46" s="1121"/>
      <c r="R46" s="1118" t="s">
        <v>0</v>
      </c>
    </row>
    <row r="47" spans="1:18" ht="30" customHeight="1">
      <c r="A47" s="1149" t="s">
        <v>154</v>
      </c>
      <c r="B47" s="1153">
        <v>0</v>
      </c>
      <c r="C47" s="1154">
        <v>0</v>
      </c>
      <c r="D47" s="1155">
        <v>0</v>
      </c>
      <c r="E47" s="1154">
        <v>21025.757810000003</v>
      </c>
      <c r="F47" s="1154">
        <v>0</v>
      </c>
      <c r="G47" s="1154">
        <v>0</v>
      </c>
      <c r="H47" s="1154">
        <v>0</v>
      </c>
      <c r="I47" s="1154">
        <v>0</v>
      </c>
      <c r="J47" s="1157">
        <v>0</v>
      </c>
      <c r="K47" s="1143">
        <f t="shared" si="1"/>
        <v>21025.757810000003</v>
      </c>
      <c r="L47" s="1121"/>
      <c r="M47" s="1121"/>
      <c r="R47" s="1118" t="s">
        <v>0</v>
      </c>
    </row>
    <row r="48" spans="1:18" ht="30" customHeight="1">
      <c r="A48" s="1149" t="s">
        <v>494</v>
      </c>
      <c r="B48" s="1153">
        <v>0</v>
      </c>
      <c r="C48" s="1154">
        <v>0</v>
      </c>
      <c r="D48" s="1155">
        <v>0</v>
      </c>
      <c r="E48" s="1154">
        <v>0</v>
      </c>
      <c r="F48" s="1154">
        <v>0</v>
      </c>
      <c r="G48" s="1154">
        <f>+[1]Annexe14!$F$37</f>
        <v>34475</v>
      </c>
      <c r="H48" s="1154">
        <v>0</v>
      </c>
      <c r="I48" s="1154">
        <v>0</v>
      </c>
      <c r="J48" s="1157">
        <v>0</v>
      </c>
      <c r="K48" s="1143">
        <f t="shared" si="1"/>
        <v>34475</v>
      </c>
      <c r="L48" s="1121"/>
      <c r="M48" s="1121"/>
    </row>
    <row r="49" spans="1:13" ht="30" customHeight="1">
      <c r="A49" s="1149" t="s">
        <v>155</v>
      </c>
      <c r="B49" s="1153">
        <v>78265.521344160006</v>
      </c>
      <c r="C49" s="1154">
        <v>5790.17886</v>
      </c>
      <c r="D49" s="1155">
        <v>107660.58051009601</v>
      </c>
      <c r="E49" s="1154">
        <v>0</v>
      </c>
      <c r="F49" s="1154">
        <v>0</v>
      </c>
      <c r="G49" s="1154">
        <v>0</v>
      </c>
      <c r="H49" s="1154">
        <v>0</v>
      </c>
      <c r="I49" s="1154">
        <v>0</v>
      </c>
      <c r="J49" s="1157">
        <v>0</v>
      </c>
      <c r="K49" s="1143">
        <f t="shared" si="1"/>
        <v>191716.28071425602</v>
      </c>
      <c r="L49" s="1121"/>
      <c r="M49" s="1121"/>
    </row>
    <row r="50" spans="1:13" ht="30" customHeight="1">
      <c r="A50" s="1149" t="s">
        <v>156</v>
      </c>
      <c r="B50" s="1153">
        <v>0</v>
      </c>
      <c r="C50" s="1154">
        <v>0</v>
      </c>
      <c r="D50" s="1155">
        <v>0</v>
      </c>
      <c r="E50" s="1154">
        <v>0</v>
      </c>
      <c r="F50" s="1154">
        <v>266023.43293000001</v>
      </c>
      <c r="G50" s="1154">
        <v>0</v>
      </c>
      <c r="H50" s="1154">
        <v>0</v>
      </c>
      <c r="I50" s="1154">
        <v>0</v>
      </c>
      <c r="J50" s="1157">
        <v>0</v>
      </c>
      <c r="K50" s="1143">
        <f t="shared" si="1"/>
        <v>266023.43293000001</v>
      </c>
      <c r="L50" s="1121"/>
      <c r="M50" s="1121"/>
    </row>
    <row r="51" spans="1:13" ht="30" customHeight="1">
      <c r="A51" s="1149" t="s">
        <v>492</v>
      </c>
      <c r="B51" s="1153">
        <v>15350.736225049999</v>
      </c>
      <c r="C51" s="1154">
        <v>0</v>
      </c>
      <c r="D51" s="1155">
        <v>0</v>
      </c>
      <c r="E51" s="1154">
        <v>0</v>
      </c>
      <c r="F51" s="1154">
        <v>0</v>
      </c>
      <c r="G51" s="1154">
        <v>0</v>
      </c>
      <c r="H51" s="1154">
        <v>0</v>
      </c>
      <c r="I51" s="1154">
        <v>0</v>
      </c>
      <c r="J51" s="1157">
        <v>0</v>
      </c>
      <c r="K51" s="1143">
        <f t="shared" si="1"/>
        <v>15350.736225049999</v>
      </c>
      <c r="L51" s="1121"/>
      <c r="M51" s="1121"/>
    </row>
    <row r="52" spans="1:13" ht="30" customHeight="1">
      <c r="A52" s="1149" t="s">
        <v>646</v>
      </c>
      <c r="B52" s="1153">
        <v>0</v>
      </c>
      <c r="C52" s="1154">
        <v>0</v>
      </c>
      <c r="D52" s="1155">
        <v>0</v>
      </c>
      <c r="E52" s="1154">
        <v>0</v>
      </c>
      <c r="F52" s="1154">
        <v>352532.25718000002</v>
      </c>
      <c r="G52" s="1154">
        <v>0</v>
      </c>
      <c r="H52" s="1154">
        <v>0</v>
      </c>
      <c r="I52" s="1154">
        <v>0</v>
      </c>
      <c r="J52" s="1157">
        <v>0</v>
      </c>
      <c r="K52" s="1143">
        <f t="shared" si="1"/>
        <v>352532.25718000002</v>
      </c>
      <c r="L52" s="1121"/>
      <c r="M52" s="1121"/>
    </row>
    <row r="53" spans="1:13" ht="30" customHeight="1">
      <c r="A53" s="1149" t="s">
        <v>493</v>
      </c>
      <c r="B53" s="1153">
        <v>0</v>
      </c>
      <c r="C53" s="1154">
        <v>0</v>
      </c>
      <c r="D53" s="1155">
        <v>0</v>
      </c>
      <c r="E53" s="1154">
        <v>0</v>
      </c>
      <c r="F53" s="1154">
        <v>0</v>
      </c>
      <c r="G53" s="1154">
        <v>0</v>
      </c>
      <c r="H53" s="1154">
        <v>0</v>
      </c>
      <c r="I53" s="1154">
        <v>0</v>
      </c>
      <c r="J53" s="1157">
        <v>0</v>
      </c>
      <c r="K53" s="1143">
        <f t="shared" si="1"/>
        <v>0</v>
      </c>
      <c r="L53" s="1121"/>
      <c r="M53" s="1121"/>
    </row>
    <row r="54" spans="1:13" ht="30" customHeight="1">
      <c r="A54" s="1149" t="s">
        <v>157</v>
      </c>
      <c r="B54" s="1153">
        <v>0</v>
      </c>
      <c r="C54" s="1154">
        <v>0</v>
      </c>
      <c r="D54" s="1155">
        <v>0</v>
      </c>
      <c r="E54" s="1154">
        <v>0</v>
      </c>
      <c r="F54" s="1154">
        <v>574.15138999999999</v>
      </c>
      <c r="G54" s="1154">
        <v>0</v>
      </c>
      <c r="H54" s="1154">
        <v>0</v>
      </c>
      <c r="I54" s="1154">
        <v>0</v>
      </c>
      <c r="J54" s="1157">
        <v>0</v>
      </c>
      <c r="K54" s="1143">
        <f t="shared" si="1"/>
        <v>574.15138999999999</v>
      </c>
      <c r="L54" s="1121"/>
      <c r="M54" s="1121"/>
    </row>
    <row r="55" spans="1:13" ht="30" customHeight="1">
      <c r="A55" s="1149" t="s">
        <v>158</v>
      </c>
      <c r="B55" s="1153">
        <v>0</v>
      </c>
      <c r="C55" s="1154">
        <v>0</v>
      </c>
      <c r="D55" s="1155">
        <v>0</v>
      </c>
      <c r="E55" s="1154">
        <v>0</v>
      </c>
      <c r="F55" s="1154">
        <v>57145.065040000001</v>
      </c>
      <c r="G55" s="1154">
        <v>0</v>
      </c>
      <c r="H55" s="1154">
        <v>0</v>
      </c>
      <c r="I55" s="1154">
        <v>0</v>
      </c>
      <c r="J55" s="1157">
        <v>0</v>
      </c>
      <c r="K55" s="1143">
        <f t="shared" si="1"/>
        <v>57145.065040000001</v>
      </c>
      <c r="L55" s="1121"/>
      <c r="M55" s="1121"/>
    </row>
    <row r="56" spans="1:13" ht="30" customHeight="1">
      <c r="A56" s="1149" t="s">
        <v>159</v>
      </c>
      <c r="B56" s="1153">
        <v>0</v>
      </c>
      <c r="C56" s="1154">
        <v>0</v>
      </c>
      <c r="D56" s="1155">
        <v>0</v>
      </c>
      <c r="E56" s="1154">
        <v>0</v>
      </c>
      <c r="F56" s="1154">
        <v>59496.47913</v>
      </c>
      <c r="G56" s="1154">
        <v>0</v>
      </c>
      <c r="H56" s="1154">
        <v>0</v>
      </c>
      <c r="I56" s="1154">
        <v>0</v>
      </c>
      <c r="J56" s="1157">
        <v>0</v>
      </c>
      <c r="K56" s="1143">
        <f t="shared" si="1"/>
        <v>59496.47913</v>
      </c>
      <c r="L56" s="1121"/>
      <c r="M56" s="1121"/>
    </row>
    <row r="57" spans="1:13" ht="30" customHeight="1">
      <c r="A57" s="1149" t="s">
        <v>160</v>
      </c>
      <c r="B57" s="1153">
        <v>35031.794898866996</v>
      </c>
      <c r="C57" s="1154">
        <v>0</v>
      </c>
      <c r="D57" s="1155">
        <v>0</v>
      </c>
      <c r="E57" s="1154">
        <v>131311.10384</v>
      </c>
      <c r="F57" s="1154">
        <v>161977.13357999999</v>
      </c>
      <c r="G57" s="1154">
        <v>0</v>
      </c>
      <c r="H57" s="1154">
        <v>0</v>
      </c>
      <c r="I57" s="1154">
        <v>0</v>
      </c>
      <c r="J57" s="1157">
        <v>0</v>
      </c>
      <c r="K57" s="1143">
        <f t="shared" si="1"/>
        <v>328320.03231886699</v>
      </c>
      <c r="L57" s="1121"/>
      <c r="M57" s="1121"/>
    </row>
    <row r="58" spans="1:13" ht="30" customHeight="1">
      <c r="A58" s="1149" t="s">
        <v>161</v>
      </c>
      <c r="B58" s="1153">
        <v>0</v>
      </c>
      <c r="C58" s="1154">
        <v>0</v>
      </c>
      <c r="D58" s="1155">
        <v>0</v>
      </c>
      <c r="E58" s="1154">
        <v>138803.84674000001</v>
      </c>
      <c r="F58" s="1154">
        <v>236373.83747999999</v>
      </c>
      <c r="G58" s="1154">
        <v>0</v>
      </c>
      <c r="H58" s="1154">
        <v>0</v>
      </c>
      <c r="I58" s="1154">
        <v>0</v>
      </c>
      <c r="J58" s="1157">
        <v>0</v>
      </c>
      <c r="K58" s="1143">
        <f t="shared" si="1"/>
        <v>375177.68422</v>
      </c>
      <c r="L58" s="1121"/>
      <c r="M58" s="1121"/>
    </row>
    <row r="59" spans="1:13" ht="30" customHeight="1">
      <c r="A59" s="1201" t="s">
        <v>162</v>
      </c>
      <c r="B59" s="1160">
        <v>0</v>
      </c>
      <c r="C59" s="1160">
        <v>0</v>
      </c>
      <c r="D59" s="1160">
        <v>0</v>
      </c>
      <c r="E59" s="1160">
        <v>19605.253139999997</v>
      </c>
      <c r="F59" s="1160">
        <v>191598.57392000002</v>
      </c>
      <c r="G59" s="1160">
        <v>0</v>
      </c>
      <c r="H59" s="1160">
        <v>0</v>
      </c>
      <c r="I59" s="1160">
        <v>0</v>
      </c>
      <c r="J59" s="1162">
        <v>0</v>
      </c>
      <c r="K59" s="1143">
        <f t="shared" si="1"/>
        <v>211203.82706000001</v>
      </c>
    </row>
    <row r="60" spans="1:13" ht="30" customHeight="1">
      <c r="A60" s="1201" t="s">
        <v>163</v>
      </c>
      <c r="B60" s="1160">
        <v>0</v>
      </c>
      <c r="C60" s="1160">
        <v>0</v>
      </c>
      <c r="D60" s="1160">
        <v>0</v>
      </c>
      <c r="E60" s="1160">
        <v>0</v>
      </c>
      <c r="F60" s="1160">
        <v>735.21252000000004</v>
      </c>
      <c r="G60" s="1160">
        <v>0</v>
      </c>
      <c r="H60" s="1160">
        <v>0</v>
      </c>
      <c r="I60" s="1160">
        <v>0</v>
      </c>
      <c r="J60" s="1162">
        <v>0</v>
      </c>
      <c r="K60" s="1143">
        <f t="shared" si="1"/>
        <v>735.21252000000004</v>
      </c>
    </row>
    <row r="61" spans="1:13" ht="30" customHeight="1">
      <c r="A61" s="1201" t="s">
        <v>164</v>
      </c>
      <c r="B61" s="1160">
        <v>0</v>
      </c>
      <c r="C61" s="1160">
        <v>0</v>
      </c>
      <c r="D61" s="1160">
        <v>0</v>
      </c>
      <c r="E61" s="1160">
        <v>0</v>
      </c>
      <c r="F61" s="1160">
        <v>11044.73531</v>
      </c>
      <c r="G61" s="1160">
        <v>0</v>
      </c>
      <c r="H61" s="1160">
        <v>0</v>
      </c>
      <c r="I61" s="1160">
        <v>0</v>
      </c>
      <c r="J61" s="1162">
        <v>0</v>
      </c>
      <c r="K61" s="1143">
        <f t="shared" si="1"/>
        <v>11044.73531</v>
      </c>
    </row>
    <row r="62" spans="1:13" ht="30" customHeight="1">
      <c r="A62" s="1201" t="s">
        <v>165</v>
      </c>
      <c r="B62" s="1160">
        <v>0</v>
      </c>
      <c r="C62" s="1160">
        <v>0</v>
      </c>
      <c r="D62" s="1160">
        <v>0</v>
      </c>
      <c r="E62" s="1160">
        <v>194710.54482999997</v>
      </c>
      <c r="F62" s="1160">
        <v>77988.012370000011</v>
      </c>
      <c r="G62" s="1160">
        <v>0</v>
      </c>
      <c r="H62" s="1160">
        <v>0</v>
      </c>
      <c r="I62" s="1160">
        <v>0</v>
      </c>
      <c r="J62" s="1162">
        <v>0</v>
      </c>
      <c r="K62" s="1143">
        <f t="shared" si="1"/>
        <v>272698.55719999998</v>
      </c>
    </row>
    <row r="63" spans="1:13" ht="30" customHeight="1">
      <c r="A63" s="1201" t="s">
        <v>166</v>
      </c>
      <c r="B63" s="1160">
        <v>0</v>
      </c>
      <c r="C63" s="1160">
        <v>0</v>
      </c>
      <c r="D63" s="1160">
        <v>0</v>
      </c>
      <c r="E63" s="1160">
        <v>0</v>
      </c>
      <c r="F63" s="1160">
        <v>10644.871789999999</v>
      </c>
      <c r="G63" s="1160">
        <v>0</v>
      </c>
      <c r="H63" s="1160">
        <v>0</v>
      </c>
      <c r="I63" s="1160">
        <v>0</v>
      </c>
      <c r="J63" s="1162">
        <v>0</v>
      </c>
      <c r="K63" s="1143">
        <f t="shared" si="1"/>
        <v>10644.871789999999</v>
      </c>
    </row>
    <row r="64" spans="1:13" ht="30" customHeight="1">
      <c r="A64" s="1201" t="s">
        <v>167</v>
      </c>
      <c r="B64" s="1160">
        <v>12634.954984274</v>
      </c>
      <c r="C64" s="1160">
        <v>0</v>
      </c>
      <c r="D64" s="1160">
        <v>0</v>
      </c>
      <c r="E64" s="1160">
        <v>37775.868230000007</v>
      </c>
      <c r="F64" s="1160">
        <v>27708.54003</v>
      </c>
      <c r="G64" s="1160">
        <v>0</v>
      </c>
      <c r="H64" s="1160">
        <v>0</v>
      </c>
      <c r="I64" s="1160">
        <v>0</v>
      </c>
      <c r="J64" s="1162">
        <v>0</v>
      </c>
      <c r="K64" s="1143">
        <f t="shared" si="1"/>
        <v>78119.363244274005</v>
      </c>
    </row>
    <row r="65" spans="1:13" ht="30" customHeight="1">
      <c r="A65" s="1202" t="s">
        <v>168</v>
      </c>
      <c r="B65" s="1160">
        <v>0</v>
      </c>
      <c r="C65" s="1160">
        <v>0</v>
      </c>
      <c r="D65" s="1160">
        <v>0</v>
      </c>
      <c r="E65" s="1160">
        <v>48043.022969999998</v>
      </c>
      <c r="F65" s="1160">
        <v>36484.924630000009</v>
      </c>
      <c r="G65" s="1160">
        <v>0</v>
      </c>
      <c r="H65" s="1160">
        <v>0</v>
      </c>
      <c r="I65" s="1160">
        <v>0</v>
      </c>
      <c r="J65" s="1162">
        <v>0</v>
      </c>
      <c r="K65" s="1143">
        <f t="shared" si="1"/>
        <v>84527.947600000014</v>
      </c>
    </row>
    <row r="66" spans="1:13" ht="30" customHeight="1">
      <c r="A66" s="1202" t="s">
        <v>169</v>
      </c>
      <c r="B66" s="1160">
        <v>11975.910198871999</v>
      </c>
      <c r="C66" s="1160">
        <v>0</v>
      </c>
      <c r="D66" s="1160">
        <v>0</v>
      </c>
      <c r="E66" s="1160">
        <v>108887.16745000001</v>
      </c>
      <c r="F66" s="1160">
        <v>125882.8342</v>
      </c>
      <c r="G66" s="1160">
        <v>0</v>
      </c>
      <c r="H66" s="1160">
        <v>108397.69636</v>
      </c>
      <c r="I66" s="1160">
        <v>0</v>
      </c>
      <c r="J66" s="1162">
        <v>0</v>
      </c>
      <c r="K66" s="1143">
        <f t="shared" si="1"/>
        <v>355143.60820887203</v>
      </c>
    </row>
    <row r="67" spans="1:13" ht="30" customHeight="1">
      <c r="A67" s="1202" t="s">
        <v>714</v>
      </c>
      <c r="B67" s="1160">
        <v>0</v>
      </c>
      <c r="C67" s="1160">
        <v>0</v>
      </c>
      <c r="D67" s="1160">
        <v>0</v>
      </c>
      <c r="E67" s="1160">
        <v>2493.5428900000002</v>
      </c>
      <c r="F67" s="1160">
        <v>0</v>
      </c>
      <c r="G67" s="1160">
        <v>0</v>
      </c>
      <c r="H67" s="1160">
        <v>0</v>
      </c>
      <c r="I67" s="1160">
        <v>0</v>
      </c>
      <c r="J67" s="1162">
        <v>0</v>
      </c>
      <c r="K67" s="1143">
        <f t="shared" si="1"/>
        <v>2493.5428900000002</v>
      </c>
    </row>
    <row r="68" spans="1:13" ht="30" customHeight="1">
      <c r="A68" s="1202" t="s">
        <v>653</v>
      </c>
      <c r="B68" s="1160">
        <v>77636.925759999998</v>
      </c>
      <c r="C68" s="1160">
        <v>0</v>
      </c>
      <c r="D68" s="1160">
        <v>0</v>
      </c>
      <c r="E68" s="1160">
        <v>0</v>
      </c>
      <c r="F68" s="1160">
        <v>74428.163149999993</v>
      </c>
      <c r="G68" s="1160">
        <f>+[1]Annexe14!$F$41</f>
        <v>46516</v>
      </c>
      <c r="H68" s="1160">
        <v>0</v>
      </c>
      <c r="I68" s="1160">
        <v>0</v>
      </c>
      <c r="J68" s="1162">
        <v>0</v>
      </c>
      <c r="K68" s="1143">
        <f t="shared" si="1"/>
        <v>198581.08890999999</v>
      </c>
    </row>
    <row r="69" spans="1:13" ht="30" customHeight="1">
      <c r="A69" s="1201" t="s">
        <v>170</v>
      </c>
      <c r="B69" s="1160">
        <v>0</v>
      </c>
      <c r="C69" s="1160">
        <v>0</v>
      </c>
      <c r="D69" s="1160">
        <v>0</v>
      </c>
      <c r="E69" s="1160">
        <v>0</v>
      </c>
      <c r="F69" s="1160">
        <v>0</v>
      </c>
      <c r="G69" s="1160">
        <v>0</v>
      </c>
      <c r="H69" s="1160">
        <v>0</v>
      </c>
      <c r="I69" s="1160">
        <v>0</v>
      </c>
      <c r="J69" s="1162">
        <v>0</v>
      </c>
      <c r="K69" s="1143">
        <f t="shared" si="1"/>
        <v>0</v>
      </c>
    </row>
    <row r="70" spans="1:13" ht="30" customHeight="1">
      <c r="A70" s="1201" t="s">
        <v>460</v>
      </c>
      <c r="B70" s="1160">
        <v>0</v>
      </c>
      <c r="C70" s="1160">
        <v>0</v>
      </c>
      <c r="D70" s="1160">
        <v>0</v>
      </c>
      <c r="E70" s="1160">
        <v>0</v>
      </c>
      <c r="F70" s="1160">
        <v>0</v>
      </c>
      <c r="G70" s="1160">
        <v>0</v>
      </c>
      <c r="H70" s="1160">
        <v>0</v>
      </c>
      <c r="I70" s="1160">
        <v>0</v>
      </c>
      <c r="J70" s="1164">
        <v>0</v>
      </c>
      <c r="K70" s="1143">
        <f t="shared" si="1"/>
        <v>0</v>
      </c>
    </row>
    <row r="71" spans="1:13" ht="30" customHeight="1">
      <c r="A71" s="1405" t="s">
        <v>855</v>
      </c>
      <c r="B71" s="1160" t="s">
        <v>0</v>
      </c>
      <c r="C71" s="1160">
        <v>0</v>
      </c>
      <c r="D71" s="1160">
        <v>0</v>
      </c>
      <c r="E71" s="1160">
        <v>0</v>
      </c>
      <c r="F71" s="1160">
        <v>76308.181280000004</v>
      </c>
      <c r="G71" s="1160">
        <v>0</v>
      </c>
      <c r="H71" s="1160">
        <v>0</v>
      </c>
      <c r="I71" s="1160">
        <v>0</v>
      </c>
      <c r="J71" s="1164">
        <v>0</v>
      </c>
      <c r="K71" s="1143">
        <f t="shared" si="1"/>
        <v>76308.181280000004</v>
      </c>
    </row>
    <row r="72" spans="1:13" ht="30" customHeight="1" thickBot="1">
      <c r="A72" s="1203" t="s">
        <v>171</v>
      </c>
      <c r="B72" s="1165">
        <v>1513531.4605243539</v>
      </c>
      <c r="C72" s="1165">
        <v>0</v>
      </c>
      <c r="D72" s="1165">
        <v>0</v>
      </c>
      <c r="E72" s="1165">
        <v>0</v>
      </c>
      <c r="F72" s="1165">
        <v>6127.1730299999999</v>
      </c>
      <c r="G72" s="1165">
        <v>0</v>
      </c>
      <c r="H72" s="1165">
        <v>0</v>
      </c>
      <c r="I72" s="1165">
        <v>0</v>
      </c>
      <c r="J72" s="1167">
        <v>0</v>
      </c>
      <c r="K72" s="1168">
        <f t="shared" si="1"/>
        <v>1519658.6335543538</v>
      </c>
      <c r="L72" s="1116"/>
      <c r="M72" s="1116"/>
    </row>
    <row r="73" spans="1:13" s="1173" customFormat="1" ht="30" customHeight="1" thickBot="1">
      <c r="A73" s="1204" t="s">
        <v>70</v>
      </c>
      <c r="B73" s="1170">
        <f>+B10+B13+B16+B28+B35+B36+B38+B40+B49+B51+B57+B64+B66+B68+B72</f>
        <v>3608795.1599663449</v>
      </c>
      <c r="C73" s="1398">
        <f t="shared" ref="C73:J73" si="2">SUM(C10:C72)</f>
        <v>871487.54196000006</v>
      </c>
      <c r="D73" s="1170">
        <f t="shared" si="2"/>
        <v>1009301.3136230902</v>
      </c>
      <c r="E73" s="1170">
        <f>+E10+E11+E12+E13+E16+E28+E35+E36+E38+E39+E40+E45+E46+E47+E57+E58+E59+E62+E64+E65+E66+E67</f>
        <v>8806386.8117399998</v>
      </c>
      <c r="F73" s="1170">
        <f>+F10+F16+F28+F35+F37+F38+F44+F50+F52+F54+F55+F56+F57+F58+F59+F60+F61+F62+F63+F64+F65+F66+F68+F71+F72</f>
        <v>5608967.4910200015</v>
      </c>
      <c r="G73" s="1170">
        <f>+G10+G11+G16+G28+G37+G38+G39+G40+G45+G46+G48+G68</f>
        <v>2201806</v>
      </c>
      <c r="H73" s="1170">
        <f>+H10+H11+H16+H66</f>
        <v>2952640.3953500004</v>
      </c>
      <c r="I73" s="1170">
        <f t="shared" si="2"/>
        <v>381091</v>
      </c>
      <c r="J73" s="1170">
        <f t="shared" si="2"/>
        <v>325603</v>
      </c>
      <c r="K73" s="1170">
        <f>+K10+K11+K12+K13+K16+K28+K35+K36+K37+K38+K39+K40+K44+K45+K46+K47+K48+K49+K50+K51+K52+K53+K54+K55+K56+K57+K58+K59+K60+K61+K62+K63+K64+K65+K66+K67+K68+K69+K70+K71+K72</f>
        <v>25766078.713659436</v>
      </c>
      <c r="L73" s="1172"/>
      <c r="M73" s="1172"/>
    </row>
    <row r="74" spans="1:13" ht="27">
      <c r="A74" s="1205"/>
      <c r="B74" s="1175"/>
      <c r="C74" s="1175"/>
      <c r="D74" s="1175"/>
      <c r="E74" s="1175"/>
      <c r="F74" s="1175" t="s">
        <v>0</v>
      </c>
      <c r="G74" s="1175" t="s">
        <v>0</v>
      </c>
      <c r="H74" s="1175"/>
      <c r="I74" s="1175" t="s">
        <v>0</v>
      </c>
      <c r="J74" s="1176"/>
      <c r="K74" s="1175"/>
      <c r="L74" s="1116"/>
      <c r="M74" s="1116"/>
    </row>
    <row r="75" spans="1:13" ht="27">
      <c r="A75" s="1205"/>
      <c r="B75" s="1175"/>
      <c r="C75" s="1175"/>
      <c r="D75" s="1175"/>
      <c r="E75" s="1175"/>
      <c r="F75" s="1175" t="s">
        <v>0</v>
      </c>
      <c r="G75" s="1175"/>
      <c r="H75" s="1175"/>
      <c r="I75" s="1175"/>
      <c r="J75" s="1176"/>
      <c r="K75" s="1175"/>
      <c r="L75" s="1116"/>
      <c r="M75" s="1116"/>
    </row>
    <row r="76" spans="1:13" ht="25.5" customHeight="1">
      <c r="A76" s="1206" t="s">
        <v>172</v>
      </c>
      <c r="B76" s="1454" t="s">
        <v>0</v>
      </c>
      <c r="C76" s="1178"/>
      <c r="D76" s="1178"/>
      <c r="E76" s="1178"/>
      <c r="F76" s="1452" t="s">
        <v>0</v>
      </c>
      <c r="G76" s="1179"/>
      <c r="H76" s="1179"/>
      <c r="I76" s="1179"/>
      <c r="J76" s="1179"/>
      <c r="K76" s="1179"/>
      <c r="L76" s="1180"/>
      <c r="M76" s="1180"/>
    </row>
    <row r="77" spans="1:13" s="1121" customFormat="1" ht="30" customHeight="1">
      <c r="A77" s="1181" t="s">
        <v>173</v>
      </c>
      <c r="B77" s="1160">
        <v>40177.316478412002</v>
      </c>
      <c r="C77" s="1160">
        <v>0</v>
      </c>
      <c r="D77" s="1160">
        <v>0</v>
      </c>
      <c r="E77" s="1160">
        <v>0</v>
      </c>
      <c r="F77" s="1160">
        <v>0</v>
      </c>
      <c r="G77" s="1160">
        <v>0</v>
      </c>
      <c r="H77" s="1160">
        <v>0</v>
      </c>
      <c r="I77" s="1160">
        <v>0</v>
      </c>
      <c r="J77" s="1182">
        <v>0</v>
      </c>
      <c r="K77" s="1143">
        <f t="shared" ref="K77:K102" si="3">SUM(B77:J77)</f>
        <v>40177.316478412002</v>
      </c>
    </row>
    <row r="78" spans="1:13" s="1121" customFormat="1" ht="30" customHeight="1">
      <c r="A78" s="1181" t="s">
        <v>174</v>
      </c>
      <c r="B78" s="1160">
        <v>13663.997786852</v>
      </c>
      <c r="C78" s="1160">
        <v>0</v>
      </c>
      <c r="D78" s="1160">
        <v>0</v>
      </c>
      <c r="E78" s="1160">
        <v>26960.91548</v>
      </c>
      <c r="F78" s="1160">
        <v>35928.957860000002</v>
      </c>
      <c r="G78" s="1160">
        <v>0</v>
      </c>
      <c r="H78" s="1160">
        <v>0</v>
      </c>
      <c r="I78" s="1160">
        <v>0</v>
      </c>
      <c r="J78" s="1182">
        <v>0</v>
      </c>
      <c r="K78" s="1143">
        <f t="shared" si="3"/>
        <v>76553.871126851998</v>
      </c>
    </row>
    <row r="79" spans="1:13" s="1121" customFormat="1" ht="30" customHeight="1">
      <c r="A79" s="1181" t="s">
        <v>175</v>
      </c>
      <c r="B79" s="1160">
        <v>10633.799423605</v>
      </c>
      <c r="C79" s="1160">
        <v>0</v>
      </c>
      <c r="D79" s="1160">
        <v>0</v>
      </c>
      <c r="E79" s="1160">
        <v>0</v>
      </c>
      <c r="F79" s="1160">
        <v>10886.07215</v>
      </c>
      <c r="G79" s="1160">
        <f>+[1]Annexe14!$F$40</f>
        <v>927</v>
      </c>
      <c r="H79" s="1160">
        <v>0</v>
      </c>
      <c r="I79" s="1160">
        <v>0</v>
      </c>
      <c r="J79" s="1182">
        <v>0</v>
      </c>
      <c r="K79" s="1143">
        <f t="shared" si="3"/>
        <v>22446.871573605</v>
      </c>
    </row>
    <row r="80" spans="1:13" s="1121" customFormat="1" ht="30" customHeight="1">
      <c r="A80" s="1181" t="s">
        <v>675</v>
      </c>
      <c r="B80" s="1183">
        <f>SUM(B81:B82)</f>
        <v>27679.096616512001</v>
      </c>
      <c r="C80" s="1183">
        <v>0</v>
      </c>
      <c r="D80" s="1183">
        <v>55332.889419938001</v>
      </c>
      <c r="E80" s="1183">
        <f>SUM(E81:E82)</f>
        <v>408929.50965000002</v>
      </c>
      <c r="F80" s="1183">
        <f>SUM(F81:F82)</f>
        <v>253133.65057999999</v>
      </c>
      <c r="G80" s="1183">
        <f>+[1]Annexe14!$F$38</f>
        <v>3066</v>
      </c>
      <c r="H80" s="1183">
        <v>0</v>
      </c>
      <c r="I80" s="1183">
        <v>0</v>
      </c>
      <c r="J80" s="1184">
        <v>0</v>
      </c>
      <c r="K80" s="1143">
        <f t="shared" si="3"/>
        <v>748141.14626645006</v>
      </c>
    </row>
    <row r="81" spans="1:11" s="1121" customFormat="1" ht="30" customHeight="1">
      <c r="A81" s="1181" t="s">
        <v>715</v>
      </c>
      <c r="B81" s="1185">
        <v>27679.096616512001</v>
      </c>
      <c r="C81" s="1185">
        <v>0</v>
      </c>
      <c r="D81" s="1185">
        <v>0</v>
      </c>
      <c r="E81" s="1185">
        <v>152359.10533000002</v>
      </c>
      <c r="F81" s="1185">
        <v>223194.23660999999</v>
      </c>
      <c r="G81" s="1185">
        <v>0</v>
      </c>
      <c r="H81" s="1185">
        <v>0</v>
      </c>
      <c r="I81" s="1185">
        <v>0</v>
      </c>
      <c r="J81" s="1186">
        <v>0</v>
      </c>
      <c r="K81" s="1148">
        <f t="shared" si="3"/>
        <v>403232.438556512</v>
      </c>
    </row>
    <row r="82" spans="1:11" s="1121" customFormat="1" ht="30" customHeight="1">
      <c r="A82" s="1181" t="s">
        <v>716</v>
      </c>
      <c r="B82" s="1185">
        <v>0</v>
      </c>
      <c r="C82" s="1185">
        <v>0</v>
      </c>
      <c r="D82" s="1185">
        <v>0</v>
      </c>
      <c r="E82" s="1185">
        <v>256570.40432</v>
      </c>
      <c r="F82" s="1185">
        <v>29939.413969999998</v>
      </c>
      <c r="G82" s="1185">
        <v>0</v>
      </c>
      <c r="H82" s="1185">
        <v>0</v>
      </c>
      <c r="I82" s="1185">
        <v>0</v>
      </c>
      <c r="J82" s="1186">
        <v>0</v>
      </c>
      <c r="K82" s="1148">
        <f t="shared" si="3"/>
        <v>286509.81829000002</v>
      </c>
    </row>
    <row r="83" spans="1:11" s="1121" customFormat="1" ht="30" customHeight="1">
      <c r="A83" s="1181" t="s">
        <v>176</v>
      </c>
      <c r="B83" s="1183">
        <f>SUM(B84:B85)</f>
        <v>50108.144459048999</v>
      </c>
      <c r="C83" s="1183">
        <v>0</v>
      </c>
      <c r="D83" s="1183">
        <v>42255.338007578997</v>
      </c>
      <c r="E83" s="1183">
        <v>21392.944329999998</v>
      </c>
      <c r="F83" s="1183">
        <v>80480.995479999998</v>
      </c>
      <c r="G83" s="1183">
        <f>+[1]Annexe14!$F$42</f>
        <v>235</v>
      </c>
      <c r="H83" s="1183">
        <v>0</v>
      </c>
      <c r="I83" s="1183">
        <v>0</v>
      </c>
      <c r="J83" s="1184">
        <v>0</v>
      </c>
      <c r="K83" s="1143">
        <f t="shared" si="3"/>
        <v>194472.42227662797</v>
      </c>
    </row>
    <row r="84" spans="1:11" s="1121" customFormat="1" ht="30" customHeight="1">
      <c r="A84" s="1181" t="s">
        <v>717</v>
      </c>
      <c r="B84" s="1185">
        <v>40772.727209049001</v>
      </c>
      <c r="C84" s="1185">
        <v>0</v>
      </c>
      <c r="D84" s="1185">
        <v>0</v>
      </c>
      <c r="E84" s="1185">
        <v>0</v>
      </c>
      <c r="F84" s="1185">
        <v>0</v>
      </c>
      <c r="G84" s="1185">
        <v>0</v>
      </c>
      <c r="H84" s="1185">
        <v>0</v>
      </c>
      <c r="I84" s="1185">
        <v>0</v>
      </c>
      <c r="J84" s="1186">
        <v>0</v>
      </c>
      <c r="K84" s="1148">
        <f t="shared" si="3"/>
        <v>40772.727209049001</v>
      </c>
    </row>
    <row r="85" spans="1:11" s="1121" customFormat="1" ht="30" customHeight="1">
      <c r="A85" s="1181" t="s">
        <v>718</v>
      </c>
      <c r="B85" s="1185">
        <v>9335.4172500000004</v>
      </c>
      <c r="C85" s="1185">
        <v>0</v>
      </c>
      <c r="D85" s="1185">
        <v>0</v>
      </c>
      <c r="E85" s="1185">
        <v>0</v>
      </c>
      <c r="F85" s="1185">
        <v>0</v>
      </c>
      <c r="G85" s="1185">
        <v>0</v>
      </c>
      <c r="H85" s="1185">
        <v>0</v>
      </c>
      <c r="I85" s="1185">
        <v>0</v>
      </c>
      <c r="J85" s="1186">
        <v>0</v>
      </c>
      <c r="K85" s="1148">
        <f t="shared" si="3"/>
        <v>9335.4172500000004</v>
      </c>
    </row>
    <row r="86" spans="1:11" s="1121" customFormat="1" ht="30" customHeight="1">
      <c r="A86" s="1181" t="s">
        <v>177</v>
      </c>
      <c r="B86" s="1160">
        <v>6761.4438591649996</v>
      </c>
      <c r="C86" s="1160">
        <v>0</v>
      </c>
      <c r="D86" s="1160">
        <v>0</v>
      </c>
      <c r="E86" s="1160">
        <v>0</v>
      </c>
      <c r="F86" s="1160">
        <v>0</v>
      </c>
      <c r="G86" s="1160">
        <v>0</v>
      </c>
      <c r="H86" s="1160">
        <v>0</v>
      </c>
      <c r="I86" s="1160">
        <v>0</v>
      </c>
      <c r="J86" s="1182">
        <v>0</v>
      </c>
      <c r="K86" s="1143">
        <f t="shared" si="3"/>
        <v>6761.4438591649996</v>
      </c>
    </row>
    <row r="87" spans="1:11" s="1121" customFormat="1" ht="30" customHeight="1">
      <c r="A87" s="1181" t="s">
        <v>485</v>
      </c>
      <c r="B87" s="1160">
        <v>0</v>
      </c>
      <c r="C87" s="1160">
        <v>0</v>
      </c>
      <c r="D87" s="1160">
        <v>0</v>
      </c>
      <c r="E87" s="1160">
        <v>6251.4760900000001</v>
      </c>
      <c r="F87" s="1160">
        <v>0</v>
      </c>
      <c r="G87" s="1160">
        <v>0</v>
      </c>
      <c r="H87" s="1160">
        <v>0</v>
      </c>
      <c r="I87" s="1160">
        <v>0</v>
      </c>
      <c r="J87" s="1182">
        <v>0</v>
      </c>
      <c r="K87" s="1143">
        <f t="shared" si="3"/>
        <v>6251.4760900000001</v>
      </c>
    </row>
    <row r="88" spans="1:11" s="1121" customFormat="1" ht="30" customHeight="1">
      <c r="A88" s="1181" t="s">
        <v>459</v>
      </c>
      <c r="B88" s="1160">
        <v>158.07248999999999</v>
      </c>
      <c r="C88" s="1160">
        <v>0</v>
      </c>
      <c r="D88" s="1160">
        <v>7914.763044114</v>
      </c>
      <c r="E88" s="1160">
        <v>1165.6706399999998</v>
      </c>
      <c r="F88" s="1160">
        <v>4635.6913800000002</v>
      </c>
      <c r="G88" s="1160">
        <v>0</v>
      </c>
      <c r="H88" s="1160">
        <v>0</v>
      </c>
      <c r="I88" s="1160">
        <v>0</v>
      </c>
      <c r="J88" s="1182">
        <v>0</v>
      </c>
      <c r="K88" s="1143">
        <f t="shared" si="3"/>
        <v>13874.197554114</v>
      </c>
    </row>
    <row r="89" spans="1:11" s="1121" customFormat="1" ht="30" customHeight="1">
      <c r="A89" s="1181" t="s">
        <v>178</v>
      </c>
      <c r="B89" s="1160">
        <v>1197.2533500000002</v>
      </c>
      <c r="C89" s="1160">
        <v>0</v>
      </c>
      <c r="D89" s="1160">
        <v>0</v>
      </c>
      <c r="E89" s="1160">
        <v>0</v>
      </c>
      <c r="F89" s="1160">
        <v>0</v>
      </c>
      <c r="G89" s="1160">
        <v>0</v>
      </c>
      <c r="H89" s="1160">
        <v>0</v>
      </c>
      <c r="I89" s="1160">
        <v>0</v>
      </c>
      <c r="J89" s="1182">
        <v>0</v>
      </c>
      <c r="K89" s="1143">
        <f t="shared" si="3"/>
        <v>1197.2533500000002</v>
      </c>
    </row>
    <row r="90" spans="1:11" s="1121" customFormat="1" ht="30" customHeight="1">
      <c r="A90" s="1181" t="s">
        <v>179</v>
      </c>
      <c r="B90" s="1160">
        <v>16432.853722774998</v>
      </c>
      <c r="C90" s="1160">
        <v>0</v>
      </c>
      <c r="D90" s="1160">
        <v>106599.52818521101</v>
      </c>
      <c r="E90" s="1160">
        <v>50794.687749999997</v>
      </c>
      <c r="F90" s="1160">
        <v>65993.033030000006</v>
      </c>
      <c r="G90" s="1160">
        <f>+[1]Annexe14!$F$39</f>
        <v>1624</v>
      </c>
      <c r="H90" s="1160">
        <v>0</v>
      </c>
      <c r="I90" s="1160">
        <v>0</v>
      </c>
      <c r="J90" s="1182">
        <v>0</v>
      </c>
      <c r="K90" s="1143">
        <f t="shared" si="3"/>
        <v>241444.10268798599</v>
      </c>
    </row>
    <row r="91" spans="1:11" s="1121" customFormat="1" ht="30" customHeight="1">
      <c r="A91" s="1181" t="s">
        <v>180</v>
      </c>
      <c r="B91" s="1160">
        <v>18609.619969173997</v>
      </c>
      <c r="C91" s="1160">
        <v>0</v>
      </c>
      <c r="D91" s="1160">
        <v>15538.229781710999</v>
      </c>
      <c r="E91" s="1160">
        <v>29193.601130000003</v>
      </c>
      <c r="F91" s="1160">
        <v>165174.53063999998</v>
      </c>
      <c r="G91" s="1160">
        <v>0</v>
      </c>
      <c r="H91" s="1160">
        <v>0</v>
      </c>
      <c r="I91" s="1160">
        <v>0</v>
      </c>
      <c r="J91" s="1182">
        <v>0</v>
      </c>
      <c r="K91" s="1143">
        <f t="shared" si="3"/>
        <v>228515.98152088499</v>
      </c>
    </row>
    <row r="92" spans="1:11" s="1121" customFormat="1" ht="30" customHeight="1">
      <c r="A92" s="1181" t="s">
        <v>181</v>
      </c>
      <c r="B92" s="1160">
        <v>3165.2632505949996</v>
      </c>
      <c r="C92" s="1160">
        <v>0</v>
      </c>
      <c r="D92" s="1160">
        <v>0</v>
      </c>
      <c r="E92" s="1160">
        <v>4084.7832799999996</v>
      </c>
      <c r="F92" s="1161">
        <v>10746.61908</v>
      </c>
      <c r="G92" s="1160">
        <v>0</v>
      </c>
      <c r="H92" s="1160">
        <v>0</v>
      </c>
      <c r="I92" s="1160">
        <v>0</v>
      </c>
      <c r="J92" s="1182">
        <v>0</v>
      </c>
      <c r="K92" s="1143">
        <f t="shared" si="3"/>
        <v>17996.665610594999</v>
      </c>
    </row>
    <row r="93" spans="1:11" s="1121" customFormat="1" ht="30" customHeight="1">
      <c r="A93" s="1181" t="s">
        <v>182</v>
      </c>
      <c r="B93" s="1160">
        <v>5302.7051637759996</v>
      </c>
      <c r="C93" s="1160">
        <v>0</v>
      </c>
      <c r="D93" s="1160">
        <v>0</v>
      </c>
      <c r="E93" s="1160">
        <v>30088.727480000001</v>
      </c>
      <c r="F93" s="1160">
        <v>15715.13132</v>
      </c>
      <c r="G93" s="1160">
        <v>0</v>
      </c>
      <c r="H93" s="1160">
        <v>0</v>
      </c>
      <c r="I93" s="1160">
        <v>0</v>
      </c>
      <c r="J93" s="1182">
        <v>0</v>
      </c>
      <c r="K93" s="1143">
        <f t="shared" si="3"/>
        <v>51106.563963776003</v>
      </c>
    </row>
    <row r="94" spans="1:11" s="1121" customFormat="1" ht="30" customHeight="1">
      <c r="A94" s="1181" t="s">
        <v>483</v>
      </c>
      <c r="B94" s="1160">
        <v>0</v>
      </c>
      <c r="C94" s="1160">
        <v>0</v>
      </c>
      <c r="D94" s="1160">
        <v>0</v>
      </c>
      <c r="E94" s="1160">
        <v>38088.480090000005</v>
      </c>
      <c r="F94" s="1160">
        <v>27791.04983</v>
      </c>
      <c r="G94" s="1160">
        <v>0</v>
      </c>
      <c r="H94" s="1160">
        <v>0</v>
      </c>
      <c r="I94" s="1160">
        <v>0</v>
      </c>
      <c r="J94" s="1182">
        <v>0</v>
      </c>
      <c r="K94" s="1143">
        <f t="shared" si="3"/>
        <v>65879.529920000001</v>
      </c>
    </row>
    <row r="95" spans="1:11" s="1121" customFormat="1" ht="30" customHeight="1">
      <c r="A95" s="1181" t="s">
        <v>183</v>
      </c>
      <c r="B95" s="1160">
        <v>14054.393956439</v>
      </c>
      <c r="C95" s="1160">
        <v>0</v>
      </c>
      <c r="D95" s="1160">
        <v>135.84813</v>
      </c>
      <c r="E95" s="1160">
        <v>3035.9490599999999</v>
      </c>
      <c r="F95" s="1160">
        <v>4539.1446900000001</v>
      </c>
      <c r="G95" s="1160">
        <v>0</v>
      </c>
      <c r="H95" s="1160">
        <v>0</v>
      </c>
      <c r="I95" s="1160">
        <v>0</v>
      </c>
      <c r="J95" s="1182">
        <v>0</v>
      </c>
      <c r="K95" s="1143">
        <f t="shared" si="3"/>
        <v>21765.335836439001</v>
      </c>
    </row>
    <row r="96" spans="1:11" s="1121" customFormat="1" ht="30" customHeight="1">
      <c r="A96" s="1181" t="s">
        <v>501</v>
      </c>
      <c r="B96" s="1160">
        <v>0</v>
      </c>
      <c r="C96" s="1160">
        <v>0</v>
      </c>
      <c r="D96" s="1160">
        <v>0</v>
      </c>
      <c r="E96" s="1160">
        <v>0</v>
      </c>
      <c r="F96" s="1160">
        <v>16658.262289999999</v>
      </c>
      <c r="G96" s="1160">
        <v>0</v>
      </c>
      <c r="H96" s="1160">
        <v>0</v>
      </c>
      <c r="I96" s="1160">
        <v>0</v>
      </c>
      <c r="J96" s="1182">
        <v>0</v>
      </c>
      <c r="K96" s="1143">
        <f t="shared" si="3"/>
        <v>16658.262289999999</v>
      </c>
    </row>
    <row r="97" spans="1:22" s="1121" customFormat="1" ht="30" customHeight="1">
      <c r="A97" s="1181" t="s">
        <v>184</v>
      </c>
      <c r="B97" s="1160">
        <v>29398.810131228001</v>
      </c>
      <c r="C97" s="1160">
        <v>0</v>
      </c>
      <c r="D97" s="1160">
        <v>0</v>
      </c>
      <c r="E97" s="1160">
        <v>28639.598810000003</v>
      </c>
      <c r="F97" s="1160">
        <v>6425.57485</v>
      </c>
      <c r="G97" s="1160">
        <v>0</v>
      </c>
      <c r="H97" s="1160">
        <v>0</v>
      </c>
      <c r="I97" s="1160">
        <v>0</v>
      </c>
      <c r="J97" s="1182">
        <v>0</v>
      </c>
      <c r="K97" s="1143">
        <f t="shared" si="3"/>
        <v>64463.983791227998</v>
      </c>
    </row>
    <row r="98" spans="1:22" s="1121" customFormat="1" ht="30" customHeight="1">
      <c r="A98" s="1181" t="s">
        <v>482</v>
      </c>
      <c r="B98" s="1160">
        <v>20477.850031135</v>
      </c>
      <c r="C98" s="1160">
        <v>0</v>
      </c>
      <c r="D98" s="1160">
        <v>0</v>
      </c>
      <c r="E98" s="1160">
        <v>0</v>
      </c>
      <c r="F98" s="1160">
        <v>0</v>
      </c>
      <c r="G98" s="1160">
        <v>0</v>
      </c>
      <c r="H98" s="1160">
        <v>0</v>
      </c>
      <c r="I98" s="1160">
        <v>0</v>
      </c>
      <c r="J98" s="1182">
        <v>0</v>
      </c>
      <c r="K98" s="1143">
        <f t="shared" si="3"/>
        <v>20477.850031135</v>
      </c>
    </row>
    <row r="99" spans="1:22" s="1121" customFormat="1" ht="30" customHeight="1">
      <c r="A99" s="1181" t="s">
        <v>185</v>
      </c>
      <c r="B99" s="1160">
        <v>0</v>
      </c>
      <c r="C99" s="1160">
        <v>0</v>
      </c>
      <c r="D99" s="1160">
        <f>+'[2]ANNEXE 14'!$F$58</f>
        <v>0</v>
      </c>
      <c r="E99" s="1160">
        <v>0</v>
      </c>
      <c r="F99" s="1160">
        <v>23385.563710000002</v>
      </c>
      <c r="G99" s="1160">
        <v>0</v>
      </c>
      <c r="H99" s="1160">
        <v>0</v>
      </c>
      <c r="I99" s="1160">
        <v>0</v>
      </c>
      <c r="J99" s="1182">
        <v>0</v>
      </c>
      <c r="K99" s="1143">
        <f t="shared" si="3"/>
        <v>23385.563710000002</v>
      </c>
    </row>
    <row r="100" spans="1:22" s="1121" customFormat="1" ht="30" customHeight="1">
      <c r="A100" s="1181" t="s">
        <v>186</v>
      </c>
      <c r="B100" s="1160">
        <v>0</v>
      </c>
      <c r="C100" s="1160">
        <v>0</v>
      </c>
      <c r="D100" s="1160">
        <v>0</v>
      </c>
      <c r="E100" s="1160">
        <v>0</v>
      </c>
      <c r="F100" s="1160">
        <v>20637.282159999999</v>
      </c>
      <c r="G100" s="1160">
        <v>0</v>
      </c>
      <c r="H100" s="1160">
        <v>0</v>
      </c>
      <c r="I100" s="1160">
        <v>0</v>
      </c>
      <c r="J100" s="1182">
        <v>0</v>
      </c>
      <c r="K100" s="1143">
        <f t="shared" si="3"/>
        <v>20637.282159999999</v>
      </c>
    </row>
    <row r="101" spans="1:22" s="1121" customFormat="1" ht="30" customHeight="1">
      <c r="A101" s="1181" t="s">
        <v>187</v>
      </c>
      <c r="B101" s="1160">
        <v>211.87128000000001</v>
      </c>
      <c r="C101" s="1160">
        <v>0</v>
      </c>
      <c r="D101" s="1160">
        <v>0</v>
      </c>
      <c r="E101" s="1160">
        <v>0</v>
      </c>
      <c r="F101" s="1160">
        <v>0</v>
      </c>
      <c r="G101" s="1160">
        <v>0</v>
      </c>
      <c r="H101" s="1160">
        <v>0</v>
      </c>
      <c r="I101" s="1160">
        <v>0</v>
      </c>
      <c r="J101" s="1182">
        <v>0</v>
      </c>
      <c r="K101" s="1143">
        <f t="shared" si="3"/>
        <v>211.87128000000001</v>
      </c>
    </row>
    <row r="102" spans="1:22" s="1121" customFormat="1" ht="30" customHeight="1" thickBot="1">
      <c r="A102" s="1181" t="s">
        <v>188</v>
      </c>
      <c r="B102" s="1187">
        <v>108678.17017617599</v>
      </c>
      <c r="C102" s="1187">
        <v>0</v>
      </c>
      <c r="D102" s="1187">
        <v>0</v>
      </c>
      <c r="E102" s="1187">
        <v>24315.006530000002</v>
      </c>
      <c r="F102" s="1187">
        <v>52741.091399999998</v>
      </c>
      <c r="G102" s="1187">
        <v>0</v>
      </c>
      <c r="H102" s="1187">
        <v>0</v>
      </c>
      <c r="I102" s="1187">
        <v>0</v>
      </c>
      <c r="J102" s="1188">
        <v>0</v>
      </c>
      <c r="K102" s="1143">
        <f t="shared" si="3"/>
        <v>185734.26810617599</v>
      </c>
    </row>
    <row r="103" spans="1:22" s="1121" customFormat="1" ht="30" customHeight="1" thickBot="1">
      <c r="A103" s="1207" t="s">
        <v>70</v>
      </c>
      <c r="B103" s="1171">
        <f>+B77+B78+B79+B80+B83+B86+B88+B89+B90+B91+B92+B93+B95+B97+B98+B101+B102</f>
        <v>366710.66214489297</v>
      </c>
      <c r="C103" s="1171">
        <f t="shared" ref="C103:J103" si="4">SUM(C77:C102)</f>
        <v>0</v>
      </c>
      <c r="D103" s="1171">
        <f t="shared" si="4"/>
        <v>227776.59656855301</v>
      </c>
      <c r="E103" s="1392">
        <f>+E78+E80+E83+E87+E88+E90+E91+E92+E93+E94+E95+E97+E102</f>
        <v>672941.35032000009</v>
      </c>
      <c r="F103" s="1171">
        <f>+F78+F79+F80+F83+F88+F90+F91+F92+F93+F94+F95+F96+F97+F99+F100+F102</f>
        <v>794872.65044999996</v>
      </c>
      <c r="G103" s="1171">
        <f t="shared" si="4"/>
        <v>5852</v>
      </c>
      <c r="H103" s="1171">
        <f t="shared" si="4"/>
        <v>0</v>
      </c>
      <c r="I103" s="1171">
        <f t="shared" si="4"/>
        <v>0</v>
      </c>
      <c r="J103" s="1190">
        <f t="shared" si="4"/>
        <v>0</v>
      </c>
      <c r="K103" s="1191">
        <f>+K77+K78+K79+K80+K83+K86+K87+K88+K89+K90+K91+K92+K93+K94+K95+K96+K97+K98+K99+K100+K101+K102</f>
        <v>2068153.2594834457</v>
      </c>
    </row>
    <row r="104" spans="1:22" ht="20.100000000000001" customHeight="1" thickBot="1">
      <c r="A104" s="1180" t="s">
        <v>0</v>
      </c>
      <c r="B104" s="1192"/>
      <c r="C104" s="1192"/>
      <c r="D104" s="1192"/>
      <c r="E104" s="1192"/>
      <c r="F104" s="1192"/>
      <c r="G104" s="1192"/>
      <c r="H104" s="1192"/>
      <c r="I104" s="1192"/>
      <c r="J104" s="1192"/>
      <c r="K104" s="1192"/>
    </row>
    <row r="105" spans="1:22" ht="20.100000000000001" hidden="1" customHeight="1">
      <c r="B105" s="1192"/>
      <c r="C105" s="1192"/>
      <c r="D105" s="1192"/>
      <c r="E105" s="1192"/>
      <c r="F105" s="1192"/>
      <c r="G105" s="1192"/>
      <c r="H105" s="1192"/>
      <c r="I105" s="1192"/>
      <c r="J105" s="1192"/>
      <c r="K105" s="1192"/>
    </row>
    <row r="106" spans="1:22" ht="27" hidden="1" thickBot="1">
      <c r="B106" s="1192"/>
      <c r="C106" s="1192"/>
      <c r="D106" s="1192"/>
      <c r="E106" s="1192"/>
      <c r="F106" s="1192"/>
      <c r="G106" s="1192"/>
      <c r="H106" s="1192"/>
      <c r="I106" s="1192"/>
      <c r="J106" s="1192"/>
      <c r="K106" s="1192"/>
      <c r="R106" s="1193"/>
    </row>
    <row r="107" spans="1:22" ht="27" hidden="1" thickBot="1">
      <c r="B107" s="1192"/>
      <c r="C107" s="1192"/>
      <c r="D107" s="1192"/>
      <c r="E107" s="1192"/>
      <c r="F107" s="1192"/>
      <c r="G107" s="1192"/>
      <c r="H107" s="1192"/>
      <c r="I107" s="1192"/>
      <c r="J107" s="1192"/>
      <c r="K107" s="1192"/>
      <c r="R107" s="1193"/>
    </row>
    <row r="108" spans="1:22" ht="27" hidden="1" thickBot="1">
      <c r="B108" s="1192"/>
      <c r="C108" s="1192"/>
      <c r="D108" s="1192"/>
      <c r="E108" s="1192"/>
      <c r="F108" s="1192"/>
      <c r="G108" s="1192"/>
      <c r="H108" s="1192"/>
      <c r="I108" s="1192"/>
      <c r="J108" s="1192"/>
      <c r="K108" s="1192"/>
    </row>
    <row r="109" spans="1:22" ht="27" hidden="1" thickBot="1">
      <c r="B109" s="1192"/>
      <c r="C109" s="1192"/>
      <c r="D109" s="1192"/>
      <c r="E109" s="1192"/>
      <c r="F109" s="1192"/>
      <c r="G109" s="1192"/>
      <c r="H109" s="1192"/>
      <c r="I109" s="1192"/>
      <c r="J109" s="1192"/>
      <c r="K109" s="1192"/>
      <c r="V109" s="1180"/>
    </row>
    <row r="110" spans="1:22" ht="27" hidden="1" thickBot="1">
      <c r="B110" s="1192"/>
      <c r="C110" s="1192"/>
      <c r="D110" s="1192"/>
      <c r="E110" s="1192"/>
      <c r="F110" s="1192"/>
      <c r="G110" s="1192"/>
      <c r="H110" s="1192"/>
      <c r="I110" s="1192"/>
      <c r="J110" s="1192"/>
      <c r="K110" s="1192"/>
    </row>
    <row r="111" spans="1:22" ht="27" hidden="1" thickBot="1">
      <c r="B111" s="1192"/>
      <c r="C111" s="1192"/>
      <c r="D111" s="1192"/>
      <c r="E111" s="1192"/>
      <c r="F111" s="1192"/>
      <c r="G111" s="1192"/>
      <c r="H111" s="1192"/>
      <c r="I111" s="1192"/>
      <c r="J111" s="1192"/>
      <c r="K111" s="1192"/>
    </row>
    <row r="112" spans="1:22" ht="27" hidden="1" thickBot="1">
      <c r="B112" s="1192"/>
      <c r="C112" s="1192"/>
      <c r="D112" s="1192"/>
      <c r="E112" s="1192"/>
      <c r="F112" s="1192"/>
      <c r="G112" s="1192"/>
      <c r="H112" s="1192"/>
      <c r="I112" s="1192"/>
      <c r="J112" s="1192"/>
      <c r="K112" s="1192"/>
    </row>
    <row r="113" spans="2:11" ht="27" hidden="1" thickBot="1">
      <c r="B113" s="1192"/>
      <c r="C113" s="1192"/>
      <c r="D113" s="1192"/>
      <c r="E113" s="1192"/>
      <c r="F113" s="1192"/>
      <c r="G113" s="1192"/>
      <c r="H113" s="1192"/>
      <c r="I113" s="1192"/>
      <c r="J113" s="1192"/>
      <c r="K113" s="1192"/>
    </row>
    <row r="114" spans="2:11" ht="27" hidden="1" thickBot="1">
      <c r="B114" s="1192"/>
      <c r="C114" s="1192"/>
      <c r="D114" s="1192"/>
      <c r="E114" s="1192"/>
      <c r="F114" s="1192"/>
      <c r="G114" s="1192"/>
      <c r="H114" s="1192"/>
      <c r="I114" s="1192"/>
      <c r="J114" s="1192"/>
      <c r="K114" s="1192"/>
    </row>
    <row r="115" spans="2:11" ht="27" hidden="1" thickBot="1">
      <c r="B115" s="1192"/>
      <c r="C115" s="1192"/>
      <c r="D115" s="1192"/>
      <c r="E115" s="1192"/>
      <c r="F115" s="1192"/>
      <c r="G115" s="1192"/>
      <c r="H115" s="1192"/>
      <c r="I115" s="1192"/>
      <c r="J115" s="1192"/>
      <c r="K115" s="1192"/>
    </row>
    <row r="116" spans="2:11" ht="27" hidden="1" thickBot="1">
      <c r="B116" s="1192"/>
      <c r="C116" s="1192"/>
      <c r="D116" s="1192"/>
      <c r="E116" s="1192"/>
      <c r="F116" s="1192"/>
      <c r="G116" s="1192"/>
      <c r="H116" s="1192"/>
      <c r="I116" s="1192"/>
      <c r="J116" s="1192"/>
      <c r="K116" s="1192"/>
    </row>
    <row r="117" spans="2:11" ht="27" hidden="1" thickBot="1">
      <c r="B117" s="1192"/>
      <c r="C117" s="1192"/>
      <c r="D117" s="1192"/>
      <c r="E117" s="1192"/>
      <c r="F117" s="1192"/>
      <c r="G117" s="1192"/>
      <c r="H117" s="1192"/>
      <c r="I117" s="1192"/>
      <c r="J117" s="1192"/>
      <c r="K117" s="1192"/>
    </row>
    <row r="118" spans="2:11" ht="27" hidden="1" thickBot="1">
      <c r="B118" s="1192"/>
      <c r="C118" s="1192"/>
      <c r="D118" s="1192"/>
      <c r="E118" s="1192"/>
      <c r="F118" s="1192"/>
      <c r="G118" s="1192"/>
      <c r="H118" s="1192"/>
      <c r="I118" s="1192"/>
      <c r="J118" s="1192"/>
      <c r="K118" s="1192"/>
    </row>
    <row r="119" spans="2:11" ht="27" hidden="1" thickBot="1">
      <c r="B119" s="1192"/>
      <c r="C119" s="1192"/>
      <c r="D119" s="1192"/>
      <c r="E119" s="1192"/>
      <c r="F119" s="1192"/>
      <c r="G119" s="1192"/>
      <c r="H119" s="1192"/>
      <c r="I119" s="1192"/>
      <c r="J119" s="1192"/>
      <c r="K119" s="1192"/>
    </row>
    <row r="120" spans="2:11" ht="27" hidden="1" thickBot="1">
      <c r="B120" s="1192"/>
      <c r="C120" s="1192"/>
      <c r="D120" s="1192"/>
      <c r="E120" s="1192"/>
      <c r="F120" s="1192"/>
      <c r="G120" s="1192"/>
      <c r="H120" s="1192"/>
      <c r="I120" s="1192"/>
      <c r="J120" s="1192"/>
      <c r="K120" s="1192"/>
    </row>
    <row r="121" spans="2:11" ht="27" hidden="1" thickBot="1">
      <c r="B121" s="1192"/>
      <c r="C121" s="1192"/>
      <c r="D121" s="1192"/>
      <c r="E121" s="1192"/>
      <c r="F121" s="1192"/>
      <c r="G121" s="1192"/>
      <c r="H121" s="1192"/>
      <c r="I121" s="1192"/>
      <c r="J121" s="1192"/>
      <c r="K121" s="1192"/>
    </row>
    <row r="122" spans="2:11" ht="27" hidden="1" thickBot="1">
      <c r="B122" s="1192"/>
      <c r="C122" s="1192"/>
      <c r="D122" s="1192"/>
      <c r="E122" s="1192"/>
      <c r="F122" s="1192"/>
      <c r="G122" s="1192"/>
      <c r="H122" s="1192"/>
      <c r="I122" s="1192"/>
      <c r="J122" s="1192"/>
      <c r="K122" s="1192"/>
    </row>
    <row r="123" spans="2:11" ht="27" hidden="1" thickBot="1">
      <c r="B123" s="1192"/>
      <c r="C123" s="1192"/>
      <c r="D123" s="1192"/>
      <c r="E123" s="1192"/>
      <c r="F123" s="1192"/>
      <c r="G123" s="1192"/>
      <c r="H123" s="1192"/>
      <c r="I123" s="1192"/>
      <c r="J123" s="1192"/>
      <c r="K123" s="1192"/>
    </row>
    <row r="124" spans="2:11" ht="27" hidden="1" thickBot="1">
      <c r="B124" s="1192"/>
      <c r="C124" s="1192"/>
      <c r="D124" s="1192"/>
      <c r="E124" s="1192"/>
      <c r="F124" s="1192"/>
      <c r="G124" s="1192"/>
      <c r="H124" s="1192"/>
      <c r="I124" s="1192"/>
      <c r="J124" s="1192"/>
      <c r="K124" s="1192"/>
    </row>
    <row r="125" spans="2:11" ht="27" hidden="1" thickBot="1">
      <c r="B125" s="1192"/>
      <c r="C125" s="1192"/>
      <c r="D125" s="1192"/>
      <c r="E125" s="1192"/>
      <c r="F125" s="1192"/>
      <c r="G125" s="1192"/>
      <c r="H125" s="1192"/>
      <c r="I125" s="1192"/>
      <c r="J125" s="1192"/>
      <c r="K125" s="1192"/>
    </row>
    <row r="126" spans="2:11" ht="27" hidden="1" thickBot="1">
      <c r="B126" s="1192"/>
      <c r="C126" s="1192"/>
      <c r="D126" s="1192"/>
      <c r="E126" s="1192"/>
      <c r="F126" s="1192"/>
      <c r="G126" s="1192"/>
      <c r="H126" s="1192"/>
      <c r="I126" s="1192"/>
      <c r="J126" s="1192"/>
      <c r="K126" s="1192"/>
    </row>
    <row r="127" spans="2:11" ht="27" hidden="1" thickBot="1">
      <c r="B127" s="1192"/>
      <c r="C127" s="1192"/>
      <c r="D127" s="1192"/>
      <c r="E127" s="1192"/>
      <c r="F127" s="1192"/>
      <c r="G127" s="1192"/>
      <c r="H127" s="1192"/>
      <c r="I127" s="1192"/>
      <c r="J127" s="1192"/>
      <c r="K127" s="1192"/>
    </row>
    <row r="128" spans="2:11" ht="27" hidden="1" thickBot="1">
      <c r="B128" s="1192"/>
      <c r="C128" s="1192"/>
      <c r="D128" s="1192"/>
      <c r="E128" s="1192"/>
      <c r="F128" s="1192"/>
      <c r="G128" s="1192"/>
      <c r="H128" s="1192"/>
      <c r="I128" s="1192"/>
      <c r="J128" s="1192"/>
      <c r="K128" s="1192"/>
    </row>
    <row r="129" spans="2:11" ht="27" hidden="1" thickBot="1">
      <c r="B129" s="1192"/>
      <c r="C129" s="1192"/>
      <c r="D129" s="1192"/>
      <c r="E129" s="1192"/>
      <c r="F129" s="1192"/>
      <c r="G129" s="1192"/>
      <c r="H129" s="1192"/>
      <c r="I129" s="1192"/>
      <c r="J129" s="1192"/>
      <c r="K129" s="1192"/>
    </row>
    <row r="130" spans="2:11" ht="27" hidden="1" thickBot="1">
      <c r="B130" s="1192"/>
      <c r="C130" s="1192"/>
      <c r="D130" s="1192"/>
      <c r="E130" s="1192"/>
      <c r="F130" s="1192"/>
      <c r="G130" s="1192"/>
      <c r="H130" s="1192"/>
      <c r="I130" s="1192"/>
      <c r="J130" s="1192"/>
      <c r="K130" s="1192"/>
    </row>
    <row r="131" spans="2:11" ht="27" hidden="1" thickBot="1">
      <c r="B131" s="1192"/>
      <c r="C131" s="1192"/>
      <c r="D131" s="1192"/>
      <c r="E131" s="1192"/>
      <c r="F131" s="1192"/>
      <c r="G131" s="1192"/>
      <c r="H131" s="1192"/>
      <c r="I131" s="1192"/>
      <c r="J131" s="1192"/>
      <c r="K131" s="1192"/>
    </row>
    <row r="132" spans="2:11" ht="27" hidden="1" thickBot="1">
      <c r="B132" s="1192"/>
      <c r="C132" s="1192"/>
      <c r="D132" s="1192"/>
      <c r="E132" s="1192"/>
      <c r="F132" s="1192"/>
      <c r="G132" s="1192"/>
      <c r="H132" s="1192"/>
      <c r="I132" s="1192"/>
      <c r="J132" s="1192"/>
      <c r="K132" s="1192"/>
    </row>
    <row r="133" spans="2:11" ht="27" hidden="1" thickBot="1">
      <c r="B133" s="1192"/>
      <c r="C133" s="1192"/>
      <c r="D133" s="1192"/>
      <c r="E133" s="1192"/>
      <c r="F133" s="1192"/>
      <c r="G133" s="1192"/>
      <c r="H133" s="1192"/>
      <c r="I133" s="1192"/>
      <c r="J133" s="1192"/>
      <c r="K133" s="1192"/>
    </row>
    <row r="134" spans="2:11" ht="27" hidden="1" thickBot="1">
      <c r="B134" s="1192"/>
      <c r="C134" s="1192"/>
      <c r="D134" s="1192"/>
      <c r="E134" s="1192"/>
      <c r="F134" s="1192"/>
      <c r="G134" s="1192"/>
      <c r="H134" s="1192"/>
      <c r="I134" s="1192"/>
      <c r="J134" s="1192"/>
      <c r="K134" s="1192"/>
    </row>
    <row r="135" spans="2:11" ht="27" hidden="1" thickBot="1">
      <c r="B135" s="1192"/>
      <c r="C135" s="1192"/>
      <c r="D135" s="1192"/>
      <c r="E135" s="1192"/>
      <c r="F135" s="1192"/>
      <c r="G135" s="1192"/>
      <c r="H135" s="1192"/>
      <c r="I135" s="1192"/>
      <c r="J135" s="1192"/>
      <c r="K135" s="1192"/>
    </row>
    <row r="136" spans="2:11" ht="27" hidden="1" thickBot="1">
      <c r="B136" s="1192"/>
      <c r="C136" s="1192"/>
      <c r="D136" s="1192"/>
      <c r="E136" s="1192"/>
      <c r="F136" s="1192"/>
      <c r="G136" s="1192"/>
      <c r="H136" s="1192"/>
      <c r="I136" s="1192"/>
      <c r="J136" s="1192"/>
      <c r="K136" s="1192"/>
    </row>
    <row r="137" spans="2:11" ht="27" hidden="1" thickBot="1">
      <c r="B137" s="1192"/>
      <c r="C137" s="1192"/>
      <c r="D137" s="1192"/>
      <c r="E137" s="1192"/>
      <c r="F137" s="1192"/>
      <c r="G137" s="1192"/>
      <c r="H137" s="1192"/>
      <c r="I137" s="1192"/>
      <c r="J137" s="1192"/>
      <c r="K137" s="1192"/>
    </row>
    <row r="138" spans="2:11" ht="27" hidden="1" thickBot="1">
      <c r="B138" s="1192"/>
      <c r="C138" s="1192"/>
      <c r="D138" s="1192"/>
      <c r="E138" s="1192"/>
      <c r="F138" s="1192"/>
      <c r="G138" s="1192"/>
      <c r="H138" s="1192"/>
      <c r="I138" s="1192"/>
      <c r="J138" s="1192"/>
      <c r="K138" s="1192"/>
    </row>
    <row r="139" spans="2:11" ht="27" hidden="1" thickBot="1">
      <c r="B139" s="1192"/>
      <c r="C139" s="1192"/>
      <c r="D139" s="1192"/>
      <c r="E139" s="1192"/>
      <c r="F139" s="1192"/>
      <c r="G139" s="1192"/>
      <c r="H139" s="1192"/>
      <c r="I139" s="1192"/>
      <c r="J139" s="1192"/>
      <c r="K139" s="1192"/>
    </row>
    <row r="140" spans="2:11" ht="27" hidden="1" thickBot="1">
      <c r="B140" s="1192"/>
      <c r="C140" s="1192" t="s">
        <v>69</v>
      </c>
      <c r="D140" s="1194">
        <v>1327</v>
      </c>
      <c r="E140" s="1192"/>
      <c r="F140" s="1192"/>
      <c r="G140" s="1192"/>
      <c r="H140" s="1192"/>
      <c r="I140" s="1192"/>
      <c r="J140" s="1192"/>
      <c r="K140" s="1192"/>
    </row>
    <row r="141" spans="2:11" ht="27" hidden="1" thickBot="1">
      <c r="B141" s="1192"/>
      <c r="C141" s="1192" t="s">
        <v>62</v>
      </c>
      <c r="D141" s="1194">
        <v>1050</v>
      </c>
      <c r="E141" s="1192"/>
      <c r="F141" s="1192"/>
      <c r="G141" s="1192"/>
      <c r="H141" s="1192"/>
      <c r="I141" s="1192"/>
      <c r="J141" s="1192"/>
      <c r="K141" s="1192"/>
    </row>
    <row r="142" spans="2:11" ht="27" hidden="1" thickBot="1">
      <c r="B142" s="1192"/>
      <c r="C142" s="1192" t="s">
        <v>64</v>
      </c>
      <c r="D142" s="1194">
        <v>875</v>
      </c>
      <c r="E142" s="1192"/>
      <c r="F142" s="1192"/>
      <c r="G142" s="1192"/>
      <c r="H142" s="1192"/>
      <c r="I142" s="1192"/>
      <c r="J142" s="1192"/>
      <c r="K142" s="1192"/>
    </row>
    <row r="143" spans="2:11" ht="27" hidden="1" thickBot="1">
      <c r="B143" s="1192"/>
      <c r="C143" s="1192" t="s">
        <v>65</v>
      </c>
      <c r="D143" s="1194">
        <v>862</v>
      </c>
      <c r="E143" s="1192"/>
      <c r="F143" s="1192"/>
      <c r="G143" s="1192"/>
      <c r="H143" s="1192"/>
      <c r="I143" s="1192"/>
      <c r="J143" s="1192"/>
      <c r="K143" s="1192"/>
    </row>
    <row r="144" spans="2:11" ht="27" hidden="1" thickBot="1">
      <c r="B144" s="1192"/>
      <c r="C144" s="1192" t="s">
        <v>66</v>
      </c>
      <c r="D144" s="1194">
        <v>664</v>
      </c>
      <c r="E144" s="1192"/>
      <c r="F144" s="1192"/>
      <c r="G144" s="1192"/>
      <c r="H144" s="1192"/>
      <c r="I144" s="1192"/>
      <c r="J144" s="1192"/>
      <c r="K144" s="1192"/>
    </row>
    <row r="145" spans="1:11" ht="27" hidden="1" thickBot="1">
      <c r="B145" s="1192"/>
      <c r="C145" s="1192" t="s">
        <v>63</v>
      </c>
      <c r="D145" s="1194">
        <v>624</v>
      </c>
      <c r="E145" s="1192"/>
      <c r="F145" s="1192"/>
      <c r="G145" s="1192"/>
      <c r="H145" s="1192"/>
      <c r="I145" s="1192"/>
      <c r="J145" s="1192"/>
      <c r="K145" s="1192"/>
    </row>
    <row r="146" spans="1:11" ht="27" hidden="1" thickBot="1">
      <c r="B146" s="1192"/>
      <c r="C146" s="1192" t="s">
        <v>67</v>
      </c>
      <c r="D146" s="1194">
        <v>496</v>
      </c>
      <c r="E146" s="1192"/>
      <c r="F146" s="1192"/>
      <c r="G146" s="1192"/>
      <c r="H146" s="1192"/>
      <c r="I146" s="1192"/>
      <c r="J146" s="1192"/>
      <c r="K146" s="1192"/>
    </row>
    <row r="147" spans="1:11" ht="27" hidden="1" thickBot="1">
      <c r="B147" s="1192"/>
      <c r="C147" s="1192" t="s">
        <v>60</v>
      </c>
      <c r="D147" s="1194">
        <v>278</v>
      </c>
      <c r="E147" s="1192"/>
      <c r="F147" s="1192"/>
      <c r="G147" s="1192"/>
      <c r="H147" s="1192"/>
      <c r="I147" s="1192"/>
      <c r="J147" s="1192"/>
      <c r="K147" s="1192"/>
    </row>
    <row r="148" spans="1:11" ht="27" hidden="1" thickBot="1">
      <c r="B148" s="1192"/>
      <c r="C148" s="1192" t="s">
        <v>68</v>
      </c>
      <c r="D148" s="1194">
        <v>171</v>
      </c>
      <c r="E148" s="1192"/>
      <c r="F148" s="1192"/>
      <c r="G148" s="1192"/>
      <c r="H148" s="1192"/>
      <c r="I148" s="1192"/>
      <c r="J148" s="1192"/>
      <c r="K148" s="1192"/>
    </row>
    <row r="149" spans="1:11" ht="27" hidden="1" thickBot="1">
      <c r="B149" s="1192"/>
      <c r="C149" s="1192" t="s">
        <v>58</v>
      </c>
      <c r="D149" s="1194">
        <v>103</v>
      </c>
      <c r="E149" s="1192"/>
      <c r="F149" s="1192"/>
      <c r="G149" s="1192"/>
      <c r="H149" s="1192"/>
      <c r="I149" s="1192"/>
      <c r="J149" s="1192"/>
      <c r="K149" s="1192"/>
    </row>
    <row r="150" spans="1:11" ht="27" hidden="1" thickBot="1">
      <c r="B150" s="1192"/>
      <c r="C150" s="1192" t="s">
        <v>79</v>
      </c>
      <c r="D150" s="1194">
        <v>12</v>
      </c>
      <c r="E150" s="1192"/>
      <c r="F150" s="1192"/>
      <c r="G150" s="1192"/>
      <c r="H150" s="1192"/>
      <c r="I150" s="1192"/>
      <c r="J150" s="1192"/>
      <c r="K150" s="1192"/>
    </row>
    <row r="151" spans="1:11" ht="27" hidden="1" thickBot="1">
      <c r="B151" s="1192"/>
      <c r="C151" s="1192" t="s">
        <v>78</v>
      </c>
      <c r="D151" s="1194">
        <v>0</v>
      </c>
      <c r="E151" s="1192"/>
      <c r="F151" s="1192"/>
      <c r="G151" s="1192"/>
      <c r="H151" s="1192"/>
      <c r="I151" s="1192"/>
      <c r="J151" s="1192"/>
      <c r="K151" s="1192"/>
    </row>
    <row r="152" spans="1:11" ht="27" hidden="1" thickBot="1">
      <c r="B152" s="1192"/>
      <c r="C152" s="1192" t="s">
        <v>59</v>
      </c>
      <c r="D152" s="1194">
        <v>0</v>
      </c>
      <c r="E152" s="1192"/>
      <c r="F152" s="1192"/>
      <c r="G152" s="1192"/>
      <c r="H152" s="1192"/>
      <c r="I152" s="1192"/>
      <c r="J152" s="1192"/>
      <c r="K152" s="1192"/>
    </row>
    <row r="153" spans="1:11" ht="27" hidden="1" thickBot="1">
      <c r="B153" s="1192"/>
      <c r="C153" s="1192" t="s">
        <v>61</v>
      </c>
      <c r="D153" s="1194">
        <v>0</v>
      </c>
      <c r="E153" s="1192"/>
      <c r="F153" s="1192"/>
      <c r="G153" s="1192"/>
      <c r="H153" s="1192"/>
      <c r="I153" s="1192"/>
      <c r="J153" s="1192"/>
      <c r="K153" s="1192"/>
    </row>
    <row r="154" spans="1:11" ht="26.25" thickBot="1">
      <c r="A154" s="1195" t="s">
        <v>190</v>
      </c>
      <c r="B154" s="1196">
        <f t="shared" ref="B154:K154" si="5">+B73+B103</f>
        <v>3975505.8221112378</v>
      </c>
      <c r="C154" s="1196">
        <f t="shared" si="5"/>
        <v>871487.54196000006</v>
      </c>
      <c r="D154" s="1196">
        <f t="shared" si="5"/>
        <v>1237077.9101916431</v>
      </c>
      <c r="E154" s="1196">
        <f t="shared" si="5"/>
        <v>9479328.16206</v>
      </c>
      <c r="F154" s="1196">
        <f t="shared" si="5"/>
        <v>6403840.1414700011</v>
      </c>
      <c r="G154" s="1196">
        <f t="shared" si="5"/>
        <v>2207658</v>
      </c>
      <c r="H154" s="1196">
        <f t="shared" si="5"/>
        <v>2952640.3953500004</v>
      </c>
      <c r="I154" s="1196">
        <f t="shared" si="5"/>
        <v>381091</v>
      </c>
      <c r="J154" s="1196">
        <f t="shared" si="5"/>
        <v>325603</v>
      </c>
      <c r="K154" s="1197">
        <f t="shared" si="5"/>
        <v>27834231.973142881</v>
      </c>
    </row>
    <row r="155" spans="1:11" ht="15.75"/>
    <row r="156" spans="1:11" ht="15.75">
      <c r="F156" s="1198" t="s">
        <v>0</v>
      </c>
    </row>
    <row r="157" spans="1:11" ht="15.75"/>
    <row r="158" spans="1:11" ht="15.75">
      <c r="D158" s="1118" t="s">
        <v>0</v>
      </c>
      <c r="F158" s="1198" t="s">
        <v>0</v>
      </c>
      <c r="K158" s="1198"/>
    </row>
    <row r="159" spans="1:11" ht="15.75">
      <c r="B159" s="1198" t="s">
        <v>0</v>
      </c>
      <c r="J159" s="1198" t="s">
        <v>0</v>
      </c>
    </row>
    <row r="160" spans="1:11" ht="15.75"/>
    <row r="161" spans="5:10" ht="15.75">
      <c r="J161" s="1118" t="s">
        <v>0</v>
      </c>
    </row>
    <row r="162" spans="5:10" ht="15.75">
      <c r="I162" s="1118" t="s">
        <v>0</v>
      </c>
    </row>
    <row r="163" spans="5:10" ht="15.75">
      <c r="E163" s="1355"/>
      <c r="J163" s="1118" t="s">
        <v>0</v>
      </c>
    </row>
    <row r="164" spans="5:10" ht="15.75">
      <c r="I164" s="1118" t="s">
        <v>0</v>
      </c>
    </row>
    <row r="165" spans="5:10" ht="15.75"/>
    <row r="166" spans="5:10" ht="15.75"/>
  </sheetData>
  <phoneticPr fontId="73" type="noConversion"/>
  <printOptions horizontalCentered="1"/>
  <pageMargins left="0.31496062992125984" right="0.23622047244094491" top="0.39370078740157483" bottom="0.31496062992125984" header="0.23622047244094491" footer="0.15748031496062992"/>
  <pageSetup scale="25" orientation="portrait" r:id="rId1"/>
  <headerFooter alignWithMargins="0">
    <oddHeader xml:space="preserve">&amp;C&amp;"CG Times,Bold"             &amp;16               </oddHeader>
    <oddFooter>&amp;R&amp;20&amp;P</oddFooter>
  </headerFooter>
</worksheet>
</file>

<file path=xl/worksheets/sheet26.xml><?xml version="1.0" encoding="utf-8"?>
<worksheet xmlns="http://schemas.openxmlformats.org/spreadsheetml/2006/main" xmlns:r="http://schemas.openxmlformats.org/officeDocument/2006/relationships">
  <sheetPr>
    <pageSetUpPr fitToPage="1"/>
  </sheetPr>
  <dimension ref="A1:I34"/>
  <sheetViews>
    <sheetView workbookViewId="0">
      <selection activeCell="J5" sqref="J5"/>
    </sheetView>
  </sheetViews>
  <sheetFormatPr baseColWidth="10" defaultColWidth="9" defaultRowHeight="15.75"/>
  <cols>
    <col min="5" max="5" width="55.875" customWidth="1"/>
    <col min="6" max="6" width="13.125" customWidth="1"/>
  </cols>
  <sheetData>
    <row r="1" spans="1:9">
      <c r="A1" s="466"/>
      <c r="B1" s="466"/>
      <c r="C1" s="466"/>
      <c r="D1" s="466"/>
      <c r="E1" s="466"/>
      <c r="F1" s="466"/>
      <c r="G1" s="466"/>
      <c r="H1" s="466"/>
      <c r="I1" s="466"/>
    </row>
    <row r="2" spans="1:9">
      <c r="A2" s="466"/>
      <c r="B2" s="466"/>
      <c r="C2" s="466"/>
      <c r="D2" s="466"/>
      <c r="E2" s="466"/>
      <c r="F2" s="466"/>
      <c r="G2" s="466"/>
      <c r="H2" s="466"/>
      <c r="I2" s="466"/>
    </row>
    <row r="3" spans="1:9">
      <c r="A3" s="466"/>
      <c r="B3" s="466"/>
      <c r="C3" s="466"/>
      <c r="D3" s="466"/>
      <c r="E3" s="466"/>
      <c r="F3" s="466"/>
      <c r="G3" s="466"/>
      <c r="H3" s="466"/>
      <c r="I3" s="466"/>
    </row>
    <row r="4" spans="1:9">
      <c r="A4" s="466"/>
      <c r="B4" s="466"/>
      <c r="C4" s="466"/>
      <c r="D4" s="466"/>
      <c r="E4" s="466"/>
      <c r="F4" s="466"/>
      <c r="G4" s="466"/>
      <c r="H4" s="466"/>
      <c r="I4" s="466"/>
    </row>
    <row r="5" spans="1:9">
      <c r="A5" s="466"/>
      <c r="B5" s="466"/>
      <c r="C5" s="466"/>
      <c r="D5" s="466"/>
      <c r="E5" s="466"/>
      <c r="F5" s="466"/>
      <c r="G5" s="466"/>
      <c r="H5" s="466"/>
      <c r="I5" s="466"/>
    </row>
    <row r="6" spans="1:9">
      <c r="A6" s="466"/>
      <c r="B6" s="466"/>
      <c r="C6" s="466"/>
      <c r="D6" s="466"/>
      <c r="E6" s="466"/>
      <c r="F6" s="466"/>
      <c r="G6" s="466"/>
      <c r="H6" s="466"/>
      <c r="I6" s="466"/>
    </row>
    <row r="7" spans="1:9">
      <c r="A7" s="466"/>
      <c r="B7" s="466"/>
      <c r="C7" s="466"/>
      <c r="D7" s="466"/>
      <c r="E7" s="466"/>
      <c r="F7" s="466"/>
      <c r="G7" s="466"/>
      <c r="H7" s="466"/>
      <c r="I7" s="466"/>
    </row>
    <row r="8" spans="1:9">
      <c r="A8" s="466"/>
      <c r="B8" s="466"/>
      <c r="C8" s="466"/>
      <c r="D8" s="466"/>
      <c r="E8" s="466"/>
      <c r="F8" s="466"/>
      <c r="G8" s="466"/>
      <c r="H8" s="466"/>
      <c r="I8" s="466"/>
    </row>
    <row r="9" spans="1:9">
      <c r="A9" s="466"/>
      <c r="B9" s="466"/>
      <c r="C9" s="466"/>
      <c r="D9" s="466"/>
      <c r="E9" s="466"/>
      <c r="F9" s="466"/>
      <c r="G9" s="466"/>
      <c r="H9" s="466"/>
      <c r="I9" s="466"/>
    </row>
    <row r="10" spans="1:9">
      <c r="A10" s="466"/>
      <c r="B10" s="466"/>
      <c r="C10" s="466"/>
      <c r="D10" s="466"/>
      <c r="E10" s="466"/>
      <c r="F10" s="466"/>
      <c r="G10" s="466"/>
      <c r="H10" s="466"/>
      <c r="I10" s="466"/>
    </row>
    <row r="11" spans="1:9">
      <c r="A11" s="466"/>
      <c r="B11" s="466"/>
      <c r="C11" s="466"/>
      <c r="D11" s="466"/>
      <c r="E11" s="466"/>
      <c r="F11" s="466"/>
      <c r="G11" s="466"/>
      <c r="H11" s="466"/>
      <c r="I11" s="466"/>
    </row>
    <row r="12" spans="1:9">
      <c r="A12" s="466"/>
      <c r="B12" s="466"/>
      <c r="C12" s="466"/>
      <c r="D12" s="466"/>
      <c r="E12" s="466"/>
      <c r="F12" s="466"/>
      <c r="G12" s="466"/>
      <c r="H12" s="466"/>
      <c r="I12" s="466"/>
    </row>
    <row r="13" spans="1:9">
      <c r="A13" s="466"/>
      <c r="B13" s="466"/>
      <c r="C13" s="466"/>
      <c r="D13" s="466"/>
      <c r="E13" s="466"/>
      <c r="F13" s="466"/>
      <c r="G13" s="466"/>
      <c r="H13" s="466"/>
      <c r="I13" s="466"/>
    </row>
    <row r="14" spans="1:9">
      <c r="A14" s="466"/>
      <c r="B14" s="466"/>
      <c r="C14" s="466"/>
      <c r="D14" s="466"/>
      <c r="E14" s="466"/>
      <c r="F14" s="466"/>
      <c r="G14" s="466"/>
      <c r="H14" s="466"/>
      <c r="I14" s="466"/>
    </row>
    <row r="15" spans="1:9">
      <c r="A15" s="466"/>
      <c r="B15" s="466"/>
      <c r="C15" s="466"/>
      <c r="D15" s="466"/>
      <c r="E15" s="466"/>
      <c r="F15" s="466"/>
      <c r="G15" s="466"/>
      <c r="H15" s="466"/>
      <c r="I15" s="466"/>
    </row>
    <row r="16" spans="1:9" ht="25.5">
      <c r="A16" s="441" t="s">
        <v>14</v>
      </c>
      <c r="B16" s="435"/>
      <c r="C16" s="435"/>
      <c r="D16" s="435"/>
      <c r="E16" s="435"/>
      <c r="F16" s="435"/>
      <c r="G16" s="435"/>
      <c r="H16" s="435"/>
      <c r="I16" s="435"/>
    </row>
    <row r="17" spans="1:9">
      <c r="A17" s="466"/>
      <c r="B17" s="466"/>
      <c r="C17" s="466"/>
      <c r="D17" s="466"/>
      <c r="E17" s="466"/>
      <c r="F17" s="466"/>
      <c r="G17" s="466"/>
      <c r="H17" s="466"/>
      <c r="I17" s="466"/>
    </row>
    <row r="18" spans="1:9">
      <c r="A18" s="466"/>
      <c r="B18" s="466"/>
      <c r="C18" s="466"/>
      <c r="D18" s="466"/>
      <c r="E18" s="466"/>
      <c r="F18" s="466"/>
      <c r="G18" s="466"/>
      <c r="H18" s="466"/>
      <c r="I18" s="466"/>
    </row>
    <row r="19" spans="1:9" ht="20.25">
      <c r="A19" s="468" t="s">
        <v>15</v>
      </c>
      <c r="B19" s="467"/>
      <c r="C19" s="467"/>
      <c r="D19" s="467"/>
      <c r="E19" s="467"/>
      <c r="F19" s="467"/>
      <c r="G19" s="467"/>
      <c r="H19" s="467"/>
      <c r="I19" s="467"/>
    </row>
    <row r="20" spans="1:9">
      <c r="A20" s="466"/>
      <c r="B20" s="466"/>
      <c r="C20" s="466"/>
      <c r="D20" s="466"/>
      <c r="E20" s="466"/>
      <c r="F20" s="466"/>
      <c r="G20" s="466"/>
      <c r="H20" s="466"/>
      <c r="I20" s="466"/>
    </row>
    <row r="21" spans="1:9">
      <c r="A21" s="466"/>
      <c r="B21" s="466"/>
      <c r="C21" s="466"/>
      <c r="D21" s="466"/>
      <c r="E21" s="466"/>
      <c r="F21" s="466"/>
      <c r="G21" s="466"/>
      <c r="H21" s="466"/>
      <c r="I21" s="466"/>
    </row>
    <row r="22" spans="1:9">
      <c r="A22" s="466"/>
      <c r="B22" s="466"/>
      <c r="C22" s="466"/>
      <c r="D22" s="466"/>
      <c r="E22" s="466"/>
      <c r="F22" s="466"/>
      <c r="G22" s="466"/>
      <c r="H22" s="466"/>
      <c r="I22" s="466"/>
    </row>
    <row r="23" spans="1:9">
      <c r="A23" s="466"/>
      <c r="B23" s="467"/>
      <c r="C23" s="467"/>
      <c r="D23" s="467"/>
      <c r="E23" s="467"/>
      <c r="F23" s="467"/>
      <c r="G23" s="467"/>
      <c r="H23" s="467"/>
      <c r="I23" s="467"/>
    </row>
    <row r="24" spans="1:9">
      <c r="A24" s="466"/>
      <c r="B24" s="466"/>
      <c r="C24" s="466"/>
      <c r="D24" s="466"/>
      <c r="E24" s="466"/>
      <c r="F24" s="466"/>
      <c r="G24" s="466"/>
      <c r="H24" s="466"/>
      <c r="I24" s="466"/>
    </row>
    <row r="25" spans="1:9">
      <c r="A25" s="466"/>
      <c r="B25" s="466"/>
      <c r="C25" s="466"/>
      <c r="D25" s="466"/>
      <c r="E25" s="466"/>
      <c r="F25" s="466"/>
      <c r="G25" s="466"/>
      <c r="H25" s="466"/>
      <c r="I25" s="466"/>
    </row>
    <row r="26" spans="1:9">
      <c r="A26" s="466"/>
      <c r="B26" s="466"/>
      <c r="C26" s="466"/>
      <c r="D26" s="466"/>
      <c r="E26" s="466"/>
      <c r="F26" s="466"/>
      <c r="G26" s="466"/>
      <c r="H26" s="466"/>
      <c r="I26" s="466"/>
    </row>
    <row r="27" spans="1:9">
      <c r="A27" s="466"/>
      <c r="B27" s="466"/>
      <c r="C27" s="466"/>
      <c r="D27" s="466"/>
      <c r="E27" s="466"/>
      <c r="F27" s="466"/>
      <c r="G27" s="466"/>
      <c r="H27" s="466"/>
      <c r="I27" s="466"/>
    </row>
    <row r="28" spans="1:9">
      <c r="A28" s="466"/>
      <c r="B28" s="466"/>
      <c r="C28" s="466"/>
      <c r="D28" s="466"/>
      <c r="E28" s="466"/>
      <c r="F28" s="466"/>
      <c r="G28" s="466"/>
      <c r="H28" s="466"/>
      <c r="I28" s="466"/>
    </row>
    <row r="29" spans="1:9">
      <c r="A29" s="466"/>
      <c r="B29" s="466"/>
      <c r="C29" s="466"/>
      <c r="D29" s="466"/>
      <c r="E29" s="466"/>
      <c r="F29" s="466"/>
      <c r="G29" s="466"/>
      <c r="H29" s="466"/>
      <c r="I29" s="466"/>
    </row>
    <row r="30" spans="1:9">
      <c r="A30" s="466"/>
      <c r="B30" s="466"/>
      <c r="C30" s="466"/>
      <c r="D30" s="466"/>
      <c r="E30" s="466"/>
      <c r="F30" s="466"/>
      <c r="G30" s="466"/>
      <c r="H30" s="466"/>
      <c r="I30" s="466"/>
    </row>
    <row r="31" spans="1:9">
      <c r="A31" s="466"/>
      <c r="B31" s="466"/>
      <c r="C31" s="466"/>
      <c r="D31" s="466"/>
      <c r="E31" s="466"/>
      <c r="F31" s="466"/>
      <c r="G31" s="466"/>
      <c r="H31" s="466"/>
      <c r="I31" s="466"/>
    </row>
    <row r="32" spans="1:9">
      <c r="A32" s="466"/>
      <c r="B32" s="466"/>
      <c r="C32" s="466"/>
      <c r="D32" s="466"/>
      <c r="E32" s="466"/>
      <c r="F32" s="466"/>
      <c r="G32" s="466"/>
      <c r="H32" s="466"/>
      <c r="I32" s="466"/>
    </row>
    <row r="33" spans="1:9">
      <c r="A33" s="466"/>
      <c r="B33" s="466"/>
      <c r="C33" s="466"/>
      <c r="D33" s="466"/>
      <c r="E33" s="466"/>
      <c r="F33" s="466"/>
      <c r="G33" s="466"/>
      <c r="H33" s="466"/>
      <c r="I33" s="466"/>
    </row>
    <row r="34" spans="1:9">
      <c r="A34" s="466"/>
      <c r="B34" s="466"/>
      <c r="C34" s="466"/>
      <c r="D34" s="466"/>
      <c r="E34" s="466"/>
      <c r="F34" s="466"/>
      <c r="G34" s="466"/>
      <c r="H34" s="466"/>
      <c r="I34" s="466"/>
    </row>
  </sheetData>
  <sheetProtection password="C7D6" sheet="1" objects="1" scenarios="1"/>
  <phoneticPr fontId="0" type="noConversion"/>
  <pageMargins left="0.78740157499999996" right="0.38" top="0.81" bottom="0.85" header="0.5" footer="0.44"/>
  <pageSetup scale="89" orientation="landscape" r:id="rId1"/>
  <headerFooter alignWithMargins="0"/>
</worksheet>
</file>

<file path=xl/worksheets/sheet27.xml><?xml version="1.0" encoding="utf-8"?>
<worksheet xmlns="http://schemas.openxmlformats.org/spreadsheetml/2006/main" xmlns:r="http://schemas.openxmlformats.org/officeDocument/2006/relationships">
  <sheetPr>
    <pageSetUpPr fitToPage="1"/>
  </sheetPr>
  <dimension ref="A1:AA84"/>
  <sheetViews>
    <sheetView workbookViewId="0">
      <selection activeCell="A55" sqref="A55"/>
    </sheetView>
  </sheetViews>
  <sheetFormatPr baseColWidth="10" defaultColWidth="9" defaultRowHeight="15.75"/>
  <cols>
    <col min="1" max="1" width="39.25" customWidth="1"/>
    <col min="2" max="2" width="16.625" customWidth="1"/>
    <col min="3" max="3" width="11.125" customWidth="1"/>
    <col min="4" max="4" width="14.75" customWidth="1"/>
    <col min="5" max="5" width="12.5" customWidth="1"/>
    <col min="6" max="6" width="15.25" customWidth="1"/>
    <col min="7" max="7" width="8.875" customWidth="1"/>
    <col min="8" max="8" width="15.25" customWidth="1"/>
    <col min="9" max="9" width="11.625" customWidth="1"/>
    <col min="10" max="10" width="13.75" customWidth="1"/>
    <col min="11" max="11" width="11.375" customWidth="1"/>
    <col min="12" max="12" width="14.25" customWidth="1"/>
    <col min="14" max="14" width="14.75" customWidth="1"/>
    <col min="15" max="15" width="13.125" customWidth="1"/>
    <col min="16" max="16" width="13.875" customWidth="1"/>
    <col min="17" max="17" width="10.75" customWidth="1"/>
    <col min="18" max="18" width="15.25" customWidth="1"/>
    <col min="19" max="19" width="9.375" customWidth="1"/>
    <col min="20" max="20" width="15.25" customWidth="1"/>
  </cols>
  <sheetData>
    <row r="1" spans="1:27">
      <c r="A1" s="111" t="s">
        <v>506</v>
      </c>
      <c r="B1" s="39"/>
      <c r="C1" s="39"/>
      <c r="D1" s="39"/>
      <c r="E1" s="39"/>
      <c r="F1" s="39"/>
      <c r="G1" s="39"/>
      <c r="H1" s="39"/>
      <c r="I1" s="39"/>
      <c r="J1" s="39"/>
      <c r="K1" s="39"/>
      <c r="L1" s="39"/>
      <c r="M1" s="39"/>
      <c r="N1" s="39"/>
      <c r="O1" s="39"/>
      <c r="P1" s="39"/>
      <c r="Q1" s="39"/>
      <c r="R1" s="39"/>
      <c r="S1" s="39"/>
      <c r="T1" s="39"/>
    </row>
    <row r="2" spans="1:27">
      <c r="A2" s="111" t="s">
        <v>193</v>
      </c>
      <c r="B2" s="39"/>
      <c r="C2" s="39"/>
      <c r="D2" s="39"/>
      <c r="E2" s="39"/>
      <c r="F2" s="39"/>
      <c r="G2" s="39"/>
      <c r="H2" s="39"/>
      <c r="I2" s="39"/>
      <c r="J2" s="39"/>
      <c r="K2" s="39"/>
      <c r="L2" s="39"/>
      <c r="M2" s="39"/>
      <c r="N2" s="39"/>
      <c r="O2" s="39"/>
      <c r="P2" s="39"/>
      <c r="Q2" s="39"/>
      <c r="R2" s="39"/>
      <c r="S2" s="39"/>
      <c r="T2" s="39"/>
    </row>
    <row r="3" spans="1:27">
      <c r="A3" s="111" t="s">
        <v>194</v>
      </c>
      <c r="B3" s="39"/>
      <c r="C3" s="39"/>
      <c r="D3" s="39"/>
      <c r="E3" s="39"/>
      <c r="F3" s="39"/>
      <c r="G3" s="39"/>
      <c r="H3" s="39"/>
      <c r="I3" s="39"/>
      <c r="J3" s="39"/>
      <c r="K3" s="39"/>
      <c r="L3" s="39"/>
      <c r="M3" s="39"/>
      <c r="N3" s="39"/>
      <c r="O3" s="39"/>
      <c r="P3" s="39"/>
      <c r="Q3" s="39"/>
      <c r="R3" s="39"/>
      <c r="S3" s="39"/>
      <c r="T3" s="39"/>
    </row>
    <row r="4" spans="1:27">
      <c r="A4" s="111"/>
      <c r="B4" s="39" t="s">
        <v>0</v>
      </c>
      <c r="C4" s="39"/>
      <c r="D4" s="39"/>
      <c r="E4" s="39"/>
      <c r="F4" s="39"/>
      <c r="G4" s="39"/>
      <c r="H4" s="39"/>
      <c r="I4" s="39"/>
      <c r="J4" s="39"/>
      <c r="K4" s="39"/>
      <c r="L4" s="39"/>
      <c r="M4" s="39"/>
      <c r="N4" s="39"/>
      <c r="O4" s="39"/>
      <c r="P4" s="39"/>
      <c r="Q4" s="39"/>
      <c r="R4" s="39"/>
      <c r="S4" s="39"/>
      <c r="T4" s="39"/>
    </row>
    <row r="5" spans="1:27" ht="16.5" thickBot="1">
      <c r="I5" s="1522" t="s">
        <v>979</v>
      </c>
      <c r="J5" s="156" t="s">
        <v>195</v>
      </c>
      <c r="K5" s="157"/>
      <c r="L5" s="157"/>
      <c r="M5" s="157"/>
      <c r="N5" s="157"/>
      <c r="O5" s="157"/>
      <c r="P5" s="157"/>
    </row>
    <row r="6" spans="1:27" ht="16.5" thickBot="1">
      <c r="B6" s="1523" t="s">
        <v>959</v>
      </c>
      <c r="C6" s="1" t="s">
        <v>196</v>
      </c>
      <c r="D6" s="158" t="s">
        <v>960</v>
      </c>
      <c r="E6" s="1" t="s">
        <v>196</v>
      </c>
      <c r="F6" s="158" t="s">
        <v>961</v>
      </c>
      <c r="G6" s="1" t="s">
        <v>196</v>
      </c>
      <c r="H6" s="1523" t="s">
        <v>962</v>
      </c>
      <c r="I6" s="1523" t="s">
        <v>980</v>
      </c>
      <c r="J6" s="155" t="s">
        <v>890</v>
      </c>
      <c r="K6" s="1" t="s">
        <v>196</v>
      </c>
      <c r="L6" s="155" t="s">
        <v>846</v>
      </c>
      <c r="M6" s="1" t="s">
        <v>196</v>
      </c>
      <c r="N6" s="155" t="s">
        <v>812</v>
      </c>
      <c r="O6" s="1" t="s">
        <v>196</v>
      </c>
      <c r="P6" s="155" t="s">
        <v>770</v>
      </c>
    </row>
    <row r="7" spans="1:27">
      <c r="B7" s="3"/>
      <c r="D7" s="3"/>
      <c r="F7" s="3"/>
      <c r="H7" s="3"/>
      <c r="J7" s="53"/>
      <c r="L7" s="53"/>
      <c r="N7" s="53"/>
      <c r="P7" s="3" t="s">
        <v>829</v>
      </c>
    </row>
    <row r="8" spans="1:27">
      <c r="A8" s="11" t="s">
        <v>197</v>
      </c>
    </row>
    <row r="9" spans="1:27">
      <c r="A9" s="11" t="s">
        <v>198</v>
      </c>
      <c r="B9" s="17" t="s">
        <v>0</v>
      </c>
    </row>
    <row r="10" spans="1:27">
      <c r="T10" t="s">
        <v>0</v>
      </c>
    </row>
    <row r="11" spans="1:27">
      <c r="A11" s="11" t="s">
        <v>18</v>
      </c>
    </row>
    <row r="12" spans="1:27">
      <c r="A12" t="s">
        <v>199</v>
      </c>
      <c r="B12" s="378">
        <f>+somfinbilsys!B23</f>
        <v>194800720.1381073</v>
      </c>
      <c r="C12" s="61">
        <v>0</v>
      </c>
      <c r="D12" s="20">
        <f>+somfinbilsys!D23</f>
        <v>0</v>
      </c>
      <c r="E12" s="61">
        <v>0</v>
      </c>
      <c r="F12" s="20">
        <f>+somfinbilsys!F23</f>
        <v>0</v>
      </c>
      <c r="G12" s="61">
        <v>0</v>
      </c>
      <c r="H12" s="20">
        <f>+somfinbilsys!H23</f>
        <v>0</v>
      </c>
      <c r="I12" s="650">
        <f>+(B12-J12)/ABS(J12)</f>
        <v>1.5373903698591631E-3</v>
      </c>
      <c r="J12" s="20">
        <f>+somfinbilsys!J23</f>
        <v>194501695.10513139</v>
      </c>
      <c r="K12" s="650">
        <f>+(-L12+J12)/ABS(L12)</f>
        <v>0.10555024431851653</v>
      </c>
      <c r="L12" s="20">
        <f>+somfinbilsys!L23</f>
        <v>175932026.70316097</v>
      </c>
      <c r="M12" s="650">
        <f>+(-N12+L12)/ABS(N12)</f>
        <v>3.1522379283670909E-2</v>
      </c>
      <c r="N12" s="20">
        <f>+somfinbilsys!N23</f>
        <v>170555705.078677</v>
      </c>
      <c r="O12" s="650">
        <f>+(-P12+N12)/ABS(P12)</f>
        <v>0.10753834844414593</v>
      </c>
      <c r="P12" s="20">
        <f>+somfinbilsys!P23</f>
        <v>153995304.37774116</v>
      </c>
      <c r="Q12" s="48"/>
      <c r="R12" s="48"/>
      <c r="S12" s="48"/>
      <c r="T12" s="48"/>
      <c r="U12" s="48"/>
      <c r="V12" s="48"/>
      <c r="W12" s="48"/>
      <c r="X12" s="48"/>
      <c r="Y12" s="48"/>
      <c r="Z12" s="48"/>
      <c r="AA12" s="48"/>
    </row>
    <row r="13" spans="1:27">
      <c r="A13" t="s">
        <v>200</v>
      </c>
      <c r="B13" s="20">
        <f>+somfinbilsys!B17</f>
        <v>6608224</v>
      </c>
      <c r="C13" s="61">
        <v>0</v>
      </c>
      <c r="D13" s="20">
        <f>+somfinbilsys!D17</f>
        <v>0</v>
      </c>
      <c r="E13" s="61">
        <v>0</v>
      </c>
      <c r="F13" s="20">
        <f>+somfinbilsys!F17</f>
        <v>0</v>
      </c>
      <c r="G13" s="61">
        <v>0</v>
      </c>
      <c r="H13" s="20">
        <f>+somfinbilsys!H17</f>
        <v>0</v>
      </c>
      <c r="I13" s="650">
        <f>+(B13-J13)/ABS(J13)</f>
        <v>0.4657077489350801</v>
      </c>
      <c r="J13" s="20">
        <f>+somfinbilsys!J17</f>
        <v>4508555</v>
      </c>
      <c r="K13" s="650">
        <f>+(-L13+J13)/ABS(L13)</f>
        <v>-0.24162045825178702</v>
      </c>
      <c r="L13" s="20">
        <f>+somfinbilsys!L17</f>
        <v>5944985</v>
      </c>
      <c r="M13" s="650">
        <f>+(-N13+L13)/ABS(N13)</f>
        <v>-5.1754811461859465E-2</v>
      </c>
      <c r="N13" s="20">
        <f>+somfinbilsys!N17</f>
        <v>6269459.7050000001</v>
      </c>
      <c r="O13" s="650">
        <f>+(-P13+N13)/ABS(P13)</f>
        <v>-9.2383910699243132E-3</v>
      </c>
      <c r="P13" s="20">
        <f>+somfinbilsys!P17</f>
        <v>6327919.5</v>
      </c>
      <c r="Q13" s="48"/>
      <c r="R13" s="48"/>
      <c r="S13" s="48"/>
      <c r="T13" s="48"/>
      <c r="U13" s="48"/>
      <c r="V13" s="48"/>
      <c r="W13" s="48"/>
      <c r="X13" s="48"/>
      <c r="Y13" s="48"/>
      <c r="Z13" s="48"/>
      <c r="AA13" s="48"/>
    </row>
    <row r="14" spans="1:27">
      <c r="A14" t="s">
        <v>496</v>
      </c>
      <c r="B14" s="20">
        <f>+somfinbilsys!B20</f>
        <v>69792588.755855486</v>
      </c>
      <c r="C14" s="61">
        <v>0</v>
      </c>
      <c r="D14" s="20">
        <f>+somfinbilsys!D20</f>
        <v>0</v>
      </c>
      <c r="E14" s="61">
        <v>0</v>
      </c>
      <c r="F14" s="20">
        <f>+somfinbilsys!F20</f>
        <v>0</v>
      </c>
      <c r="G14" s="61">
        <v>0</v>
      </c>
      <c r="H14" s="20">
        <f>+somfinbilsys!H20</f>
        <v>0</v>
      </c>
      <c r="I14" s="650">
        <f>+(B14-J14)/ABS(J14)</f>
        <v>2.3678246820488452E-2</v>
      </c>
      <c r="J14" s="20">
        <f>+somfinbilsys!J20</f>
        <v>68178247.386450782</v>
      </c>
      <c r="K14" s="650">
        <f>+(-L14+J14)/ABS(L14)</f>
        <v>9.6713142649391959E-2</v>
      </c>
      <c r="L14" s="20">
        <f>+somfinbilsys!L20</f>
        <v>62165980.086414151</v>
      </c>
      <c r="M14" s="650">
        <f>+(-N14+L14)/ABS(N14)</f>
        <v>0.19872312239453824</v>
      </c>
      <c r="N14" s="20">
        <f>+somfinbilsys!N20</f>
        <v>51860165.975803487</v>
      </c>
      <c r="O14" s="650">
        <f>+(-P14+N14)/ABS(P14)</f>
        <v>0.34014931176481022</v>
      </c>
      <c r="P14" s="20">
        <f>+somfinbilsys!P20</f>
        <v>38697304.487296335</v>
      </c>
      <c r="Q14" s="48"/>
      <c r="R14" s="48"/>
      <c r="S14" s="48"/>
      <c r="T14" s="48"/>
      <c r="U14" s="48"/>
      <c r="V14" s="48"/>
      <c r="W14" s="48"/>
      <c r="X14" s="48"/>
      <c r="Y14" s="48"/>
      <c r="Z14" s="48"/>
      <c r="AA14" s="48"/>
    </row>
    <row r="15" spans="1:27">
      <c r="A15" t="s">
        <v>202</v>
      </c>
      <c r="B15" s="20">
        <f>+somfinbilsys!B30</f>
        <v>158561095.82116175</v>
      </c>
      <c r="C15" s="61">
        <v>0</v>
      </c>
      <c r="D15" s="20">
        <f>+somfinbilsys!D30</f>
        <v>0</v>
      </c>
      <c r="E15" s="61">
        <v>0</v>
      </c>
      <c r="F15" s="20">
        <f>+somfinbilsys!F30</f>
        <v>0</v>
      </c>
      <c r="G15" s="61">
        <v>0</v>
      </c>
      <c r="H15" s="20">
        <f>+somfinbilsys!H30</f>
        <v>0</v>
      </c>
      <c r="I15" s="650">
        <f>+(B15-J15)/ABS(J15)</f>
        <v>6.4232241570112668E-3</v>
      </c>
      <c r="J15" s="20">
        <f>+somfinbilsys!J30</f>
        <v>157549122.49165741</v>
      </c>
      <c r="K15" s="650">
        <f>+(-L15+J15)/ABS(L15)</f>
        <v>8.1726793853273E-2</v>
      </c>
      <c r="L15" s="20">
        <f>+somfinbilsys!L30</f>
        <v>145645946.26564053</v>
      </c>
      <c r="M15" s="650">
        <f>+(-N15+L15)/ABS(N15)</f>
        <v>-8.1187969965967645E-3</v>
      </c>
      <c r="N15" s="20">
        <f>+somfinbilsys!N30</f>
        <v>146838094.94990581</v>
      </c>
      <c r="O15" s="650">
        <f>+(-P15+N15)/ABS(P15)</f>
        <v>8.328426783469621E-2</v>
      </c>
      <c r="P15" s="20">
        <f>+somfinbilsys!P30</f>
        <v>135548996.05752659</v>
      </c>
      <c r="Q15" s="48"/>
      <c r="R15" s="48"/>
      <c r="S15" s="48"/>
      <c r="T15" s="48"/>
      <c r="U15" s="48"/>
      <c r="V15" s="48"/>
      <c r="W15" s="48"/>
      <c r="X15" s="48"/>
      <c r="Y15" s="48"/>
      <c r="Z15" s="48"/>
      <c r="AA15" s="48"/>
    </row>
    <row r="16" spans="1:27">
      <c r="A16" t="s">
        <v>203</v>
      </c>
      <c r="B16" s="20">
        <f>+somfinbilsys!B52</f>
        <v>15511053.53799</v>
      </c>
      <c r="C16" s="61">
        <v>0</v>
      </c>
      <c r="D16" s="20">
        <f>+somfinbilsys!D52</f>
        <v>0</v>
      </c>
      <c r="E16" s="61">
        <v>0</v>
      </c>
      <c r="F16" s="20">
        <f>+somfinbilsys!F52</f>
        <v>0</v>
      </c>
      <c r="G16" s="61">
        <v>0</v>
      </c>
      <c r="H16" s="20">
        <f>+somfinbilsys!H52</f>
        <v>0</v>
      </c>
      <c r="I16" s="650">
        <f>+(B16-J16)/ABS(J16)</f>
        <v>5.1562227312665965E-2</v>
      </c>
      <c r="J16" s="20">
        <f>+somfinbilsys!J52</f>
        <v>14750485.644229997</v>
      </c>
      <c r="K16" s="650">
        <f>+(-L16+J16)/ABS(L16)</f>
        <v>0.12910158856248111</v>
      </c>
      <c r="L16" s="20">
        <f>+somfinbilsys!L52</f>
        <v>13063913.64041</v>
      </c>
      <c r="M16" s="650">
        <f>+(-N16+L16)/ABS(N16)</f>
        <v>0.19663519145270492</v>
      </c>
      <c r="N16" s="20">
        <f>+somfinbilsys!N52</f>
        <v>10917206.625480002</v>
      </c>
      <c r="O16" s="650">
        <f>+(-P16+N16)/ABS(P16)</f>
        <v>0.14864347712083972</v>
      </c>
      <c r="P16" s="20">
        <f>+somfinbilsys!P52</f>
        <v>9504434.4419599995</v>
      </c>
      <c r="Q16" s="48"/>
      <c r="R16" s="48"/>
      <c r="S16" s="48"/>
      <c r="T16" s="48"/>
      <c r="U16" s="48"/>
      <c r="V16" s="48"/>
      <c r="W16" s="48"/>
      <c r="X16" s="48"/>
      <c r="Y16" s="48"/>
      <c r="Z16" s="48"/>
      <c r="AA16" s="48"/>
    </row>
    <row r="17" spans="1:27" ht="10.9" customHeight="1">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row>
    <row r="18" spans="1:27" ht="7.15" customHeight="1" thickBot="1">
      <c r="B18" s="168"/>
      <c r="C18" s="168"/>
      <c r="D18" s="168"/>
      <c r="E18" s="168"/>
      <c r="F18" s="168"/>
      <c r="G18" s="168"/>
      <c r="H18" s="168"/>
      <c r="I18" s="168"/>
      <c r="J18" s="168"/>
      <c r="K18" s="168"/>
      <c r="L18" s="168"/>
      <c r="M18" s="168"/>
      <c r="N18" s="168"/>
      <c r="O18" s="168"/>
      <c r="P18" s="168"/>
      <c r="Q18" s="48"/>
      <c r="R18" s="48"/>
      <c r="S18" s="48"/>
      <c r="T18" s="48"/>
      <c r="U18" s="48"/>
      <c r="V18" s="48"/>
      <c r="W18" s="48"/>
      <c r="X18" s="48"/>
      <c r="Y18" s="48"/>
      <c r="Z18" s="48"/>
      <c r="AA18" s="48"/>
    </row>
    <row r="19" spans="1:27" ht="15.6" customHeight="1">
      <c r="B19" s="188"/>
      <c r="C19" s="188"/>
      <c r="D19" s="188"/>
      <c r="E19" s="188"/>
      <c r="F19" s="188"/>
      <c r="G19" s="188"/>
      <c r="H19" s="188"/>
      <c r="I19" s="188"/>
      <c r="J19" s="188"/>
      <c r="K19" s="188"/>
      <c r="L19" s="188"/>
      <c r="M19" s="188"/>
      <c r="N19" s="188"/>
      <c r="O19" s="188"/>
      <c r="P19" s="188"/>
      <c r="Q19" s="48"/>
      <c r="R19" s="48"/>
      <c r="S19" s="48"/>
      <c r="T19" s="48"/>
      <c r="U19" s="48"/>
      <c r="V19" s="48"/>
      <c r="W19" s="48"/>
      <c r="X19" s="48"/>
      <c r="Y19" s="48"/>
      <c r="Z19" s="48"/>
      <c r="AA19" s="48"/>
    </row>
    <row r="20" spans="1:27">
      <c r="A20" t="s">
        <v>0</v>
      </c>
      <c r="B20" s="56" t="s">
        <v>963</v>
      </c>
      <c r="C20" s="48"/>
      <c r="D20" s="56" t="s">
        <v>890</v>
      </c>
      <c r="E20" s="48"/>
      <c r="F20" s="56" t="s">
        <v>963</v>
      </c>
      <c r="G20" s="48"/>
      <c r="H20" s="56" t="s">
        <v>890</v>
      </c>
      <c r="I20" s="48"/>
      <c r="J20" s="56" t="s">
        <v>963</v>
      </c>
      <c r="K20" s="48"/>
      <c r="L20" s="56" t="s">
        <v>890</v>
      </c>
      <c r="M20" s="48"/>
      <c r="N20" s="56" t="s">
        <v>963</v>
      </c>
      <c r="O20" s="48"/>
      <c r="P20" s="56" t="s">
        <v>890</v>
      </c>
      <c r="Q20" s="48"/>
      <c r="R20" s="56" t="s">
        <v>963</v>
      </c>
      <c r="S20" s="48"/>
      <c r="T20" s="56" t="s">
        <v>890</v>
      </c>
      <c r="U20" s="48"/>
      <c r="V20" s="48"/>
      <c r="W20" s="48"/>
      <c r="X20" s="48"/>
      <c r="Y20" s="48"/>
      <c r="Z20" s="48"/>
      <c r="AA20" s="48"/>
    </row>
    <row r="21" spans="1:27">
      <c r="B21" s="55" t="s">
        <v>204</v>
      </c>
      <c r="C21" s="55" t="s">
        <v>196</v>
      </c>
      <c r="D21" s="55" t="s">
        <v>204</v>
      </c>
      <c r="E21" s="48"/>
      <c r="F21" s="55" t="s">
        <v>205</v>
      </c>
      <c r="G21" s="55" t="s">
        <v>196</v>
      </c>
      <c r="H21" s="55" t="s">
        <v>205</v>
      </c>
      <c r="I21" s="48"/>
      <c r="J21" s="55" t="s">
        <v>206</v>
      </c>
      <c r="K21" s="161" t="s">
        <v>196</v>
      </c>
      <c r="L21" s="55" t="s">
        <v>206</v>
      </c>
      <c r="M21" s="48"/>
      <c r="N21" s="55" t="s">
        <v>207</v>
      </c>
      <c r="O21" s="55" t="s">
        <v>196</v>
      </c>
      <c r="P21" s="55" t="s">
        <v>207</v>
      </c>
      <c r="Q21" s="48"/>
      <c r="R21" s="55" t="s">
        <v>208</v>
      </c>
      <c r="S21" s="55" t="s">
        <v>196</v>
      </c>
      <c r="T21" s="55" t="s">
        <v>208</v>
      </c>
      <c r="U21" s="48"/>
      <c r="V21" s="48"/>
      <c r="W21" s="48"/>
      <c r="X21" s="48"/>
      <c r="Y21" s="48"/>
      <c r="Z21" s="48"/>
      <c r="AA21" s="48"/>
    </row>
    <row r="22" spans="1:27" ht="21" thickBot="1">
      <c r="B22" s="160" t="s">
        <v>964</v>
      </c>
      <c r="C22" s="159"/>
      <c r="D22" s="160" t="s">
        <v>894</v>
      </c>
      <c r="E22" s="48"/>
      <c r="F22" s="160" t="s">
        <v>965</v>
      </c>
      <c r="G22" s="159"/>
      <c r="H22" s="160" t="s">
        <v>893</v>
      </c>
      <c r="I22" s="48"/>
      <c r="J22" s="160" t="s">
        <v>966</v>
      </c>
      <c r="K22" s="160"/>
      <c r="L22" s="160" t="s">
        <v>892</v>
      </c>
      <c r="M22" s="48"/>
      <c r="N22" s="160" t="s">
        <v>967</v>
      </c>
      <c r="O22" s="159"/>
      <c r="P22" s="160" t="s">
        <v>891</v>
      </c>
      <c r="Q22" s="48"/>
      <c r="R22" s="292" t="s">
        <v>964</v>
      </c>
      <c r="S22" s="159"/>
      <c r="T22" s="292" t="s">
        <v>894</v>
      </c>
      <c r="U22" s="48"/>
      <c r="V22" s="48"/>
      <c r="W22" s="48"/>
      <c r="X22" s="48"/>
      <c r="Y22" s="48"/>
      <c r="Z22" s="48"/>
      <c r="AA22" s="48"/>
    </row>
    <row r="23" spans="1:27">
      <c r="A23" s="11" t="s">
        <v>22</v>
      </c>
      <c r="B23" s="48"/>
      <c r="C23" s="48"/>
      <c r="D23" s="48"/>
      <c r="E23" s="48"/>
      <c r="F23" s="48"/>
      <c r="G23" s="48"/>
      <c r="H23" s="48"/>
      <c r="I23" s="48"/>
      <c r="J23" s="48"/>
      <c r="K23" s="48"/>
      <c r="L23" s="48"/>
      <c r="M23" s="48"/>
      <c r="N23" s="48"/>
      <c r="O23" s="48"/>
      <c r="P23" s="48"/>
      <c r="Q23" s="48"/>
      <c r="R23" s="48"/>
      <c r="S23" s="52" t="s">
        <v>0</v>
      </c>
      <c r="T23" s="48"/>
      <c r="U23" s="48"/>
      <c r="V23" s="48"/>
      <c r="W23" s="48"/>
      <c r="X23" s="48"/>
      <c r="Y23" s="48"/>
      <c r="Z23" s="48"/>
      <c r="AA23" s="48"/>
    </row>
    <row r="24" spans="1:27">
      <c r="A24" t="s">
        <v>209</v>
      </c>
      <c r="B24" s="20">
        <f>+somfinrésys!B55</f>
        <v>1543948.788235432</v>
      </c>
      <c r="C24" s="650">
        <f>+(-D24+B24)/ABS(D24)</f>
        <v>0.19261226771326667</v>
      </c>
      <c r="D24" s="20">
        <f>+somfinrésys!D55</f>
        <v>1294594.0856333999</v>
      </c>
      <c r="E24" s="48"/>
      <c r="F24" s="20">
        <f>+somfinrésys!F55</f>
        <v>0</v>
      </c>
      <c r="G24" s="61">
        <v>0</v>
      </c>
      <c r="H24" s="20">
        <f>+somfinrésys!H55</f>
        <v>1257049.0264760759</v>
      </c>
      <c r="I24" s="48"/>
      <c r="J24" s="20">
        <f>+somfinrésys!J55</f>
        <v>0</v>
      </c>
      <c r="K24" s="61">
        <v>0</v>
      </c>
      <c r="L24" s="20">
        <f>+somfinrésys!L55</f>
        <v>1414378.9335968923</v>
      </c>
      <c r="M24" s="48"/>
      <c r="N24" s="20">
        <f>+somfinrésys!N55</f>
        <v>0</v>
      </c>
      <c r="O24" s="61">
        <v>0</v>
      </c>
      <c r="P24" s="20">
        <f>+somfinrésys!P55</f>
        <v>1438729.385944061</v>
      </c>
      <c r="Q24" s="48"/>
      <c r="R24" s="20">
        <f>+somfinrésys!R55</f>
        <v>1543948.788235432</v>
      </c>
      <c r="S24" s="650">
        <f>+(-T24+R24)/T24</f>
        <v>0.19261226771326667</v>
      </c>
      <c r="T24" s="20">
        <f>+somfinrésys!T55</f>
        <v>1294594.0856333999</v>
      </c>
      <c r="U24" s="48"/>
      <c r="V24" s="48"/>
      <c r="W24" s="48"/>
      <c r="X24" s="48"/>
      <c r="Y24" s="48"/>
      <c r="Z24" s="48"/>
      <c r="AA24" s="48"/>
    </row>
    <row r="25" spans="1:27">
      <c r="A25" t="s">
        <v>210</v>
      </c>
      <c r="B25" s="20">
        <f>+somfinrésys!B61</f>
        <v>1266335.81712</v>
      </c>
      <c r="C25" s="650">
        <f>+(-D25+B25)/ABS(D25)</f>
        <v>0.15941239199942578</v>
      </c>
      <c r="D25" s="20">
        <f>+somfinrésys!D61</f>
        <v>1092222.0823741439</v>
      </c>
      <c r="E25" s="48"/>
      <c r="F25" s="20">
        <f>+somfinrésys!F61</f>
        <v>0</v>
      </c>
      <c r="G25" s="61">
        <v>0</v>
      </c>
      <c r="H25" s="20">
        <f>+somfinrésys!H61</f>
        <v>1280507.1813258561</v>
      </c>
      <c r="I25" s="48"/>
      <c r="J25" s="20">
        <f>+somfinrésys!J61</f>
        <v>0</v>
      </c>
      <c r="K25" s="61">
        <v>0</v>
      </c>
      <c r="L25" s="20">
        <f>+somfinrésys!L61</f>
        <v>1489120.7060749619</v>
      </c>
      <c r="M25" s="48"/>
      <c r="N25" s="20">
        <f>+somfinrésys!N61</f>
        <v>0</v>
      </c>
      <c r="O25" s="61">
        <v>0</v>
      </c>
      <c r="P25" s="20">
        <f>+somfinrésys!P61</f>
        <v>1562770.3592032981</v>
      </c>
      <c r="Q25" s="48"/>
      <c r="R25" s="20">
        <f>+somfinrésys!R61</f>
        <v>1266335.81712</v>
      </c>
      <c r="S25" s="650">
        <f>+(-T25+R25)/T25</f>
        <v>0.15941239199942578</v>
      </c>
      <c r="T25" s="20">
        <f>+somfinrésys!T61</f>
        <v>1092222.0823741439</v>
      </c>
      <c r="U25" s="48"/>
      <c r="V25" s="48"/>
      <c r="W25" s="48"/>
      <c r="X25" s="48"/>
      <c r="Y25" s="48"/>
      <c r="Z25" s="48"/>
      <c r="AA25" s="48"/>
    </row>
    <row r="26" spans="1:27">
      <c r="A26" t="s">
        <v>642</v>
      </c>
      <c r="B26" s="20">
        <f>+somfinrésys!B65</f>
        <v>144566.41715000002</v>
      </c>
      <c r="C26" s="650">
        <f>+(-D26+B26)/ABS(D26)</f>
        <v>0.20281389629027879</v>
      </c>
      <c r="D26" s="20">
        <f>+somfinrésys!D65</f>
        <v>120190.17871000001</v>
      </c>
      <c r="E26" s="48"/>
      <c r="F26" s="20">
        <f>+somfinrésys!F65</f>
        <v>0</v>
      </c>
      <c r="G26" s="61">
        <v>0</v>
      </c>
      <c r="H26" s="20">
        <f>+somfinrésys!H65</f>
        <v>167255.62315</v>
      </c>
      <c r="I26" s="48"/>
      <c r="J26" s="20">
        <f>+somfinrésys!J65</f>
        <v>0</v>
      </c>
      <c r="K26" s="61">
        <v>0</v>
      </c>
      <c r="L26" s="20">
        <f>+somfinrésys!L65</f>
        <v>151939.96359000003</v>
      </c>
      <c r="M26" s="48"/>
      <c r="N26" s="20">
        <f>+somfinrésys!N65</f>
        <v>0</v>
      </c>
      <c r="O26" s="61">
        <v>0</v>
      </c>
      <c r="P26" s="20">
        <f>+somfinrésys!P65</f>
        <v>200908.83707000001</v>
      </c>
      <c r="Q26" s="48"/>
      <c r="R26" s="20">
        <f>+somfinrésys!R65</f>
        <v>144566.41715000002</v>
      </c>
      <c r="S26" s="650">
        <f>+(-T26+R26)/T26</f>
        <v>0.20281389629027879</v>
      </c>
      <c r="T26" s="20">
        <f>+somfinrésys!T65</f>
        <v>120190.17871000001</v>
      </c>
      <c r="U26" s="48"/>
      <c r="V26" s="48"/>
      <c r="W26" s="48"/>
      <c r="X26" s="48"/>
      <c r="Y26" s="48"/>
      <c r="Z26" s="48"/>
      <c r="AA26" s="48"/>
    </row>
    <row r="27" spans="1:27">
      <c r="A27" t="s">
        <v>212</v>
      </c>
      <c r="B27" s="20">
        <f>+somfinrésys!B75</f>
        <v>1800367.1200799998</v>
      </c>
      <c r="C27" s="650">
        <f>+(-D27+B27)/ABS(D27)</f>
        <v>0.12630613855963618</v>
      </c>
      <c r="D27" s="20">
        <f>+somfinrésys!D75</f>
        <v>1598470.4854600001</v>
      </c>
      <c r="E27" s="48"/>
      <c r="F27" s="20">
        <f>+somfinrésys!F75</f>
        <v>0</v>
      </c>
      <c r="G27" s="61">
        <v>0</v>
      </c>
      <c r="H27" s="20">
        <f>+somfinrésys!H75</f>
        <v>1672456.2035849795</v>
      </c>
      <c r="I27" s="48"/>
      <c r="J27" s="20">
        <f>+somfinrésys!J75</f>
        <v>0</v>
      </c>
      <c r="K27" s="61">
        <v>0</v>
      </c>
      <c r="L27" s="20">
        <f>+somfinrésys!L75</f>
        <v>1737981.8244971638</v>
      </c>
      <c r="M27" s="48"/>
      <c r="N27" s="20">
        <f>+somfinrésys!N75</f>
        <v>0</v>
      </c>
      <c r="O27" s="61">
        <v>0</v>
      </c>
      <c r="P27" s="20">
        <f>+somfinrésys!P75</f>
        <v>1968355.388687857</v>
      </c>
      <c r="Q27" s="48"/>
      <c r="R27" s="20">
        <f>+somfinrésys!R75</f>
        <v>1800367.1200799998</v>
      </c>
      <c r="S27" s="650">
        <f>+(-T27+R27)/T27</f>
        <v>0.12630613855963618</v>
      </c>
      <c r="T27" s="20">
        <f>+somfinrésys!T75</f>
        <v>1598470.4854600001</v>
      </c>
      <c r="U27" s="48"/>
      <c r="V27" s="48"/>
      <c r="W27" s="48"/>
      <c r="X27" s="48"/>
      <c r="Y27" s="48"/>
      <c r="Z27" s="48"/>
      <c r="AA27" s="48"/>
    </row>
    <row r="28" spans="1:27">
      <c r="A28" t="s">
        <v>213</v>
      </c>
      <c r="B28" s="20">
        <f>+somfinrésys!B81</f>
        <v>752527.0744754324</v>
      </c>
      <c r="C28" s="650">
        <f>+(-D28+B28)/ABS(D28)</f>
        <v>0.28948319521347615</v>
      </c>
      <c r="D28" s="20">
        <f>+somfinrésys!D81</f>
        <v>583588.12062754354</v>
      </c>
      <c r="E28" s="48"/>
      <c r="F28" s="20">
        <f>+somfinrésys!F81</f>
        <v>0</v>
      </c>
      <c r="G28" s="61">
        <v>0</v>
      </c>
      <c r="H28" s="20">
        <f>+somfinrésys!H81</f>
        <v>642432.59376695263</v>
      </c>
      <c r="I28" s="48"/>
      <c r="J28" s="20">
        <f>+somfinrésys!J81</f>
        <v>0</v>
      </c>
      <c r="K28" s="61">
        <v>0</v>
      </c>
      <c r="L28" s="20">
        <f>+somfinrésys!L81</f>
        <v>882822.37421469064</v>
      </c>
      <c r="M28" s="48"/>
      <c r="N28" s="20">
        <f>+somfinrésys!N81</f>
        <v>0</v>
      </c>
      <c r="O28" s="61">
        <v>0</v>
      </c>
      <c r="P28" s="20">
        <f>+somfinrésys!P81</f>
        <v>743188.68030950218</v>
      </c>
      <c r="Q28" s="48"/>
      <c r="R28" s="20">
        <f>+somfinrésys!R81</f>
        <v>752527.0744754324</v>
      </c>
      <c r="S28" s="650">
        <f>+(-T28+R28)/T28</f>
        <v>0.28948319521347615</v>
      </c>
      <c r="T28" s="20">
        <f>+somfinrésys!T81</f>
        <v>583588.12062754354</v>
      </c>
      <c r="U28" s="48"/>
      <c r="V28" s="48"/>
      <c r="W28" s="48"/>
      <c r="X28" s="48"/>
      <c r="Y28" s="48"/>
      <c r="Z28" s="48"/>
      <c r="AA28" s="48"/>
    </row>
    <row r="29" spans="1:27" ht="10.15" customHeight="1">
      <c r="B29" s="188"/>
      <c r="C29" s="188"/>
      <c r="D29" s="188"/>
      <c r="E29" s="188"/>
      <c r="F29" s="188"/>
      <c r="G29" s="188"/>
      <c r="H29" s="188"/>
      <c r="I29" s="188"/>
      <c r="J29" s="188"/>
      <c r="K29" s="188"/>
      <c r="L29" s="188"/>
      <c r="M29" s="188"/>
      <c r="N29" s="188"/>
      <c r="O29" s="188"/>
      <c r="P29" s="188"/>
      <c r="Q29" s="188"/>
      <c r="R29" s="188"/>
      <c r="S29" s="188"/>
      <c r="T29" s="188"/>
      <c r="U29" s="48"/>
      <c r="V29" s="48"/>
      <c r="W29" s="48"/>
      <c r="X29" s="48"/>
      <c r="Y29" s="48"/>
      <c r="Z29" s="48"/>
      <c r="AA29" s="48"/>
    </row>
    <row r="30" spans="1:27" ht="8.4499999999999993" customHeight="1" thickBot="1">
      <c r="B30" s="168"/>
      <c r="C30" s="168"/>
      <c r="D30" s="168"/>
      <c r="E30" s="168"/>
      <c r="F30" s="168"/>
      <c r="G30" s="168"/>
      <c r="H30" s="168"/>
      <c r="I30" s="168"/>
      <c r="J30" s="168"/>
      <c r="K30" s="168"/>
      <c r="L30" s="168"/>
      <c r="M30" s="168"/>
      <c r="N30" s="168"/>
      <c r="O30" s="168"/>
      <c r="P30" s="168"/>
      <c r="Q30" s="168"/>
      <c r="R30" s="168"/>
      <c r="S30" s="168"/>
      <c r="T30" s="168"/>
      <c r="U30" s="48"/>
      <c r="V30" s="48"/>
      <c r="W30" s="48"/>
      <c r="X30" s="48"/>
      <c r="Y30" s="48"/>
      <c r="Z30" s="48"/>
      <c r="AA30" s="48"/>
    </row>
    <row r="31" spans="1:27" ht="9.6" customHeight="1">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ht="15.6" customHeight="1">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row>
    <row r="33" spans="1:27">
      <c r="B33" s="56" t="s">
        <v>963</v>
      </c>
      <c r="C33" s="56" t="s">
        <v>890</v>
      </c>
      <c r="D33" s="48"/>
      <c r="E33" s="56" t="s">
        <v>963</v>
      </c>
      <c r="F33" s="56" t="s">
        <v>890</v>
      </c>
      <c r="G33" s="48"/>
      <c r="H33" s="56" t="s">
        <v>963</v>
      </c>
      <c r="I33" s="56" t="s">
        <v>890</v>
      </c>
      <c r="J33" s="48"/>
      <c r="K33" s="56" t="s">
        <v>963</v>
      </c>
      <c r="L33" s="56" t="s">
        <v>890</v>
      </c>
      <c r="M33" s="48"/>
      <c r="N33" s="56" t="s">
        <v>963</v>
      </c>
      <c r="O33" s="56" t="s">
        <v>890</v>
      </c>
      <c r="P33" s="48"/>
      <c r="U33" s="48"/>
      <c r="V33" s="48"/>
      <c r="W33" s="48"/>
      <c r="X33" s="48"/>
      <c r="Y33" s="48"/>
      <c r="Z33" s="48"/>
      <c r="AA33" s="48"/>
    </row>
    <row r="34" spans="1:27" ht="16.5" thickBot="1">
      <c r="B34" s="55" t="s">
        <v>204</v>
      </c>
      <c r="C34" s="55" t="s">
        <v>204</v>
      </c>
      <c r="D34" s="48"/>
      <c r="E34" s="55" t="s">
        <v>205</v>
      </c>
      <c r="F34" s="55" t="s">
        <v>205</v>
      </c>
      <c r="G34" s="48"/>
      <c r="H34" s="55" t="s">
        <v>206</v>
      </c>
      <c r="I34" s="55" t="s">
        <v>206</v>
      </c>
      <c r="J34" s="48"/>
      <c r="K34" s="55" t="s">
        <v>207</v>
      </c>
      <c r="L34" s="55" t="s">
        <v>207</v>
      </c>
      <c r="M34" s="48"/>
      <c r="N34" s="55" t="s">
        <v>208</v>
      </c>
      <c r="O34" s="55" t="s">
        <v>208</v>
      </c>
      <c r="P34" s="48"/>
      <c r="Q34" s="111" t="s">
        <v>214</v>
      </c>
      <c r="R34" s="111"/>
      <c r="S34" s="111"/>
      <c r="T34" s="111"/>
      <c r="U34" s="48"/>
      <c r="V34" s="48"/>
      <c r="W34" s="48"/>
      <c r="X34" s="48"/>
      <c r="Y34" s="48"/>
      <c r="Z34" s="48"/>
      <c r="AA34" s="48"/>
    </row>
    <row r="35" spans="1:27" ht="16.5" thickBot="1">
      <c r="B35" s="162" t="s">
        <v>964</v>
      </c>
      <c r="C35" s="162" t="s">
        <v>894</v>
      </c>
      <c r="D35" s="48"/>
      <c r="E35" s="162" t="s">
        <v>965</v>
      </c>
      <c r="F35" s="162" t="s">
        <v>893</v>
      </c>
      <c r="G35" s="48"/>
      <c r="H35" s="162" t="s">
        <v>966</v>
      </c>
      <c r="I35" s="162" t="s">
        <v>892</v>
      </c>
      <c r="J35" s="48"/>
      <c r="K35" s="162" t="s">
        <v>967</v>
      </c>
      <c r="L35" s="162" t="s">
        <v>891</v>
      </c>
      <c r="M35" s="48"/>
      <c r="N35" s="162" t="str">
        <f>+R22</f>
        <v>(oct. - déc. 14)</v>
      </c>
      <c r="O35" s="162" t="str">
        <f>+T22</f>
        <v>(oct. - déc. 13)</v>
      </c>
      <c r="P35" s="48"/>
      <c r="Q35" s="163" t="s">
        <v>890</v>
      </c>
      <c r="R35" s="163" t="s">
        <v>846</v>
      </c>
      <c r="S35" s="163" t="s">
        <v>812</v>
      </c>
      <c r="T35" s="163" t="s">
        <v>770</v>
      </c>
      <c r="U35" s="48"/>
      <c r="V35" s="48"/>
      <c r="W35" s="48"/>
      <c r="X35" s="48"/>
      <c r="Y35" s="48"/>
      <c r="Z35" s="48"/>
      <c r="AA35" s="48"/>
    </row>
    <row r="36" spans="1:27">
      <c r="A36" s="11" t="s">
        <v>215</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65" t="s">
        <v>216</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65" t="s">
        <v>217</v>
      </c>
      <c r="B38" s="48"/>
      <c r="C38" s="48"/>
      <c r="D38" s="139"/>
      <c r="E38" s="139"/>
      <c r="F38" s="139"/>
      <c r="G38" s="139"/>
      <c r="H38" s="139"/>
      <c r="I38" s="139"/>
      <c r="J38" s="139"/>
      <c r="K38" s="139"/>
      <c r="L38" s="139"/>
      <c r="M38" s="139"/>
      <c r="N38" s="139"/>
      <c r="O38" s="139"/>
      <c r="P38" s="139"/>
      <c r="Q38" s="139"/>
      <c r="R38" s="139"/>
      <c r="S38" s="139"/>
      <c r="T38" s="139"/>
      <c r="U38" s="48"/>
      <c r="V38" s="48"/>
      <c r="W38" s="48"/>
      <c r="X38" s="48"/>
      <c r="Y38" s="48"/>
      <c r="Z38" s="48"/>
      <c r="AA38" s="48"/>
    </row>
    <row r="39" spans="1:27">
      <c r="A39" s="167"/>
      <c r="B39" s="48"/>
      <c r="C39" s="48"/>
      <c r="D39" s="139"/>
      <c r="E39" s="139"/>
      <c r="F39" s="139"/>
      <c r="G39" s="139"/>
      <c r="H39" s="139"/>
      <c r="I39" s="139"/>
      <c r="J39" s="139"/>
      <c r="K39" s="139"/>
      <c r="L39" s="139"/>
      <c r="M39" s="139"/>
      <c r="N39" s="139"/>
      <c r="O39" s="139"/>
      <c r="P39" s="139"/>
      <c r="Q39" s="139"/>
      <c r="R39" s="139"/>
      <c r="S39" s="139"/>
      <c r="T39" s="139"/>
      <c r="U39" s="48"/>
      <c r="V39" s="48"/>
      <c r="W39" s="48"/>
      <c r="X39" s="48"/>
      <c r="Y39" s="48"/>
      <c r="Z39" s="48"/>
      <c r="AA39" s="48"/>
    </row>
    <row r="40" spans="1:27">
      <c r="A40" s="11" t="s">
        <v>218</v>
      </c>
      <c r="B40" s="48"/>
      <c r="C40" s="48"/>
      <c r="D40" s="139"/>
      <c r="E40" s="139"/>
      <c r="F40" s="139"/>
      <c r="G40" s="139"/>
      <c r="H40" s="139"/>
      <c r="I40" s="139"/>
      <c r="J40" s="139"/>
      <c r="K40" s="139"/>
      <c r="L40" s="139"/>
      <c r="M40" s="139"/>
      <c r="N40" s="139"/>
      <c r="O40" s="139"/>
      <c r="P40" s="139"/>
      <c r="Q40" s="139"/>
      <c r="R40" s="139"/>
      <c r="S40" s="139"/>
      <c r="T40" s="139"/>
      <c r="U40" s="48"/>
      <c r="V40" s="48"/>
      <c r="W40" s="48"/>
      <c r="X40" s="48"/>
      <c r="Y40" s="48"/>
      <c r="Z40" s="48"/>
      <c r="AA40" s="48"/>
    </row>
    <row r="41" spans="1:27" ht="8.4499999999999993" customHeight="1">
      <c r="A41" s="11"/>
      <c r="B41" s="48"/>
      <c r="C41" s="48"/>
      <c r="D41" s="139"/>
      <c r="E41" s="139"/>
      <c r="F41" s="139"/>
      <c r="G41" s="139"/>
      <c r="H41" s="139"/>
      <c r="I41" s="139"/>
      <c r="J41" s="139"/>
      <c r="K41" s="139"/>
      <c r="L41" s="139"/>
      <c r="M41" s="139"/>
      <c r="N41" s="139"/>
      <c r="O41" s="139"/>
      <c r="P41" s="139"/>
      <c r="Q41" s="139"/>
      <c r="R41" s="139"/>
      <c r="S41" s="139"/>
      <c r="T41" s="139"/>
      <c r="U41" s="48"/>
      <c r="V41" s="48"/>
      <c r="W41" s="48"/>
      <c r="X41" s="48"/>
      <c r="Y41" s="48"/>
      <c r="Z41" s="48"/>
      <c r="AA41" s="48"/>
    </row>
    <row r="42" spans="1:27">
      <c r="A42" t="s">
        <v>219</v>
      </c>
      <c r="B42" s="61"/>
      <c r="C42" s="61"/>
      <c r="D42" s="63"/>
      <c r="E42" s="63"/>
      <c r="F42" s="63"/>
      <c r="G42" s="63"/>
      <c r="H42" s="63"/>
      <c r="I42" s="63"/>
      <c r="J42" s="63"/>
      <c r="K42" s="63"/>
      <c r="M42" s="63"/>
      <c r="N42" s="63"/>
      <c r="O42" s="63"/>
      <c r="P42" s="63"/>
      <c r="Q42" s="63"/>
      <c r="R42" s="63"/>
      <c r="S42" s="63"/>
      <c r="T42" s="63"/>
      <c r="U42" s="48"/>
      <c r="V42" s="48"/>
      <c r="W42" s="48"/>
      <c r="X42" s="48"/>
      <c r="Y42" s="48"/>
      <c r="Z42" s="48"/>
      <c r="AA42" s="48"/>
    </row>
    <row r="43" spans="1:27">
      <c r="A43" t="s">
        <v>220</v>
      </c>
      <c r="B43" s="62">
        <f>+somfinbilsys!B52/somfinbilsys!B23</f>
        <v>7.9625237150012448E-2</v>
      </c>
      <c r="C43" s="62">
        <v>7.8200000000000006E-2</v>
      </c>
      <c r="D43" s="63"/>
      <c r="E43" s="321">
        <v>0</v>
      </c>
      <c r="F43" s="62">
        <v>7.7004350496632387E-2</v>
      </c>
      <c r="G43" s="63"/>
      <c r="H43" s="321">
        <v>0</v>
      </c>
      <c r="I43" s="62">
        <v>7.6357407543325873E-2</v>
      </c>
      <c r="J43" s="63"/>
      <c r="K43" s="321">
        <v>0</v>
      </c>
      <c r="L43" s="63">
        <v>7.5800000000000006E-2</v>
      </c>
      <c r="M43" s="63"/>
      <c r="N43" s="63">
        <f>+B43</f>
        <v>7.9625237150012448E-2</v>
      </c>
      <c r="O43" s="63">
        <f>C43</f>
        <v>7.8200000000000006E-2</v>
      </c>
      <c r="P43" s="63"/>
      <c r="Q43" s="1027">
        <v>7.5800000000000006E-2</v>
      </c>
      <c r="R43" s="1027">
        <v>7.4255460391256217E-2</v>
      </c>
      <c r="S43" s="1027">
        <v>6.4000000000000001E-2</v>
      </c>
      <c r="T43" s="1027">
        <v>6.1718988642966655E-2</v>
      </c>
      <c r="U43" s="48"/>
      <c r="V43" s="48"/>
      <c r="W43" s="48"/>
      <c r="X43" s="48"/>
      <c r="Y43" s="48"/>
      <c r="Z43" s="48"/>
      <c r="AA43" s="48"/>
    </row>
    <row r="44" spans="1:27" ht="8.4499999999999993" customHeight="1">
      <c r="B44" s="62"/>
      <c r="C44" s="62"/>
      <c r="D44" s="63"/>
      <c r="E44" s="62"/>
      <c r="F44" s="321"/>
      <c r="G44" s="63"/>
      <c r="H44" s="321"/>
      <c r="I44" s="62"/>
      <c r="J44" s="63"/>
      <c r="K44" s="321"/>
      <c r="L44" s="63"/>
      <c r="M44" s="63"/>
      <c r="N44" s="62" t="s">
        <v>0</v>
      </c>
      <c r="O44" s="60" t="s">
        <v>0</v>
      </c>
      <c r="P44" s="63"/>
      <c r="Q44" s="1027" t="s">
        <v>0</v>
      </c>
      <c r="R44" s="1027" t="s">
        <v>0</v>
      </c>
      <c r="S44" s="1027" t="s">
        <v>0</v>
      </c>
      <c r="T44" s="1027" t="s">
        <v>0</v>
      </c>
      <c r="U44" s="48"/>
      <c r="V44" s="48"/>
      <c r="W44" s="48"/>
      <c r="X44" s="48"/>
      <c r="Y44" s="48"/>
      <c r="Z44" s="48"/>
      <c r="AA44" s="48"/>
    </row>
    <row r="45" spans="1:27">
      <c r="A45" t="s">
        <v>221</v>
      </c>
      <c r="B45" s="62">
        <f>+somfinbilsys!B30/somfinbilsys!B23</f>
        <v>0.81396565530531484</v>
      </c>
      <c r="C45" s="63">
        <v>0.82499999999999996</v>
      </c>
      <c r="D45" s="63"/>
      <c r="E45" s="321">
        <v>0</v>
      </c>
      <c r="F45" s="62">
        <v>0.83253310645518452</v>
      </c>
      <c r="G45" s="63"/>
      <c r="H45" s="321">
        <v>0</v>
      </c>
      <c r="I45" s="62">
        <v>0.82270654188237591</v>
      </c>
      <c r="J45" s="63"/>
      <c r="K45" s="321">
        <v>0</v>
      </c>
      <c r="L45" s="63">
        <v>0.8100141358999442</v>
      </c>
      <c r="M45" s="63"/>
      <c r="N45" s="63">
        <f>+B45</f>
        <v>0.81396565530531484</v>
      </c>
      <c r="O45" s="63">
        <f>C45</f>
        <v>0.82499999999999996</v>
      </c>
      <c r="P45" s="63"/>
      <c r="Q45" s="1027">
        <v>0.81</v>
      </c>
      <c r="R45" s="1027">
        <v>0.82785351248968309</v>
      </c>
      <c r="S45" s="1027">
        <v>0.8609</v>
      </c>
      <c r="T45" s="1027">
        <v>0.88021512477440944</v>
      </c>
      <c r="U45" s="48"/>
      <c r="V45" s="48"/>
      <c r="W45" s="48"/>
      <c r="X45" s="48"/>
      <c r="Y45" s="48"/>
      <c r="Z45" s="48"/>
      <c r="AA45" s="48"/>
    </row>
    <row r="46" spans="1:27">
      <c r="A46" t="s">
        <v>0</v>
      </c>
      <c r="B46" s="61"/>
      <c r="C46" s="61"/>
      <c r="D46" s="63"/>
      <c r="E46" s="61"/>
      <c r="F46" s="61"/>
      <c r="G46" s="63"/>
      <c r="H46" s="61"/>
      <c r="I46" s="63"/>
      <c r="J46" s="63"/>
      <c r="K46" s="61"/>
      <c r="L46" s="63"/>
      <c r="M46" s="63"/>
      <c r="N46" s="62" t="s">
        <v>0</v>
      </c>
      <c r="O46" s="63"/>
      <c r="P46" s="63"/>
      <c r="Q46" s="1027" t="s">
        <v>0</v>
      </c>
      <c r="R46" s="1027" t="s">
        <v>0</v>
      </c>
      <c r="S46" s="1027" t="s">
        <v>0</v>
      </c>
      <c r="T46" s="1027" t="s">
        <v>0</v>
      </c>
      <c r="U46" s="48"/>
      <c r="V46" s="48"/>
      <c r="W46" s="48"/>
      <c r="X46" s="48"/>
      <c r="Y46" s="48"/>
      <c r="Z46" s="48"/>
      <c r="AA46" s="48"/>
    </row>
    <row r="47" spans="1:27">
      <c r="A47" s="11" t="s">
        <v>222</v>
      </c>
      <c r="B47" s="61"/>
      <c r="C47" s="61"/>
      <c r="D47" s="63"/>
      <c r="E47" s="61"/>
      <c r="F47" s="61"/>
      <c r="G47" s="63"/>
      <c r="H47" s="61"/>
      <c r="I47" s="63"/>
      <c r="J47" s="63"/>
      <c r="K47" s="61"/>
      <c r="L47" s="63"/>
      <c r="M47" s="63"/>
      <c r="N47" s="63"/>
      <c r="O47" s="63"/>
      <c r="P47" s="63"/>
      <c r="Q47" s="1027"/>
      <c r="R47" s="1027"/>
      <c r="S47" s="1027"/>
      <c r="T47" s="1027"/>
      <c r="U47" s="48"/>
      <c r="V47" s="48"/>
      <c r="W47" s="48"/>
      <c r="X47" s="48"/>
      <c r="Y47" s="48"/>
      <c r="Z47" s="48"/>
      <c r="AA47" s="48"/>
    </row>
    <row r="48" spans="1:27" ht="8.4499999999999993" customHeight="1">
      <c r="A48" s="11"/>
      <c r="B48" s="61"/>
      <c r="C48" s="61"/>
      <c r="D48" s="63"/>
      <c r="E48" s="61"/>
      <c r="F48" s="61"/>
      <c r="G48" s="63"/>
      <c r="H48" s="61"/>
      <c r="I48" s="63"/>
      <c r="J48" s="63"/>
      <c r="K48" s="61"/>
      <c r="L48" s="63"/>
      <c r="M48" s="63"/>
      <c r="N48" s="63"/>
      <c r="O48" s="63"/>
      <c r="P48" s="63"/>
      <c r="Q48" s="1027"/>
      <c r="R48" s="1027"/>
      <c r="S48" s="1027"/>
      <c r="T48" s="1027"/>
      <c r="U48" s="48"/>
      <c r="V48" s="48"/>
      <c r="W48" s="48"/>
      <c r="X48" s="48"/>
      <c r="Y48" s="48"/>
      <c r="Z48" s="48"/>
      <c r="AA48" s="48"/>
    </row>
    <row r="49" spans="1:27">
      <c r="A49" t="s">
        <v>223</v>
      </c>
      <c r="B49" s="61"/>
      <c r="C49" s="61"/>
      <c r="D49" s="63"/>
      <c r="E49" s="61"/>
      <c r="F49" s="61"/>
      <c r="G49" s="63"/>
      <c r="H49" s="61"/>
      <c r="I49" s="63"/>
      <c r="J49" s="63"/>
      <c r="K49" s="61"/>
      <c r="L49" s="63"/>
      <c r="M49" s="63"/>
      <c r="N49" s="63"/>
      <c r="O49" s="63"/>
      <c r="P49" s="63"/>
      <c r="Q49" s="1027"/>
      <c r="R49" s="1027"/>
      <c r="S49" s="1027"/>
      <c r="T49" s="1027"/>
      <c r="U49" s="48"/>
      <c r="V49" s="48"/>
      <c r="W49" s="48"/>
      <c r="X49" s="48"/>
      <c r="Y49" s="48"/>
      <c r="Z49" s="48"/>
      <c r="AA49" s="48"/>
    </row>
    <row r="50" spans="1:27">
      <c r="A50" t="s">
        <v>224</v>
      </c>
      <c r="B50" s="62">
        <f>+somfinbilsys!B63/somfinbilsys!B61</f>
        <v>4.2586031980094891E-2</v>
      </c>
      <c r="C50" s="63">
        <v>4.2657882290272411E-2</v>
      </c>
      <c r="D50" s="63"/>
      <c r="E50" s="321">
        <v>0</v>
      </c>
      <c r="F50" s="62">
        <v>4.6435050386389516E-2</v>
      </c>
      <c r="G50" s="63"/>
      <c r="H50" s="321">
        <v>0</v>
      </c>
      <c r="I50" s="62">
        <v>3.2754164772496951E-2</v>
      </c>
      <c r="J50" s="63"/>
      <c r="K50" s="321">
        <v>0</v>
      </c>
      <c r="L50" s="63">
        <v>0.03</v>
      </c>
      <c r="M50" s="63"/>
      <c r="N50" s="63">
        <f>+B50</f>
        <v>4.2586031980094891E-2</v>
      </c>
      <c r="O50" s="63">
        <f>C50</f>
        <v>4.2657882290272411E-2</v>
      </c>
      <c r="P50" s="63"/>
      <c r="Q50" s="1027">
        <v>0.03</v>
      </c>
      <c r="R50" s="1027">
        <v>2.4348233211914871E-2</v>
      </c>
      <c r="S50" s="1027">
        <v>2.4199999999999999E-2</v>
      </c>
      <c r="T50" s="1027">
        <v>3.6939108209207157E-2</v>
      </c>
      <c r="U50" s="48"/>
      <c r="V50" s="48"/>
      <c r="W50" s="48"/>
      <c r="X50" s="48"/>
      <c r="Y50" s="48"/>
      <c r="Z50" s="48"/>
      <c r="AA50" s="48"/>
    </row>
    <row r="51" spans="1:27" ht="9" customHeight="1">
      <c r="B51" s="61"/>
      <c r="C51" s="61"/>
      <c r="D51" s="63"/>
      <c r="E51" s="61"/>
      <c r="F51" s="61"/>
      <c r="G51" s="63"/>
      <c r="H51" s="61"/>
      <c r="I51" s="63"/>
      <c r="J51" s="63"/>
      <c r="K51" s="61"/>
      <c r="L51" s="63"/>
      <c r="M51" s="63"/>
      <c r="N51" s="63"/>
      <c r="O51" s="63"/>
      <c r="P51" s="63"/>
      <c r="Q51" s="1027"/>
      <c r="R51" s="1027"/>
      <c r="S51" s="1027"/>
      <c r="T51" s="1027"/>
      <c r="U51" s="48"/>
      <c r="V51" s="48"/>
      <c r="W51" s="48"/>
      <c r="X51" s="48"/>
      <c r="Y51" s="48"/>
      <c r="Z51" s="48"/>
      <c r="AA51" s="48"/>
    </row>
    <row r="52" spans="1:27">
      <c r="A52" t="s">
        <v>225</v>
      </c>
      <c r="B52" s="61"/>
      <c r="C52" s="61"/>
      <c r="D52" s="63"/>
      <c r="E52" s="61"/>
      <c r="F52" s="61"/>
      <c r="G52" s="63"/>
      <c r="H52" s="61"/>
      <c r="I52" s="63"/>
      <c r="J52" s="63"/>
      <c r="K52" s="61"/>
      <c r="L52" s="63"/>
      <c r="M52" s="63"/>
      <c r="N52" s="63"/>
      <c r="O52" s="63"/>
      <c r="P52" s="63"/>
      <c r="Q52" s="1027"/>
      <c r="R52" s="1027"/>
      <c r="S52" s="1027"/>
      <c r="T52" s="1027"/>
      <c r="U52" s="48"/>
      <c r="V52" s="48"/>
      <c r="W52" s="48"/>
      <c r="X52" s="48"/>
      <c r="Y52" s="48"/>
      <c r="Z52" s="48"/>
      <c r="AA52" s="48"/>
    </row>
    <row r="53" spans="1:27">
      <c r="A53" t="s">
        <v>226</v>
      </c>
      <c r="B53" s="62">
        <f>+somfinbilsys!B62/somfinbilsys!B63</f>
        <v>0.5488372868420589</v>
      </c>
      <c r="C53" s="63">
        <v>0.41541851744729047</v>
      </c>
      <c r="D53" s="63"/>
      <c r="E53" s="321">
        <v>0</v>
      </c>
      <c r="F53" s="62">
        <v>0.46485220722976811</v>
      </c>
      <c r="G53" s="63"/>
      <c r="H53" s="321">
        <v>0</v>
      </c>
      <c r="I53" s="62">
        <v>0.69334483374782652</v>
      </c>
      <c r="J53" s="63"/>
      <c r="K53" s="321">
        <v>0</v>
      </c>
      <c r="L53" s="63">
        <v>0.7208</v>
      </c>
      <c r="M53" s="63"/>
      <c r="N53" s="63">
        <f>+B53</f>
        <v>0.5488372868420589</v>
      </c>
      <c r="O53" s="63">
        <f>C53</f>
        <v>0.41541851744729047</v>
      </c>
      <c r="P53" s="63"/>
      <c r="Q53" s="1028">
        <v>0.7208</v>
      </c>
      <c r="R53" s="1028">
        <v>0.72189271345479633</v>
      </c>
      <c r="S53" s="1028">
        <v>0.96660000000000001</v>
      </c>
      <c r="T53" s="1028">
        <v>0.93104986182167471</v>
      </c>
      <c r="U53" s="48"/>
      <c r="V53" s="48"/>
      <c r="W53" s="48"/>
      <c r="X53" s="48"/>
      <c r="Y53" s="48"/>
      <c r="Z53" s="48"/>
      <c r="AA53" s="48"/>
    </row>
    <row r="54" spans="1:27" ht="8.4499999999999993" customHeight="1">
      <c r="B54" s="61"/>
      <c r="C54" s="61"/>
      <c r="D54" s="63"/>
      <c r="E54" s="61"/>
      <c r="F54" s="61"/>
      <c r="G54" s="63"/>
      <c r="H54" s="61"/>
      <c r="I54" s="63"/>
      <c r="J54" s="63"/>
      <c r="K54" s="61"/>
      <c r="L54" s="63"/>
      <c r="M54" s="63"/>
      <c r="N54" s="63"/>
      <c r="O54" s="63"/>
      <c r="P54" s="63"/>
      <c r="Q54" s="1028"/>
      <c r="R54" s="1028"/>
      <c r="S54" s="1028"/>
      <c r="T54" s="1028"/>
      <c r="U54" s="48"/>
      <c r="V54" s="48"/>
      <c r="W54" s="48"/>
      <c r="X54" s="48"/>
      <c r="Y54" s="48"/>
      <c r="Z54" s="48"/>
      <c r="AA54" s="48"/>
    </row>
    <row r="55" spans="1:27">
      <c r="A55" t="s">
        <v>227</v>
      </c>
      <c r="B55" s="61"/>
      <c r="C55" s="61"/>
      <c r="D55" s="63"/>
      <c r="E55" s="61"/>
      <c r="F55" s="61"/>
      <c r="G55" s="63"/>
      <c r="H55" s="61"/>
      <c r="I55" s="63"/>
      <c r="J55" s="63"/>
      <c r="K55" s="61"/>
      <c r="L55" s="63"/>
      <c r="M55" s="63"/>
      <c r="N55" s="63"/>
      <c r="O55" s="63"/>
      <c r="P55" s="63"/>
      <c r="Q55" s="1027"/>
      <c r="R55" s="1027"/>
      <c r="S55" s="1027"/>
      <c r="T55" s="1027"/>
      <c r="U55" s="48"/>
      <c r="V55" s="48"/>
      <c r="W55" s="48"/>
      <c r="X55" s="48"/>
      <c r="Y55" s="48"/>
      <c r="Z55" s="48"/>
      <c r="AA55" s="48"/>
    </row>
    <row r="56" spans="1:27">
      <c r="A56" t="s">
        <v>498</v>
      </c>
      <c r="B56" s="62">
        <f>+(somfinbilsys!B63-somfinbilsys!B62)/somfinbilsys!B52</f>
        <v>8.8519626265440313E-2</v>
      </c>
      <c r="C56" s="62">
        <v>0.11749999999999999</v>
      </c>
      <c r="D56" s="63"/>
      <c r="E56" s="321">
        <v>0</v>
      </c>
      <c r="F56" s="62">
        <v>0.11661073969908942</v>
      </c>
      <c r="G56" s="63"/>
      <c r="H56" s="321">
        <v>0</v>
      </c>
      <c r="I56" s="62">
        <v>4.7105493012943811E-2</v>
      </c>
      <c r="J56" s="63"/>
      <c r="K56" s="321">
        <v>0</v>
      </c>
      <c r="L56" s="63">
        <v>3.95E-2</v>
      </c>
      <c r="M56" s="63"/>
      <c r="N56" s="63">
        <f>+B56</f>
        <v>8.8519626265440313E-2</v>
      </c>
      <c r="O56" s="63">
        <f>C56</f>
        <v>0.11749999999999999</v>
      </c>
      <c r="P56" s="63"/>
      <c r="Q56" s="1027">
        <v>3.95E-2</v>
      </c>
      <c r="R56" s="1027">
        <v>3.2799007361478734E-2</v>
      </c>
      <c r="S56" s="1027">
        <v>3.8999999999999998E-3</v>
      </c>
      <c r="T56" s="1027">
        <v>1.0739280738021589E-2</v>
      </c>
      <c r="U56" s="48"/>
      <c r="V56" s="48"/>
      <c r="W56" s="48"/>
      <c r="X56" s="48"/>
      <c r="Y56" s="48"/>
      <c r="Z56" s="48"/>
      <c r="AA56" s="48"/>
    </row>
    <row r="57" spans="1:27">
      <c r="A57" t="s">
        <v>0</v>
      </c>
      <c r="B57" s="61"/>
      <c r="C57" s="61"/>
      <c r="D57" s="63"/>
      <c r="E57" s="61"/>
      <c r="F57" s="61"/>
      <c r="G57" s="63"/>
      <c r="H57" s="61"/>
      <c r="I57" s="63"/>
      <c r="J57" s="63"/>
      <c r="K57" s="61"/>
      <c r="L57" s="63"/>
      <c r="M57" s="63"/>
      <c r="N57" s="63"/>
      <c r="O57" s="63"/>
      <c r="P57" s="63"/>
      <c r="Q57" s="1027"/>
      <c r="R57" s="1027"/>
      <c r="S57" s="1027"/>
      <c r="T57" s="1027"/>
      <c r="U57" s="48"/>
      <c r="V57" s="48"/>
      <c r="W57" s="48"/>
      <c r="X57" s="48"/>
      <c r="Y57" s="48"/>
      <c r="Z57" s="48"/>
      <c r="AA57" s="48"/>
    </row>
    <row r="58" spans="1:27">
      <c r="A58" s="11" t="s">
        <v>229</v>
      </c>
      <c r="B58" s="61"/>
      <c r="C58" s="61"/>
      <c r="D58" s="63"/>
      <c r="E58" s="61"/>
      <c r="F58" s="61"/>
      <c r="G58" s="63"/>
      <c r="H58" s="61"/>
      <c r="I58" s="63"/>
      <c r="J58" s="63"/>
      <c r="K58" s="61"/>
      <c r="L58" s="63"/>
      <c r="M58" s="63"/>
      <c r="N58" s="63"/>
      <c r="O58" s="63"/>
      <c r="P58" s="63"/>
      <c r="Q58" s="1027"/>
      <c r="R58" s="1027"/>
      <c r="S58" s="1027"/>
      <c r="T58" s="1027"/>
      <c r="U58" s="48"/>
      <c r="V58" s="48"/>
      <c r="W58" s="48"/>
      <c r="X58" s="48"/>
      <c r="Y58" s="48"/>
      <c r="Z58" s="48"/>
      <c r="AA58" s="48"/>
    </row>
    <row r="59" spans="1:27">
      <c r="A59" s="11"/>
      <c r="B59" s="61"/>
      <c r="C59" s="61"/>
      <c r="D59" s="63"/>
      <c r="E59" s="61"/>
      <c r="F59" s="61"/>
      <c r="G59" s="63"/>
      <c r="H59" s="61"/>
      <c r="I59" s="63"/>
      <c r="J59" s="63"/>
      <c r="K59" s="61"/>
      <c r="L59" s="63"/>
      <c r="M59" s="63"/>
      <c r="N59" s="63"/>
      <c r="O59" s="63"/>
      <c r="P59" s="63"/>
      <c r="Q59" s="1027"/>
      <c r="R59" s="1027"/>
      <c r="S59" s="1027"/>
      <c r="T59" s="1027"/>
      <c r="U59" s="48"/>
      <c r="V59" s="48"/>
      <c r="W59" s="48"/>
      <c r="X59" s="48"/>
      <c r="Y59" s="48"/>
      <c r="Z59" s="48"/>
      <c r="AA59" s="48"/>
    </row>
    <row r="60" spans="1:27">
      <c r="A60" t="s">
        <v>230</v>
      </c>
      <c r="B60" s="62">
        <f>+(somfinrésys!B41/((somfinbilsys!B23+somfinbilsys!J23)/2)*4)</f>
        <v>1.546411314207231E-2</v>
      </c>
      <c r="C60" s="62">
        <v>1.3276041832199005E-2</v>
      </c>
      <c r="D60" s="63"/>
      <c r="E60" s="321">
        <v>0</v>
      </c>
      <c r="F60" s="62">
        <v>1.4403653596044055E-2</v>
      </c>
      <c r="G60" s="63"/>
      <c r="H60" s="321">
        <v>0</v>
      </c>
      <c r="I60" s="62">
        <v>1.9375692763600655E-2</v>
      </c>
      <c r="J60" s="63"/>
      <c r="K60" s="321">
        <v>0</v>
      </c>
      <c r="L60" s="63">
        <v>1.5732011483884121E-2</v>
      </c>
      <c r="M60" s="63"/>
      <c r="N60" s="63">
        <f>+'sysratfinclédéc. 14'!N37</f>
        <v>1.546411314207231E-2</v>
      </c>
      <c r="O60" s="63">
        <f>+'sysratfinclédéc. 14'!N38</f>
        <v>1.3299999999999999E-2</v>
      </c>
      <c r="P60" s="63"/>
      <c r="Q60" s="1027">
        <v>1.54E-2</v>
      </c>
      <c r="R60" s="1027">
        <v>1.5127025130990981E-2</v>
      </c>
      <c r="S60" s="1027">
        <v>1.38E-2</v>
      </c>
      <c r="T60" s="1027">
        <v>1.3756253591000561E-2</v>
      </c>
      <c r="U60" s="48"/>
      <c r="V60" s="48"/>
      <c r="W60" s="48"/>
      <c r="X60" s="48"/>
      <c r="Y60" s="48"/>
      <c r="Z60" s="48"/>
      <c r="AA60" s="48"/>
    </row>
    <row r="61" spans="1:27" ht="7.15" customHeight="1">
      <c r="B61" s="61"/>
      <c r="C61" s="61"/>
      <c r="D61" s="63"/>
      <c r="E61" s="54" t="s">
        <v>0</v>
      </c>
      <c r="F61" s="61" t="s">
        <v>0</v>
      </c>
      <c r="G61" s="63"/>
      <c r="H61" s="61"/>
      <c r="I61" s="63"/>
      <c r="J61" s="63"/>
      <c r="K61" s="61"/>
      <c r="L61" s="63"/>
      <c r="M61" s="63"/>
      <c r="N61" s="63"/>
      <c r="O61" s="63"/>
      <c r="P61" s="63"/>
      <c r="Q61" s="1027"/>
      <c r="R61" s="1027"/>
      <c r="S61" s="1027"/>
      <c r="T61" s="1027"/>
      <c r="U61" s="48"/>
      <c r="V61" s="48"/>
      <c r="W61" s="48"/>
      <c r="X61" s="48"/>
      <c r="Y61" s="48"/>
      <c r="Z61" s="48"/>
      <c r="AA61" s="48"/>
    </row>
    <row r="62" spans="1:27">
      <c r="A62" t="s">
        <v>231</v>
      </c>
      <c r="B62" s="62">
        <f>+(somfinrésys!B41/((somfinbilsys!B52+somfinbilsys!J52)/2)*4)</f>
        <v>0.19893953706560322</v>
      </c>
      <c r="C62" s="63">
        <v>0.17461185542831975</v>
      </c>
      <c r="D62" s="63"/>
      <c r="E62" s="321">
        <v>0</v>
      </c>
      <c r="F62" s="62">
        <v>0.1860909612543318</v>
      </c>
      <c r="G62" s="63"/>
      <c r="H62" s="321">
        <v>0</v>
      </c>
      <c r="I62" s="62">
        <v>0.25268642315411333</v>
      </c>
      <c r="J62" s="63"/>
      <c r="K62" s="321">
        <v>0</v>
      </c>
      <c r="L62" s="63">
        <v>0.20871037822334018</v>
      </c>
      <c r="M62" s="63"/>
      <c r="N62" s="63">
        <f>+'sysratfinclédéc. 14'!N43</f>
        <v>0.19893953706560319</v>
      </c>
      <c r="O62" s="63">
        <f>+'sysratfinclédéc. 14'!N44</f>
        <v>0.1741</v>
      </c>
      <c r="P62" s="63"/>
      <c r="Q62" s="1027">
        <v>0.2051</v>
      </c>
      <c r="R62" s="1027">
        <v>0.21856062469687987</v>
      </c>
      <c r="S62" s="1027">
        <v>0.21929999999999999</v>
      </c>
      <c r="T62" s="1027">
        <v>0.22160907348595255</v>
      </c>
      <c r="U62" s="48"/>
      <c r="V62" s="48"/>
      <c r="W62" s="48"/>
      <c r="X62" s="48"/>
      <c r="Y62" s="48"/>
      <c r="Z62" s="48"/>
      <c r="AA62" s="48"/>
    </row>
    <row r="63" spans="1:27" ht="7.15" customHeight="1">
      <c r="B63" s="61"/>
      <c r="C63" s="61"/>
      <c r="D63" s="63"/>
      <c r="E63" s="61"/>
      <c r="F63" s="61"/>
      <c r="G63" s="63"/>
      <c r="H63" s="61"/>
      <c r="I63" s="63"/>
      <c r="J63" s="63"/>
      <c r="K63" s="61"/>
      <c r="L63" s="63"/>
      <c r="M63" s="63"/>
      <c r="N63" s="63"/>
      <c r="O63" s="63"/>
      <c r="P63" s="63"/>
      <c r="Q63" s="1027"/>
      <c r="R63" s="1027"/>
      <c r="S63" s="1027"/>
      <c r="T63" s="1027"/>
      <c r="U63" s="48"/>
      <c r="V63" s="48"/>
      <c r="W63" s="48"/>
      <c r="X63" s="48"/>
      <c r="Y63" s="48"/>
      <c r="Z63" s="48"/>
      <c r="AA63" s="48"/>
    </row>
    <row r="64" spans="1:27">
      <c r="A64" t="s">
        <v>232</v>
      </c>
      <c r="B64" s="61"/>
      <c r="C64" s="61"/>
      <c r="D64" s="63"/>
      <c r="E64" s="61"/>
      <c r="F64" s="61"/>
      <c r="G64" s="63"/>
      <c r="H64" s="61"/>
      <c r="I64" s="63"/>
      <c r="J64" s="63"/>
      <c r="K64" s="61"/>
      <c r="L64" s="63"/>
      <c r="M64" s="63"/>
      <c r="N64" s="63"/>
      <c r="O64" s="63"/>
      <c r="P64" s="63"/>
      <c r="Q64" s="1027"/>
      <c r="R64" s="1027"/>
      <c r="S64" s="1027"/>
      <c r="T64" s="1027"/>
      <c r="U64" s="48"/>
      <c r="V64" s="48"/>
      <c r="W64" s="48"/>
      <c r="X64" s="48"/>
      <c r="Y64" s="48"/>
      <c r="Z64" s="48"/>
      <c r="AA64" s="48"/>
    </row>
    <row r="65" spans="1:27">
      <c r="A65" t="s">
        <v>233</v>
      </c>
      <c r="B65" s="62">
        <f>+somfinrésys!B15/somfinrésys!B13</f>
        <v>0.87623370529570554</v>
      </c>
      <c r="C65" s="63">
        <v>0.91333045911267874</v>
      </c>
      <c r="D65" s="63"/>
      <c r="E65" s="321">
        <v>0</v>
      </c>
      <c r="F65" s="62">
        <v>0.90440152824944875</v>
      </c>
      <c r="G65" s="63"/>
      <c r="H65" s="321">
        <v>0</v>
      </c>
      <c r="I65" s="62">
        <v>0.87878575474097631</v>
      </c>
      <c r="J65" s="63"/>
      <c r="K65" s="321">
        <v>0</v>
      </c>
      <c r="L65" s="63">
        <v>0.87105734645841726</v>
      </c>
      <c r="M65" s="63"/>
      <c r="N65" s="63">
        <f>+'sysratfinclédéc. 14'!N50</f>
        <v>0.87623370529570543</v>
      </c>
      <c r="O65" s="63">
        <f>+'sysratfinclédéc. 14'!N51</f>
        <v>0.91333045911267874</v>
      </c>
      <c r="P65" s="63"/>
      <c r="Q65" s="1027">
        <v>0.89059999999999995</v>
      </c>
      <c r="R65" s="1027">
        <v>0.92956072289438285</v>
      </c>
      <c r="S65" s="1027">
        <v>0.9244</v>
      </c>
      <c r="T65" s="1027">
        <v>0.91355142997488092</v>
      </c>
      <c r="U65" s="48"/>
      <c r="V65" s="48"/>
      <c r="W65" s="48"/>
      <c r="X65" s="48"/>
      <c r="Y65" s="48"/>
      <c r="Z65" s="48"/>
      <c r="AA65" s="48"/>
    </row>
    <row r="66" spans="1:27" ht="7.15" customHeight="1">
      <c r="B66" s="61"/>
      <c r="C66" s="61"/>
      <c r="D66" s="63"/>
      <c r="E66" s="61"/>
      <c r="F66" s="61"/>
      <c r="G66" s="63"/>
      <c r="H66" s="61"/>
      <c r="I66" s="63"/>
      <c r="J66" s="63"/>
      <c r="K66" s="61"/>
      <c r="L66" s="63"/>
      <c r="M66" s="63"/>
      <c r="N66" s="63"/>
      <c r="O66" s="63"/>
      <c r="P66" s="63"/>
      <c r="Q66" s="1027"/>
      <c r="R66" s="1027"/>
      <c r="S66" s="1027"/>
      <c r="T66" s="1027"/>
      <c r="U66" s="48"/>
      <c r="V66" s="48"/>
      <c r="W66" s="48"/>
      <c r="X66" s="48"/>
      <c r="Y66" s="48"/>
      <c r="Z66" s="48"/>
      <c r="AA66" s="48"/>
    </row>
    <row r="67" spans="1:27">
      <c r="A67" t="s">
        <v>234</v>
      </c>
      <c r="B67" s="62">
        <f>+(somfinrésys!B10/((somfinbilsys!B61+somfinbilsys!J61)/2)*4)</f>
        <v>8.3744099007106249E-2</v>
      </c>
      <c r="C67" s="60">
        <v>7.7459347675285575E-2</v>
      </c>
      <c r="D67" s="60"/>
      <c r="E67" s="321">
        <v>0</v>
      </c>
      <c r="F67" s="62">
        <v>7.5542036714224242E-2</v>
      </c>
      <c r="G67" s="60"/>
      <c r="H67" s="321">
        <v>0</v>
      </c>
      <c r="I67" s="62">
        <v>8.6542737515555204E-2</v>
      </c>
      <c r="J67" s="60"/>
      <c r="K67" s="321">
        <v>0</v>
      </c>
      <c r="L67" s="60">
        <v>8.4256265898596472E-2</v>
      </c>
      <c r="M67" s="60"/>
      <c r="N67" s="63">
        <f>+'sysratfinclédéc. 14'!N56</f>
        <v>8.3744099007106262E-2</v>
      </c>
      <c r="O67" s="63">
        <f>+'sysratfinclédéc. 14'!N57</f>
        <v>7.7499999999999999E-2</v>
      </c>
      <c r="P67" s="60"/>
      <c r="Q67" s="702">
        <v>7.9600000000000004E-2</v>
      </c>
      <c r="R67" s="702">
        <v>7.7143708351074286E-2</v>
      </c>
      <c r="S67" s="702">
        <v>8.0699999999999994E-2</v>
      </c>
      <c r="T67" s="702">
        <v>9.1546736341906174E-2</v>
      </c>
    </row>
    <row r="68" spans="1:27" ht="7.15" customHeight="1">
      <c r="B68" s="17"/>
      <c r="C68" s="17"/>
      <c r="D68" s="60"/>
      <c r="E68" s="54" t="s">
        <v>0</v>
      </c>
      <c r="F68" s="54" t="s">
        <v>0</v>
      </c>
      <c r="G68" s="60"/>
      <c r="H68" s="54" t="s">
        <v>0</v>
      </c>
      <c r="I68" s="60" t="s">
        <v>0</v>
      </c>
      <c r="J68" s="60"/>
      <c r="K68" s="54" t="s">
        <v>0</v>
      </c>
      <c r="L68" s="60" t="s">
        <v>0</v>
      </c>
      <c r="M68" s="60"/>
      <c r="N68" s="60"/>
      <c r="O68" s="60"/>
      <c r="P68" s="60"/>
      <c r="Q68" s="702"/>
      <c r="R68" s="702"/>
      <c r="S68" s="702"/>
      <c r="T68" s="702"/>
    </row>
    <row r="69" spans="1:27" ht="15.75" customHeight="1">
      <c r="A69" t="s">
        <v>630</v>
      </c>
      <c r="B69" s="62">
        <f>+(somfinrésys!B10/((somfinbilsys!B61-somfinbilsys!B63+somfinbilsys!J61-somfinbilsys!J63)/2)*4)</f>
        <v>8.6903409522339409E-2</v>
      </c>
      <c r="C69" s="60">
        <v>8.0153181071118448E-2</v>
      </c>
      <c r="D69" s="60"/>
      <c r="E69" s="54">
        <v>0</v>
      </c>
      <c r="F69" s="60">
        <v>7.9064880039825439E-2</v>
      </c>
      <c r="G69" s="54"/>
      <c r="H69" s="54">
        <v>0</v>
      </c>
      <c r="I69" s="60">
        <v>9.0109418510098307E-2</v>
      </c>
      <c r="J69" s="54"/>
      <c r="K69" s="54">
        <v>0</v>
      </c>
      <c r="L69" s="60">
        <v>8.6927465623148265E-2</v>
      </c>
      <c r="M69" s="60"/>
      <c r="N69" s="60">
        <f>+'sysratfinclédéc. 14'!N62</f>
        <v>8.6903409522339409E-2</v>
      </c>
      <c r="O69" s="60">
        <f>+'sysratfinclédéc. 14'!N63</f>
        <v>8.0199999999999994E-2</v>
      </c>
      <c r="P69" s="60"/>
      <c r="Q69" s="702">
        <v>8.1799999999999998E-2</v>
      </c>
      <c r="R69" s="702">
        <v>7.9063427459865832E-2</v>
      </c>
      <c r="S69" s="702">
        <v>8.3199999999999996E-2</v>
      </c>
      <c r="T69" s="702">
        <v>9.590991733150718E-2</v>
      </c>
    </row>
    <row r="70" spans="1:27" ht="7.15" customHeight="1">
      <c r="B70" s="17"/>
      <c r="C70" s="17"/>
      <c r="D70" s="60"/>
      <c r="E70" s="54"/>
      <c r="F70" s="54"/>
      <c r="G70" s="60"/>
      <c r="H70" s="54"/>
      <c r="I70" s="60"/>
      <c r="J70" s="60"/>
      <c r="K70" s="54"/>
      <c r="L70" s="60"/>
      <c r="M70" s="60"/>
      <c r="N70" s="60"/>
      <c r="O70" s="60"/>
      <c r="P70" s="60"/>
      <c r="Q70" s="702"/>
      <c r="R70" s="702"/>
      <c r="S70" s="702"/>
      <c r="T70" s="702"/>
    </row>
    <row r="71" spans="1:27">
      <c r="A71" t="s">
        <v>235</v>
      </c>
      <c r="B71" s="62">
        <f>(+somfinrésys!B14/((somfinbilsys!B30+somfinbilsys!J30)/2)*4)</f>
        <v>5.5190811246523062E-3</v>
      </c>
      <c r="C71" s="60">
        <v>3.3816860315593737E-3</v>
      </c>
      <c r="D71" s="60"/>
      <c r="E71" s="321">
        <v>0</v>
      </c>
      <c r="F71" s="62">
        <v>3.5944200531892673E-3</v>
      </c>
      <c r="G71" s="60"/>
      <c r="H71" s="321">
        <v>0</v>
      </c>
      <c r="I71" s="62">
        <v>5.1737566002749381E-3</v>
      </c>
      <c r="J71" s="60"/>
      <c r="K71" s="321">
        <v>0</v>
      </c>
      <c r="L71" s="60">
        <v>5.5237145188311949E-3</v>
      </c>
      <c r="M71" s="60"/>
      <c r="N71" s="63">
        <f>+'sysratfinclédéc. 14'!N68</f>
        <v>5.5190811246523053E-3</v>
      </c>
      <c r="O71" s="63">
        <f>+'sysratfinclédéc. 14'!N69</f>
        <v>3.3999999999999998E-3</v>
      </c>
      <c r="P71" s="60"/>
      <c r="Q71" s="702">
        <v>4.4000000000000003E-3</v>
      </c>
      <c r="R71" s="702">
        <v>2.5246368645317776E-3</v>
      </c>
      <c r="S71" s="702">
        <v>2.3E-3</v>
      </c>
      <c r="T71" s="702">
        <v>2.5944852410875016E-3</v>
      </c>
    </row>
    <row r="72" spans="1:27" ht="6" customHeight="1">
      <c r="B72" s="17"/>
      <c r="C72" s="17"/>
      <c r="D72" s="60"/>
      <c r="E72" s="54"/>
      <c r="F72" s="54"/>
      <c r="G72" s="60"/>
      <c r="H72" s="54"/>
      <c r="I72" s="60"/>
      <c r="J72" s="60"/>
      <c r="K72" s="54"/>
      <c r="L72" s="60"/>
      <c r="M72" s="60"/>
      <c r="N72" s="60"/>
      <c r="O72" s="60"/>
      <c r="P72" s="60"/>
      <c r="Q72" s="702"/>
      <c r="R72" s="702"/>
      <c r="S72" s="702"/>
      <c r="T72" s="702"/>
    </row>
    <row r="73" spans="1:27">
      <c r="A73" t="s">
        <v>212</v>
      </c>
      <c r="B73" s="17"/>
      <c r="C73" s="17"/>
      <c r="D73" s="60"/>
      <c r="E73" s="54" t="s">
        <v>0</v>
      </c>
      <c r="F73" s="54"/>
      <c r="G73" s="60"/>
      <c r="H73" s="54"/>
      <c r="I73" s="60"/>
      <c r="J73" s="60"/>
      <c r="K73" s="54"/>
      <c r="L73" s="60"/>
      <c r="M73" s="60"/>
      <c r="N73" s="60"/>
      <c r="O73" s="60"/>
      <c r="P73" s="60"/>
      <c r="Q73" s="702"/>
      <c r="R73" s="702"/>
      <c r="S73" s="702"/>
      <c r="T73" s="702"/>
    </row>
    <row r="74" spans="1:27">
      <c r="A74" t="s">
        <v>236</v>
      </c>
      <c r="B74" s="62">
        <f>+somfinrésys!B35/somfinrésys!B23</f>
        <v>0.64063515725386733</v>
      </c>
      <c r="C74" s="60">
        <v>0.66970825272830481</v>
      </c>
      <c r="D74" s="60"/>
      <c r="E74" s="321">
        <v>0</v>
      </c>
      <c r="F74" s="62">
        <v>0.65908144160230653</v>
      </c>
      <c r="G74" s="60"/>
      <c r="H74" s="321">
        <v>0</v>
      </c>
      <c r="I74" s="62">
        <v>0.59858172556673228</v>
      </c>
      <c r="J74" s="60"/>
      <c r="K74" s="321">
        <v>0</v>
      </c>
      <c r="L74" s="60">
        <v>0.65579062329429594</v>
      </c>
      <c r="M74" s="60"/>
      <c r="N74" s="63">
        <f>+'sysratfinclédéc. 14'!N76</f>
        <v>0.64063515725386733</v>
      </c>
      <c r="O74" s="63">
        <f>+'sysratfinclédéc. 14'!N77</f>
        <v>0.66970825272830459</v>
      </c>
      <c r="P74" s="60"/>
      <c r="Q74" s="702">
        <v>0.64429999999999998</v>
      </c>
      <c r="R74" s="702">
        <v>0.6505758523215176</v>
      </c>
      <c r="S74" s="702">
        <v>0.66720000000000002</v>
      </c>
      <c r="T74" s="702">
        <v>0.67751373342347698</v>
      </c>
    </row>
    <row r="75" spans="1:27">
      <c r="A75" t="s">
        <v>237</v>
      </c>
      <c r="B75" s="17"/>
      <c r="C75" s="17"/>
      <c r="D75" s="60"/>
      <c r="E75" s="54"/>
      <c r="F75" s="54"/>
      <c r="G75" s="60"/>
      <c r="H75" s="54"/>
      <c r="I75" s="54"/>
      <c r="J75" s="60"/>
      <c r="K75" s="54"/>
      <c r="L75" s="54"/>
      <c r="M75" s="60"/>
      <c r="N75" s="60"/>
      <c r="O75" s="60"/>
      <c r="P75" s="60"/>
      <c r="Q75" s="401"/>
      <c r="R75" s="401"/>
      <c r="S75" s="401"/>
      <c r="T75" s="401"/>
    </row>
    <row r="76" spans="1:27">
      <c r="B76" s="17"/>
      <c r="C76" s="17"/>
      <c r="D76" s="60"/>
      <c r="E76" s="54"/>
      <c r="F76" s="54"/>
      <c r="G76" s="60"/>
      <c r="H76" s="54"/>
      <c r="I76" s="54"/>
      <c r="J76" s="60"/>
      <c r="K76" s="54"/>
      <c r="L76" s="54"/>
      <c r="M76" s="60"/>
      <c r="N76" s="60"/>
      <c r="O76" s="60"/>
      <c r="P76" s="60"/>
      <c r="Q76" s="401"/>
      <c r="R76" s="401"/>
      <c r="S76" s="401"/>
      <c r="T76" s="401"/>
    </row>
    <row r="77" spans="1:27" hidden="1">
      <c r="A77" t="s">
        <v>238</v>
      </c>
      <c r="B77" s="377">
        <v>1340.2</v>
      </c>
      <c r="C77" s="54">
        <v>1340.2</v>
      </c>
      <c r="D77" s="60"/>
      <c r="E77" s="377">
        <v>1160.73</v>
      </c>
      <c r="F77" s="377">
        <v>1160.73</v>
      </c>
      <c r="G77" s="60"/>
      <c r="H77" s="377">
        <v>1160.73</v>
      </c>
      <c r="I77" s="377">
        <v>1160.73</v>
      </c>
      <c r="J77" s="60"/>
      <c r="K77" s="377">
        <v>1160.73</v>
      </c>
      <c r="L77" s="511">
        <v>1160.73</v>
      </c>
      <c r="M77" s="60"/>
      <c r="N77" s="538">
        <f>+'sysratfinclédéc. 14'!N82</f>
        <v>2624.2881805583588</v>
      </c>
      <c r="O77" s="538">
        <f>+'sysratfinclédéc. 14'!N83</f>
        <v>2386.8200000000002</v>
      </c>
      <c r="P77" s="60"/>
      <c r="Q77" s="1029">
        <v>2457.6085773675081</v>
      </c>
      <c r="R77" s="1029">
        <v>2457.6085773675081</v>
      </c>
      <c r="S77" s="1029">
        <v>2166.8747591551023</v>
      </c>
      <c r="T77" s="1029">
        <v>2166.8747591551023</v>
      </c>
    </row>
    <row r="78" spans="1:27">
      <c r="A78" t="s">
        <v>502</v>
      </c>
      <c r="B78" s="1050">
        <f>+(somfinrésys!B23/((employés!AC136+employés!AC138)/2)*4)</f>
        <v>2624.2881805583588</v>
      </c>
      <c r="C78" s="54">
        <v>2386.8161680075436</v>
      </c>
      <c r="D78" s="60"/>
      <c r="E78" s="377">
        <f>+(somfinrésys!D23/((employés!AC130+employés!AC132)/2)*4)</f>
        <v>0</v>
      </c>
      <c r="F78" s="377">
        <v>2485.3635727736846</v>
      </c>
      <c r="G78" s="60"/>
      <c r="H78" s="377">
        <f>+(somfinrésys!F23/((employés!AC132+employés!AC134)/2)*4)</f>
        <v>0</v>
      </c>
      <c r="I78" s="377">
        <v>2787.1366831503278</v>
      </c>
      <c r="J78" s="60"/>
      <c r="K78" s="377">
        <f>+(somfinrésys!H23/((employés!AC134+employés!AC136)/2)*4)</f>
        <v>0</v>
      </c>
      <c r="L78" s="511">
        <v>2839.3044769042062</v>
      </c>
      <c r="M78" s="60"/>
      <c r="N78" s="61">
        <f>+'sysratfinclédéc. 14'!N82</f>
        <v>2624.2881805583588</v>
      </c>
      <c r="O78" s="61">
        <f>+'sysratfinclédéc. 14'!N83</f>
        <v>2386.8200000000002</v>
      </c>
      <c r="P78" s="60"/>
      <c r="Q78" s="1304">
        <v>2619.9</v>
      </c>
      <c r="R78" s="1304">
        <v>2457.6085773675081</v>
      </c>
      <c r="S78" s="1304">
        <v>2223.36</v>
      </c>
      <c r="T78" s="1304">
        <v>2166.8747591551023</v>
      </c>
    </row>
    <row r="79" spans="1:27">
      <c r="B79" s="17"/>
      <c r="C79" s="17"/>
      <c r="D79" s="60"/>
      <c r="E79" s="54"/>
      <c r="F79" s="54"/>
      <c r="G79" s="60"/>
      <c r="H79" s="54"/>
      <c r="I79" s="54"/>
      <c r="J79" s="60"/>
      <c r="K79" s="54"/>
      <c r="L79" s="54"/>
      <c r="M79" s="60"/>
      <c r="N79" s="60"/>
      <c r="O79" s="60"/>
      <c r="P79" s="60"/>
      <c r="Q79" s="401"/>
      <c r="R79" s="401"/>
    </row>
    <row r="80" spans="1:27" hidden="1">
      <c r="A80" t="s">
        <v>239</v>
      </c>
      <c r="B80" s="508">
        <v>0</v>
      </c>
      <c r="C80" s="434">
        <v>116</v>
      </c>
      <c r="D80" s="60"/>
      <c r="E80" s="508">
        <v>0</v>
      </c>
      <c r="F80" s="508" t="s">
        <v>466</v>
      </c>
      <c r="G80" s="60"/>
      <c r="H80" s="508">
        <v>159</v>
      </c>
      <c r="I80" s="511">
        <v>0</v>
      </c>
      <c r="J80" s="60"/>
      <c r="K80" s="511">
        <v>0</v>
      </c>
      <c r="L80" s="511">
        <v>0</v>
      </c>
      <c r="M80" s="60"/>
      <c r="N80" s="511">
        <f>+E80</f>
        <v>0</v>
      </c>
      <c r="O80" s="54">
        <v>0</v>
      </c>
      <c r="P80" s="60"/>
      <c r="Q80" s="508">
        <v>0</v>
      </c>
      <c r="R80" s="508">
        <v>0</v>
      </c>
      <c r="S80" s="508">
        <v>139</v>
      </c>
      <c r="T80" s="508" t="s">
        <v>240</v>
      </c>
    </row>
    <row r="81" spans="1:20" ht="16.5" thickBot="1">
      <c r="B81" s="169"/>
      <c r="C81" s="169"/>
      <c r="D81" s="170"/>
      <c r="E81" s="170" t="s">
        <v>0</v>
      </c>
      <c r="F81" s="170"/>
      <c r="G81" s="170"/>
      <c r="H81" s="170"/>
      <c r="I81" s="25"/>
      <c r="J81" s="170"/>
      <c r="K81" s="170"/>
      <c r="L81" s="170" t="s">
        <v>0</v>
      </c>
      <c r="M81" s="170"/>
      <c r="N81" s="170"/>
      <c r="O81" s="170"/>
      <c r="P81" s="170"/>
      <c r="Q81" s="25"/>
      <c r="R81" s="25"/>
      <c r="S81" s="170"/>
      <c r="T81" s="170"/>
    </row>
    <row r="84" spans="1:20" hidden="1">
      <c r="A84" t="s">
        <v>241</v>
      </c>
    </row>
  </sheetData>
  <phoneticPr fontId="0" type="noConversion"/>
  <pageMargins left="0.2" right="0.2" top="0.64" bottom="0.44" header="0.54" footer="0.2"/>
  <pageSetup scale="44" orientation="landscape" r:id="rId1"/>
  <headerFooter alignWithMargins="0">
    <oddFooter>&amp;R&amp;14&amp;P</oddFooter>
  </headerFooter>
</worksheet>
</file>

<file path=xl/worksheets/sheet28.xml><?xml version="1.0" encoding="utf-8"?>
<worksheet xmlns="http://schemas.openxmlformats.org/spreadsheetml/2006/main" xmlns:r="http://schemas.openxmlformats.org/officeDocument/2006/relationships">
  <sheetPr>
    <pageSetUpPr fitToPage="1"/>
  </sheetPr>
  <dimension ref="A1:P67"/>
  <sheetViews>
    <sheetView workbookViewId="0">
      <selection activeCell="O6" sqref="O6"/>
    </sheetView>
  </sheetViews>
  <sheetFormatPr baseColWidth="10" defaultColWidth="9" defaultRowHeight="15.75"/>
  <cols>
    <col min="1" max="1" width="28.125" customWidth="1"/>
    <col min="2" max="2" width="15.625" customWidth="1"/>
    <col min="3" max="3" width="10.375" customWidth="1"/>
    <col min="5" max="5" width="25.625" customWidth="1"/>
    <col min="6" max="6" width="17.125" customWidth="1"/>
    <col min="7" max="7" width="10.25" customWidth="1"/>
    <col min="9" max="9" width="25.75" customWidth="1"/>
    <col min="10" max="10" width="16.75" customWidth="1"/>
    <col min="11" max="11" width="10.625" customWidth="1"/>
    <col min="13" max="13" width="29" customWidth="1"/>
    <col min="14" max="14" width="18.125" customWidth="1"/>
    <col min="15" max="15" width="10.75" customWidth="1"/>
  </cols>
  <sheetData>
    <row r="1" spans="1:16">
      <c r="A1" s="111" t="s">
        <v>192</v>
      </c>
      <c r="B1" s="39"/>
      <c r="C1" s="39"/>
      <c r="D1" s="39"/>
      <c r="E1" s="39"/>
      <c r="F1" s="39"/>
      <c r="G1" s="39"/>
      <c r="H1" s="39"/>
      <c r="I1" s="39"/>
      <c r="J1" s="39"/>
      <c r="K1" s="39"/>
      <c r="L1" s="39"/>
      <c r="M1" s="39"/>
      <c r="N1" s="39"/>
      <c r="O1" s="39"/>
      <c r="P1" s="39"/>
    </row>
    <row r="2" spans="1:16">
      <c r="A2" s="111" t="s">
        <v>193</v>
      </c>
      <c r="B2" s="39"/>
      <c r="C2" s="39"/>
      <c r="D2" s="39"/>
      <c r="E2" s="39"/>
      <c r="F2" s="39"/>
      <c r="G2" s="39"/>
      <c r="H2" s="39"/>
      <c r="I2" s="39"/>
      <c r="J2" s="39"/>
      <c r="K2" s="39"/>
      <c r="L2" s="39"/>
      <c r="M2" s="39"/>
      <c r="N2" s="39"/>
      <c r="O2" s="39"/>
      <c r="P2" s="39"/>
    </row>
    <row r="3" spans="1:16">
      <c r="A3" s="111" t="s">
        <v>242</v>
      </c>
      <c r="B3" s="39"/>
      <c r="C3" s="39"/>
      <c r="D3" s="39"/>
      <c r="E3" s="39"/>
      <c r="F3" s="39"/>
      <c r="G3" s="39"/>
      <c r="H3" s="39"/>
      <c r="I3" s="39"/>
      <c r="J3" s="39"/>
      <c r="K3" s="39"/>
      <c r="L3" s="39"/>
      <c r="M3" s="39"/>
      <c r="N3" s="39"/>
      <c r="O3" s="39"/>
      <c r="P3" s="39"/>
    </row>
    <row r="4" spans="1:16">
      <c r="A4" s="111" t="s">
        <v>243</v>
      </c>
      <c r="B4" s="111"/>
      <c r="C4" s="111"/>
      <c r="D4" s="111"/>
      <c r="E4" s="111"/>
      <c r="F4" s="111"/>
      <c r="G4" s="111"/>
      <c r="H4" s="111"/>
      <c r="I4" s="111"/>
      <c r="J4" s="111"/>
      <c r="K4" s="111"/>
      <c r="L4" s="111"/>
      <c r="M4" s="111"/>
      <c r="N4" s="111"/>
      <c r="O4" s="111"/>
      <c r="P4" s="111"/>
    </row>
    <row r="5" spans="1:16" ht="16.5" thickBot="1">
      <c r="A5" s="25"/>
      <c r="B5" s="25"/>
      <c r="C5" s="25"/>
      <c r="D5" s="25"/>
      <c r="E5" s="25"/>
      <c r="F5" s="25"/>
      <c r="G5" s="25"/>
      <c r="H5" s="25"/>
      <c r="I5" s="25"/>
      <c r="J5" s="25"/>
      <c r="K5" s="25"/>
      <c r="L5" s="25"/>
      <c r="M5" s="25"/>
      <c r="N5" s="25"/>
      <c r="O5" s="25"/>
      <c r="P5" s="25"/>
    </row>
    <row r="6" spans="1:16">
      <c r="A6" s="26"/>
      <c r="B6" s="26"/>
      <c r="C6" s="26"/>
      <c r="D6" s="26"/>
      <c r="E6" s="26"/>
      <c r="F6" s="26"/>
      <c r="G6" s="26"/>
      <c r="H6" s="26"/>
      <c r="I6" s="26"/>
      <c r="J6" s="26"/>
      <c r="K6" s="26"/>
      <c r="L6" s="26"/>
      <c r="M6" s="26"/>
      <c r="N6" s="26"/>
      <c r="O6" s="26"/>
      <c r="P6" s="26"/>
    </row>
    <row r="7" spans="1:16">
      <c r="A7" s="11" t="s">
        <v>968</v>
      </c>
    </row>
    <row r="8" spans="1:16">
      <c r="B8" s="111" t="s">
        <v>244</v>
      </c>
      <c r="C8" s="111"/>
      <c r="D8" s="111"/>
      <c r="F8" s="111" t="s">
        <v>245</v>
      </c>
      <c r="G8" s="111"/>
      <c r="H8" s="111"/>
      <c r="J8" s="111" t="s">
        <v>246</v>
      </c>
      <c r="K8" s="111"/>
      <c r="L8" s="111"/>
      <c r="N8" s="111" t="s">
        <v>247</v>
      </c>
      <c r="O8" s="111"/>
      <c r="P8" s="111"/>
    </row>
    <row r="9" spans="1:16" ht="16.5" thickBot="1">
      <c r="B9" s="1" t="s">
        <v>248</v>
      </c>
      <c r="C9" s="1" t="s">
        <v>249</v>
      </c>
      <c r="D9" s="1" t="s">
        <v>250</v>
      </c>
      <c r="F9" s="1" t="s">
        <v>248</v>
      </c>
      <c r="G9" s="1" t="s">
        <v>249</v>
      </c>
      <c r="H9" s="1" t="s">
        <v>250</v>
      </c>
      <c r="J9" s="1" t="s">
        <v>248</v>
      </c>
      <c r="K9" s="1" t="s">
        <v>249</v>
      </c>
      <c r="L9" s="1" t="s">
        <v>250</v>
      </c>
      <c r="N9" s="1" t="s">
        <v>248</v>
      </c>
      <c r="O9" s="1" t="s">
        <v>249</v>
      </c>
      <c r="P9" s="1" t="s">
        <v>250</v>
      </c>
    </row>
    <row r="10" spans="1:16" ht="9.6" customHeight="1">
      <c r="B10" s="3"/>
      <c r="C10" s="3"/>
      <c r="D10" s="3"/>
      <c r="F10" s="3"/>
      <c r="G10" s="3"/>
      <c r="H10" s="3"/>
      <c r="J10" s="3"/>
      <c r="K10" s="3"/>
      <c r="L10" s="3"/>
      <c r="N10" s="3"/>
      <c r="O10" s="3"/>
      <c r="P10" s="3"/>
    </row>
    <row r="11" spans="1:16">
      <c r="A11" s="669" t="s">
        <v>65</v>
      </c>
      <c r="B11" s="672">
        <f>+unibkvar!B23</f>
        <v>59051093.044344425</v>
      </c>
      <c r="C11" s="1012">
        <f>+B11/somfinbilsys!$B$23</f>
        <v>0.30313590731327456</v>
      </c>
      <c r="D11" s="3">
        <v>1</v>
      </c>
      <c r="E11" s="667" t="s">
        <v>65</v>
      </c>
      <c r="F11" s="672">
        <f>+unibkvar!B61</f>
        <v>24187118.400389999</v>
      </c>
      <c r="G11" s="674">
        <f>+F11/somfinbilsys!$B$61</f>
        <v>0.33845710678062296</v>
      </c>
      <c r="H11" s="3">
        <v>1</v>
      </c>
      <c r="I11" s="667" t="s">
        <v>65</v>
      </c>
      <c r="J11" s="672">
        <f>+unibkvar!B30</f>
        <v>49484776.082875788</v>
      </c>
      <c r="K11" s="674">
        <f>+J11/somfinbilsys!$B$30</f>
        <v>0.31208649149781853</v>
      </c>
      <c r="L11" s="3">
        <v>1</v>
      </c>
      <c r="M11" s="667" t="s">
        <v>65</v>
      </c>
      <c r="N11" s="672">
        <f>+'unibkgdes&amp;$'!B30</f>
        <v>30680322.285385784</v>
      </c>
      <c r="O11" s="674">
        <f>+N11/'sofibilgdes&amp;$ '!$B$30</f>
        <v>0.34222803746036629</v>
      </c>
      <c r="P11" s="3">
        <v>1</v>
      </c>
    </row>
    <row r="12" spans="1:16">
      <c r="A12" s="669" t="s">
        <v>64</v>
      </c>
      <c r="B12" s="672">
        <f>+sogebkvar!B23</f>
        <v>53105996.676800005</v>
      </c>
      <c r="C12" s="1012">
        <f>+B12/somfinbilsys!$B$23</f>
        <v>0.27261704494290168</v>
      </c>
      <c r="D12" s="3">
        <v>2</v>
      </c>
      <c r="E12" s="667" t="s">
        <v>64</v>
      </c>
      <c r="F12" s="672">
        <f>+sogebkvar!B61</f>
        <v>19826802.61067</v>
      </c>
      <c r="G12" s="674">
        <f>+F12/somfinbilsys!$B$61</f>
        <v>0.27744198946037613</v>
      </c>
      <c r="H12" s="3">
        <v>2</v>
      </c>
      <c r="I12" s="667" t="s">
        <v>64</v>
      </c>
      <c r="J12" s="672">
        <f>+sogebkvar!B30</f>
        <v>42844618.908360004</v>
      </c>
      <c r="K12" s="674">
        <f>+J12/somfinbilsys!$B$30</f>
        <v>0.27020889762696704</v>
      </c>
      <c r="L12" s="3">
        <v>2</v>
      </c>
      <c r="M12" s="667" t="s">
        <v>64</v>
      </c>
      <c r="N12" s="672">
        <f>+'sogebkgdes&amp;$  '!B30</f>
        <v>25516968.386440001</v>
      </c>
      <c r="O12" s="674">
        <f>+N12/'sofibilgdes&amp;$ '!$B$30</f>
        <v>0.28463266883572647</v>
      </c>
      <c r="P12" s="3">
        <v>2</v>
      </c>
    </row>
    <row r="13" spans="1:16">
      <c r="A13" s="669" t="s">
        <v>59</v>
      </c>
      <c r="B13" s="672">
        <f>+bncvar!B23</f>
        <v>42887715.978069998</v>
      </c>
      <c r="C13" s="1012">
        <f>+B13/somfinbilsys!$B$23</f>
        <v>0.22016199913257004</v>
      </c>
      <c r="D13" s="3">
        <v>3</v>
      </c>
      <c r="E13" s="667" t="s">
        <v>59</v>
      </c>
      <c r="F13" s="672">
        <f>+bncvar!B61</f>
        <v>10813284.875019999</v>
      </c>
      <c r="G13" s="674">
        <f>+F13/somfinbilsys!$B$61</f>
        <v>0.15131331699004405</v>
      </c>
      <c r="H13" s="3">
        <v>3</v>
      </c>
      <c r="I13" s="667" t="s">
        <v>59</v>
      </c>
      <c r="J13" s="672">
        <f>+bncvar!B30</f>
        <v>33876000.771370001</v>
      </c>
      <c r="K13" s="674">
        <f>+J13/somfinbilsys!$B$30</f>
        <v>0.21364635881161001</v>
      </c>
      <c r="L13" s="3">
        <v>3</v>
      </c>
      <c r="M13" s="667" t="s">
        <v>59</v>
      </c>
      <c r="N13" s="672">
        <f>+'bncgdes&amp;$ '!B30</f>
        <v>14356274.529310001</v>
      </c>
      <c r="O13" s="674">
        <f>+N13/'sofibilgdes&amp;$ '!$B$30</f>
        <v>0.16013911495800398</v>
      </c>
      <c r="P13" s="3">
        <v>3</v>
      </c>
    </row>
    <row r="14" spans="1:16">
      <c r="A14" s="669" t="s">
        <v>66</v>
      </c>
      <c r="B14" s="672">
        <f>+capitalbkvar!B23</f>
        <v>12315640</v>
      </c>
      <c r="C14" s="1012">
        <f>+B14/somfinbilsys!$B$23</f>
        <v>6.3221737533971215E-2</v>
      </c>
      <c r="D14" s="3">
        <v>4</v>
      </c>
      <c r="E14" s="667" t="s">
        <v>66</v>
      </c>
      <c r="F14" s="672">
        <f>+capitalbkvar!B61</f>
        <v>5676483</v>
      </c>
      <c r="G14" s="674">
        <f>+F14/somfinbilsys!$B$61</f>
        <v>7.9432612891927323E-2</v>
      </c>
      <c r="H14" s="3">
        <v>4</v>
      </c>
      <c r="I14" s="667" t="s">
        <v>66</v>
      </c>
      <c r="J14" s="672">
        <f>+capitalbkvar!B30</f>
        <v>10419494</v>
      </c>
      <c r="K14" s="674">
        <f>+J14/somfinbilsys!$B$30</f>
        <v>6.5712802664734116E-2</v>
      </c>
      <c r="L14" s="3">
        <v>4</v>
      </c>
      <c r="M14" s="667" t="s">
        <v>66</v>
      </c>
      <c r="N14" s="672">
        <f>+'capitalbkgdes&amp;$'!B30</f>
        <v>6623756</v>
      </c>
      <c r="O14" s="674">
        <f>+N14/'sofibilgdes&amp;$ '!$B$30</f>
        <v>7.3885632471863125E-2</v>
      </c>
      <c r="P14" s="3">
        <v>4</v>
      </c>
    </row>
    <row r="15" spans="1:16">
      <c r="A15" s="669" t="s">
        <v>68</v>
      </c>
      <c r="B15" s="672">
        <f>+cbnavar!B23</f>
        <v>6360128</v>
      </c>
      <c r="C15" s="1012">
        <f>+B15/somfinbilsys!$B$23</f>
        <v>3.2649407022165414E-2</v>
      </c>
      <c r="D15" s="3">
        <v>5</v>
      </c>
      <c r="E15" s="669" t="s">
        <v>67</v>
      </c>
      <c r="F15" s="672">
        <f>+sgbelvar!B61</f>
        <v>3411437.504776</v>
      </c>
      <c r="G15" s="674">
        <f>+F15/somfinbilsys!$B$61</f>
        <v>4.7737198318373274E-2</v>
      </c>
      <c r="H15" s="3">
        <v>5</v>
      </c>
      <c r="I15" s="667" t="s">
        <v>69</v>
      </c>
      <c r="J15" s="672">
        <f>+scotiavar!B30</f>
        <v>5226196</v>
      </c>
      <c r="K15" s="674">
        <f>+J15/somfinbilsys!$B$30</f>
        <v>3.296014052459964E-2</v>
      </c>
      <c r="L15" s="3">
        <v>5</v>
      </c>
      <c r="M15" s="667" t="s">
        <v>67</v>
      </c>
      <c r="N15" s="672">
        <f>+'sgbelgdes&amp;$'!B30</f>
        <v>3332456.9353400003</v>
      </c>
      <c r="O15" s="674">
        <f>+N15/'sofibilgdes&amp;$ '!$B$30</f>
        <v>3.7172366909777869E-2</v>
      </c>
      <c r="P15" s="3">
        <v>5</v>
      </c>
    </row>
    <row r="16" spans="1:16">
      <c r="A16" s="669" t="s">
        <v>69</v>
      </c>
      <c r="B16" s="134">
        <f>+scotiavar!B23</f>
        <v>6133682</v>
      </c>
      <c r="C16" s="1012">
        <f>+B16/somfinbilsys!$B$23</f>
        <v>3.1486957520749523E-2</v>
      </c>
      <c r="D16" s="3">
        <v>6</v>
      </c>
      <c r="E16" s="667" t="s">
        <v>61</v>
      </c>
      <c r="F16" s="672">
        <f>+buhvar!B61</f>
        <v>2322919.1499111876</v>
      </c>
      <c r="G16" s="674">
        <f>+F16/somfinbilsys!$B$61</f>
        <v>3.2505256796178238E-2</v>
      </c>
      <c r="H16" s="3">
        <v>6</v>
      </c>
      <c r="I16" s="667" t="s">
        <v>61</v>
      </c>
      <c r="J16" s="672">
        <f>+buhvar!B30</f>
        <v>4698809.3730959753</v>
      </c>
      <c r="K16" s="674">
        <f>+J16/somfinbilsys!$B$30</f>
        <v>2.9634062181278561E-2</v>
      </c>
      <c r="L16" s="3">
        <v>6</v>
      </c>
      <c r="M16" s="667" t="s">
        <v>69</v>
      </c>
      <c r="N16" s="672">
        <f>+'scotiagdes&amp;$'!B30</f>
        <v>2652874</v>
      </c>
      <c r="O16" s="674">
        <f>+N16/'sofibilgdes&amp;$ '!$B$30</f>
        <v>2.9591861982561168E-2</v>
      </c>
      <c r="P16" s="3">
        <v>6</v>
      </c>
    </row>
    <row r="17" spans="1:16">
      <c r="A17" s="669" t="s">
        <v>67</v>
      </c>
      <c r="B17" s="672">
        <f>+sgbelvar!B23</f>
        <v>6113904.2318060007</v>
      </c>
      <c r="C17" s="1012">
        <f>+B17/somfinbilsys!$B$23</f>
        <v>3.1385429311921662E-2</v>
      </c>
      <c r="D17" s="3">
        <v>7</v>
      </c>
      <c r="E17" s="667" t="s">
        <v>69</v>
      </c>
      <c r="F17" s="672">
        <f>+scotiavar!B61</f>
        <v>2144425</v>
      </c>
      <c r="G17" s="674">
        <f>+F17/somfinbilsys!$B$61</f>
        <v>3.0007538276917458E-2</v>
      </c>
      <c r="H17" s="3">
        <v>7</v>
      </c>
      <c r="I17" s="667" t="s">
        <v>68</v>
      </c>
      <c r="J17" s="672">
        <f>+cbnavar!B30</f>
        <v>4588078</v>
      </c>
      <c r="K17" s="674">
        <f>+J17/somfinbilsys!$B$30</f>
        <v>2.8935710719196921E-2</v>
      </c>
      <c r="L17" s="3">
        <v>7</v>
      </c>
      <c r="M17" s="667" t="s">
        <v>61</v>
      </c>
      <c r="N17" s="672">
        <f>+'buhgdes&amp;$'!B30</f>
        <v>2497761.247505975</v>
      </c>
      <c r="O17" s="674">
        <f>+N17/'sofibilgdes&amp;$ '!$B$30</f>
        <v>2.7861634627798611E-2</v>
      </c>
      <c r="P17" s="3">
        <v>7</v>
      </c>
    </row>
    <row r="18" spans="1:16">
      <c r="A18" s="669" t="s">
        <v>61</v>
      </c>
      <c r="B18" s="672">
        <f>+buhvar!B23</f>
        <v>5633680.9026068952</v>
      </c>
      <c r="C18" s="1012">
        <f>+B18/somfinbilsys!$B$23</f>
        <v>2.8920226263089793E-2</v>
      </c>
      <c r="D18" s="3">
        <v>8</v>
      </c>
      <c r="E18" s="667" t="s">
        <v>68</v>
      </c>
      <c r="F18" s="672">
        <f>+cbnavar!B61</f>
        <v>1798983</v>
      </c>
      <c r="G18" s="674">
        <f>+F18/somfinbilsys!$B$61</f>
        <v>2.5173671838382688E-2</v>
      </c>
      <c r="H18" s="3">
        <v>8</v>
      </c>
      <c r="I18" s="669" t="s">
        <v>67</v>
      </c>
      <c r="J18" s="672">
        <f>+sgbelvar!B30</f>
        <v>4545217.055470001</v>
      </c>
      <c r="K18" s="674">
        <f>+J18/somfinbilsys!$B$30</f>
        <v>2.866539886049016E-2</v>
      </c>
      <c r="L18" s="3">
        <v>8</v>
      </c>
      <c r="M18" s="667" t="s">
        <v>68</v>
      </c>
      <c r="N18" s="672">
        <f>+'cbnagdes&amp;$'!B30</f>
        <v>2092611</v>
      </c>
      <c r="O18" s="674">
        <f>+N18/'sofibilgdes&amp;$ '!$B$30</f>
        <v>2.3342328318340527E-2</v>
      </c>
      <c r="P18" s="3">
        <v>8</v>
      </c>
    </row>
    <row r="19" spans="1:16">
      <c r="A19" s="669" t="s">
        <v>60</v>
      </c>
      <c r="B19" s="672">
        <f>+bphvar!B23</f>
        <v>3198879.3044799999</v>
      </c>
      <c r="C19" s="1012">
        <f>+B19/somfinbilsys!$B$23</f>
        <v>1.6421290959356308E-2</v>
      </c>
      <c r="D19" s="3">
        <v>9</v>
      </c>
      <c r="E19" s="667" t="s">
        <v>60</v>
      </c>
      <c r="F19" s="672">
        <f>+bphvar!B61</f>
        <v>1281422.89417</v>
      </c>
      <c r="G19" s="674">
        <f>+F19/somfinbilsys!$B$61</f>
        <v>1.7931308647177971E-2</v>
      </c>
      <c r="H19" s="3">
        <v>9</v>
      </c>
      <c r="I19" s="667" t="s">
        <v>60</v>
      </c>
      <c r="J19" s="672">
        <f>+bphvar!B30</f>
        <v>2877905.6299900003</v>
      </c>
      <c r="K19" s="674">
        <f>+J19/somfinbilsys!$B$30</f>
        <v>1.815013711330514E-2</v>
      </c>
      <c r="L19" s="3">
        <v>9</v>
      </c>
      <c r="M19" s="667" t="s">
        <v>60</v>
      </c>
      <c r="N19" s="672">
        <f>+'bphgdes&amp;$'!B30</f>
        <v>1895744.6445899999</v>
      </c>
      <c r="O19" s="674">
        <f>+N19/'sofibilgdes&amp;$ '!$B$30</f>
        <v>2.1146354435561867E-2</v>
      </c>
      <c r="P19" s="3">
        <v>9</v>
      </c>
    </row>
    <row r="20" spans="1:16">
      <c r="C20" s="1303"/>
      <c r="D20" s="4"/>
      <c r="G20" s="1303"/>
      <c r="H20" s="3"/>
      <c r="K20" s="1303"/>
      <c r="L20" s="3" t="s">
        <v>0</v>
      </c>
      <c r="P20" s="3" t="s">
        <v>0</v>
      </c>
    </row>
    <row r="21" spans="1:16">
      <c r="B21" s="24" t="s">
        <v>0</v>
      </c>
      <c r="C21" s="23" t="s">
        <v>0</v>
      </c>
      <c r="D21" s="3" t="s">
        <v>0</v>
      </c>
      <c r="E21" s="189" t="s">
        <v>0</v>
      </c>
      <c r="F21" s="24" t="s">
        <v>0</v>
      </c>
      <c r="G21" s="23"/>
      <c r="H21" s="3" t="s">
        <v>0</v>
      </c>
      <c r="I21" s="189" t="s">
        <v>0</v>
      </c>
      <c r="J21" s="24" t="s">
        <v>0</v>
      </c>
      <c r="K21" s="23" t="s">
        <v>0</v>
      </c>
      <c r="L21" s="3" t="s">
        <v>0</v>
      </c>
      <c r="M21" s="17" t="s">
        <v>0</v>
      </c>
      <c r="N21" s="24" t="s">
        <v>0</v>
      </c>
      <c r="O21" s="98" t="s">
        <v>0</v>
      </c>
      <c r="P21" s="3" t="s">
        <v>0</v>
      </c>
    </row>
    <row r="22" spans="1:16">
      <c r="A22" s="4" t="s">
        <v>70</v>
      </c>
      <c r="B22" s="612">
        <f>SUM(B11:B21)</f>
        <v>194800720.13810733</v>
      </c>
      <c r="C22" s="639">
        <f>SUM(C11:C21)</f>
        <v>1.0000000000000002</v>
      </c>
      <c r="D22" s="3" t="s">
        <v>0</v>
      </c>
      <c r="E22" s="4" t="s">
        <v>70</v>
      </c>
      <c r="F22" s="612">
        <f>SUM(F11:F21)</f>
        <v>71462876.434937194</v>
      </c>
      <c r="G22" s="639">
        <f>SUM(G11:G21)</f>
        <v>1.0000000000000002</v>
      </c>
      <c r="H22" s="3" t="s">
        <v>0</v>
      </c>
      <c r="I22" s="4" t="s">
        <v>70</v>
      </c>
      <c r="J22" s="612">
        <f>SUM(J11:J21)</f>
        <v>158561095.82116178</v>
      </c>
      <c r="K22" s="639">
        <f>SUM(K11:K21)</f>
        <v>0.99999999999999989</v>
      </c>
      <c r="L22" s="3" t="s">
        <v>0</v>
      </c>
      <c r="M22" s="4" t="s">
        <v>70</v>
      </c>
      <c r="N22" s="612">
        <f>SUM(N11:N21)</f>
        <v>89648769.02857177</v>
      </c>
      <c r="O22" s="639">
        <f>SUM(O11:O21)</f>
        <v>0.99999999999999978</v>
      </c>
      <c r="P22" s="3" t="s">
        <v>0</v>
      </c>
    </row>
    <row r="23" spans="1:16">
      <c r="A23" s="17"/>
      <c r="B23" s="20"/>
      <c r="C23" s="139"/>
      <c r="D23" s="3"/>
      <c r="E23" s="17"/>
      <c r="F23" s="20"/>
      <c r="G23" s="139"/>
      <c r="H23" s="3"/>
      <c r="I23" s="17"/>
      <c r="J23" s="20"/>
      <c r="K23" s="139"/>
      <c r="L23" s="3"/>
      <c r="M23" s="17"/>
      <c r="N23" s="33"/>
      <c r="O23" s="139"/>
      <c r="P23" s="3"/>
    </row>
    <row r="24" spans="1:16" ht="16.5" thickBot="1">
      <c r="A24" s="25"/>
      <c r="B24" s="25"/>
      <c r="C24" s="25"/>
      <c r="D24" s="25"/>
      <c r="E24" s="25"/>
      <c r="F24" s="25"/>
      <c r="G24" s="25"/>
      <c r="H24" s="25"/>
      <c r="I24" s="25"/>
      <c r="J24" s="25"/>
      <c r="K24" s="25"/>
      <c r="L24" s="25"/>
      <c r="M24" s="25"/>
      <c r="N24" s="25"/>
      <c r="O24" s="25"/>
      <c r="P24" s="25"/>
    </row>
    <row r="25" spans="1:16">
      <c r="A25" s="26"/>
      <c r="B25" s="26"/>
      <c r="C25" s="26"/>
      <c r="D25" s="26"/>
      <c r="E25" s="26"/>
      <c r="F25" s="26"/>
      <c r="G25" s="26"/>
      <c r="H25" s="26"/>
      <c r="I25" s="26"/>
      <c r="J25" s="26"/>
      <c r="K25" s="26"/>
      <c r="L25" s="26"/>
      <c r="M25" s="26"/>
      <c r="N25" s="26"/>
      <c r="O25" s="26"/>
      <c r="P25" s="26"/>
    </row>
    <row r="26" spans="1:16">
      <c r="A26" s="11" t="s">
        <v>942</v>
      </c>
      <c r="C26" s="1303"/>
      <c r="G26" s="1303"/>
      <c r="K26" s="1303"/>
    </row>
    <row r="27" spans="1:16">
      <c r="B27" s="111" t="s">
        <v>244</v>
      </c>
      <c r="C27" s="111"/>
      <c r="D27" s="111"/>
      <c r="F27" s="111" t="s">
        <v>252</v>
      </c>
      <c r="G27" s="111"/>
      <c r="H27" s="111"/>
      <c r="J27" s="111" t="s">
        <v>246</v>
      </c>
      <c r="K27" s="111"/>
      <c r="L27" s="111"/>
      <c r="N27" s="111" t="s">
        <v>247</v>
      </c>
      <c r="O27" s="111"/>
      <c r="P27" s="111"/>
    </row>
    <row r="28" spans="1:16" ht="16.5" thickBot="1">
      <c r="B28" s="192" t="s">
        <v>248</v>
      </c>
      <c r="C28" s="1" t="s">
        <v>249</v>
      </c>
      <c r="D28" s="1" t="s">
        <v>250</v>
      </c>
      <c r="F28" s="1" t="s">
        <v>248</v>
      </c>
      <c r="G28" s="1" t="s">
        <v>249</v>
      </c>
      <c r="H28" s="1" t="s">
        <v>250</v>
      </c>
      <c r="J28" s="1" t="s">
        <v>248</v>
      </c>
      <c r="K28" s="1" t="s">
        <v>249</v>
      </c>
      <c r="L28" s="1" t="s">
        <v>250</v>
      </c>
      <c r="N28" s="1" t="s">
        <v>248</v>
      </c>
      <c r="O28" s="1" t="s">
        <v>249</v>
      </c>
      <c r="P28" s="1" t="s">
        <v>250</v>
      </c>
    </row>
    <row r="29" spans="1:16">
      <c r="B29" s="3"/>
      <c r="C29" s="3"/>
      <c r="D29" s="3"/>
      <c r="F29" s="3"/>
      <c r="G29" s="3"/>
      <c r="H29" s="3"/>
      <c r="J29" s="3"/>
      <c r="K29" s="3"/>
      <c r="L29" s="3"/>
    </row>
    <row r="30" spans="1:16">
      <c r="A30" s="669" t="s">
        <v>65</v>
      </c>
      <c r="B30" s="672">
        <f>+unibkvar!J23</f>
        <v>59077362.734374464</v>
      </c>
      <c r="C30" s="674">
        <f t="shared" ref="C30:C38" si="0">+B30/$B$41</f>
        <v>0.30373700703452572</v>
      </c>
      <c r="D30" s="3">
        <v>1</v>
      </c>
      <c r="E30" s="667" t="s">
        <v>65</v>
      </c>
      <c r="F30" s="672">
        <f>+unibkvar!J61</f>
        <v>22587458.600659996</v>
      </c>
      <c r="G30" s="674">
        <f t="shared" ref="G30:G38" si="1">+F30/$F$41</f>
        <v>0.32414459685084956</v>
      </c>
      <c r="H30" s="3">
        <v>1</v>
      </c>
      <c r="I30" s="667" t="s">
        <v>65</v>
      </c>
      <c r="J30" s="672">
        <f>+unibkvar!J30</f>
        <v>48486999.598265424</v>
      </c>
      <c r="K30" s="674">
        <f t="shared" ref="K30:K38" si="2">+J30/$J$41</f>
        <v>0.3077579794253244</v>
      </c>
      <c r="L30" s="3">
        <v>1</v>
      </c>
      <c r="M30" s="667" t="s">
        <v>65</v>
      </c>
      <c r="N30" s="672">
        <v>30907445.003855422</v>
      </c>
      <c r="O30" s="674">
        <f t="shared" ref="O30:O38" si="3">+N30/$N$41</f>
        <v>0.34208970830198476</v>
      </c>
      <c r="P30" s="3">
        <v>1</v>
      </c>
    </row>
    <row r="31" spans="1:16">
      <c r="A31" s="669" t="s">
        <v>64</v>
      </c>
      <c r="B31" s="672">
        <f>+sogebkvar!J23</f>
        <v>52053383.624530002</v>
      </c>
      <c r="C31" s="674">
        <f t="shared" si="0"/>
        <v>0.26762431862814506</v>
      </c>
      <c r="D31" s="3">
        <v>2</v>
      </c>
      <c r="E31" s="667" t="s">
        <v>64</v>
      </c>
      <c r="F31" s="672">
        <f>+sogebkvar!J61</f>
        <v>19519215.03672</v>
      </c>
      <c r="G31" s="674">
        <f t="shared" si="1"/>
        <v>0.28011332309593129</v>
      </c>
      <c r="H31" s="3">
        <v>2</v>
      </c>
      <c r="I31" s="667" t="s">
        <v>64</v>
      </c>
      <c r="J31" s="672">
        <f>+sogebkvar!J30</f>
        <v>41458042.765893191</v>
      </c>
      <c r="K31" s="674">
        <f t="shared" si="2"/>
        <v>0.2631435968047901</v>
      </c>
      <c r="L31" s="3">
        <v>2</v>
      </c>
      <c r="M31" s="667" t="s">
        <v>64</v>
      </c>
      <c r="N31" s="672">
        <v>24528341.487223189</v>
      </c>
      <c r="O31" s="674">
        <f t="shared" si="3"/>
        <v>0.27148453013340196</v>
      </c>
      <c r="P31" s="3">
        <v>2</v>
      </c>
    </row>
    <row r="32" spans="1:16">
      <c r="A32" s="669" t="s">
        <v>59</v>
      </c>
      <c r="B32" s="672">
        <f>+bncvar!J23</f>
        <v>44677768.619939998</v>
      </c>
      <c r="C32" s="674">
        <f t="shared" si="0"/>
        <v>0.22970374934671353</v>
      </c>
      <c r="D32" s="3">
        <v>3</v>
      </c>
      <c r="E32" s="667" t="s">
        <v>59</v>
      </c>
      <c r="F32" s="672">
        <f>+bncvar!J61</f>
        <v>11521904.286499999</v>
      </c>
      <c r="G32" s="674">
        <f t="shared" si="1"/>
        <v>0.16534675661973275</v>
      </c>
      <c r="H32" s="3">
        <v>3</v>
      </c>
      <c r="I32" s="667" t="s">
        <v>59</v>
      </c>
      <c r="J32" s="672">
        <f>+bncvar!J30</f>
        <v>35961593.233419999</v>
      </c>
      <c r="K32" s="674">
        <f t="shared" si="2"/>
        <v>0.22825638546685173</v>
      </c>
      <c r="L32" s="3">
        <v>3</v>
      </c>
      <c r="M32" s="667" t="s">
        <v>59</v>
      </c>
      <c r="N32" s="672">
        <v>15463745.287040001</v>
      </c>
      <c r="O32" s="674">
        <f t="shared" si="3"/>
        <v>0.17115578831701642</v>
      </c>
      <c r="P32" s="3">
        <v>3</v>
      </c>
    </row>
    <row r="33" spans="1:16">
      <c r="A33" s="669" t="s">
        <v>66</v>
      </c>
      <c r="B33" s="672">
        <f>+capitalbkvar!J23</f>
        <v>11982488</v>
      </c>
      <c r="C33" s="674">
        <f t="shared" si="0"/>
        <v>6.1606085199017245E-2</v>
      </c>
      <c r="D33" s="3">
        <v>4</v>
      </c>
      <c r="E33" s="667" t="s">
        <v>66</v>
      </c>
      <c r="F33" s="672">
        <f>+capitalbkvar!J61</f>
        <v>5447996</v>
      </c>
      <c r="G33" s="674">
        <f t="shared" si="1"/>
        <v>7.8182255838797246E-2</v>
      </c>
      <c r="H33" s="3">
        <v>4</v>
      </c>
      <c r="I33" s="667" t="s">
        <v>66</v>
      </c>
      <c r="J33" s="672">
        <f>+capitalbkvar!J30</f>
        <v>10146098</v>
      </c>
      <c r="K33" s="674">
        <f t="shared" si="2"/>
        <v>6.4399584329879453E-2</v>
      </c>
      <c r="L33" s="3">
        <v>4</v>
      </c>
      <c r="M33" s="667" t="s">
        <v>66</v>
      </c>
      <c r="N33" s="672">
        <v>6454239</v>
      </c>
      <c r="O33" s="674">
        <f t="shared" si="3"/>
        <v>7.1436792544510713E-2</v>
      </c>
      <c r="P33" s="3">
        <v>4</v>
      </c>
    </row>
    <row r="34" spans="1:16">
      <c r="A34" s="669" t="s">
        <v>68</v>
      </c>
      <c r="B34" s="672">
        <f>+cbnavar!J23</f>
        <v>7089895</v>
      </c>
      <c r="C34" s="674">
        <f t="shared" si="0"/>
        <v>3.6451584631012057E-2</v>
      </c>
      <c r="D34" s="3">
        <v>5</v>
      </c>
      <c r="E34" s="669" t="s">
        <v>67</v>
      </c>
      <c r="F34" s="672">
        <f>+sgbelvar!J61</f>
        <v>3248793.2088270001</v>
      </c>
      <c r="G34" s="674">
        <f t="shared" si="1"/>
        <v>4.6622277589752188E-2</v>
      </c>
      <c r="H34" s="3">
        <v>5</v>
      </c>
      <c r="I34" s="667" t="s">
        <v>68</v>
      </c>
      <c r="J34" s="672">
        <f>+cbnavar!J30</f>
        <v>5538270</v>
      </c>
      <c r="K34" s="674">
        <f t="shared" si="2"/>
        <v>3.5152655326869647E-2</v>
      </c>
      <c r="L34" s="3">
        <v>5</v>
      </c>
      <c r="M34" s="667" t="s">
        <v>68</v>
      </c>
      <c r="N34" s="672">
        <v>3390250</v>
      </c>
      <c r="O34" s="674">
        <f t="shared" si="3"/>
        <v>3.7523956879196359E-2</v>
      </c>
      <c r="P34" s="3">
        <v>5</v>
      </c>
    </row>
    <row r="35" spans="1:16">
      <c r="A35" s="669" t="s">
        <v>69</v>
      </c>
      <c r="B35" s="672">
        <f>+scotiavar!J23</f>
        <v>5905326</v>
      </c>
      <c r="C35" s="674">
        <f t="shared" si="0"/>
        <v>3.0361308660102285E-2</v>
      </c>
      <c r="D35" s="3">
        <v>6</v>
      </c>
      <c r="E35" s="667" t="s">
        <v>61</v>
      </c>
      <c r="F35" s="672">
        <f>+buhvar!J61</f>
        <v>2301326.7615482868</v>
      </c>
      <c r="G35" s="674">
        <f t="shared" si="1"/>
        <v>3.302552308042056E-2</v>
      </c>
      <c r="H35" s="3">
        <v>6</v>
      </c>
      <c r="I35" s="667" t="s">
        <v>69</v>
      </c>
      <c r="J35" s="672">
        <f>+scotiavar!J30</f>
        <v>5024768</v>
      </c>
      <c r="K35" s="674">
        <f t="shared" si="2"/>
        <v>3.1893341711668834E-2</v>
      </c>
      <c r="L35" s="3">
        <v>6</v>
      </c>
      <c r="M35" s="667" t="s">
        <v>67</v>
      </c>
      <c r="N35" s="672">
        <v>3076192.3679899997</v>
      </c>
      <c r="O35" s="674">
        <f t="shared" si="3"/>
        <v>3.4047904953490062E-2</v>
      </c>
      <c r="P35" s="3">
        <v>6</v>
      </c>
    </row>
    <row r="36" spans="1:16">
      <c r="A36" s="669" t="s">
        <v>67</v>
      </c>
      <c r="B36" s="672">
        <f>+sgbelvar!J23</f>
        <v>5665677.6540470002</v>
      </c>
      <c r="C36" s="674">
        <f t="shared" si="0"/>
        <v>2.9129194226223107E-2</v>
      </c>
      <c r="D36" s="3">
        <v>7</v>
      </c>
      <c r="E36" s="667" t="s">
        <v>69</v>
      </c>
      <c r="F36" s="672">
        <f>+scotiavar!J61</f>
        <v>2239595</v>
      </c>
      <c r="G36" s="674">
        <f t="shared" si="1"/>
        <v>3.213963249335923E-2</v>
      </c>
      <c r="H36" s="3">
        <v>7</v>
      </c>
      <c r="I36" s="669" t="s">
        <v>67</v>
      </c>
      <c r="J36" s="672">
        <f>+sgbelvar!J30</f>
        <v>4094458.0879500001</v>
      </c>
      <c r="K36" s="674">
        <f t="shared" si="2"/>
        <v>2.5988453779974625E-2</v>
      </c>
      <c r="L36" s="3">
        <v>7</v>
      </c>
      <c r="M36" s="667" t="s">
        <v>69</v>
      </c>
      <c r="N36" s="672">
        <v>2608779</v>
      </c>
      <c r="O36" s="674">
        <f t="shared" si="3"/>
        <v>2.8874481440410885E-2</v>
      </c>
      <c r="P36" s="3">
        <v>7</v>
      </c>
    </row>
    <row r="37" spans="1:16">
      <c r="A37" s="669" t="s">
        <v>61</v>
      </c>
      <c r="B37" s="672">
        <f>+buhvar!J23</f>
        <v>4984964.2055499339</v>
      </c>
      <c r="C37" s="674">
        <f t="shared" si="0"/>
        <v>2.5629412652961602E-2</v>
      </c>
      <c r="D37" s="3">
        <v>8</v>
      </c>
      <c r="E37" s="667" t="s">
        <v>68</v>
      </c>
      <c r="F37" s="672">
        <f>+cbnavar!J61</f>
        <v>1447380</v>
      </c>
      <c r="G37" s="674">
        <f t="shared" si="1"/>
        <v>2.0770836369182054E-2</v>
      </c>
      <c r="H37" s="3">
        <v>8</v>
      </c>
      <c r="I37" s="667" t="s">
        <v>61</v>
      </c>
      <c r="J37" s="672">
        <f>+buhvar!J30</f>
        <v>4083025.7848088127</v>
      </c>
      <c r="K37" s="674">
        <f t="shared" si="2"/>
        <v>2.591589036000513E-2</v>
      </c>
      <c r="L37" s="3">
        <v>8</v>
      </c>
      <c r="M37" s="667" t="s">
        <v>61</v>
      </c>
      <c r="N37" s="672">
        <v>2111983.0222688126</v>
      </c>
      <c r="O37" s="674">
        <f t="shared" si="3"/>
        <v>2.3375845397008991E-2</v>
      </c>
      <c r="P37" s="3">
        <v>8</v>
      </c>
    </row>
    <row r="38" spans="1:16">
      <c r="A38" s="669" t="s">
        <v>60</v>
      </c>
      <c r="B38" s="672">
        <f>+bphvar!J23</f>
        <v>3064829.2666900004</v>
      </c>
      <c r="C38" s="674">
        <f t="shared" si="0"/>
        <v>1.5757339621299493E-2</v>
      </c>
      <c r="D38" s="3">
        <v>9</v>
      </c>
      <c r="E38" s="667" t="s">
        <v>60</v>
      </c>
      <c r="F38" s="672">
        <f>+bphvar!J61</f>
        <v>1369610.7905000001</v>
      </c>
      <c r="G38" s="674">
        <f t="shared" si="1"/>
        <v>1.9654798061975145E-2</v>
      </c>
      <c r="H38" s="3">
        <v>9</v>
      </c>
      <c r="I38" s="667" t="s">
        <v>60</v>
      </c>
      <c r="J38" s="672">
        <f>+bphvar!J30</f>
        <v>2755867.0213200003</v>
      </c>
      <c r="K38" s="674">
        <f t="shared" si="2"/>
        <v>1.7492112794636031E-2</v>
      </c>
      <c r="L38" s="3">
        <v>9</v>
      </c>
      <c r="M38" s="667" t="s">
        <v>60</v>
      </c>
      <c r="N38" s="672">
        <v>1807972.06324</v>
      </c>
      <c r="O38" s="674">
        <f t="shared" si="3"/>
        <v>2.0010992032979704E-2</v>
      </c>
      <c r="P38" s="3">
        <v>9</v>
      </c>
    </row>
    <row r="39" spans="1:16">
      <c r="D39" s="3" t="s">
        <v>0</v>
      </c>
      <c r="H39" s="3" t="s">
        <v>0</v>
      </c>
      <c r="L39" s="3" t="s">
        <v>0</v>
      </c>
      <c r="P39" s="3" t="s">
        <v>0</v>
      </c>
    </row>
    <row r="40" spans="1:16">
      <c r="A40" s="17"/>
      <c r="B40" s="24" t="s">
        <v>0</v>
      </c>
      <c r="C40" s="139"/>
      <c r="D40" s="3"/>
      <c r="E40" s="17"/>
      <c r="F40" s="20"/>
      <c r="G40" s="139"/>
      <c r="H40" s="3"/>
      <c r="I40" s="17"/>
      <c r="J40" s="20"/>
      <c r="K40" s="139"/>
      <c r="L40" s="3"/>
      <c r="M40" s="17"/>
      <c r="N40" s="33"/>
      <c r="O40" s="139"/>
      <c r="P40" s="3"/>
    </row>
    <row r="41" spans="1:16">
      <c r="A41" s="4" t="s">
        <v>70</v>
      </c>
      <c r="B41" s="612">
        <f>SUM(B30:B40)</f>
        <v>194501695.10513139</v>
      </c>
      <c r="C41" s="640">
        <f>SUM(C30:C40)</f>
        <v>1.0000000000000002</v>
      </c>
      <c r="D41" s="3"/>
      <c r="E41" s="4" t="s">
        <v>70</v>
      </c>
      <c r="F41" s="612">
        <f>SUM(F30:F40)</f>
        <v>69683279.684755281</v>
      </c>
      <c r="G41" s="640">
        <f>SUM(G30:G40)</f>
        <v>1</v>
      </c>
      <c r="H41" s="3"/>
      <c r="I41" s="4" t="s">
        <v>70</v>
      </c>
      <c r="J41" s="612">
        <f>SUM(J30:J40)</f>
        <v>157549122.49165744</v>
      </c>
      <c r="K41" s="640">
        <f>SUM(K30:K40)</f>
        <v>0.99999999999999978</v>
      </c>
      <c r="L41" s="3"/>
      <c r="M41" s="4" t="s">
        <v>70</v>
      </c>
      <c r="N41" s="612">
        <f>SUM(N30:N40)</f>
        <v>90348947.231617436</v>
      </c>
      <c r="O41" s="640">
        <f>SUM(O30:O40)</f>
        <v>1</v>
      </c>
      <c r="P41" s="3"/>
    </row>
    <row r="42" spans="1:16" ht="16.5" thickBot="1">
      <c r="A42" s="25"/>
      <c r="B42" s="25"/>
      <c r="C42" s="25"/>
      <c r="D42" s="25"/>
      <c r="E42" s="25"/>
      <c r="F42" s="25"/>
      <c r="G42" s="25"/>
      <c r="H42" s="25"/>
      <c r="I42" s="25"/>
      <c r="J42" s="25"/>
      <c r="K42" s="25"/>
      <c r="L42" s="25"/>
      <c r="M42" s="25"/>
      <c r="N42" s="168"/>
      <c r="O42" s="25"/>
      <c r="P42" s="25"/>
    </row>
    <row r="43" spans="1:16">
      <c r="A43" s="26"/>
      <c r="B43" s="26"/>
      <c r="C43" s="26"/>
      <c r="D43" s="26"/>
      <c r="E43" s="26"/>
      <c r="F43" s="26"/>
      <c r="G43" s="26"/>
      <c r="H43" s="26"/>
      <c r="I43" s="26"/>
      <c r="J43" s="26"/>
      <c r="K43" s="26"/>
      <c r="L43" s="26"/>
      <c r="M43" s="26"/>
      <c r="N43" s="188"/>
      <c r="O43" s="26"/>
      <c r="P43" s="26"/>
    </row>
    <row r="44" spans="1:16">
      <c r="A44" s="11" t="s">
        <v>882</v>
      </c>
    </row>
    <row r="45" spans="1:16">
      <c r="B45" s="111" t="s">
        <v>244</v>
      </c>
      <c r="C45" s="111"/>
      <c r="D45" s="111"/>
      <c r="F45" s="111" t="s">
        <v>252</v>
      </c>
      <c r="G45" s="111"/>
      <c r="H45" s="111"/>
      <c r="J45" s="111" t="s">
        <v>246</v>
      </c>
      <c r="K45" s="111"/>
      <c r="L45" s="111"/>
      <c r="N45" s="111" t="s">
        <v>247</v>
      </c>
      <c r="O45" s="111"/>
      <c r="P45" s="111"/>
    </row>
    <row r="46" spans="1:16" ht="16.5" thickBot="1">
      <c r="B46" s="1" t="s">
        <v>248</v>
      </c>
      <c r="C46" s="1" t="s">
        <v>249</v>
      </c>
      <c r="D46" s="1" t="s">
        <v>250</v>
      </c>
      <c r="F46" s="1" t="s">
        <v>248</v>
      </c>
      <c r="G46" s="1" t="s">
        <v>249</v>
      </c>
      <c r="H46" s="1" t="s">
        <v>250</v>
      </c>
      <c r="J46" s="1" t="s">
        <v>248</v>
      </c>
      <c r="K46" s="1" t="s">
        <v>249</v>
      </c>
      <c r="L46" s="1" t="s">
        <v>250</v>
      </c>
      <c r="N46" s="1" t="s">
        <v>248</v>
      </c>
      <c r="O46" s="1" t="s">
        <v>249</v>
      </c>
      <c r="P46" s="1" t="s">
        <v>250</v>
      </c>
    </row>
    <row r="47" spans="1:16">
      <c r="B47" s="3"/>
      <c r="C47" s="3"/>
      <c r="D47" s="3"/>
      <c r="F47" s="3"/>
      <c r="G47" s="3"/>
      <c r="H47" s="3"/>
      <c r="J47" s="3"/>
      <c r="K47" s="3"/>
      <c r="L47" s="3"/>
      <c r="N47" s="3"/>
      <c r="O47" s="3"/>
      <c r="P47" s="3"/>
    </row>
    <row r="48" spans="1:16">
      <c r="A48" s="669" t="s">
        <v>65</v>
      </c>
      <c r="B48" s="672">
        <f>+unibkvar!L23</f>
        <v>53646035.588584416</v>
      </c>
      <c r="C48" s="674">
        <f t="shared" ref="C48:C56" si="4">+B48/$B$59</f>
        <v>0.30492478597485828</v>
      </c>
      <c r="D48" s="3">
        <v>1</v>
      </c>
      <c r="E48" s="667" t="s">
        <v>65</v>
      </c>
      <c r="F48" s="672">
        <f>+unibkvar!L61</f>
        <v>20138504.26199</v>
      </c>
      <c r="G48" s="674">
        <f t="shared" ref="G48:G56" si="5">+F48/$F$59</f>
        <v>0.31825338442506068</v>
      </c>
      <c r="H48" s="3">
        <v>1</v>
      </c>
      <c r="I48" s="667" t="s">
        <v>65</v>
      </c>
      <c r="J48" s="672">
        <f>+unibkvar!L30</f>
        <v>45712814.625168048</v>
      </c>
      <c r="K48" s="674">
        <f t="shared" ref="K48:K56" si="6">+J48/$J$59</f>
        <v>0.31386259485583912</v>
      </c>
      <c r="L48" s="3">
        <v>1</v>
      </c>
      <c r="M48" s="667" t="s">
        <v>65</v>
      </c>
      <c r="N48" s="672">
        <v>29463852.066798046</v>
      </c>
      <c r="O48" s="674">
        <f t="shared" ref="O48:O56" si="7">+N48/$N$59</f>
        <v>0.36682802925471025</v>
      </c>
      <c r="P48" s="3">
        <v>1</v>
      </c>
    </row>
    <row r="49" spans="1:16">
      <c r="A49" s="669" t="s">
        <v>64</v>
      </c>
      <c r="B49" s="672">
        <f>+sogebkvar!L23</f>
        <v>47242844.155240007</v>
      </c>
      <c r="C49" s="674">
        <f t="shared" si="4"/>
        <v>0.26852895996560011</v>
      </c>
      <c r="D49" s="3">
        <v>2</v>
      </c>
      <c r="E49" s="667" t="s">
        <v>64</v>
      </c>
      <c r="F49" s="672">
        <f>+sogebkvar!L61</f>
        <v>19055477.5</v>
      </c>
      <c r="G49" s="674">
        <f t="shared" si="5"/>
        <v>0.30113806503777207</v>
      </c>
      <c r="H49" s="3">
        <v>2</v>
      </c>
      <c r="I49" s="667" t="s">
        <v>64</v>
      </c>
      <c r="J49" s="672">
        <f>+sogebkvar!L30</f>
        <v>38659805.485894106</v>
      </c>
      <c r="K49" s="674">
        <f t="shared" si="6"/>
        <v>0.26543687948158418</v>
      </c>
      <c r="L49" s="3">
        <v>2</v>
      </c>
      <c r="M49" s="667" t="s">
        <v>64</v>
      </c>
      <c r="N49" s="672">
        <v>22767805.04199411</v>
      </c>
      <c r="O49" s="674">
        <f t="shared" si="7"/>
        <v>0.28346154586560773</v>
      </c>
      <c r="P49" s="3">
        <v>2</v>
      </c>
    </row>
    <row r="50" spans="1:16">
      <c r="A50" s="669" t="s">
        <v>59</v>
      </c>
      <c r="B50" s="672">
        <f>+bncvar!L23</f>
        <v>42562734.95922</v>
      </c>
      <c r="C50" s="674">
        <f t="shared" si="4"/>
        <v>0.24192715650933427</v>
      </c>
      <c r="D50" s="3">
        <v>3</v>
      </c>
      <c r="E50" s="667" t="s">
        <v>59</v>
      </c>
      <c r="F50" s="672">
        <f>+bncvar!L61</f>
        <v>10260466.46941</v>
      </c>
      <c r="G50" s="674">
        <f t="shared" si="5"/>
        <v>0.16214849609426307</v>
      </c>
      <c r="H50" s="3">
        <v>3</v>
      </c>
      <c r="I50" s="667" t="s">
        <v>59</v>
      </c>
      <c r="J50" s="672">
        <f>+bncvar!L30</f>
        <v>34943124.978070006</v>
      </c>
      <c r="K50" s="674">
        <f t="shared" si="6"/>
        <v>0.23991828041913357</v>
      </c>
      <c r="L50" s="3">
        <v>3</v>
      </c>
      <c r="M50" s="667" t="s">
        <v>59</v>
      </c>
      <c r="N50" s="672">
        <v>12384722.066070002</v>
      </c>
      <c r="O50" s="674">
        <f t="shared" si="7"/>
        <v>0.15419108058457937</v>
      </c>
      <c r="P50" s="3">
        <v>3</v>
      </c>
    </row>
    <row r="51" spans="1:16">
      <c r="A51" s="669" t="s">
        <v>66</v>
      </c>
      <c r="B51" s="672">
        <f>+capitalbkvar!L23</f>
        <v>10321926</v>
      </c>
      <c r="C51" s="674">
        <f t="shared" si="4"/>
        <v>5.8669965857981822E-2</v>
      </c>
      <c r="D51" s="3">
        <v>4</v>
      </c>
      <c r="E51" s="667" t="s">
        <v>66</v>
      </c>
      <c r="F51" s="672">
        <f>+capitalbkvar!L61</f>
        <v>4747381</v>
      </c>
      <c r="G51" s="674">
        <f t="shared" si="5"/>
        <v>7.5023946701786054E-2</v>
      </c>
      <c r="H51" s="3">
        <v>4</v>
      </c>
      <c r="I51" s="667" t="s">
        <v>66</v>
      </c>
      <c r="J51" s="672">
        <f>+capitalbkvar!L30</f>
        <v>8746876</v>
      </c>
      <c r="K51" s="674">
        <f t="shared" si="6"/>
        <v>6.005574630993684E-2</v>
      </c>
      <c r="L51" s="3">
        <v>4</v>
      </c>
      <c r="M51" s="667" t="s">
        <v>66</v>
      </c>
      <c r="N51" s="672">
        <v>5702610</v>
      </c>
      <c r="O51" s="674">
        <f t="shared" si="7"/>
        <v>7.0998088884157776E-2</v>
      </c>
      <c r="P51" s="3">
        <v>4</v>
      </c>
    </row>
    <row r="52" spans="1:16">
      <c r="A52" s="669" t="s">
        <v>69</v>
      </c>
      <c r="B52" s="672">
        <f>+scotiavar!L23</f>
        <v>5828831</v>
      </c>
      <c r="C52" s="674">
        <f t="shared" si="4"/>
        <v>3.3131153600785938E-2</v>
      </c>
      <c r="D52" s="3">
        <v>5</v>
      </c>
      <c r="E52" s="669" t="s">
        <v>67</v>
      </c>
      <c r="F52" s="672">
        <f>+sgbelvar!L61</f>
        <v>2596651.3525900003</v>
      </c>
      <c r="G52" s="674">
        <f t="shared" si="5"/>
        <v>4.1035474650092933E-2</v>
      </c>
      <c r="H52" s="3">
        <v>5</v>
      </c>
      <c r="I52" s="667" t="s">
        <v>69</v>
      </c>
      <c r="J52" s="672">
        <f>+scotiavar!L30</f>
        <v>4709054</v>
      </c>
      <c r="K52" s="674">
        <f t="shared" si="6"/>
        <v>3.2332200934801554E-2</v>
      </c>
      <c r="L52" s="3">
        <v>5</v>
      </c>
      <c r="M52" s="669" t="s">
        <v>68</v>
      </c>
      <c r="N52" s="672">
        <v>2413147</v>
      </c>
      <c r="O52" s="674">
        <f t="shared" si="7"/>
        <v>3.0043931672784685E-2</v>
      </c>
      <c r="P52" s="3">
        <v>5</v>
      </c>
    </row>
    <row r="53" spans="1:16">
      <c r="A53" s="669" t="s">
        <v>68</v>
      </c>
      <c r="B53" s="672">
        <f>+cbnavar!L23</f>
        <v>5336958</v>
      </c>
      <c r="C53" s="674">
        <f t="shared" si="4"/>
        <v>3.0335340870054961E-2</v>
      </c>
      <c r="D53" s="3">
        <v>6</v>
      </c>
      <c r="E53" s="667" t="s">
        <v>69</v>
      </c>
      <c r="F53" s="672">
        <f>+scotiavar!L61</f>
        <v>2286119</v>
      </c>
      <c r="G53" s="674">
        <f t="shared" si="5"/>
        <v>3.6128060926633114E-2</v>
      </c>
      <c r="H53" s="3">
        <v>6</v>
      </c>
      <c r="I53" s="667" t="s">
        <v>68</v>
      </c>
      <c r="J53" s="672">
        <f>+cbnavar!L30</f>
        <v>4192263</v>
      </c>
      <c r="K53" s="674">
        <f t="shared" si="6"/>
        <v>2.8783931908093214E-2</v>
      </c>
      <c r="L53" s="3">
        <v>6</v>
      </c>
      <c r="M53" s="667" t="s">
        <v>69</v>
      </c>
      <c r="N53" s="672">
        <v>2283561</v>
      </c>
      <c r="O53" s="674">
        <f t="shared" si="7"/>
        <v>2.8430572466010513E-2</v>
      </c>
      <c r="P53" s="3">
        <v>6</v>
      </c>
    </row>
    <row r="54" spans="1:16">
      <c r="A54" s="669" t="s">
        <v>67</v>
      </c>
      <c r="B54" s="672">
        <f>+sgbelvar!L23</f>
        <v>4229765.2296399996</v>
      </c>
      <c r="C54" s="674">
        <f t="shared" si="4"/>
        <v>2.4042042309764419E-2</v>
      </c>
      <c r="D54" s="3">
        <v>7</v>
      </c>
      <c r="E54" s="667" t="s">
        <v>61</v>
      </c>
      <c r="F54" s="672">
        <f>+buhvar!L61</f>
        <v>1434132.415562616</v>
      </c>
      <c r="G54" s="674">
        <f t="shared" si="5"/>
        <v>2.2663922257024113E-2</v>
      </c>
      <c r="H54" s="3">
        <v>7</v>
      </c>
      <c r="I54" s="667" t="s">
        <v>61</v>
      </c>
      <c r="J54" s="672">
        <f>+buhvar!L30</f>
        <v>3559859.3377783522</v>
      </c>
      <c r="K54" s="674">
        <f t="shared" si="6"/>
        <v>2.4441870364765257E-2</v>
      </c>
      <c r="L54" s="3">
        <v>7</v>
      </c>
      <c r="M54" s="667" t="s">
        <v>67</v>
      </c>
      <c r="N54" s="672">
        <v>2122462.6126100002</v>
      </c>
      <c r="O54" s="674">
        <f t="shared" si="7"/>
        <v>2.6424880751688529E-2</v>
      </c>
      <c r="P54" s="3">
        <v>7</v>
      </c>
    </row>
    <row r="55" spans="1:16">
      <c r="A55" s="669" t="s">
        <v>61</v>
      </c>
      <c r="B55" s="672">
        <f>+buhvar!L23</f>
        <v>4047813.4373765527</v>
      </c>
      <c r="C55" s="674">
        <f t="shared" si="4"/>
        <v>2.3007825881561483E-2</v>
      </c>
      <c r="D55" s="3">
        <v>8</v>
      </c>
      <c r="E55" s="667" t="s">
        <v>60</v>
      </c>
      <c r="F55" s="672">
        <f>+bphvar!L61</f>
        <v>1422764.2750200001</v>
      </c>
      <c r="G55" s="674">
        <f t="shared" si="5"/>
        <v>2.2484268934451598E-2</v>
      </c>
      <c r="H55" s="3">
        <v>8</v>
      </c>
      <c r="I55" s="669" t="s">
        <v>67</v>
      </c>
      <c r="J55" s="672">
        <f>+sgbelvar!L30</f>
        <v>2799809.7543299999</v>
      </c>
      <c r="K55" s="674">
        <f t="shared" si="6"/>
        <v>1.922339636712914E-2</v>
      </c>
      <c r="L55" s="3">
        <v>8</v>
      </c>
      <c r="M55" s="667" t="s">
        <v>61</v>
      </c>
      <c r="N55" s="672">
        <v>1841470.0082183518</v>
      </c>
      <c r="O55" s="674">
        <f t="shared" si="7"/>
        <v>2.2926493539098286E-2</v>
      </c>
      <c r="P55" s="3">
        <v>8</v>
      </c>
    </row>
    <row r="56" spans="1:16">
      <c r="A56" s="669" t="s">
        <v>60</v>
      </c>
      <c r="B56" s="672">
        <f>+bphvar!L23</f>
        <v>2715118.3330999995</v>
      </c>
      <c r="C56" s="674">
        <f t="shared" si="4"/>
        <v>1.543276903005868E-2</v>
      </c>
      <c r="D56" s="3">
        <v>9</v>
      </c>
      <c r="E56" s="667" t="s">
        <v>68</v>
      </c>
      <c r="F56" s="672">
        <f>+cbnavar!L61</f>
        <v>1336713</v>
      </c>
      <c r="G56" s="674">
        <f t="shared" si="5"/>
        <v>2.1124380972916339E-2</v>
      </c>
      <c r="H56" s="3">
        <v>9</v>
      </c>
      <c r="I56" s="667" t="s">
        <v>60</v>
      </c>
      <c r="J56" s="672">
        <f>+bphvar!L30</f>
        <v>2322339.0844000001</v>
      </c>
      <c r="K56" s="674">
        <f t="shared" si="6"/>
        <v>1.5945099358717033E-2</v>
      </c>
      <c r="L56" s="3">
        <v>9</v>
      </c>
      <c r="M56" s="667" t="s">
        <v>60</v>
      </c>
      <c r="N56" s="672">
        <v>1340982.9084700001</v>
      </c>
      <c r="O56" s="674">
        <f t="shared" si="7"/>
        <v>1.6695376981362829E-2</v>
      </c>
      <c r="P56" s="3">
        <v>9</v>
      </c>
    </row>
    <row r="57" spans="1:16">
      <c r="D57" s="3" t="s">
        <v>0</v>
      </c>
      <c r="H57" s="3" t="s">
        <v>0</v>
      </c>
      <c r="L57" s="3" t="s">
        <v>0</v>
      </c>
      <c r="P57" s="3" t="s">
        <v>0</v>
      </c>
    </row>
    <row r="58" spans="1:16">
      <c r="D58" s="3" t="s">
        <v>0</v>
      </c>
      <c r="E58" s="667" t="s">
        <v>0</v>
      </c>
      <c r="F58" s="134" t="s">
        <v>0</v>
      </c>
      <c r="G58" s="988" t="s">
        <v>0</v>
      </c>
      <c r="H58" s="3" t="s">
        <v>0</v>
      </c>
      <c r="I58" s="669" t="s">
        <v>0</v>
      </c>
      <c r="J58" s="134" t="s">
        <v>0</v>
      </c>
      <c r="K58" s="988" t="s">
        <v>0</v>
      </c>
      <c r="L58" s="3" t="s">
        <v>0</v>
      </c>
      <c r="M58" s="669" t="s">
        <v>0</v>
      </c>
      <c r="N58" s="134" t="s">
        <v>54</v>
      </c>
      <c r="O58" s="62" t="s">
        <v>0</v>
      </c>
      <c r="P58" s="3" t="s">
        <v>0</v>
      </c>
    </row>
    <row r="59" spans="1:16">
      <c r="A59" s="4" t="s">
        <v>70</v>
      </c>
      <c r="B59" s="612">
        <f>SUM(B48:B58)</f>
        <v>175932026.70316097</v>
      </c>
      <c r="C59" s="640">
        <f>SUM(C48:C58)</f>
        <v>0.99999999999999978</v>
      </c>
      <c r="D59" s="3" t="s">
        <v>0</v>
      </c>
      <c r="E59" s="4" t="s">
        <v>70</v>
      </c>
      <c r="F59" s="612">
        <f>SUM(F48:F58)</f>
        <v>63278209.274572618</v>
      </c>
      <c r="G59" s="640">
        <f>SUM(G48:G58)</f>
        <v>0.99999999999999989</v>
      </c>
      <c r="H59" s="3" t="s">
        <v>0</v>
      </c>
      <c r="I59" s="4" t="s">
        <v>70</v>
      </c>
      <c r="J59" s="612">
        <f>SUM(J48:J58)</f>
        <v>145645946.26564053</v>
      </c>
      <c r="K59" s="640">
        <f>SUM(K48:K58)</f>
        <v>1</v>
      </c>
      <c r="L59" s="3" t="s">
        <v>0</v>
      </c>
      <c r="M59" s="4" t="s">
        <v>70</v>
      </c>
      <c r="N59" s="612">
        <f>SUM(N48:N58)</f>
        <v>80320612.704160511</v>
      </c>
      <c r="O59" s="639">
        <f>SUM(O48:O58)</f>
        <v>0.99999999999999989</v>
      </c>
      <c r="P59" s="3" t="s">
        <v>0</v>
      </c>
    </row>
    <row r="60" spans="1:16" ht="16.5" thickBot="1">
      <c r="A60" s="169" t="s">
        <v>0</v>
      </c>
      <c r="B60" s="209" t="s">
        <v>0</v>
      </c>
      <c r="C60" s="25"/>
      <c r="D60" s="25"/>
      <c r="E60" s="25"/>
      <c r="F60" s="25"/>
      <c r="G60" s="25"/>
      <c r="H60" s="25"/>
      <c r="I60" s="25"/>
      <c r="J60" s="25"/>
      <c r="K60" s="25"/>
      <c r="L60" s="25"/>
      <c r="M60" s="25" t="s">
        <v>0</v>
      </c>
      <c r="N60" s="25"/>
      <c r="O60" s="25"/>
      <c r="P60" s="25"/>
    </row>
    <row r="62" spans="1:16">
      <c r="A62" s="11" t="s">
        <v>0</v>
      </c>
      <c r="N62" s="11" t="s">
        <v>0</v>
      </c>
    </row>
    <row r="63" spans="1:16">
      <c r="A63" s="11" t="s">
        <v>0</v>
      </c>
    </row>
    <row r="65" spans="14:14">
      <c r="N65" s="116"/>
    </row>
    <row r="67" spans="14:14">
      <c r="N67" s="116"/>
    </row>
  </sheetData>
  <sortState ref="A30:C38">
    <sortCondition descending="1" ref="B30:B38"/>
  </sortState>
  <phoneticPr fontId="0" type="noConversion"/>
  <pageMargins left="0.32" right="0.23" top="0.65" bottom="0.38" header="0.54" footer="0.21"/>
  <pageSetup scale="49" orientation="landscape" r:id="rId1"/>
  <headerFooter alignWithMargins="0">
    <oddFooter>&amp;R&amp;16&amp;P</oddFooter>
  </headerFooter>
</worksheet>
</file>

<file path=xl/worksheets/sheet29.xml><?xml version="1.0" encoding="utf-8"?>
<worksheet xmlns="http://schemas.openxmlformats.org/spreadsheetml/2006/main" xmlns:r="http://schemas.openxmlformats.org/officeDocument/2006/relationships">
  <sheetPr>
    <pageSetUpPr fitToPage="1"/>
  </sheetPr>
  <dimension ref="A1:N62"/>
  <sheetViews>
    <sheetView topLeftCell="F4" workbookViewId="0">
      <selection activeCell="B6" sqref="B6"/>
    </sheetView>
  </sheetViews>
  <sheetFormatPr baseColWidth="10" defaultColWidth="9" defaultRowHeight="15.75"/>
  <cols>
    <col min="1" max="1" width="28.125" customWidth="1"/>
    <col min="2" max="2" width="16.625" customWidth="1"/>
    <col min="3" max="3" width="10.375" customWidth="1"/>
    <col min="6" max="6" width="25.625" customWidth="1"/>
    <col min="7" max="7" width="17.125" customWidth="1"/>
    <col min="8" max="8" width="10.25" customWidth="1"/>
    <col min="10" max="10" width="25.75" customWidth="1"/>
    <col min="11" max="11" width="16.75" customWidth="1"/>
    <col min="12" max="12" width="10.625" customWidth="1"/>
    <col min="14" max="14" width="29" customWidth="1"/>
  </cols>
  <sheetData>
    <row r="1" spans="1:14">
      <c r="A1" s="1556" t="s">
        <v>192</v>
      </c>
      <c r="B1" s="1556"/>
      <c r="C1" s="1556"/>
      <c r="D1" s="1556"/>
      <c r="E1" s="1556"/>
      <c r="F1" s="1556"/>
      <c r="G1" s="1556"/>
      <c r="H1" s="1556"/>
      <c r="I1" s="1556"/>
      <c r="J1" s="1556"/>
      <c r="K1" s="1556"/>
      <c r="L1" s="1556"/>
      <c r="M1" s="1556"/>
      <c r="N1" s="1556"/>
    </row>
    <row r="2" spans="1:14">
      <c r="A2" s="1556" t="s">
        <v>193</v>
      </c>
      <c r="B2" s="1556"/>
      <c r="C2" s="1556"/>
      <c r="D2" s="1556"/>
      <c r="E2" s="1556"/>
      <c r="F2" s="1556"/>
      <c r="G2" s="1556"/>
      <c r="H2" s="1556"/>
      <c r="I2" s="1556"/>
      <c r="J2" s="1556"/>
      <c r="K2" s="1556"/>
      <c r="L2" s="1556"/>
      <c r="M2" s="1556"/>
      <c r="N2" s="1556"/>
    </row>
    <row r="3" spans="1:14">
      <c r="A3" s="1556" t="s">
        <v>242</v>
      </c>
      <c r="B3" s="1556"/>
      <c r="C3" s="1556"/>
      <c r="D3" s="1556"/>
      <c r="E3" s="1556"/>
      <c r="F3" s="1556"/>
      <c r="G3" s="1556"/>
      <c r="H3" s="1556"/>
      <c r="I3" s="1556"/>
      <c r="J3" s="1556"/>
      <c r="K3" s="1556"/>
      <c r="L3" s="1556"/>
      <c r="M3" s="1556"/>
      <c r="N3" s="1556"/>
    </row>
    <row r="4" spans="1:14">
      <c r="A4" s="1556" t="s">
        <v>650</v>
      </c>
      <c r="B4" s="1556"/>
      <c r="C4" s="1556"/>
      <c r="D4" s="1556"/>
      <c r="E4" s="1556"/>
      <c r="F4" s="1556"/>
      <c r="G4" s="1556"/>
      <c r="H4" s="1556"/>
      <c r="I4" s="1556"/>
      <c r="J4" s="1556"/>
      <c r="K4" s="1556"/>
      <c r="L4" s="1556"/>
      <c r="M4" s="1556"/>
      <c r="N4" s="1556"/>
    </row>
    <row r="5" spans="1:14" ht="16.5" thickBot="1">
      <c r="A5" s="25"/>
      <c r="B5" s="25"/>
      <c r="C5" s="25"/>
      <c r="D5" s="25"/>
      <c r="E5" s="1366"/>
      <c r="F5" s="25"/>
      <c r="G5" s="25"/>
      <c r="H5" s="25"/>
      <c r="I5" s="25"/>
      <c r="J5" s="25"/>
      <c r="K5" s="25"/>
      <c r="L5" s="25"/>
      <c r="M5" s="25"/>
      <c r="N5" s="25"/>
    </row>
    <row r="6" spans="1:14">
      <c r="A6" s="26"/>
      <c r="B6" s="26"/>
      <c r="C6" s="26"/>
      <c r="D6" s="26"/>
      <c r="E6" s="1367"/>
      <c r="F6" s="1554" t="s">
        <v>911</v>
      </c>
      <c r="G6" s="1554"/>
      <c r="H6" s="1554"/>
      <c r="I6" s="1554"/>
      <c r="J6" s="1554"/>
      <c r="K6" s="1554"/>
      <c r="L6" s="1554"/>
      <c r="M6" s="1554"/>
      <c r="N6" s="1554"/>
    </row>
    <row r="7" spans="1:14">
      <c r="A7" s="11" t="str">
        <f>+'partdemarc. '!A7</f>
        <v>AU 31 DÉCEMBRE 2014</v>
      </c>
      <c r="E7" s="1368"/>
    </row>
    <row r="8" spans="1:14">
      <c r="B8" s="111" t="s">
        <v>266</v>
      </c>
      <c r="C8" s="111"/>
      <c r="D8" s="111"/>
      <c r="E8" s="1369"/>
      <c r="G8" s="111" t="s">
        <v>639</v>
      </c>
      <c r="H8" s="111"/>
      <c r="I8" s="111"/>
      <c r="K8" s="111" t="s">
        <v>640</v>
      </c>
      <c r="L8" s="111"/>
      <c r="M8" s="111"/>
    </row>
    <row r="9" spans="1:14" ht="16.5" thickBot="1">
      <c r="B9" s="1" t="s">
        <v>248</v>
      </c>
      <c r="C9" s="1" t="s">
        <v>249</v>
      </c>
      <c r="D9" s="1" t="s">
        <v>250</v>
      </c>
      <c r="E9" s="1370"/>
      <c r="G9" s="1" t="s">
        <v>248</v>
      </c>
      <c r="H9" s="1" t="s">
        <v>249</v>
      </c>
      <c r="I9" s="1" t="s">
        <v>250</v>
      </c>
      <c r="K9" s="1" t="s">
        <v>248</v>
      </c>
      <c r="L9" s="1" t="s">
        <v>249</v>
      </c>
      <c r="M9" s="1" t="s">
        <v>250</v>
      </c>
    </row>
    <row r="10" spans="1:14" ht="9.6" customHeight="1">
      <c r="B10" s="3"/>
      <c r="C10" s="3"/>
      <c r="D10" s="3"/>
      <c r="E10" s="1371"/>
      <c r="G10" s="3"/>
      <c r="H10" s="3"/>
      <c r="I10" s="3"/>
      <c r="K10" s="3"/>
      <c r="L10" s="3"/>
      <c r="M10" s="3"/>
    </row>
    <row r="11" spans="1:14">
      <c r="A11" s="669" t="s">
        <v>65</v>
      </c>
      <c r="B11" s="672">
        <f>+unibkvar!B45</f>
        <v>53253894.909860753</v>
      </c>
      <c r="C11" s="674">
        <f>+B11/somfinbilsys!$B$45</f>
        <v>0.29702712889539962</v>
      </c>
      <c r="D11" s="3">
        <v>1</v>
      </c>
      <c r="E11" s="1371"/>
      <c r="F11" s="667" t="s">
        <v>65</v>
      </c>
      <c r="G11" s="672">
        <f>+'RÉSULTsyst  '!G24</f>
        <v>930707.57854000002</v>
      </c>
      <c r="H11" s="674">
        <f>+G11/somfinrésys!$B$23</f>
        <v>0.33117911857268573</v>
      </c>
      <c r="I11" s="3">
        <v>1</v>
      </c>
      <c r="J11" s="667" t="s">
        <v>65</v>
      </c>
      <c r="K11" s="672">
        <f>+'RÉSULTsyst  '!G42</f>
        <v>341723.59331999999</v>
      </c>
      <c r="L11" s="674">
        <f t="shared" ref="L11:L19" si="0">+K11/$K$21</f>
        <v>0.45410139370494673</v>
      </c>
      <c r="M11" s="3">
        <v>1</v>
      </c>
      <c r="N11" s="667" t="s">
        <v>0</v>
      </c>
    </row>
    <row r="12" spans="1:14">
      <c r="A12" s="669" t="s">
        <v>64</v>
      </c>
      <c r="B12" s="672">
        <f>+sogebkvar!B45</f>
        <v>49224904.135710001</v>
      </c>
      <c r="C12" s="674">
        <f>+B12/somfinbilsys!$B$45</f>
        <v>0.27455516578326189</v>
      </c>
      <c r="D12" s="3">
        <v>2</v>
      </c>
      <c r="E12" s="1371"/>
      <c r="F12" s="667" t="s">
        <v>64</v>
      </c>
      <c r="G12" s="672">
        <f>+'RÉSULTsyst  '!F24</f>
        <v>755047.88289999997</v>
      </c>
      <c r="H12" s="674">
        <f>+G12/somfinrésys!$B$23</f>
        <v>0.26867310216948825</v>
      </c>
      <c r="I12" s="3">
        <v>2</v>
      </c>
      <c r="J12" s="667" t="s">
        <v>59</v>
      </c>
      <c r="K12" s="672">
        <f>+'RÉSULTsyst  '!B42</f>
        <v>180285.65386000002</v>
      </c>
      <c r="L12" s="674">
        <f t="shared" si="0"/>
        <v>0.23957364455713789</v>
      </c>
      <c r="M12" s="3">
        <v>2</v>
      </c>
      <c r="N12" s="667" t="s">
        <v>0</v>
      </c>
    </row>
    <row r="13" spans="1:14">
      <c r="A13" s="669" t="s">
        <v>59</v>
      </c>
      <c r="B13" s="672">
        <f>+bncvar!B45</f>
        <v>39696352.819279999</v>
      </c>
      <c r="C13" s="674">
        <f>+B13/somfinbilsys!$B$45</f>
        <v>0.22140903919773727</v>
      </c>
      <c r="D13" s="3">
        <v>3</v>
      </c>
      <c r="E13" s="1371"/>
      <c r="F13" s="667" t="s">
        <v>59</v>
      </c>
      <c r="G13" s="672">
        <f>+'RÉSULTsyst  '!B24</f>
        <v>442783.04968</v>
      </c>
      <c r="H13" s="674">
        <f>+G13/somfinrésys!$B$23</f>
        <v>0.15755808106987043</v>
      </c>
      <c r="I13" s="3">
        <v>3</v>
      </c>
      <c r="J13" s="667" t="s">
        <v>64</v>
      </c>
      <c r="K13" s="672">
        <f>+'RÉSULTsyst  '!F42</f>
        <v>82636.494100000127</v>
      </c>
      <c r="L13" s="674">
        <f t="shared" si="0"/>
        <v>0.10981198803724632</v>
      </c>
      <c r="M13" s="3">
        <v>3</v>
      </c>
      <c r="N13" s="667" t="s">
        <v>0</v>
      </c>
    </row>
    <row r="14" spans="1:14">
      <c r="A14" s="669" t="s">
        <v>66</v>
      </c>
      <c r="B14" s="672">
        <f>+capitalbkvar!B45</f>
        <v>11241298</v>
      </c>
      <c r="C14" s="674">
        <f>+B14/somfinbilsys!$B$45</f>
        <v>6.269908474580585E-2</v>
      </c>
      <c r="D14" s="3">
        <v>4</v>
      </c>
      <c r="E14" s="1371"/>
      <c r="F14" s="667" t="s">
        <v>66</v>
      </c>
      <c r="G14" s="672">
        <f>+'RÉSULTsyst  '!E24</f>
        <v>301834</v>
      </c>
      <c r="H14" s="674">
        <f>+G14/somfinrésys!$B$23</f>
        <v>0.10740335673647025</v>
      </c>
      <c r="I14" s="3">
        <v>4</v>
      </c>
      <c r="J14" s="667" t="s">
        <v>66</v>
      </c>
      <c r="K14" s="672">
        <f>+'RÉSULTsyst  '!E42</f>
        <v>73151</v>
      </c>
      <c r="L14" s="674">
        <f t="shared" si="0"/>
        <v>9.7207133777866717E-2</v>
      </c>
      <c r="M14" s="3">
        <v>4</v>
      </c>
      <c r="N14" s="667" t="s">
        <v>0</v>
      </c>
    </row>
    <row r="15" spans="1:14">
      <c r="A15" s="669" t="s">
        <v>68</v>
      </c>
      <c r="B15" s="672">
        <f>+cbnavar!B45</f>
        <v>5969953</v>
      </c>
      <c r="C15" s="674">
        <f>+B15/somfinbilsys!$B$45</f>
        <v>3.3297808587182537E-2</v>
      </c>
      <c r="D15" s="3">
        <v>5</v>
      </c>
      <c r="E15" s="1371"/>
      <c r="F15" s="667" t="s">
        <v>61</v>
      </c>
      <c r="G15" s="672">
        <f>+'RÉSULTsyst  '!D24</f>
        <v>108327.53148543199</v>
      </c>
      <c r="H15" s="674">
        <f>+G15/somfinrésys!$B$23</f>
        <v>3.854681880938219E-2</v>
      </c>
      <c r="I15" s="3">
        <v>5</v>
      </c>
      <c r="J15" s="667" t="s">
        <v>69</v>
      </c>
      <c r="K15" s="672">
        <f>+'RÉSULTsyst  '!L42</f>
        <v>23135.7</v>
      </c>
      <c r="L15" s="674">
        <f t="shared" si="0"/>
        <v>3.0744010128974191E-2</v>
      </c>
      <c r="M15" s="3">
        <v>5</v>
      </c>
      <c r="N15" s="667" t="s">
        <v>0</v>
      </c>
    </row>
    <row r="16" spans="1:14">
      <c r="A16" s="669" t="s">
        <v>69</v>
      </c>
      <c r="B16" s="134">
        <f>+scotiavar!B45</f>
        <v>5860923</v>
      </c>
      <c r="C16" s="674">
        <f>+B16/somfinbilsys!$B$45</f>
        <v>3.2689686534921734E-2</v>
      </c>
      <c r="D16" s="3">
        <v>6</v>
      </c>
      <c r="E16" s="1371"/>
      <c r="F16" s="667" t="s">
        <v>68</v>
      </c>
      <c r="G16" s="672">
        <f>+'RÉSULTsyst  '!K24</f>
        <v>88751</v>
      </c>
      <c r="H16" s="674">
        <f>+G16/somfinrésys!$B$23</f>
        <v>3.1580787166848236E-2</v>
      </c>
      <c r="I16" s="3">
        <v>6</v>
      </c>
      <c r="J16" s="669" t="s">
        <v>67</v>
      </c>
      <c r="K16" s="672">
        <f>+'RÉSULTsyst  '!I42</f>
        <v>20053.294140000009</v>
      </c>
      <c r="L16" s="674">
        <f t="shared" si="0"/>
        <v>2.664793709113876E-2</v>
      </c>
      <c r="M16" s="3">
        <v>6</v>
      </c>
      <c r="N16" s="667" t="s">
        <v>0</v>
      </c>
    </row>
    <row r="17" spans="1:14">
      <c r="A17" s="669" t="s">
        <v>67</v>
      </c>
      <c r="B17" s="672">
        <f>+sgbelvar!B45</f>
        <v>5620214.4813300008</v>
      </c>
      <c r="C17" s="674">
        <f>+B17/somfinbilsys!$B$45</f>
        <v>3.1347118816218107E-2</v>
      </c>
      <c r="D17" s="3">
        <v>7</v>
      </c>
      <c r="E17" s="1371"/>
      <c r="F17" s="667" t="s">
        <v>69</v>
      </c>
      <c r="G17" s="672">
        <f>+'RÉSULTsyst  '!L24</f>
        <v>73832</v>
      </c>
      <c r="H17" s="674">
        <f>+G17/somfinrésys!$B$23</f>
        <v>2.6272072180626011E-2</v>
      </c>
      <c r="I17" s="3">
        <v>7</v>
      </c>
      <c r="J17" s="667" t="s">
        <v>68</v>
      </c>
      <c r="K17" s="672">
        <f>+'RÉSULTsyst  '!K42</f>
        <v>19669</v>
      </c>
      <c r="L17" s="674">
        <f t="shared" si="0"/>
        <v>2.6137265577734554E-2</v>
      </c>
      <c r="M17" s="3">
        <v>7</v>
      </c>
      <c r="N17" s="667" t="s">
        <v>0</v>
      </c>
    </row>
    <row r="18" spans="1:14">
      <c r="A18" s="669" t="s">
        <v>61</v>
      </c>
      <c r="B18" s="672">
        <f>+buhvar!B45</f>
        <v>5351009.4309472982</v>
      </c>
      <c r="C18" s="674">
        <f>+B18/somfinbilsys!$B$45</f>
        <v>2.9845609802940102E-2</v>
      </c>
      <c r="D18" s="3">
        <v>8</v>
      </c>
      <c r="E18" s="1371"/>
      <c r="F18" s="669" t="s">
        <v>67</v>
      </c>
      <c r="G18" s="672">
        <f>+'RÉSULTsyst  '!I24</f>
        <v>65156.227110000007</v>
      </c>
      <c r="H18" s="674">
        <f>+G18/somfinrésys!$B$23</f>
        <v>2.318492119475541E-2</v>
      </c>
      <c r="I18" s="3">
        <v>8</v>
      </c>
      <c r="J18" s="667" t="s">
        <v>61</v>
      </c>
      <c r="K18" s="672">
        <f>+'RÉSULTsyst  '!D42</f>
        <v>13400.425875431989</v>
      </c>
      <c r="L18" s="674">
        <f t="shared" si="0"/>
        <v>1.7807234224460417E-2</v>
      </c>
      <c r="M18" s="3">
        <v>8</v>
      </c>
      <c r="N18" s="667" t="s">
        <v>0</v>
      </c>
    </row>
    <row r="19" spans="1:14">
      <c r="A19" s="669" t="s">
        <v>60</v>
      </c>
      <c r="B19" s="672">
        <f>+bphvar!B45</f>
        <v>3071116.8196713077</v>
      </c>
      <c r="C19" s="674">
        <f>+B19/somfinbilsys!$B$45</f>
        <v>1.7129357636532814E-2</v>
      </c>
      <c r="D19" s="3">
        <v>9</v>
      </c>
      <c r="E19" s="1371"/>
      <c r="F19" s="667" t="s">
        <v>60</v>
      </c>
      <c r="G19" s="672">
        <f>+'RÉSULTsyst  '!C24</f>
        <v>43845.33563999999</v>
      </c>
      <c r="H19" s="674">
        <f>+G19/somfinrésys!$B$23</f>
        <v>1.5601742099873413E-2</v>
      </c>
      <c r="I19" s="3">
        <v>9</v>
      </c>
      <c r="J19" s="667" t="s">
        <v>60</v>
      </c>
      <c r="K19" s="672">
        <f>+'RÉSULTsyst  '!C42</f>
        <v>-1528.0868200000077</v>
      </c>
      <c r="L19" s="674">
        <f t="shared" si="0"/>
        <v>-2.030607099505621E-3</v>
      </c>
      <c r="M19" s="3">
        <v>9</v>
      </c>
      <c r="N19" s="667" t="s">
        <v>0</v>
      </c>
    </row>
    <row r="20" spans="1:14">
      <c r="B20" s="24" t="s">
        <v>0</v>
      </c>
      <c r="C20" s="23" t="s">
        <v>0</v>
      </c>
      <c r="D20" s="3" t="s">
        <v>0</v>
      </c>
      <c r="E20" s="1371"/>
      <c r="F20" s="189" t="s">
        <v>0</v>
      </c>
      <c r="G20" s="24" t="s">
        <v>0</v>
      </c>
      <c r="H20" s="23" t="s">
        <v>0</v>
      </c>
      <c r="I20" s="3" t="s">
        <v>0</v>
      </c>
      <c r="J20" s="189" t="s">
        <v>0</v>
      </c>
      <c r="K20" s="24" t="s">
        <v>0</v>
      </c>
      <c r="L20" s="23" t="s">
        <v>0</v>
      </c>
      <c r="M20" s="3" t="s">
        <v>0</v>
      </c>
      <c r="N20" s="17" t="s">
        <v>0</v>
      </c>
    </row>
    <row r="21" spans="1:14">
      <c r="A21" s="4" t="s">
        <v>70</v>
      </c>
      <c r="B21" s="612">
        <f>SUM(B11:B20)</f>
        <v>179289666.59679937</v>
      </c>
      <c r="C21" s="639">
        <f>SUM(C11:C20)</f>
        <v>1</v>
      </c>
      <c r="D21" s="3" t="s">
        <v>0</v>
      </c>
      <c r="E21" s="1371"/>
      <c r="F21" s="4" t="s">
        <v>70</v>
      </c>
      <c r="G21" s="612">
        <f>SUM(G11:G20)</f>
        <v>2810284.6053554318</v>
      </c>
      <c r="H21" s="639">
        <f>SUM(H11:H20)</f>
        <v>0.99999999999999989</v>
      </c>
      <c r="I21" s="3" t="s">
        <v>0</v>
      </c>
      <c r="J21" s="4" t="s">
        <v>70</v>
      </c>
      <c r="K21" s="612">
        <f>SUM(K11:K20)</f>
        <v>752527.07447543216</v>
      </c>
      <c r="L21" s="639">
        <f>SUM(L11:L20)</f>
        <v>1.0000000000000002</v>
      </c>
      <c r="M21" s="3" t="s">
        <v>0</v>
      </c>
      <c r="N21" s="4" t="s">
        <v>0</v>
      </c>
    </row>
    <row r="22" spans="1:14">
      <c r="A22" s="17"/>
      <c r="B22" s="20"/>
      <c r="C22" s="139"/>
      <c r="D22" s="3"/>
      <c r="E22" s="1371"/>
      <c r="F22" s="17"/>
      <c r="G22" s="20"/>
      <c r="H22" s="139"/>
      <c r="I22" s="3"/>
      <c r="J22" s="17"/>
      <c r="K22" s="20"/>
      <c r="L22" s="139"/>
      <c r="M22" s="3"/>
      <c r="N22" s="17"/>
    </row>
    <row r="23" spans="1:14" ht="16.5" thickBot="1">
      <c r="A23" s="25"/>
      <c r="B23" s="25"/>
      <c r="C23" s="25"/>
      <c r="D23" s="25"/>
      <c r="E23" s="1366"/>
      <c r="F23" s="25"/>
      <c r="G23" s="25"/>
      <c r="H23" s="25"/>
      <c r="I23" s="25"/>
      <c r="J23" s="25"/>
      <c r="K23" s="25"/>
      <c r="L23" s="25"/>
      <c r="M23" s="25"/>
      <c r="N23" s="25"/>
    </row>
    <row r="24" spans="1:14">
      <c r="A24" s="26"/>
      <c r="B24" s="26"/>
      <c r="C24" s="26"/>
      <c r="D24" s="26"/>
      <c r="E24" s="1367"/>
      <c r="F24" s="1554" t="s">
        <v>883</v>
      </c>
      <c r="G24" s="1554"/>
      <c r="H24" s="1554"/>
      <c r="I24" s="1554"/>
      <c r="J24" s="1554"/>
      <c r="K24" s="1554"/>
      <c r="L24" s="1554"/>
      <c r="M24" s="1554"/>
      <c r="N24" s="1554"/>
    </row>
    <row r="25" spans="1:14">
      <c r="A25" s="11" t="str">
        <f>+'partdemarc. '!A26</f>
        <v>AU 30 SEPTEMBRE 2014</v>
      </c>
      <c r="E25" s="1368"/>
      <c r="G25" s="133" t="s">
        <v>0</v>
      </c>
    </row>
    <row r="26" spans="1:14">
      <c r="B26" s="111" t="s">
        <v>266</v>
      </c>
      <c r="C26" s="111"/>
      <c r="D26" s="111"/>
      <c r="E26" s="1369"/>
      <c r="G26" s="111" t="s">
        <v>639</v>
      </c>
      <c r="H26" s="111"/>
      <c r="I26" s="111"/>
      <c r="K26" s="111" t="s">
        <v>640</v>
      </c>
      <c r="L26" s="111"/>
      <c r="M26" s="111"/>
    </row>
    <row r="27" spans="1:14" ht="16.5" thickBot="1">
      <c r="B27" s="192" t="s">
        <v>248</v>
      </c>
      <c r="C27" s="1" t="s">
        <v>249</v>
      </c>
      <c r="D27" s="1" t="s">
        <v>250</v>
      </c>
      <c r="E27" s="1370"/>
      <c r="G27" s="1" t="s">
        <v>248</v>
      </c>
      <c r="H27" s="1" t="s">
        <v>249</v>
      </c>
      <c r="I27" s="1" t="s">
        <v>250</v>
      </c>
      <c r="K27" s="1" t="s">
        <v>248</v>
      </c>
      <c r="L27" s="1" t="s">
        <v>249</v>
      </c>
      <c r="M27" s="1" t="s">
        <v>250</v>
      </c>
    </row>
    <row r="28" spans="1:14">
      <c r="B28" s="3"/>
      <c r="C28" s="3"/>
      <c r="D28" s="3"/>
      <c r="E28" s="1371"/>
      <c r="G28" s="3"/>
      <c r="H28" s="3"/>
      <c r="I28" s="3"/>
      <c r="K28" s="3"/>
      <c r="L28" s="3"/>
      <c r="M28" s="3"/>
    </row>
    <row r="29" spans="1:14">
      <c r="A29" s="669" t="s">
        <v>65</v>
      </c>
      <c r="B29" s="672">
        <f>+unibkvar!J45</f>
        <v>53621672.677091986</v>
      </c>
      <c r="C29" s="674">
        <f t="shared" ref="C29:C37" si="1">+B29/$B$40</f>
        <v>0.29831049733798048</v>
      </c>
      <c r="D29" s="3">
        <v>1</v>
      </c>
      <c r="E29" s="1371"/>
      <c r="F29" s="667" t="s">
        <v>65</v>
      </c>
      <c r="G29" s="672">
        <v>1031874.7319700001</v>
      </c>
      <c r="H29" s="674">
        <f t="shared" ref="H29:H37" si="2">+G29/$G$40</f>
        <v>0.34378638000495315</v>
      </c>
      <c r="I29" s="3">
        <v>1</v>
      </c>
      <c r="J29" s="667" t="s">
        <v>65</v>
      </c>
      <c r="K29" s="672">
        <v>460375.77357000002</v>
      </c>
      <c r="L29" s="674">
        <f t="shared" ref="L29:L37" si="3">+K29/$K$40</f>
        <v>0.61946015294295897</v>
      </c>
      <c r="M29" s="3">
        <v>1</v>
      </c>
      <c r="N29" s="667" t="s">
        <v>0</v>
      </c>
    </row>
    <row r="30" spans="1:14">
      <c r="A30" s="669" t="s">
        <v>64</v>
      </c>
      <c r="B30" s="672">
        <f>+sogebkvar!J45</f>
        <v>48285943.549653187</v>
      </c>
      <c r="C30" s="674">
        <f t="shared" si="1"/>
        <v>0.26862652945334908</v>
      </c>
      <c r="D30" s="3">
        <v>2</v>
      </c>
      <c r="E30" s="1371"/>
      <c r="F30" s="667" t="s">
        <v>64</v>
      </c>
      <c r="G30" s="672">
        <v>845862.48790629802</v>
      </c>
      <c r="H30" s="674">
        <f t="shared" si="2"/>
        <v>0.281813279935751</v>
      </c>
      <c r="I30" s="3">
        <v>2</v>
      </c>
      <c r="J30" s="667" t="s">
        <v>64</v>
      </c>
      <c r="K30" s="672">
        <v>141611.24205629807</v>
      </c>
      <c r="L30" s="674">
        <f t="shared" si="3"/>
        <v>0.1905454776266558</v>
      </c>
      <c r="M30" s="3">
        <v>2</v>
      </c>
      <c r="N30" s="667" t="s">
        <v>0</v>
      </c>
    </row>
    <row r="31" spans="1:14">
      <c r="A31" s="669" t="s">
        <v>59</v>
      </c>
      <c r="B31" s="672">
        <f>+bncvar!J45</f>
        <v>41641092.821870007</v>
      </c>
      <c r="C31" s="674">
        <f t="shared" si="1"/>
        <v>0.23165959749509851</v>
      </c>
      <c r="D31" s="3">
        <v>3</v>
      </c>
      <c r="E31" s="1371"/>
      <c r="F31" s="667" t="s">
        <v>59</v>
      </c>
      <c r="G31" s="672">
        <v>468937.71445000003</v>
      </c>
      <c r="H31" s="674">
        <f t="shared" si="2"/>
        <v>0.15623446752182799</v>
      </c>
      <c r="I31" s="3">
        <v>3</v>
      </c>
      <c r="J31" s="667" t="s">
        <v>66</v>
      </c>
      <c r="K31" s="672">
        <v>61557</v>
      </c>
      <c r="L31" s="674">
        <f t="shared" si="3"/>
        <v>8.2828226035903146E-2</v>
      </c>
      <c r="M31" s="3">
        <v>3</v>
      </c>
      <c r="N31" s="667" t="s">
        <v>0</v>
      </c>
    </row>
    <row r="32" spans="1:14">
      <c r="A32" s="669" t="s">
        <v>66</v>
      </c>
      <c r="B32" s="672">
        <f>+capitalbkvar!J45</f>
        <v>10973298</v>
      </c>
      <c r="C32" s="674">
        <f t="shared" si="1"/>
        <v>6.1047144193551714E-2</v>
      </c>
      <c r="D32" s="3">
        <v>4</v>
      </c>
      <c r="E32" s="1371"/>
      <c r="F32" s="667" t="s">
        <v>66</v>
      </c>
      <c r="G32" s="672">
        <v>289366</v>
      </c>
      <c r="H32" s="674">
        <f t="shared" si="2"/>
        <v>9.6407137954227451E-2</v>
      </c>
      <c r="I32" s="3">
        <v>4</v>
      </c>
      <c r="J32" s="667" t="s">
        <v>59</v>
      </c>
      <c r="K32" s="672">
        <v>49238.826770000102</v>
      </c>
      <c r="L32" s="674">
        <f t="shared" si="3"/>
        <v>6.6253467086574189E-2</v>
      </c>
      <c r="M32" s="3">
        <v>4</v>
      </c>
      <c r="N32" s="667" t="s">
        <v>0</v>
      </c>
    </row>
    <row r="33" spans="1:14">
      <c r="A33" s="669" t="s">
        <v>68</v>
      </c>
      <c r="B33" s="672">
        <f>+cbnavar!J45</f>
        <v>6720387</v>
      </c>
      <c r="C33" s="674">
        <f t="shared" si="1"/>
        <v>3.7387158739831033E-2</v>
      </c>
      <c r="D33" s="3">
        <v>5</v>
      </c>
      <c r="E33" s="1371"/>
      <c r="F33" s="667" t="s">
        <v>61</v>
      </c>
      <c r="G33" s="672">
        <v>116414.14725106102</v>
      </c>
      <c r="H33" s="674">
        <f t="shared" si="2"/>
        <v>3.8785326382010286E-2</v>
      </c>
      <c r="I33" s="3">
        <v>5</v>
      </c>
      <c r="J33" s="669" t="s">
        <v>67</v>
      </c>
      <c r="K33" s="672">
        <v>14682.230319999993</v>
      </c>
      <c r="L33" s="674">
        <f t="shared" si="3"/>
        <v>1.9755723827609373E-2</v>
      </c>
      <c r="M33" s="3">
        <v>5</v>
      </c>
      <c r="N33" s="667" t="s">
        <v>0</v>
      </c>
    </row>
    <row r="34" spans="1:14">
      <c r="A34" s="669" t="s">
        <v>69</v>
      </c>
      <c r="B34" s="672">
        <f>+scotiavar!J45</f>
        <v>5658092</v>
      </c>
      <c r="C34" s="674">
        <f t="shared" si="1"/>
        <v>3.1477351493086343E-2</v>
      </c>
      <c r="D34" s="3">
        <v>6</v>
      </c>
      <c r="E34" s="1371"/>
      <c r="F34" s="667" t="s">
        <v>68</v>
      </c>
      <c r="G34" s="672">
        <v>76960</v>
      </c>
      <c r="H34" s="674">
        <f t="shared" si="2"/>
        <v>2.564051525389073E-2</v>
      </c>
      <c r="I34" s="3">
        <v>6</v>
      </c>
      <c r="J34" s="667" t="s">
        <v>61</v>
      </c>
      <c r="K34" s="672">
        <v>11977.095603203867</v>
      </c>
      <c r="L34" s="674">
        <f t="shared" si="3"/>
        <v>1.6115820814461258E-2</v>
      </c>
      <c r="M34" s="3">
        <v>6</v>
      </c>
      <c r="N34" s="667" t="s">
        <v>0</v>
      </c>
    </row>
    <row r="35" spans="1:14">
      <c r="A35" s="669" t="s">
        <v>67</v>
      </c>
      <c r="B35" s="672">
        <f>+sgbelvar!J45</f>
        <v>5199501.8766399994</v>
      </c>
      <c r="C35" s="674">
        <f t="shared" si="1"/>
        <v>2.8926102325653125E-2</v>
      </c>
      <c r="D35" s="3">
        <v>7</v>
      </c>
      <c r="E35" s="1371"/>
      <c r="F35" s="667" t="s">
        <v>69</v>
      </c>
      <c r="G35" s="672">
        <v>70254</v>
      </c>
      <c r="H35" s="674">
        <f t="shared" si="2"/>
        <v>2.3406298838966208E-2</v>
      </c>
      <c r="I35" s="3">
        <v>7</v>
      </c>
      <c r="J35" s="667" t="s">
        <v>68</v>
      </c>
      <c r="K35" s="672">
        <v>8366</v>
      </c>
      <c r="L35" s="674">
        <f t="shared" si="3"/>
        <v>1.1256899118156598E-2</v>
      </c>
      <c r="M35" s="3">
        <v>7</v>
      </c>
      <c r="N35" s="669" t="s">
        <v>0</v>
      </c>
    </row>
    <row r="36" spans="1:14">
      <c r="A36" s="669" t="s">
        <v>61</v>
      </c>
      <c r="B36" s="672">
        <f>+buhvar!J45</f>
        <v>4715693.1596119385</v>
      </c>
      <c r="C36" s="674">
        <f t="shared" si="1"/>
        <v>2.6234555945475597E-2</v>
      </c>
      <c r="D36" s="3">
        <v>8</v>
      </c>
      <c r="E36" s="1371"/>
      <c r="F36" s="669" t="s">
        <v>67</v>
      </c>
      <c r="G36" s="672">
        <v>59959.547579999999</v>
      </c>
      <c r="H36" s="674">
        <f t="shared" si="2"/>
        <v>1.9976529292377559E-2</v>
      </c>
      <c r="I36" s="3">
        <v>8</v>
      </c>
      <c r="J36" s="667" t="s">
        <v>60</v>
      </c>
      <c r="K36" s="672">
        <v>2261.0119900000063</v>
      </c>
      <c r="L36" s="674">
        <f t="shared" si="3"/>
        <v>3.0423122013354732E-3</v>
      </c>
      <c r="M36" s="3">
        <v>8</v>
      </c>
      <c r="N36" s="667" t="s">
        <v>0</v>
      </c>
    </row>
    <row r="37" spans="1:14">
      <c r="A37" s="669" t="s">
        <v>60</v>
      </c>
      <c r="B37" s="672">
        <f>+bphvar!J45</f>
        <v>2935528.3281210582</v>
      </c>
      <c r="C37" s="674">
        <f t="shared" si="1"/>
        <v>1.6331063015974052E-2</v>
      </c>
      <c r="D37" s="3">
        <v>9</v>
      </c>
      <c r="E37" s="1371"/>
      <c r="F37" s="667" t="s">
        <v>60</v>
      </c>
      <c r="G37" s="672">
        <v>41871.115990000006</v>
      </c>
      <c r="H37" s="674">
        <f t="shared" si="2"/>
        <v>1.3950064815995623E-2</v>
      </c>
      <c r="I37" s="3">
        <v>9</v>
      </c>
      <c r="J37" s="667" t="s">
        <v>69</v>
      </c>
      <c r="K37" s="672">
        <v>-6880.5000000000027</v>
      </c>
      <c r="L37" s="674">
        <f t="shared" si="3"/>
        <v>-9.2580796536548531E-3</v>
      </c>
      <c r="M37" s="3">
        <v>9</v>
      </c>
      <c r="N37" s="667" t="s">
        <v>0</v>
      </c>
    </row>
    <row r="38" spans="1:14">
      <c r="D38" s="3" t="s">
        <v>0</v>
      </c>
      <c r="E38" s="1371"/>
      <c r="I38" s="3" t="s">
        <v>0</v>
      </c>
      <c r="M38" s="3" t="s">
        <v>0</v>
      </c>
      <c r="N38" s="667" t="s">
        <v>0</v>
      </c>
    </row>
    <row r="39" spans="1:14">
      <c r="A39" s="17"/>
      <c r="B39" s="24" t="s">
        <v>0</v>
      </c>
      <c r="C39" s="139"/>
      <c r="D39" s="3"/>
      <c r="E39" s="1371"/>
      <c r="F39" s="17"/>
      <c r="G39" s="20"/>
      <c r="H39" s="139"/>
      <c r="I39" s="3"/>
      <c r="J39" s="17"/>
      <c r="K39" s="20"/>
      <c r="L39" s="139"/>
      <c r="M39" s="3"/>
      <c r="N39" s="17"/>
    </row>
    <row r="40" spans="1:14">
      <c r="A40" s="4" t="s">
        <v>70</v>
      </c>
      <c r="B40" s="612">
        <f>SUM(B29:B39)</f>
        <v>179751209.41298819</v>
      </c>
      <c r="C40" s="640">
        <f>SUM(C29:C39)</f>
        <v>1</v>
      </c>
      <c r="D40" s="3"/>
      <c r="E40" s="1371"/>
      <c r="F40" s="4" t="s">
        <v>70</v>
      </c>
      <c r="G40" s="612">
        <f>SUM(G29:G39)</f>
        <v>3001499.7451473591</v>
      </c>
      <c r="H40" s="640">
        <f>SUM(H29:H39)</f>
        <v>0.99999999999999989</v>
      </c>
      <c r="I40" s="3"/>
      <c r="J40" s="4" t="s">
        <v>70</v>
      </c>
      <c r="K40" s="612">
        <f>SUM(K29:K39)</f>
        <v>743188.68030950206</v>
      </c>
      <c r="L40" s="640">
        <f>SUM(L29:L39)</f>
        <v>0.99999999999999989</v>
      </c>
      <c r="M40" s="3"/>
      <c r="N40" s="4" t="s">
        <v>0</v>
      </c>
    </row>
    <row r="41" spans="1:14" ht="16.5" thickBot="1">
      <c r="A41" s="25"/>
      <c r="B41" s="25"/>
      <c r="C41" s="25"/>
      <c r="D41" s="25"/>
      <c r="E41" s="1366"/>
      <c r="F41" s="25"/>
      <c r="G41" s="25"/>
      <c r="H41" s="25"/>
      <c r="I41" s="25"/>
      <c r="J41" s="25"/>
      <c r="K41" s="25"/>
      <c r="L41" s="25"/>
      <c r="M41" s="25"/>
      <c r="N41" s="25"/>
    </row>
    <row r="42" spans="1:14">
      <c r="A42" s="26"/>
      <c r="B42" s="26"/>
      <c r="C42" s="26"/>
      <c r="D42" s="26"/>
      <c r="E42" s="1367"/>
      <c r="F42" s="1555" t="s">
        <v>863</v>
      </c>
      <c r="G42" s="1555"/>
      <c r="H42" s="1555"/>
      <c r="I42" s="1555"/>
      <c r="J42" s="1555"/>
      <c r="K42" s="1555"/>
      <c r="L42" s="1555"/>
      <c r="M42" s="1555"/>
      <c r="N42" s="1555"/>
    </row>
    <row r="43" spans="1:14">
      <c r="A43" s="11" t="str">
        <f>+'partdemarc. '!A44</f>
        <v>AU 30 SEPTEMBRE 2013</v>
      </c>
      <c r="E43" s="1368"/>
    </row>
    <row r="44" spans="1:14">
      <c r="B44" s="111" t="s">
        <v>266</v>
      </c>
      <c r="C44" s="111"/>
      <c r="D44" s="111"/>
      <c r="E44" s="1369"/>
      <c r="G44" s="111" t="s">
        <v>639</v>
      </c>
      <c r="H44" s="111"/>
      <c r="I44" s="111"/>
      <c r="K44" s="111" t="s">
        <v>640</v>
      </c>
      <c r="L44" s="111"/>
      <c r="M44" s="111"/>
    </row>
    <row r="45" spans="1:14" ht="16.5" thickBot="1">
      <c r="B45" s="1" t="s">
        <v>248</v>
      </c>
      <c r="C45" s="1" t="s">
        <v>249</v>
      </c>
      <c r="D45" s="1" t="s">
        <v>250</v>
      </c>
      <c r="E45" s="1370"/>
      <c r="G45" s="1" t="s">
        <v>248</v>
      </c>
      <c r="H45" s="1" t="s">
        <v>249</v>
      </c>
      <c r="I45" s="1" t="s">
        <v>250</v>
      </c>
      <c r="K45" s="1" t="s">
        <v>248</v>
      </c>
      <c r="L45" s="1" t="s">
        <v>249</v>
      </c>
      <c r="M45" s="1" t="s">
        <v>250</v>
      </c>
    </row>
    <row r="46" spans="1:14">
      <c r="B46" s="3"/>
      <c r="C46" s="3"/>
      <c r="D46" s="3"/>
      <c r="E46" s="1371"/>
      <c r="G46" s="3"/>
      <c r="H46" s="3"/>
      <c r="I46" s="3"/>
      <c r="K46" s="3"/>
      <c r="L46" s="3"/>
      <c r="M46" s="3"/>
    </row>
    <row r="47" spans="1:14">
      <c r="A47" s="669" t="s">
        <v>65</v>
      </c>
      <c r="B47" s="672">
        <f>+unibkvar!L45</f>
        <v>48902088.739340693</v>
      </c>
      <c r="C47" s="674">
        <f t="shared" ref="C47:C55" si="4">+B47/$B$58</f>
        <v>0.30025575780653663</v>
      </c>
      <c r="D47" s="3">
        <v>1</v>
      </c>
      <c r="E47" s="1371"/>
      <c r="F47" s="667" t="s">
        <v>65</v>
      </c>
      <c r="G47" s="672">
        <v>936581.00122999994</v>
      </c>
      <c r="H47" s="674">
        <f t="shared" ref="H47:H55" si="5">+G47/$G$58</f>
        <v>0.34766189432664807</v>
      </c>
      <c r="I47" s="3">
        <v>1</v>
      </c>
      <c r="J47" s="667" t="s">
        <v>65</v>
      </c>
      <c r="K47" s="672">
        <v>430432.93616999994</v>
      </c>
      <c r="L47" s="674">
        <f t="shared" ref="L47:L55" si="6">+K47/$K$58</f>
        <v>0.59267731949359825</v>
      </c>
      <c r="M47" s="3">
        <v>1</v>
      </c>
      <c r="N47" s="667" t="s">
        <v>0</v>
      </c>
    </row>
    <row r="48" spans="1:14">
      <c r="A48" s="669" t="s">
        <v>64</v>
      </c>
      <c r="B48" s="672">
        <f>+sogebkvar!L45</f>
        <v>43767514.2483541</v>
      </c>
      <c r="C48" s="674">
        <f t="shared" si="4"/>
        <v>0.26872979246336226</v>
      </c>
      <c r="D48" s="3">
        <v>2</v>
      </c>
      <c r="E48" s="1371"/>
      <c r="F48" s="667" t="s">
        <v>64</v>
      </c>
      <c r="G48" s="672">
        <v>697346.15723999985</v>
      </c>
      <c r="H48" s="674">
        <f t="shared" si="5"/>
        <v>0.25885714712243008</v>
      </c>
      <c r="I48" s="3">
        <v>2</v>
      </c>
      <c r="J48" s="667" t="s">
        <v>64</v>
      </c>
      <c r="K48" s="672">
        <v>126090.70348999977</v>
      </c>
      <c r="L48" s="674">
        <f t="shared" si="6"/>
        <v>0.17361845220877808</v>
      </c>
      <c r="M48" s="3">
        <v>2</v>
      </c>
      <c r="N48" s="667" t="s">
        <v>0</v>
      </c>
    </row>
    <row r="49" spans="1:14">
      <c r="A49" s="669" t="s">
        <v>59</v>
      </c>
      <c r="B49" s="672">
        <f>+bncvar!L45</f>
        <v>39878656.353750005</v>
      </c>
      <c r="C49" s="674">
        <f t="shared" si="4"/>
        <v>0.24485244889282201</v>
      </c>
      <c r="D49" s="3">
        <v>3</v>
      </c>
      <c r="E49" s="1371"/>
      <c r="F49" s="667" t="s">
        <v>59</v>
      </c>
      <c r="G49" s="672">
        <v>429496.34313999995</v>
      </c>
      <c r="H49" s="674">
        <f t="shared" si="5"/>
        <v>0.1594304305407872</v>
      </c>
      <c r="I49" s="3">
        <v>3</v>
      </c>
      <c r="J49" s="667" t="s">
        <v>59</v>
      </c>
      <c r="K49" s="672">
        <v>99978.224999999977</v>
      </c>
      <c r="L49" s="674">
        <f t="shared" si="6"/>
        <v>0.13766331853686281</v>
      </c>
      <c r="M49" s="3">
        <v>3</v>
      </c>
      <c r="N49" s="667" t="s">
        <v>0</v>
      </c>
    </row>
    <row r="50" spans="1:14">
      <c r="A50" s="669" t="s">
        <v>66</v>
      </c>
      <c r="B50" s="672">
        <f>+capitalbkvar!L45</f>
        <v>9449179</v>
      </c>
      <c r="C50" s="674">
        <f t="shared" si="4"/>
        <v>5.8017366424108763E-2</v>
      </c>
      <c r="D50" s="3">
        <v>4</v>
      </c>
      <c r="E50" s="1371"/>
      <c r="F50" s="667" t="s">
        <v>66</v>
      </c>
      <c r="G50" s="672">
        <v>242597</v>
      </c>
      <c r="H50" s="674">
        <f t="shared" si="5"/>
        <v>9.0052790380326875E-2</v>
      </c>
      <c r="I50" s="3">
        <v>4</v>
      </c>
      <c r="J50" s="667" t="s">
        <v>61</v>
      </c>
      <c r="K50" s="672">
        <v>46075.040088946815</v>
      </c>
      <c r="L50" s="674">
        <f t="shared" si="6"/>
        <v>6.344224375221115E-2</v>
      </c>
      <c r="M50" s="3">
        <v>4</v>
      </c>
      <c r="N50" s="667" t="s">
        <v>0</v>
      </c>
    </row>
    <row r="51" spans="1:14">
      <c r="A51" s="669" t="s">
        <v>69</v>
      </c>
      <c r="B51" s="672">
        <f>+scotiavar!L45</f>
        <v>5570871</v>
      </c>
      <c r="C51" s="674">
        <f t="shared" si="4"/>
        <v>3.4204798544766823E-2</v>
      </c>
      <c r="D51" s="3">
        <v>5</v>
      </c>
      <c r="E51" s="1371"/>
      <c r="F51" s="667" t="s">
        <v>61</v>
      </c>
      <c r="G51" s="672">
        <v>149741.63901394184</v>
      </c>
      <c r="H51" s="674">
        <f t="shared" si="5"/>
        <v>5.5584580309439441E-2</v>
      </c>
      <c r="I51" s="3">
        <v>5</v>
      </c>
      <c r="J51" s="667" t="s">
        <v>66</v>
      </c>
      <c r="K51" s="672">
        <v>44119</v>
      </c>
      <c r="L51" s="674">
        <f t="shared" si="6"/>
        <v>6.0748907579904046E-2</v>
      </c>
      <c r="M51" s="3">
        <v>5</v>
      </c>
      <c r="N51" s="667" t="s">
        <v>0</v>
      </c>
    </row>
    <row r="52" spans="1:14">
      <c r="A52" s="669" t="s">
        <v>68</v>
      </c>
      <c r="B52" s="672">
        <f>+cbnavar!L45</f>
        <v>5099145</v>
      </c>
      <c r="C52" s="674">
        <f t="shared" si="4"/>
        <v>3.1308430490592044E-2</v>
      </c>
      <c r="D52" s="3">
        <v>6</v>
      </c>
      <c r="E52" s="1371"/>
      <c r="F52" s="667" t="s">
        <v>69</v>
      </c>
      <c r="G52" s="672">
        <v>72013</v>
      </c>
      <c r="H52" s="674">
        <f t="shared" si="5"/>
        <v>2.6731458318357104E-2</v>
      </c>
      <c r="I52" s="3">
        <v>6</v>
      </c>
      <c r="J52" s="669" t="s">
        <v>67</v>
      </c>
      <c r="K52" s="672">
        <v>17108.559519999966</v>
      </c>
      <c r="L52" s="674">
        <f t="shared" si="6"/>
        <v>2.3557340399958417E-2</v>
      </c>
      <c r="M52" s="3">
        <v>6</v>
      </c>
      <c r="N52" s="667" t="s">
        <v>0</v>
      </c>
    </row>
    <row r="53" spans="1:14">
      <c r="A53" s="669" t="s">
        <v>61</v>
      </c>
      <c r="B53" s="672">
        <f>+buhvar!L45</f>
        <v>3894192.8971011392</v>
      </c>
      <c r="C53" s="674">
        <f t="shared" si="4"/>
        <v>2.3910100151270122E-2</v>
      </c>
      <c r="D53" s="3">
        <v>7</v>
      </c>
      <c r="E53" s="1371"/>
      <c r="F53" s="667" t="s">
        <v>67</v>
      </c>
      <c r="G53" s="672">
        <v>64100.083969999971</v>
      </c>
      <c r="H53" s="674">
        <f t="shared" si="5"/>
        <v>2.3794158316515695E-2</v>
      </c>
      <c r="I53" s="3">
        <v>7</v>
      </c>
      <c r="J53" s="667" t="s">
        <v>60</v>
      </c>
      <c r="K53" s="672">
        <v>-2678.1215199999897</v>
      </c>
      <c r="L53" s="674">
        <f t="shared" si="6"/>
        <v>-3.6875939324606524E-3</v>
      </c>
      <c r="M53" s="3">
        <v>7</v>
      </c>
      <c r="N53" s="669" t="s">
        <v>0</v>
      </c>
    </row>
    <row r="54" spans="1:14">
      <c r="A54" s="669" t="s">
        <v>67</v>
      </c>
      <c r="B54" s="672">
        <f>+sgbelvar!L45</f>
        <v>3786820.5368359997</v>
      </c>
      <c r="C54" s="674">
        <f t="shared" si="4"/>
        <v>2.3250840593447796E-2</v>
      </c>
      <c r="D54" s="3">
        <v>8</v>
      </c>
      <c r="E54" s="1371"/>
      <c r="F54" s="667" t="s">
        <v>68</v>
      </c>
      <c r="G54" s="672">
        <v>62590</v>
      </c>
      <c r="H54" s="674">
        <f t="shared" si="5"/>
        <v>2.3233610266840309E-2</v>
      </c>
      <c r="I54" s="3">
        <v>8</v>
      </c>
      <c r="J54" s="667" t="s">
        <v>68</v>
      </c>
      <c r="K54" s="672">
        <v>-14572</v>
      </c>
      <c r="L54" s="674">
        <f t="shared" si="6"/>
        <v>-2.0064667858617869E-2</v>
      </c>
      <c r="M54" s="3">
        <v>8</v>
      </c>
      <c r="N54" s="667" t="s">
        <v>0</v>
      </c>
    </row>
    <row r="55" spans="1:14">
      <c r="A55" s="669" t="s">
        <v>60</v>
      </c>
      <c r="B55" s="672">
        <f>+bphvar!L45</f>
        <v>2519645.3844986293</v>
      </c>
      <c r="C55" s="674">
        <f t="shared" si="4"/>
        <v>1.5470464633093668E-2</v>
      </c>
      <c r="D55" s="3">
        <v>9</v>
      </c>
      <c r="E55" s="1371"/>
      <c r="F55" s="669" t="s">
        <v>60</v>
      </c>
      <c r="G55" s="672">
        <v>39476.839560000008</v>
      </c>
      <c r="H55" s="674">
        <f t="shared" si="5"/>
        <v>1.4653930418655118E-2</v>
      </c>
      <c r="I55" s="3">
        <v>9</v>
      </c>
      <c r="J55" s="667" t="s">
        <v>69</v>
      </c>
      <c r="K55" s="672">
        <v>-20302.599999999999</v>
      </c>
      <c r="L55" s="674">
        <f t="shared" si="6"/>
        <v>-2.7955320180234361E-2</v>
      </c>
      <c r="M55" s="3">
        <v>9</v>
      </c>
      <c r="N55" s="667" t="s">
        <v>0</v>
      </c>
    </row>
    <row r="56" spans="1:14">
      <c r="C56" s="987" t="s">
        <v>0</v>
      </c>
      <c r="D56" s="3" t="s">
        <v>0</v>
      </c>
      <c r="E56" s="1371"/>
      <c r="I56" s="3" t="s">
        <v>0</v>
      </c>
      <c r="M56" s="3" t="s">
        <v>0</v>
      </c>
      <c r="N56" s="667" t="s">
        <v>0</v>
      </c>
    </row>
    <row r="57" spans="1:14">
      <c r="D57" s="3" t="s">
        <v>0</v>
      </c>
      <c r="E57" s="1371"/>
      <c r="I57" s="3" t="s">
        <v>0</v>
      </c>
      <c r="M57" s="3" t="s">
        <v>0</v>
      </c>
      <c r="N57" s="17" t="s">
        <v>0</v>
      </c>
    </row>
    <row r="58" spans="1:14">
      <c r="A58" s="4" t="s">
        <v>70</v>
      </c>
      <c r="B58" s="612">
        <f>SUM(B47:B57)</f>
        <v>162868113.15988055</v>
      </c>
      <c r="C58" s="640">
        <f>SUM(C47:C56)</f>
        <v>1.0000000000000002</v>
      </c>
      <c r="D58" s="3" t="s">
        <v>0</v>
      </c>
      <c r="E58" s="1371"/>
      <c r="F58" s="4" t="s">
        <v>70</v>
      </c>
      <c r="G58" s="612">
        <f>SUM(G47:G57)</f>
        <v>2693942.0641539418</v>
      </c>
      <c r="H58" s="640">
        <f>SUM(H47:H57)</f>
        <v>1</v>
      </c>
      <c r="I58" s="3" t="s">
        <v>0</v>
      </c>
      <c r="J58" s="4" t="s">
        <v>70</v>
      </c>
      <c r="K58" s="612">
        <f>SUM(K47:K57)</f>
        <v>726251.74274894653</v>
      </c>
      <c r="L58" s="640">
        <f>SUM(L47:L57)</f>
        <v>1.0000000000000002</v>
      </c>
      <c r="M58" s="3" t="s">
        <v>0</v>
      </c>
      <c r="N58" s="4" t="s">
        <v>0</v>
      </c>
    </row>
    <row r="59" spans="1:14" ht="16.5" thickBot="1">
      <c r="A59" s="169" t="s">
        <v>0</v>
      </c>
      <c r="B59" s="209" t="s">
        <v>0</v>
      </c>
      <c r="C59" s="25"/>
      <c r="D59" s="25"/>
      <c r="E59" s="1366"/>
      <c r="F59" s="25"/>
      <c r="G59" s="25"/>
      <c r="H59" s="25"/>
      <c r="I59" s="25"/>
      <c r="J59" s="25"/>
      <c r="K59" s="25"/>
      <c r="L59" s="25"/>
      <c r="M59" s="25"/>
      <c r="N59" s="25" t="s">
        <v>0</v>
      </c>
    </row>
    <row r="61" spans="1:14">
      <c r="A61" s="11" t="s">
        <v>0</v>
      </c>
    </row>
    <row r="62" spans="1:14">
      <c r="A62" s="11" t="s">
        <v>0</v>
      </c>
    </row>
  </sheetData>
  <sortState ref="J29:L37">
    <sortCondition descending="1" ref="K29:K37"/>
  </sortState>
  <mergeCells count="7">
    <mergeCell ref="F6:N6"/>
    <mergeCell ref="F24:N24"/>
    <mergeCell ref="F42:N42"/>
    <mergeCell ref="A1:N1"/>
    <mergeCell ref="A2:N2"/>
    <mergeCell ref="A3:N3"/>
    <mergeCell ref="A4:N4"/>
  </mergeCells>
  <phoneticPr fontId="0" type="noConversion"/>
  <pageMargins left="1.1100000000000001" right="0.23" top="0.65" bottom="0.38" header="0.54" footer="0.21"/>
  <pageSetup scale="51" orientation="landscape" r:id="rId1"/>
  <headerFooter alignWithMargins="0">
    <oddFooter>&amp;R&amp;16&amp;P</oddFooter>
  </headerFooter>
</worksheet>
</file>

<file path=xl/worksheets/sheet30.xml><?xml version="1.0" encoding="utf-8"?>
<worksheet xmlns="http://schemas.openxmlformats.org/spreadsheetml/2006/main" xmlns:r="http://schemas.openxmlformats.org/officeDocument/2006/relationships">
  <sheetPr>
    <pageSetUpPr fitToPage="1"/>
  </sheetPr>
  <dimension ref="A1:J44"/>
  <sheetViews>
    <sheetView topLeftCell="B6" workbookViewId="0">
      <selection activeCell="F7" sqref="F7"/>
    </sheetView>
  </sheetViews>
  <sheetFormatPr baseColWidth="10" defaultColWidth="9" defaultRowHeight="15.75"/>
  <cols>
    <col min="1" max="1" width="28.125" customWidth="1"/>
    <col min="2" max="2" width="25.625" customWidth="1"/>
    <col min="3" max="3" width="17.125" customWidth="1"/>
    <col min="4" max="4" width="10.25" customWidth="1"/>
    <col min="6" max="6" width="25.75" customWidth="1"/>
    <col min="7" max="7" width="16.75" customWidth="1"/>
    <col min="8" max="8" width="10.625" customWidth="1"/>
    <col min="10" max="10" width="29" customWidth="1"/>
  </cols>
  <sheetData>
    <row r="1" spans="1:10">
      <c r="A1" s="111" t="s">
        <v>192</v>
      </c>
      <c r="B1" s="39"/>
      <c r="C1" s="39"/>
      <c r="D1" s="39"/>
      <c r="E1" s="39"/>
      <c r="F1" s="39"/>
      <c r="G1" s="39"/>
      <c r="H1" s="39"/>
      <c r="I1" s="39"/>
      <c r="J1" s="39"/>
    </row>
    <row r="2" spans="1:10">
      <c r="A2" s="111" t="s">
        <v>193</v>
      </c>
      <c r="B2" s="39"/>
      <c r="C2" s="39"/>
      <c r="D2" s="39"/>
      <c r="E2" s="39"/>
      <c r="F2" s="39"/>
      <c r="G2" s="39"/>
      <c r="H2" s="39"/>
      <c r="I2" s="39"/>
      <c r="J2" s="39"/>
    </row>
    <row r="3" spans="1:10">
      <c r="A3" s="111" t="s">
        <v>242</v>
      </c>
      <c r="B3" s="39"/>
      <c r="C3" s="39"/>
      <c r="D3" s="39"/>
      <c r="E3" s="39"/>
      <c r="F3" s="39"/>
      <c r="G3" s="39"/>
      <c r="H3" s="39"/>
      <c r="I3" s="39"/>
      <c r="J3" s="39"/>
    </row>
    <row r="4" spans="1:10">
      <c r="A4" s="111" t="s">
        <v>650</v>
      </c>
      <c r="B4" s="111"/>
      <c r="C4" s="111"/>
      <c r="D4" s="111"/>
      <c r="E4" s="111"/>
      <c r="F4" s="111"/>
      <c r="G4" s="111"/>
      <c r="H4" s="111"/>
      <c r="I4" s="111"/>
      <c r="J4" s="111"/>
    </row>
    <row r="5" spans="1:10" ht="16.5" thickBot="1">
      <c r="A5" s="25"/>
      <c r="B5" s="25"/>
      <c r="C5" s="25"/>
      <c r="D5" s="25"/>
      <c r="E5" s="25"/>
      <c r="F5" s="25"/>
      <c r="G5" s="25"/>
      <c r="H5" s="25"/>
      <c r="I5" s="25"/>
      <c r="J5" s="25"/>
    </row>
    <row r="6" spans="1:10">
      <c r="A6" s="26"/>
      <c r="B6" s="1554"/>
      <c r="C6" s="1554"/>
      <c r="D6" s="1554"/>
      <c r="E6" s="1554"/>
      <c r="F6" s="1554"/>
      <c r="G6" s="1554"/>
      <c r="H6" s="1554"/>
      <c r="I6" s="1554"/>
      <c r="J6" s="1554"/>
    </row>
    <row r="7" spans="1:10">
      <c r="A7" s="11" t="str">
        <f>+'somfindétfsfin '!A53</f>
        <v>CUMUL 2015 (octobre   - décembre 14)</v>
      </c>
    </row>
    <row r="8" spans="1:10">
      <c r="C8" s="111" t="s">
        <v>639</v>
      </c>
      <c r="D8" s="111"/>
      <c r="E8" s="111"/>
      <c r="G8" s="111" t="s">
        <v>640</v>
      </c>
      <c r="H8" s="111"/>
      <c r="I8" s="111"/>
    </row>
    <row r="9" spans="1:10" ht="16.5" thickBot="1">
      <c r="C9" s="1" t="s">
        <v>248</v>
      </c>
      <c r="D9" s="1" t="s">
        <v>249</v>
      </c>
      <c r="E9" s="1" t="s">
        <v>250</v>
      </c>
      <c r="G9" s="1" t="s">
        <v>248</v>
      </c>
      <c r="H9" s="1" t="s">
        <v>249</v>
      </c>
      <c r="I9" s="1" t="s">
        <v>250</v>
      </c>
    </row>
    <row r="10" spans="1:10" ht="9.6" customHeight="1">
      <c r="C10" s="3"/>
      <c r="D10" s="3"/>
      <c r="E10" s="3"/>
      <c r="G10" s="3"/>
      <c r="H10" s="3"/>
      <c r="I10" s="3"/>
    </row>
    <row r="11" spans="1:10">
      <c r="A11" s="669"/>
      <c r="B11" s="667" t="s">
        <v>65</v>
      </c>
      <c r="C11" s="672">
        <f>+'UNIBKVARAN     '!B25</f>
        <v>930707.57854000002</v>
      </c>
      <c r="D11" s="674">
        <f>+C11/somfinrésys!$R$63</f>
        <v>0.33117911857268573</v>
      </c>
      <c r="E11" s="3">
        <v>1</v>
      </c>
      <c r="F11" s="667" t="s">
        <v>65</v>
      </c>
      <c r="G11" s="672">
        <f>+'UNIBKVARAN     '!B43</f>
        <v>341723.59331999999</v>
      </c>
      <c r="H11" s="674">
        <f>+G11/somfinrésys!$R$81</f>
        <v>0.45410139370494657</v>
      </c>
      <c r="I11" s="3">
        <v>1</v>
      </c>
      <c r="J11" s="667" t="s">
        <v>0</v>
      </c>
    </row>
    <row r="12" spans="1:10">
      <c r="A12" s="669"/>
      <c r="B12" s="667" t="s">
        <v>64</v>
      </c>
      <c r="C12" s="672">
        <f>+'SOGEBKVARAN '!B25</f>
        <v>755047.88289999997</v>
      </c>
      <c r="D12" s="674">
        <f>+C12/somfinrésys!$R$63</f>
        <v>0.26867310216948825</v>
      </c>
      <c r="E12" s="3">
        <v>2</v>
      </c>
      <c r="F12" s="667" t="s">
        <v>59</v>
      </c>
      <c r="G12" s="672">
        <f>+'BNCVARAN '!B43</f>
        <v>180285.65386000002</v>
      </c>
      <c r="H12" s="674">
        <f>+G12/somfinrésys!$R$81</f>
        <v>0.23957364455713781</v>
      </c>
      <c r="I12" s="3">
        <v>2</v>
      </c>
      <c r="J12" s="667" t="s">
        <v>0</v>
      </c>
    </row>
    <row r="13" spans="1:10">
      <c r="A13" s="669"/>
      <c r="B13" s="667" t="s">
        <v>59</v>
      </c>
      <c r="C13" s="672">
        <f>+'BNCVARAN '!B25</f>
        <v>442783.04968</v>
      </c>
      <c r="D13" s="674">
        <f>+C13/somfinrésys!$R$63</f>
        <v>0.15755808106987043</v>
      </c>
      <c r="E13" s="3">
        <v>3</v>
      </c>
      <c r="F13" s="667" t="s">
        <v>64</v>
      </c>
      <c r="G13" s="672">
        <f>+'SOGEBKVARAN '!B43</f>
        <v>82636.494100000127</v>
      </c>
      <c r="H13" s="674">
        <f>+G13/somfinrésys!$R$81</f>
        <v>0.10981198803724629</v>
      </c>
      <c r="I13" s="3">
        <v>3</v>
      </c>
      <c r="J13" s="667" t="s">
        <v>0</v>
      </c>
    </row>
    <row r="14" spans="1:10">
      <c r="A14" s="669"/>
      <c r="B14" s="667" t="s">
        <v>66</v>
      </c>
      <c r="C14" s="672">
        <f>+'CAPITALBKVARAN        '!B25</f>
        <v>301834</v>
      </c>
      <c r="D14" s="674">
        <f>+C14/somfinrésys!$R$63</f>
        <v>0.10740335673647025</v>
      </c>
      <c r="E14" s="3">
        <v>4</v>
      </c>
      <c r="F14" s="667" t="s">
        <v>66</v>
      </c>
      <c r="G14" s="672">
        <f>+'CAPITALBKVARAN        '!B43</f>
        <v>73151</v>
      </c>
      <c r="H14" s="674">
        <f>+G14/somfinrésys!$R$81</f>
        <v>9.7207133777866675E-2</v>
      </c>
      <c r="I14" s="3">
        <v>4</v>
      </c>
      <c r="J14" s="667" t="s">
        <v>0</v>
      </c>
    </row>
    <row r="15" spans="1:10">
      <c r="A15" s="669"/>
      <c r="B15" s="667" t="s">
        <v>61</v>
      </c>
      <c r="C15" s="672">
        <f>+BUHVARAN!B24</f>
        <v>108327.53148543199</v>
      </c>
      <c r="D15" s="674">
        <f>+C15/somfinrésys!$R$63</f>
        <v>3.854681880938219E-2</v>
      </c>
      <c r="E15" s="3">
        <v>5</v>
      </c>
      <c r="F15" s="667" t="s">
        <v>69</v>
      </c>
      <c r="G15" s="672">
        <f>+'SCOTIAVARAN            '!B43</f>
        <v>23135.7</v>
      </c>
      <c r="H15" s="674">
        <f>+G15/somfinrésys!$R$81</f>
        <v>3.0744010128974181E-2</v>
      </c>
      <c r="I15" s="3">
        <v>5</v>
      </c>
      <c r="J15" s="667" t="s">
        <v>0</v>
      </c>
    </row>
    <row r="16" spans="1:10">
      <c r="A16" s="669"/>
      <c r="B16" s="667" t="s">
        <v>68</v>
      </c>
      <c r="C16" s="672">
        <f>+'CBNAVARAN           '!B26</f>
        <v>88751</v>
      </c>
      <c r="D16" s="674">
        <f>+C16/somfinrésys!$R$63</f>
        <v>3.1580787166848236E-2</v>
      </c>
      <c r="E16" s="3">
        <v>6</v>
      </c>
      <c r="F16" s="669" t="s">
        <v>67</v>
      </c>
      <c r="G16" s="672">
        <f>+'SGBELVARAN         '!B43</f>
        <v>20053.294140000009</v>
      </c>
      <c r="H16" s="674">
        <f>+G16/somfinrésys!$R$81</f>
        <v>2.6647937091138753E-2</v>
      </c>
      <c r="I16" s="3">
        <v>6</v>
      </c>
      <c r="J16" s="667" t="s">
        <v>0</v>
      </c>
    </row>
    <row r="17" spans="1:10">
      <c r="A17" s="669"/>
      <c r="B17" s="667" t="s">
        <v>69</v>
      </c>
      <c r="C17" s="672">
        <f>+'SCOTIAVARAN            '!B25</f>
        <v>73832</v>
      </c>
      <c r="D17" s="674">
        <f>+C17/somfinrésys!$R$63</f>
        <v>2.6272072180626011E-2</v>
      </c>
      <c r="E17" s="3">
        <v>7</v>
      </c>
      <c r="F17" s="667" t="s">
        <v>68</v>
      </c>
      <c r="G17" s="672">
        <f>+'CBNAVARAN           '!B44</f>
        <v>19669</v>
      </c>
      <c r="H17" s="674">
        <f>+G17/somfinrésys!$R$81</f>
        <v>2.6137265577734544E-2</v>
      </c>
      <c r="I17" s="3">
        <v>7</v>
      </c>
      <c r="J17" s="667" t="s">
        <v>0</v>
      </c>
    </row>
    <row r="18" spans="1:10">
      <c r="A18" s="669"/>
      <c r="B18" s="669" t="s">
        <v>67</v>
      </c>
      <c r="C18" s="672">
        <f>+'SGBELVARAN         '!B25</f>
        <v>65156.227110000007</v>
      </c>
      <c r="D18" s="674">
        <f>+C18/somfinrésys!$R$63</f>
        <v>2.318492119475541E-2</v>
      </c>
      <c r="E18" s="3">
        <v>8</v>
      </c>
      <c r="F18" s="667" t="s">
        <v>61</v>
      </c>
      <c r="G18" s="672">
        <f>+BUHVARAN!B42</f>
        <v>13400.425875431989</v>
      </c>
      <c r="H18" s="674">
        <f>+G18/somfinrésys!$R$81</f>
        <v>1.780723422446041E-2</v>
      </c>
      <c r="I18" s="3">
        <v>8</v>
      </c>
      <c r="J18" s="667" t="s">
        <v>0</v>
      </c>
    </row>
    <row r="19" spans="1:10">
      <c r="A19" s="669"/>
      <c r="B19" s="667" t="s">
        <v>60</v>
      </c>
      <c r="C19" s="672">
        <f>+'BPHVARAN    '!B25</f>
        <v>43845.33563999999</v>
      </c>
      <c r="D19" s="674">
        <f>+C19/somfinrésys!$R$63</f>
        <v>1.5601742099873413E-2</v>
      </c>
      <c r="E19" s="3">
        <v>9</v>
      </c>
      <c r="F19" s="667" t="s">
        <v>60</v>
      </c>
      <c r="G19" s="672">
        <f>+'BPHVARAN    '!B43</f>
        <v>-1528.0868200000077</v>
      </c>
      <c r="H19" s="674">
        <f>+G19/somfinrésys!$R$81</f>
        <v>-2.0306070995056201E-3</v>
      </c>
      <c r="I19" s="3">
        <v>9</v>
      </c>
      <c r="J19" s="667" t="s">
        <v>0</v>
      </c>
    </row>
    <row r="20" spans="1:10">
      <c r="B20" s="189" t="s">
        <v>0</v>
      </c>
      <c r="C20" s="24" t="s">
        <v>0</v>
      </c>
      <c r="D20" s="23" t="s">
        <v>0</v>
      </c>
      <c r="E20" s="3" t="s">
        <v>0</v>
      </c>
      <c r="F20" s="189" t="s">
        <v>0</v>
      </c>
      <c r="G20" s="24" t="s">
        <v>0</v>
      </c>
      <c r="H20" s="23" t="s">
        <v>0</v>
      </c>
      <c r="I20" s="3" t="s">
        <v>0</v>
      </c>
      <c r="J20" s="17" t="s">
        <v>0</v>
      </c>
    </row>
    <row r="21" spans="1:10">
      <c r="A21" s="4"/>
      <c r="B21" s="4" t="s">
        <v>70</v>
      </c>
      <c r="C21" s="612">
        <f>SUM(C11:C20)</f>
        <v>2810284.6053554318</v>
      </c>
      <c r="D21" s="639">
        <f>SUM(D11:D20)</f>
        <v>0.99999999999999989</v>
      </c>
      <c r="E21" s="3" t="s">
        <v>0</v>
      </c>
      <c r="F21" s="4" t="s">
        <v>70</v>
      </c>
      <c r="G21" s="612">
        <f>SUM(G11:G20)</f>
        <v>752527.07447543216</v>
      </c>
      <c r="H21" s="639">
        <f>SUM(H11:H20)</f>
        <v>0.99999999999999989</v>
      </c>
      <c r="I21" s="3" t="s">
        <v>0</v>
      </c>
      <c r="J21" s="4" t="s">
        <v>0</v>
      </c>
    </row>
    <row r="22" spans="1:10">
      <c r="A22" s="17"/>
      <c r="B22" s="17"/>
      <c r="C22" s="20"/>
      <c r="D22" s="139"/>
      <c r="E22" s="3"/>
      <c r="F22" s="17"/>
      <c r="G22" s="20"/>
      <c r="H22" s="139"/>
      <c r="I22" s="3"/>
      <c r="J22" s="17"/>
    </row>
    <row r="23" spans="1:10" ht="16.5" thickBot="1">
      <c r="A23" s="25"/>
      <c r="B23" s="25"/>
      <c r="C23" s="25"/>
      <c r="D23" s="25"/>
      <c r="E23" s="25"/>
      <c r="F23" s="25"/>
      <c r="G23" s="25"/>
      <c r="H23" s="25"/>
      <c r="I23" s="25"/>
      <c r="J23" s="25"/>
    </row>
    <row r="24" spans="1:10">
      <c r="A24" s="26"/>
      <c r="B24" s="1555"/>
      <c r="C24" s="1555"/>
      <c r="D24" s="1555"/>
      <c r="E24" s="1555"/>
      <c r="F24" s="1555"/>
      <c r="G24" s="1555"/>
      <c r="H24" s="1555"/>
      <c r="I24" s="1555"/>
      <c r="J24" s="1555"/>
    </row>
    <row r="25" spans="1:10">
      <c r="A25" s="11" t="str">
        <f>+'somfindétfsfin '!A60</f>
        <v>CUMUL 2014 (octobre   - décembre 13)</v>
      </c>
      <c r="C25" s="1362" t="s">
        <v>0</v>
      </c>
      <c r="F25" s="116" t="s">
        <v>0</v>
      </c>
    </row>
    <row r="26" spans="1:10">
      <c r="C26" s="111" t="s">
        <v>639</v>
      </c>
      <c r="D26" s="111"/>
      <c r="E26" s="111"/>
      <c r="G26" s="111" t="s">
        <v>634</v>
      </c>
      <c r="H26" s="111"/>
      <c r="I26" s="111"/>
    </row>
    <row r="27" spans="1:10" ht="16.5" thickBot="1">
      <c r="C27" s="1" t="s">
        <v>248</v>
      </c>
      <c r="D27" s="1" t="s">
        <v>249</v>
      </c>
      <c r="E27" s="1" t="s">
        <v>250</v>
      </c>
      <c r="G27" s="1" t="s">
        <v>248</v>
      </c>
      <c r="H27" s="1" t="s">
        <v>249</v>
      </c>
      <c r="I27" s="1" t="s">
        <v>250</v>
      </c>
    </row>
    <row r="28" spans="1:10">
      <c r="C28" s="3"/>
      <c r="D28" s="3"/>
      <c r="E28" s="3"/>
      <c r="G28" s="3"/>
      <c r="H28" s="3"/>
      <c r="I28" s="3"/>
    </row>
    <row r="29" spans="1:10">
      <c r="A29" s="669"/>
      <c r="B29" s="667" t="s">
        <v>65</v>
      </c>
      <c r="C29" s="672">
        <f>+'UNIBKVARAN     '!D25</f>
        <v>746887.81815999991</v>
      </c>
      <c r="D29" s="674">
        <f>+C29/somfinrésys!$T$63</f>
        <v>0.31292222173251144</v>
      </c>
      <c r="E29" s="3">
        <v>1</v>
      </c>
      <c r="F29" s="667" t="s">
        <v>65</v>
      </c>
      <c r="G29" s="672">
        <f>+'UNIBKVARAN     '!D43</f>
        <v>254369.32791999995</v>
      </c>
      <c r="H29" s="674">
        <f>+G29/somfinrésys!$T$81</f>
        <v>0.43587132590442679</v>
      </c>
      <c r="I29" s="3">
        <v>1</v>
      </c>
      <c r="J29" s="667" t="s">
        <v>0</v>
      </c>
    </row>
    <row r="30" spans="1:10">
      <c r="A30" s="669"/>
      <c r="B30" s="667" t="s">
        <v>64</v>
      </c>
      <c r="C30" s="672">
        <f>+'SOGEBKVARAN '!D25</f>
        <v>662273.58122999989</v>
      </c>
      <c r="D30" s="674">
        <f>+C30/somfinrésys!$T$63</f>
        <v>0.2774715498021994</v>
      </c>
      <c r="E30" s="3">
        <v>2</v>
      </c>
      <c r="F30" s="667" t="s">
        <v>59</v>
      </c>
      <c r="G30" s="672">
        <f>+'BNCVARAN '!D43</f>
        <v>119862.40639999995</v>
      </c>
      <c r="H30" s="674">
        <f>+G30/somfinrésys!$T$81</f>
        <v>0.20538870166018733</v>
      </c>
      <c r="I30" s="3">
        <v>2</v>
      </c>
      <c r="J30" s="667" t="s">
        <v>0</v>
      </c>
    </row>
    <row r="31" spans="1:10">
      <c r="A31" s="669"/>
      <c r="B31" s="667" t="s">
        <v>59</v>
      </c>
      <c r="C31" s="672">
        <f>+'BNCVARAN '!D25</f>
        <v>394058.59838999994</v>
      </c>
      <c r="D31" s="674">
        <f>+C31/somfinrésys!$T$63</f>
        <v>0.16509800950399564</v>
      </c>
      <c r="E31" s="3">
        <v>3</v>
      </c>
      <c r="F31" s="667" t="s">
        <v>64</v>
      </c>
      <c r="G31" s="672">
        <f>+'SOGEBKVARAN '!D43</f>
        <v>100665.4548699999</v>
      </c>
      <c r="H31" s="674">
        <f>+G31/somfinrésys!$T$81</f>
        <v>0.17249400957948288</v>
      </c>
      <c r="I31" s="3">
        <v>3</v>
      </c>
      <c r="J31" s="667" t="s">
        <v>0</v>
      </c>
    </row>
    <row r="32" spans="1:10">
      <c r="A32" s="669"/>
      <c r="B32" s="667" t="s">
        <v>66</v>
      </c>
      <c r="C32" s="672">
        <f>+'CAPITALBKVARAN        '!D25</f>
        <v>245611</v>
      </c>
      <c r="D32" s="674">
        <f>+C32/somfinrésys!$T$63</f>
        <v>0.10290319099230424</v>
      </c>
      <c r="E32" s="3">
        <v>4</v>
      </c>
      <c r="F32" s="667" t="s">
        <v>66</v>
      </c>
      <c r="G32" s="672">
        <f>+'CAPITALBKVARAN        '!D43</f>
        <v>56803</v>
      </c>
      <c r="H32" s="674">
        <f>+G32/somfinrésys!$T$81</f>
        <v>9.7334058032090581E-2</v>
      </c>
      <c r="I32" s="3">
        <v>4</v>
      </c>
      <c r="J32" s="667" t="s">
        <v>0</v>
      </c>
    </row>
    <row r="33" spans="1:10">
      <c r="A33" s="669"/>
      <c r="B33" s="667" t="s">
        <v>61</v>
      </c>
      <c r="C33" s="672">
        <f>+BUHVARAN!D24</f>
        <v>95645.105087543998</v>
      </c>
      <c r="D33" s="674">
        <f>+C33/somfinrésys!$T$63</f>
        <v>4.0072254566377523E-2</v>
      </c>
      <c r="E33" s="3">
        <v>5</v>
      </c>
      <c r="F33" s="667" t="s">
        <v>68</v>
      </c>
      <c r="G33" s="672">
        <f>+'CBNAVARAN           '!D44</f>
        <v>21970</v>
      </c>
      <c r="H33" s="674">
        <f>+G33/somfinrésys!$T$81</f>
        <v>3.764641400920779E-2</v>
      </c>
      <c r="I33" s="3">
        <v>5</v>
      </c>
      <c r="J33" s="667" t="s">
        <v>0</v>
      </c>
    </row>
    <row r="34" spans="1:10">
      <c r="A34" s="669"/>
      <c r="B34" s="667" t="s">
        <v>68</v>
      </c>
      <c r="C34" s="672">
        <f>+'CBNAVARAN           '!D26</f>
        <v>79889</v>
      </c>
      <c r="D34" s="674">
        <f>+C34/somfinrésys!$T$63</f>
        <v>3.3470948064965304E-2</v>
      </c>
      <c r="E34" s="3">
        <v>6</v>
      </c>
      <c r="F34" s="669" t="s">
        <v>67</v>
      </c>
      <c r="G34" s="672">
        <f>+'SGBELVARAN         '!D43</f>
        <v>11362.516049999987</v>
      </c>
      <c r="H34" s="674">
        <f>+G34/somfinrésys!$T$81</f>
        <v>1.9470094829520612E-2</v>
      </c>
      <c r="I34" s="3">
        <v>6</v>
      </c>
      <c r="J34" s="667" t="s">
        <v>0</v>
      </c>
    </row>
    <row r="35" spans="1:10">
      <c r="A35" s="669"/>
      <c r="B35" s="667" t="s">
        <v>69</v>
      </c>
      <c r="C35" s="672">
        <f>+'SCOTIAVARAN            '!D25</f>
        <v>68991</v>
      </c>
      <c r="D35" s="674">
        <f>+C35/somfinrésys!$T$63</f>
        <v>2.8905032957603941E-2</v>
      </c>
      <c r="E35" s="3">
        <v>7</v>
      </c>
      <c r="F35" s="667" t="s">
        <v>61</v>
      </c>
      <c r="G35" s="672">
        <f>+BUHVARAN!D42</f>
        <v>7801.9304575440037</v>
      </c>
      <c r="H35" s="674">
        <f>+G35/somfinrésys!$T$81</f>
        <v>1.3368898683466067E-2</v>
      </c>
      <c r="I35" s="3">
        <v>7</v>
      </c>
      <c r="J35" s="669" t="s">
        <v>0</v>
      </c>
    </row>
    <row r="36" spans="1:10">
      <c r="A36" s="669"/>
      <c r="B36" s="669" t="s">
        <v>67</v>
      </c>
      <c r="C36" s="672">
        <f>+'SGBELVARAN         '!D25</f>
        <v>49584.091379999991</v>
      </c>
      <c r="D36" s="674">
        <f>+C36/somfinrésys!$T$63</f>
        <v>2.0774155984284112E-2</v>
      </c>
      <c r="E36" s="3">
        <v>8</v>
      </c>
      <c r="F36" s="667" t="s">
        <v>60</v>
      </c>
      <c r="G36" s="672">
        <f>+'BPHVARAN    '!D43</f>
        <v>6802.3749299999981</v>
      </c>
      <c r="H36" s="674">
        <f>+G36/somfinrésys!$T$81</f>
        <v>1.1656123025063076E-2</v>
      </c>
      <c r="I36" s="3">
        <v>8</v>
      </c>
      <c r="J36" s="667" t="s">
        <v>0</v>
      </c>
    </row>
    <row r="37" spans="1:10">
      <c r="A37" s="669"/>
      <c r="B37" s="667" t="s">
        <v>60</v>
      </c>
      <c r="C37" s="672">
        <f>+'BPHVARAN    '!D25</f>
        <v>43875.973759999993</v>
      </c>
      <c r="D37" s="674">
        <f>+C37/somfinrésys!$T$63</f>
        <v>1.8382636395758368E-2</v>
      </c>
      <c r="E37" s="3">
        <v>9</v>
      </c>
      <c r="F37" s="667" t="s">
        <v>69</v>
      </c>
      <c r="G37" s="672">
        <f>+'SCOTIAVARAN            '!D43</f>
        <v>3951.1100000000033</v>
      </c>
      <c r="H37" s="674">
        <f>+G37/somfinrésys!$T$81</f>
        <v>6.7703742765553533E-3</v>
      </c>
      <c r="I37" s="3">
        <v>9</v>
      </c>
      <c r="J37" s="667" t="s">
        <v>0</v>
      </c>
    </row>
    <row r="38" spans="1:10">
      <c r="E38" s="3" t="s">
        <v>0</v>
      </c>
      <c r="I38" s="3" t="s">
        <v>0</v>
      </c>
      <c r="J38" s="667" t="s">
        <v>0</v>
      </c>
    </row>
    <row r="39" spans="1:10">
      <c r="A39" s="17"/>
      <c r="B39" s="17"/>
      <c r="C39" s="20"/>
      <c r="D39" s="139"/>
      <c r="E39" s="3"/>
      <c r="F39" s="17"/>
      <c r="G39" s="20"/>
      <c r="H39" s="139"/>
      <c r="I39" s="3"/>
      <c r="J39" s="17"/>
    </row>
    <row r="40" spans="1:10">
      <c r="A40" s="4"/>
      <c r="B40" s="4" t="s">
        <v>70</v>
      </c>
      <c r="C40" s="612">
        <f>SUM(C29:C39)</f>
        <v>2386816.1680075438</v>
      </c>
      <c r="D40" s="640">
        <f>SUM(D29:D39)</f>
        <v>1</v>
      </c>
      <c r="E40" s="3"/>
      <c r="F40" s="4" t="s">
        <v>70</v>
      </c>
      <c r="G40" s="612">
        <f>SUM(G29:G39)</f>
        <v>583588.12062754389</v>
      </c>
      <c r="H40" s="640">
        <f>SUM(H29:H39)</f>
        <v>1.0000000000000002</v>
      </c>
      <c r="I40" s="3"/>
      <c r="J40" s="4" t="s">
        <v>0</v>
      </c>
    </row>
    <row r="41" spans="1:10" ht="16.5" thickBot="1">
      <c r="A41" s="25"/>
      <c r="B41" s="25"/>
      <c r="C41" s="25"/>
      <c r="D41" s="25"/>
      <c r="E41" s="25"/>
      <c r="F41" s="25"/>
      <c r="G41" s="25"/>
      <c r="H41" s="25"/>
      <c r="I41" s="25"/>
      <c r="J41" s="25"/>
    </row>
    <row r="43" spans="1:10">
      <c r="A43" s="11" t="s">
        <v>0</v>
      </c>
    </row>
    <row r="44" spans="1:10">
      <c r="A44" s="11" t="s">
        <v>0</v>
      </c>
    </row>
  </sheetData>
  <sortState ref="F29:H37">
    <sortCondition descending="1" ref="G29:G37"/>
  </sortState>
  <mergeCells count="2">
    <mergeCell ref="B6:J6"/>
    <mergeCell ref="B24:J24"/>
  </mergeCells>
  <phoneticPr fontId="73" type="noConversion"/>
  <pageMargins left="1.18" right="0.23" top="0.65" bottom="0.38" header="0.54" footer="0.21"/>
  <pageSetup scale="63" orientation="landscape" r:id="rId1"/>
  <headerFooter alignWithMargins="0">
    <oddFooter>&amp;R&amp;16&amp;P</oddFooter>
  </headerFooter>
</worksheet>
</file>

<file path=xl/worksheets/sheet31.xml><?xml version="1.0" encoding="utf-8"?>
<worksheet xmlns="http://schemas.openxmlformats.org/spreadsheetml/2006/main" xmlns:r="http://schemas.openxmlformats.org/officeDocument/2006/relationships">
  <sheetPr>
    <pageSetUpPr fitToPage="1"/>
  </sheetPr>
  <dimension ref="A1:L64"/>
  <sheetViews>
    <sheetView workbookViewId="0">
      <selection activeCell="A4" sqref="A4:L4"/>
    </sheetView>
  </sheetViews>
  <sheetFormatPr baseColWidth="10" defaultColWidth="9" defaultRowHeight="15.75"/>
  <cols>
    <col min="1" max="1" width="26.375" customWidth="1"/>
    <col min="2" max="2" width="15.625" customWidth="1"/>
    <col min="3" max="3" width="7" customWidth="1"/>
    <col min="4" max="4" width="18.625" style="401" customWidth="1"/>
    <col min="5" max="5" width="17.125" style="401" customWidth="1"/>
    <col min="6" max="6" width="7" style="401" customWidth="1"/>
    <col min="7" max="7" width="18.625" style="401" customWidth="1"/>
    <col min="8" max="8" width="16.75" style="401" customWidth="1"/>
    <col min="9" max="9" width="7" style="401" customWidth="1"/>
    <col min="10" max="10" width="18.625" customWidth="1"/>
    <col min="11" max="11" width="20" customWidth="1"/>
  </cols>
  <sheetData>
    <row r="1" spans="1:12">
      <c r="A1" s="1556" t="s">
        <v>192</v>
      </c>
      <c r="B1" s="1556"/>
      <c r="C1" s="1556"/>
      <c r="D1" s="1556"/>
      <c r="E1" s="1556"/>
      <c r="F1" s="1556"/>
      <c r="G1" s="1556"/>
      <c r="H1" s="1556"/>
      <c r="I1" s="1556"/>
      <c r="J1" s="1556"/>
      <c r="K1" s="1556"/>
      <c r="L1" s="1556"/>
    </row>
    <row r="2" spans="1:12">
      <c r="A2" s="1556" t="s">
        <v>193</v>
      </c>
      <c r="B2" s="1556"/>
      <c r="C2" s="1556"/>
      <c r="D2" s="1556"/>
      <c r="E2" s="1556"/>
      <c r="F2" s="1556"/>
      <c r="G2" s="1556"/>
      <c r="H2" s="1556"/>
      <c r="I2" s="1556"/>
      <c r="J2" s="1556"/>
      <c r="K2" s="1556"/>
      <c r="L2" s="1556"/>
    </row>
    <row r="3" spans="1:12">
      <c r="A3" s="1556" t="s">
        <v>495</v>
      </c>
      <c r="B3" s="1556"/>
      <c r="C3" s="1556"/>
      <c r="D3" s="1556"/>
      <c r="E3" s="1556"/>
      <c r="F3" s="1556"/>
      <c r="G3" s="1556"/>
      <c r="H3" s="1556"/>
      <c r="I3" s="1556"/>
      <c r="J3" s="1556"/>
      <c r="K3" s="1556"/>
      <c r="L3" s="1556"/>
    </row>
    <row r="4" spans="1:12">
      <c r="A4" s="1556" t="s">
        <v>649</v>
      </c>
      <c r="B4" s="1556"/>
      <c r="C4" s="1556"/>
      <c r="D4" s="1556"/>
      <c r="E4" s="1556"/>
      <c r="F4" s="1556"/>
      <c r="G4" s="1556"/>
      <c r="H4" s="1556"/>
      <c r="I4" s="1556"/>
      <c r="J4" s="1556"/>
      <c r="K4" s="1556"/>
      <c r="L4" s="1556"/>
    </row>
    <row r="5" spans="1:12" ht="16.5" thickBot="1">
      <c r="A5" s="25"/>
      <c r="B5" s="25"/>
      <c r="C5" s="25"/>
      <c r="D5" s="688"/>
      <c r="E5" s="688"/>
      <c r="F5" s="688"/>
      <c r="G5" s="688"/>
      <c r="H5" s="688"/>
      <c r="I5" s="688"/>
      <c r="J5" s="25"/>
      <c r="K5" s="25"/>
      <c r="L5" s="25"/>
    </row>
    <row r="6" spans="1:12">
      <c r="A6" s="26"/>
      <c r="B6" s="26"/>
      <c r="C6" s="26"/>
      <c r="D6" s="278"/>
      <c r="E6" s="278"/>
      <c r="F6" s="278"/>
      <c r="G6" s="278"/>
      <c r="H6" s="278"/>
      <c r="I6" s="278"/>
    </row>
    <row r="7" spans="1:12">
      <c r="A7" s="11" t="str">
        <f>+'partdemarc.  (2)'!A7</f>
        <v>AU 31 DÉCEMBRE 2014</v>
      </c>
      <c r="B7" s="26"/>
      <c r="C7" s="26"/>
      <c r="D7" s="278"/>
      <c r="E7" s="278"/>
      <c r="F7" s="278"/>
      <c r="G7" s="278"/>
      <c r="H7" s="278"/>
      <c r="I7" s="278"/>
    </row>
    <row r="8" spans="1:12">
      <c r="H8" s="690" t="s">
        <v>0</v>
      </c>
      <c r="I8" s="690"/>
    </row>
    <row r="9" spans="1:12" ht="16.5" thickBot="1">
      <c r="B9" s="156" t="s">
        <v>477</v>
      </c>
      <c r="C9" s="1" t="s">
        <v>250</v>
      </c>
      <c r="E9" s="700" t="s">
        <v>497</v>
      </c>
      <c r="F9" s="1" t="s">
        <v>250</v>
      </c>
      <c r="H9" s="700" t="s">
        <v>478</v>
      </c>
      <c r="I9" s="1" t="s">
        <v>250</v>
      </c>
      <c r="J9" s="3" t="s">
        <v>0</v>
      </c>
      <c r="K9" s="708" t="s">
        <v>479</v>
      </c>
      <c r="L9" s="1" t="s">
        <v>250</v>
      </c>
    </row>
    <row r="10" spans="1:12">
      <c r="B10" s="384" t="s">
        <v>0</v>
      </c>
      <c r="C10" s="384"/>
      <c r="E10" s="699" t="s">
        <v>0</v>
      </c>
      <c r="F10" s="699"/>
      <c r="H10" s="699" t="s">
        <v>54</v>
      </c>
      <c r="I10" s="699"/>
    </row>
    <row r="11" spans="1:12" ht="9.6" customHeight="1">
      <c r="C11" s="3"/>
      <c r="F11" s="690"/>
      <c r="I11" s="690"/>
    </row>
    <row r="12" spans="1:12">
      <c r="A12" s="669" t="s">
        <v>65</v>
      </c>
      <c r="B12" s="672">
        <f>+unibkvar!B20</f>
        <v>24056419.86524</v>
      </c>
      <c r="C12" s="703">
        <v>1</v>
      </c>
      <c r="D12" s="667" t="s">
        <v>68</v>
      </c>
      <c r="E12" s="707">
        <f>+cbnavar!B61/((employés!Z136+employés!Z138)/2)</f>
        <v>55353.323076923079</v>
      </c>
      <c r="F12" s="703">
        <v>1</v>
      </c>
      <c r="G12" s="667" t="s">
        <v>68</v>
      </c>
      <c r="H12" s="1472">
        <f>+cbnavar!B30/((1+1)/2)</f>
        <v>4588078</v>
      </c>
      <c r="I12" s="703">
        <v>1</v>
      </c>
      <c r="J12" s="667" t="s">
        <v>68</v>
      </c>
      <c r="K12" s="672">
        <f>+cbnavar!B30/((employés!Z136+employés!Z138)/2)</f>
        <v>141171.63076923077</v>
      </c>
      <c r="L12" s="703">
        <v>1</v>
      </c>
    </row>
    <row r="13" spans="1:12">
      <c r="A13" s="669" t="s">
        <v>64</v>
      </c>
      <c r="B13" s="672">
        <f>+sogebkvar!B20</f>
        <v>19215072.525990002</v>
      </c>
      <c r="C13" s="703">
        <v>2</v>
      </c>
      <c r="D13" s="669" t="s">
        <v>67</v>
      </c>
      <c r="E13" s="707">
        <f>+sgbelvar!B61/((employés!W138+employés!W136)/2)</f>
        <v>50539.814885570369</v>
      </c>
      <c r="F13" s="703">
        <v>2</v>
      </c>
      <c r="G13" s="669" t="s">
        <v>67</v>
      </c>
      <c r="H13" s="1472">
        <f>+sgbelvar!B30/((3+3)/2)</f>
        <v>1515072.3518233337</v>
      </c>
      <c r="I13" s="703">
        <v>2</v>
      </c>
      <c r="J13" s="669" t="s">
        <v>67</v>
      </c>
      <c r="K13" s="672">
        <f>+sgbelvar!B30/((employés!W136+employés!W138)/2)</f>
        <v>67336.548969925934</v>
      </c>
      <c r="L13" s="703">
        <v>2</v>
      </c>
    </row>
    <row r="14" spans="1:12">
      <c r="A14" s="669" t="s">
        <v>59</v>
      </c>
      <c r="B14" s="672">
        <f>+bncvar!B20</f>
        <v>10524694.186369998</v>
      </c>
      <c r="C14" s="703">
        <v>3</v>
      </c>
      <c r="D14" s="667" t="s">
        <v>69</v>
      </c>
      <c r="E14" s="707">
        <f>+scotiavar!B61/((employés!AB136+employés!AB138)/2)</f>
        <v>24507.714285714286</v>
      </c>
      <c r="F14" s="703">
        <v>3</v>
      </c>
      <c r="G14" s="667" t="s">
        <v>69</v>
      </c>
      <c r="H14" s="1472">
        <f>+scotiavar!B30/((4+4)/2)</f>
        <v>1306549</v>
      </c>
      <c r="I14" s="703">
        <v>3</v>
      </c>
      <c r="J14" s="667" t="s">
        <v>69</v>
      </c>
      <c r="K14" s="672">
        <f>+scotiavar!B30/((employés!AB136+employés!AB138)/2)</f>
        <v>59727.954285714288</v>
      </c>
      <c r="L14" s="703">
        <v>3</v>
      </c>
    </row>
    <row r="15" spans="1:12">
      <c r="A15" s="669" t="s">
        <v>66</v>
      </c>
      <c r="B15" s="672">
        <f>+capitalbkvar!B20</f>
        <v>5637972</v>
      </c>
      <c r="C15" s="703">
        <v>4</v>
      </c>
      <c r="D15" s="667" t="s">
        <v>65</v>
      </c>
      <c r="E15" s="707">
        <f>+unibkvar!B61/((employés!S136+employés!S138)/2)</f>
        <v>21682.759659695203</v>
      </c>
      <c r="F15" s="703">
        <v>4</v>
      </c>
      <c r="G15" s="667" t="s">
        <v>64</v>
      </c>
      <c r="H15" s="1472">
        <f>+sogebkvar!B30/((41+41)/2)</f>
        <v>1044990.7050819513</v>
      </c>
      <c r="I15" s="703">
        <v>4</v>
      </c>
      <c r="J15" s="667" t="s">
        <v>59</v>
      </c>
      <c r="K15" s="672">
        <f>+bncvar!B30/((employés!E136+employés!E138)/2)</f>
        <v>52036.867544347158</v>
      </c>
      <c r="L15" s="703">
        <v>4</v>
      </c>
    </row>
    <row r="16" spans="1:12">
      <c r="A16" s="669" t="s">
        <v>67</v>
      </c>
      <c r="B16" s="672">
        <f>+sgbelvar!B20</f>
        <v>3345304.2581560002</v>
      </c>
      <c r="C16" s="703">
        <v>5</v>
      </c>
      <c r="D16" s="667" t="s">
        <v>59</v>
      </c>
      <c r="E16" s="707">
        <f>+bncvar!B61/((employés!E136+employés!E138)/2)</f>
        <v>16610.268625222732</v>
      </c>
      <c r="F16" s="703">
        <v>5</v>
      </c>
      <c r="G16" s="667" t="s">
        <v>65</v>
      </c>
      <c r="H16" s="1472">
        <f>+unibkvar!B30/((50+50)/2)</f>
        <v>989695.52165751578</v>
      </c>
      <c r="I16" s="703">
        <v>5</v>
      </c>
      <c r="J16" s="667" t="s">
        <v>65</v>
      </c>
      <c r="K16" s="672">
        <f>+unibkvar!B30/((employés!S136+employés!S138)/2)</f>
        <v>44361.0722392432</v>
      </c>
      <c r="L16" s="703">
        <v>5</v>
      </c>
    </row>
    <row r="17" spans="1:12">
      <c r="A17" s="669" t="s">
        <v>61</v>
      </c>
      <c r="B17" s="672">
        <f>+buhvar!B20</f>
        <v>2291639.3848394938</v>
      </c>
      <c r="C17" s="703">
        <v>6</v>
      </c>
      <c r="D17" s="667" t="s">
        <v>64</v>
      </c>
      <c r="E17" s="707">
        <f>+sogebkvar!B61/((employés!Q136+employés!Q138)/2)</f>
        <v>13654.822734621212</v>
      </c>
      <c r="F17" s="703">
        <v>6</v>
      </c>
      <c r="G17" s="667" t="s">
        <v>59</v>
      </c>
      <c r="H17" s="1472">
        <f>+bncvar!B30/((41+41)/2)</f>
        <v>826243.92125292681</v>
      </c>
      <c r="I17" s="703">
        <v>6</v>
      </c>
      <c r="J17" s="667" t="s">
        <v>64</v>
      </c>
      <c r="K17" s="672">
        <f>+sogebkvar!B30/((employés!Q136+employés!Q138)/2)</f>
        <v>29507.313297768596</v>
      </c>
      <c r="L17" s="703">
        <v>6</v>
      </c>
    </row>
    <row r="18" spans="1:12">
      <c r="A18" s="669" t="s">
        <v>69</v>
      </c>
      <c r="B18" s="672">
        <f>+scotiavar!B20</f>
        <v>2063611</v>
      </c>
      <c r="C18" s="703">
        <v>7</v>
      </c>
      <c r="D18" s="667" t="s">
        <v>61</v>
      </c>
      <c r="E18" s="707">
        <f>+buhvar!B61/((employés!I136+employés!I138)/2)</f>
        <v>12130.126109196803</v>
      </c>
      <c r="F18" s="703">
        <v>7</v>
      </c>
      <c r="G18" s="667" t="s">
        <v>66</v>
      </c>
      <c r="H18" s="1472">
        <f>+capitalbkvar!B30/((17+17)/2)</f>
        <v>612911.4117647059</v>
      </c>
      <c r="I18" s="703">
        <v>7</v>
      </c>
      <c r="J18" s="667" t="s">
        <v>61</v>
      </c>
      <c r="K18" s="672">
        <f>+buhvar!B30/((employés!I136+employés!I138)/2)</f>
        <v>24536.863567080811</v>
      </c>
      <c r="L18" s="703">
        <v>7</v>
      </c>
    </row>
    <row r="19" spans="1:12">
      <c r="A19" s="669" t="s">
        <v>68</v>
      </c>
      <c r="B19" s="672">
        <f>+cbnavar!B20</f>
        <v>1798882</v>
      </c>
      <c r="C19" s="703">
        <v>8</v>
      </c>
      <c r="D19" s="667" t="s">
        <v>66</v>
      </c>
      <c r="E19" s="707">
        <f>+capitalbkvar!B61/((employés!U136+employés!U138)/2)</f>
        <v>10690.175141242938</v>
      </c>
      <c r="F19" s="703">
        <v>8</v>
      </c>
      <c r="G19" s="667" t="s">
        <v>60</v>
      </c>
      <c r="H19" s="1472">
        <f>+bphvar!B30/((6+6)/2)</f>
        <v>479650.93833166669</v>
      </c>
      <c r="I19" s="703">
        <v>8</v>
      </c>
      <c r="J19" s="667" t="s">
        <v>66</v>
      </c>
      <c r="K19" s="672">
        <f>+capitalbkvar!B30/((employés!U136+employés!U138)/2)</f>
        <v>19622.399246704332</v>
      </c>
      <c r="L19" s="703">
        <v>8</v>
      </c>
    </row>
    <row r="20" spans="1:12">
      <c r="A20" s="669" t="s">
        <v>60</v>
      </c>
      <c r="B20" s="672">
        <f>+bphvar!B20</f>
        <v>858993.53526000003</v>
      </c>
      <c r="C20" s="703">
        <v>9</v>
      </c>
      <c r="D20" s="667" t="s">
        <v>60</v>
      </c>
      <c r="E20" s="707">
        <f>+bphvar!B61/((employés!G136+employés!G138)/2)</f>
        <v>8267.2444785161297</v>
      </c>
      <c r="F20" s="703">
        <v>9</v>
      </c>
      <c r="G20" s="667" t="s">
        <v>61</v>
      </c>
      <c r="H20" s="1472">
        <f>+buhvar!B30/((12+12)/2)</f>
        <v>391567.44775799796</v>
      </c>
      <c r="I20" s="703">
        <v>9</v>
      </c>
      <c r="J20" s="667" t="s">
        <v>60</v>
      </c>
      <c r="K20" s="672">
        <f>+bphvar!B30/((employés!G136+employés!G138)/2)</f>
        <v>18567.13309670968</v>
      </c>
      <c r="L20" s="703">
        <v>9</v>
      </c>
    </row>
    <row r="21" spans="1:12">
      <c r="C21" s="703" t="s">
        <v>0</v>
      </c>
      <c r="F21" s="703" t="s">
        <v>0</v>
      </c>
      <c r="I21" s="703" t="s">
        <v>0</v>
      </c>
      <c r="L21" s="703" t="s">
        <v>0</v>
      </c>
    </row>
    <row r="22" spans="1:12">
      <c r="A22" s="4" t="s">
        <v>70</v>
      </c>
      <c r="B22" s="612">
        <f>SUM(B12:B21)</f>
        <v>69792588.755855501</v>
      </c>
      <c r="C22" s="612" t="s">
        <v>0</v>
      </c>
      <c r="D22" s="691" t="s">
        <v>0</v>
      </c>
      <c r="E22" s="692" t="s">
        <v>0</v>
      </c>
      <c r="F22" s="692" t="s">
        <v>0</v>
      </c>
      <c r="G22" s="691" t="s">
        <v>0</v>
      </c>
      <c r="H22" s="692" t="s">
        <v>0</v>
      </c>
      <c r="I22" s="692" t="s">
        <v>0</v>
      </c>
    </row>
    <row r="23" spans="1:12">
      <c r="A23" s="17"/>
      <c r="B23" s="20"/>
      <c r="C23" s="20"/>
      <c r="D23" s="667"/>
      <c r="E23" s="672"/>
      <c r="F23" s="672"/>
      <c r="G23" s="667"/>
      <c r="H23" s="672"/>
      <c r="I23" s="672"/>
    </row>
    <row r="24" spans="1:12" ht="16.5" thickBot="1">
      <c r="A24" s="25"/>
      <c r="B24" s="25"/>
      <c r="C24" s="25"/>
      <c r="D24" s="688"/>
      <c r="E24" s="688"/>
      <c r="F24" s="688"/>
      <c r="G24" s="688"/>
      <c r="H24" s="688"/>
      <c r="I24" s="688"/>
      <c r="J24" s="25"/>
      <c r="K24" s="25"/>
      <c r="L24" s="25"/>
    </row>
    <row r="25" spans="1:12">
      <c r="A25" s="26"/>
      <c r="B25" s="26"/>
      <c r="C25" s="26"/>
      <c r="D25" s="278"/>
      <c r="E25" s="278"/>
      <c r="F25" s="278"/>
      <c r="G25" s="278"/>
      <c r="H25" s="278"/>
      <c r="I25" s="278"/>
    </row>
    <row r="26" spans="1:12">
      <c r="A26" s="11" t="str">
        <f>+'partdemarc.  (2)'!A25</f>
        <v>AU 30 SEPTEMBRE 2014</v>
      </c>
    </row>
    <row r="27" spans="1:12">
      <c r="H27" s="690" t="s">
        <v>0</v>
      </c>
      <c r="I27" s="690"/>
    </row>
    <row r="28" spans="1:12" ht="16.5" thickBot="1">
      <c r="B28" s="156" t="s">
        <v>477</v>
      </c>
      <c r="C28" s="1" t="s">
        <v>250</v>
      </c>
      <c r="E28" s="700" t="s">
        <v>497</v>
      </c>
      <c r="F28" s="1" t="s">
        <v>250</v>
      </c>
      <c r="H28" s="700" t="s">
        <v>478</v>
      </c>
      <c r="I28" s="1" t="s">
        <v>250</v>
      </c>
      <c r="J28" s="3" t="s">
        <v>0</v>
      </c>
      <c r="K28" s="708" t="s">
        <v>479</v>
      </c>
      <c r="L28" s="1" t="s">
        <v>250</v>
      </c>
    </row>
    <row r="29" spans="1:12">
      <c r="B29" s="384" t="s">
        <v>0</v>
      </c>
      <c r="C29" s="384"/>
      <c r="E29" s="699" t="s">
        <v>0</v>
      </c>
      <c r="F29" s="699"/>
      <c r="H29" s="699" t="s">
        <v>54</v>
      </c>
      <c r="I29" s="699"/>
    </row>
    <row r="30" spans="1:12" ht="9" customHeight="1">
      <c r="B30" s="698" t="s">
        <v>0</v>
      </c>
      <c r="C30" s="698"/>
      <c r="E30" s="699" t="s">
        <v>0</v>
      </c>
      <c r="F30" s="699"/>
      <c r="H30" s="699" t="s">
        <v>0</v>
      </c>
      <c r="I30" s="699"/>
    </row>
    <row r="31" spans="1:12">
      <c r="C31" s="3"/>
      <c r="F31" s="690"/>
      <c r="I31" s="690"/>
    </row>
    <row r="32" spans="1:12">
      <c r="A32" s="669" t="s">
        <v>65</v>
      </c>
      <c r="B32" s="672">
        <f>+unibkvar!J20</f>
        <v>22477640.604379997</v>
      </c>
      <c r="C32" s="703">
        <v>1</v>
      </c>
      <c r="D32" s="669" t="s">
        <v>67</v>
      </c>
      <c r="E32" s="707">
        <v>48489.450878014926</v>
      </c>
      <c r="F32" s="703">
        <v>1</v>
      </c>
      <c r="G32" s="667" t="s">
        <v>68</v>
      </c>
      <c r="H32" s="672">
        <v>5538270</v>
      </c>
      <c r="I32" s="703">
        <v>1</v>
      </c>
      <c r="J32" s="667" t="s">
        <v>68</v>
      </c>
      <c r="K32" s="672">
        <v>167826.36363636365</v>
      </c>
      <c r="L32" s="703">
        <v>1</v>
      </c>
    </row>
    <row r="33" spans="1:12">
      <c r="A33" s="669" t="s">
        <v>64</v>
      </c>
      <c r="B33" s="672">
        <f>+sogebkvar!J20</f>
        <v>19001042.77665</v>
      </c>
      <c r="C33" s="703">
        <v>2</v>
      </c>
      <c r="D33" s="667" t="s">
        <v>68</v>
      </c>
      <c r="E33" s="707">
        <v>43860</v>
      </c>
      <c r="F33" s="703">
        <v>2</v>
      </c>
      <c r="G33" s="669" t="s">
        <v>67</v>
      </c>
      <c r="H33" s="672">
        <v>1364819.36265</v>
      </c>
      <c r="I33" s="703">
        <v>2</v>
      </c>
      <c r="J33" s="667" t="s">
        <v>67</v>
      </c>
      <c r="K33" s="672">
        <v>61111.314745522388</v>
      </c>
      <c r="L33" s="703">
        <v>2</v>
      </c>
    </row>
    <row r="34" spans="1:12">
      <c r="A34" s="669" t="s">
        <v>59</v>
      </c>
      <c r="B34" s="672">
        <f>+bncvar!J20</f>
        <v>11264487.9945</v>
      </c>
      <c r="C34" s="703">
        <v>3</v>
      </c>
      <c r="D34" s="667" t="s">
        <v>69</v>
      </c>
      <c r="E34" s="707">
        <v>24884.388888888891</v>
      </c>
      <c r="F34" s="703">
        <v>3</v>
      </c>
      <c r="G34" s="667" t="s">
        <v>69</v>
      </c>
      <c r="H34" s="672">
        <v>1256192</v>
      </c>
      <c r="I34" s="703">
        <v>3</v>
      </c>
      <c r="J34" s="669" t="s">
        <v>59</v>
      </c>
      <c r="K34" s="672">
        <v>56146.125266854018</v>
      </c>
      <c r="L34" s="703">
        <v>3</v>
      </c>
    </row>
    <row r="35" spans="1:12">
      <c r="A35" s="669" t="s">
        <v>66</v>
      </c>
      <c r="B35" s="672">
        <f>+capitalbkvar!J20</f>
        <v>5416947</v>
      </c>
      <c r="C35" s="703">
        <v>4</v>
      </c>
      <c r="D35" s="667" t="s">
        <v>65</v>
      </c>
      <c r="E35" s="707">
        <v>20459.654529583331</v>
      </c>
      <c r="F35" s="703">
        <v>4</v>
      </c>
      <c r="G35" s="667" t="s">
        <v>64</v>
      </c>
      <c r="H35" s="672">
        <v>1011171.7747778827</v>
      </c>
      <c r="I35" s="703">
        <v>4</v>
      </c>
      <c r="J35" s="667" t="s">
        <v>69</v>
      </c>
      <c r="K35" s="672">
        <v>55830.755555555559</v>
      </c>
      <c r="L35" s="703">
        <v>4</v>
      </c>
    </row>
    <row r="36" spans="1:12">
      <c r="A36" s="669" t="s">
        <v>67</v>
      </c>
      <c r="B36" s="672">
        <f>+sgbelvar!J20</f>
        <v>3180507.1550469999</v>
      </c>
      <c r="C36" s="703">
        <v>5</v>
      </c>
      <c r="D36" s="667" t="s">
        <v>59</v>
      </c>
      <c r="E36" s="707">
        <v>17988.921602654176</v>
      </c>
      <c r="F36" s="703">
        <v>5</v>
      </c>
      <c r="G36" s="667" t="s">
        <v>65</v>
      </c>
      <c r="H36" s="672">
        <v>969739.99196530844</v>
      </c>
      <c r="I36" s="703">
        <v>5</v>
      </c>
      <c r="J36" s="667" t="s">
        <v>65</v>
      </c>
      <c r="K36" s="672">
        <v>43919.383694081</v>
      </c>
      <c r="L36" s="703">
        <v>5</v>
      </c>
    </row>
    <row r="37" spans="1:12">
      <c r="A37" s="669" t="s">
        <v>61</v>
      </c>
      <c r="B37" s="672">
        <f>+buhvar!J20</f>
        <v>2277488.0100037898</v>
      </c>
      <c r="C37" s="703">
        <v>6</v>
      </c>
      <c r="D37" s="667" t="s">
        <v>64</v>
      </c>
      <c r="E37" s="707">
        <v>13564.430185350939</v>
      </c>
      <c r="F37" s="703">
        <v>6</v>
      </c>
      <c r="G37" s="667" t="s">
        <v>59</v>
      </c>
      <c r="H37" s="672">
        <v>877112.03008341463</v>
      </c>
      <c r="I37" s="703">
        <v>6</v>
      </c>
      <c r="J37" s="667" t="s">
        <v>64</v>
      </c>
      <c r="K37" s="672">
        <v>28810.314639258646</v>
      </c>
      <c r="L37" s="703">
        <v>6</v>
      </c>
    </row>
    <row r="38" spans="1:12">
      <c r="A38" s="669" t="s">
        <v>69</v>
      </c>
      <c r="B38" s="672">
        <f>+scotiavar!J20</f>
        <v>2154182</v>
      </c>
      <c r="C38" s="703">
        <v>7</v>
      </c>
      <c r="D38" s="667" t="s">
        <v>61</v>
      </c>
      <c r="E38" s="707">
        <v>12017.372122967556</v>
      </c>
      <c r="F38" s="703">
        <v>7</v>
      </c>
      <c r="G38" s="667" t="s">
        <v>66</v>
      </c>
      <c r="H38" s="672">
        <v>596829.29411764711</v>
      </c>
      <c r="I38" s="703">
        <v>7</v>
      </c>
      <c r="J38" s="667" t="s">
        <v>61</v>
      </c>
      <c r="K38" s="672">
        <v>21321.283471586488</v>
      </c>
      <c r="L38" s="703">
        <v>7</v>
      </c>
    </row>
    <row r="39" spans="1:12">
      <c r="A39" s="669" t="s">
        <v>68</v>
      </c>
      <c r="B39" s="672">
        <f>+cbnavar!J20</f>
        <v>1447270</v>
      </c>
      <c r="C39" s="703">
        <v>8</v>
      </c>
      <c r="D39" s="667" t="s">
        <v>66</v>
      </c>
      <c r="E39" s="707">
        <v>10682.345098039215</v>
      </c>
      <c r="F39" s="703">
        <v>8</v>
      </c>
      <c r="G39" s="667" t="s">
        <v>60</v>
      </c>
      <c r="H39" s="672">
        <v>459311.17022000003</v>
      </c>
      <c r="I39" s="703">
        <v>8</v>
      </c>
      <c r="J39" s="667" t="s">
        <v>66</v>
      </c>
      <c r="K39" s="672">
        <v>19894.309803921569</v>
      </c>
      <c r="L39" s="703">
        <v>8</v>
      </c>
    </row>
    <row r="40" spans="1:12">
      <c r="A40" s="669" t="s">
        <v>60</v>
      </c>
      <c r="B40" s="672">
        <f>+bphvar!J20</f>
        <v>958681.84587000008</v>
      </c>
      <c r="C40" s="703">
        <v>9</v>
      </c>
      <c r="D40" s="667" t="s">
        <v>60</v>
      </c>
      <c r="E40" s="707">
        <v>8922.5458664495127</v>
      </c>
      <c r="F40" s="703">
        <v>9</v>
      </c>
      <c r="G40" s="667" t="s">
        <v>61</v>
      </c>
      <c r="H40" s="1472">
        <v>340252.14873406774</v>
      </c>
      <c r="I40" s="703">
        <v>9</v>
      </c>
      <c r="J40" s="667" t="s">
        <v>60</v>
      </c>
      <c r="K40" s="672">
        <v>17953.531083517919</v>
      </c>
      <c r="L40" s="703">
        <v>9</v>
      </c>
    </row>
    <row r="41" spans="1:12">
      <c r="C41" s="24"/>
      <c r="F41" s="672"/>
      <c r="I41" s="672"/>
    </row>
    <row r="42" spans="1:12">
      <c r="A42" s="4" t="s">
        <v>70</v>
      </c>
      <c r="B42" s="612">
        <f>SUM(B32:B41)</f>
        <v>68178247.386450782</v>
      </c>
      <c r="C42" s="612" t="s">
        <v>0</v>
      </c>
      <c r="D42" s="691" t="s">
        <v>0</v>
      </c>
      <c r="E42" s="692" t="s">
        <v>0</v>
      </c>
      <c r="F42" s="692" t="s">
        <v>0</v>
      </c>
      <c r="G42" s="691" t="s">
        <v>0</v>
      </c>
      <c r="H42" s="692" t="s">
        <v>0</v>
      </c>
      <c r="I42" s="692" t="s">
        <v>0</v>
      </c>
    </row>
    <row r="43" spans="1:12" ht="16.5" thickBot="1">
      <c r="A43" s="25"/>
      <c r="B43" s="25"/>
      <c r="C43" s="25"/>
      <c r="D43" s="688"/>
      <c r="E43" s="688"/>
      <c r="F43" s="688"/>
      <c r="G43" s="688"/>
      <c r="H43" s="688"/>
      <c r="I43" s="688"/>
      <c r="J43" s="25"/>
      <c r="K43" s="25"/>
      <c r="L43" s="25"/>
    </row>
    <row r="44" spans="1:12">
      <c r="A44" s="26"/>
      <c r="B44" s="26"/>
      <c r="C44" s="26"/>
      <c r="D44" s="278"/>
      <c r="E44" s="278"/>
      <c r="F44" s="278"/>
      <c r="G44" s="278"/>
      <c r="H44" s="278"/>
      <c r="I44" s="278"/>
    </row>
    <row r="45" spans="1:12">
      <c r="A45" s="11" t="str">
        <f>+'partdemarc.  (2)'!A43</f>
        <v>AU 30 SEPTEMBRE 2013</v>
      </c>
    </row>
    <row r="46" spans="1:12">
      <c r="H46" s="690" t="s">
        <v>0</v>
      </c>
      <c r="I46" s="690"/>
    </row>
    <row r="47" spans="1:12" ht="16.5" thickBot="1">
      <c r="B47" s="156" t="s">
        <v>477</v>
      </c>
      <c r="C47" s="1" t="s">
        <v>250</v>
      </c>
      <c r="E47" s="700" t="s">
        <v>497</v>
      </c>
      <c r="F47" s="1" t="s">
        <v>250</v>
      </c>
      <c r="H47" s="700" t="s">
        <v>478</v>
      </c>
      <c r="I47" s="1" t="s">
        <v>250</v>
      </c>
      <c r="J47" s="3" t="s">
        <v>0</v>
      </c>
      <c r="K47" s="708" t="s">
        <v>479</v>
      </c>
      <c r="L47" s="1" t="s">
        <v>250</v>
      </c>
    </row>
    <row r="48" spans="1:12">
      <c r="B48" s="3"/>
      <c r="C48" s="3"/>
      <c r="F48" s="690"/>
      <c r="I48" s="690"/>
    </row>
    <row r="49" spans="1:12">
      <c r="A49" s="669" t="s">
        <v>65</v>
      </c>
      <c r="B49" s="672">
        <f>+unibkvar!L20</f>
        <v>20039270.123089999</v>
      </c>
      <c r="C49" s="703">
        <v>1</v>
      </c>
      <c r="D49" s="667" t="s">
        <v>67</v>
      </c>
      <c r="E49" s="707">
        <v>44769.850906724139</v>
      </c>
      <c r="F49" s="703">
        <v>1</v>
      </c>
      <c r="G49" s="667" t="s">
        <v>68</v>
      </c>
      <c r="H49" s="672">
        <v>4192263</v>
      </c>
      <c r="I49" s="703">
        <v>1</v>
      </c>
      <c r="J49" s="667" t="s">
        <v>68</v>
      </c>
      <c r="K49" s="672">
        <v>113304.4054054054</v>
      </c>
      <c r="L49" s="703">
        <v>1</v>
      </c>
    </row>
    <row r="50" spans="1:12">
      <c r="A50" s="669" t="s">
        <v>64</v>
      </c>
      <c r="B50" s="672">
        <f>+sogebkvar!L20</f>
        <v>18747203.52186</v>
      </c>
      <c r="C50" s="703">
        <v>2</v>
      </c>
      <c r="D50" s="669" t="s">
        <v>68</v>
      </c>
      <c r="E50" s="707">
        <v>36127.37837837838</v>
      </c>
      <c r="F50" s="703">
        <v>2</v>
      </c>
      <c r="G50" s="669" t="s">
        <v>69</v>
      </c>
      <c r="H50" s="672">
        <v>1177263.5</v>
      </c>
      <c r="I50" s="703">
        <v>2</v>
      </c>
      <c r="J50" s="667" t="s">
        <v>59</v>
      </c>
      <c r="K50" s="672">
        <v>60823.542172445617</v>
      </c>
      <c r="L50" s="703">
        <v>2</v>
      </c>
    </row>
    <row r="51" spans="1:12">
      <c r="A51" s="669" t="s">
        <v>59</v>
      </c>
      <c r="B51" s="672">
        <f>+bncvar!L20</f>
        <v>10111946.507410001</v>
      </c>
      <c r="C51" s="703">
        <v>3</v>
      </c>
      <c r="D51" s="667" t="s">
        <v>69</v>
      </c>
      <c r="E51" s="707">
        <v>25260.983425414364</v>
      </c>
      <c r="F51" s="703">
        <v>3</v>
      </c>
      <c r="G51" s="667" t="s">
        <v>64</v>
      </c>
      <c r="H51" s="672">
        <v>942922.08502180746</v>
      </c>
      <c r="I51" s="703">
        <v>3</v>
      </c>
      <c r="J51" s="669" t="s">
        <v>69</v>
      </c>
      <c r="K51" s="672">
        <v>52033.745856353591</v>
      </c>
      <c r="L51" s="703">
        <v>3</v>
      </c>
    </row>
    <row r="52" spans="1:12">
      <c r="A52" s="669" t="s">
        <v>66</v>
      </c>
      <c r="B52" s="672">
        <f>+capitalbkvar!L20</f>
        <v>4719462</v>
      </c>
      <c r="C52" s="703">
        <v>4</v>
      </c>
      <c r="D52" s="667" t="s">
        <v>65</v>
      </c>
      <c r="E52" s="707">
        <v>19326.779522063338</v>
      </c>
      <c r="F52" s="703">
        <v>4</v>
      </c>
      <c r="G52" s="667" t="s">
        <v>67</v>
      </c>
      <c r="H52" s="672">
        <v>933269.91810999997</v>
      </c>
      <c r="I52" s="703">
        <v>4</v>
      </c>
      <c r="J52" s="667" t="s">
        <v>67</v>
      </c>
      <c r="K52" s="672">
        <v>48272.581971206891</v>
      </c>
      <c r="L52" s="703">
        <v>4</v>
      </c>
    </row>
    <row r="53" spans="1:12">
      <c r="A53" s="669" t="s">
        <v>67</v>
      </c>
      <c r="B53" s="672">
        <f>+sgbelvar!L20</f>
        <v>2524913.2396200001</v>
      </c>
      <c r="C53" s="703">
        <v>5</v>
      </c>
      <c r="D53" s="667" t="s">
        <v>59</v>
      </c>
      <c r="E53" s="707">
        <v>17859.819790095735</v>
      </c>
      <c r="F53" s="703">
        <v>5</v>
      </c>
      <c r="G53" s="667" t="s">
        <v>65</v>
      </c>
      <c r="H53" s="672">
        <v>914256.29250336101</v>
      </c>
      <c r="I53" s="703">
        <v>5</v>
      </c>
      <c r="J53" s="667" t="s">
        <v>65</v>
      </c>
      <c r="K53" s="672">
        <v>43870.263555823462</v>
      </c>
      <c r="L53" s="703">
        <v>5</v>
      </c>
    </row>
    <row r="54" spans="1:12">
      <c r="A54" s="669" t="s">
        <v>69</v>
      </c>
      <c r="B54" s="672">
        <f>+scotiavar!L20</f>
        <v>2201715</v>
      </c>
      <c r="C54" s="703">
        <v>6</v>
      </c>
      <c r="D54" s="667" t="s">
        <v>64</v>
      </c>
      <c r="E54" s="707">
        <v>14403.233189002269</v>
      </c>
      <c r="F54" s="703">
        <v>6</v>
      </c>
      <c r="G54" s="667" t="s">
        <v>59</v>
      </c>
      <c r="H54" s="672">
        <v>862793.20933506184</v>
      </c>
      <c r="I54" s="703">
        <v>6</v>
      </c>
      <c r="J54" s="667" t="s">
        <v>64</v>
      </c>
      <c r="K54" s="672">
        <v>29221.319339300157</v>
      </c>
      <c r="L54" s="703">
        <v>6</v>
      </c>
    </row>
    <row r="55" spans="1:12">
      <c r="A55" s="669" t="s">
        <v>61</v>
      </c>
      <c r="B55" s="672">
        <f>+buhvar!L20</f>
        <v>1419069.286724146</v>
      </c>
      <c r="C55" s="703">
        <v>7</v>
      </c>
      <c r="D55" s="667" t="s">
        <v>60</v>
      </c>
      <c r="E55" s="707">
        <v>10199.027061075269</v>
      </c>
      <c r="F55" s="703">
        <v>7</v>
      </c>
      <c r="G55" s="667" t="s">
        <v>66</v>
      </c>
      <c r="H55" s="672">
        <v>546679.75</v>
      </c>
      <c r="I55" s="703">
        <v>7</v>
      </c>
      <c r="J55" s="667" t="s">
        <v>66</v>
      </c>
      <c r="K55" s="672">
        <v>18147.045643153528</v>
      </c>
      <c r="L55" s="703">
        <v>7</v>
      </c>
    </row>
    <row r="56" spans="1:12">
      <c r="A56" s="669" t="s">
        <v>68</v>
      </c>
      <c r="B56" s="672">
        <f>+cbnavar!L20</f>
        <v>1310583</v>
      </c>
      <c r="C56" s="703">
        <v>8</v>
      </c>
      <c r="D56" s="667" t="s">
        <v>66</v>
      </c>
      <c r="E56" s="707">
        <v>9849.3381742738584</v>
      </c>
      <c r="F56" s="703">
        <v>8</v>
      </c>
      <c r="G56" s="667" t="s">
        <v>60</v>
      </c>
      <c r="H56" s="672">
        <v>387056.51406666666</v>
      </c>
      <c r="I56" s="703">
        <v>8</v>
      </c>
      <c r="J56" s="667" t="s">
        <v>61</v>
      </c>
      <c r="K56" s="672">
        <v>16911.445785170319</v>
      </c>
      <c r="L56" s="703">
        <v>8</v>
      </c>
    </row>
    <row r="57" spans="1:12">
      <c r="A57" s="669" t="s">
        <v>60</v>
      </c>
      <c r="B57" s="672">
        <f>+bphvar!L20</f>
        <v>1091817.4077099999</v>
      </c>
      <c r="C57" s="703">
        <v>9</v>
      </c>
      <c r="D57" s="667" t="s">
        <v>61</v>
      </c>
      <c r="E57" s="707">
        <v>6812.9805964969883</v>
      </c>
      <c r="F57" s="703">
        <v>9</v>
      </c>
      <c r="G57" s="667" t="s">
        <v>61</v>
      </c>
      <c r="H57" s="1472">
        <v>296654.94481486268</v>
      </c>
      <c r="I57" s="703">
        <v>9</v>
      </c>
      <c r="J57" s="667" t="s">
        <v>60</v>
      </c>
      <c r="K57" s="672">
        <v>16647.592002867383</v>
      </c>
      <c r="L57" s="703">
        <v>9</v>
      </c>
    </row>
    <row r="58" spans="1:12">
      <c r="C58" s="703" t="s">
        <v>0</v>
      </c>
      <c r="F58" s="703" t="s">
        <v>0</v>
      </c>
      <c r="I58" s="703" t="s">
        <v>0</v>
      </c>
      <c r="L58" s="703" t="s">
        <v>0</v>
      </c>
    </row>
    <row r="59" spans="1:12">
      <c r="H59" s="690"/>
    </row>
    <row r="60" spans="1:12">
      <c r="A60" s="4" t="s">
        <v>0</v>
      </c>
      <c r="B60" s="612">
        <f>SUM(B49:B59)</f>
        <v>62165980.086414151</v>
      </c>
      <c r="C60" s="612" t="s">
        <v>0</v>
      </c>
      <c r="D60" s="691" t="s">
        <v>0</v>
      </c>
      <c r="E60" s="692" t="s">
        <v>0</v>
      </c>
      <c r="F60" s="692" t="s">
        <v>0</v>
      </c>
      <c r="G60" s="691" t="s">
        <v>0</v>
      </c>
      <c r="H60" s="692" t="s">
        <v>0</v>
      </c>
      <c r="I60" s="692" t="s">
        <v>0</v>
      </c>
    </row>
    <row r="61" spans="1:12" ht="16.5" thickBot="1">
      <c r="A61" s="169" t="s">
        <v>0</v>
      </c>
      <c r="B61" s="209" t="s">
        <v>0</v>
      </c>
      <c r="C61" s="209"/>
      <c r="D61" s="688"/>
      <c r="E61" s="688"/>
      <c r="F61" s="688"/>
      <c r="G61" s="688"/>
      <c r="H61" s="688"/>
      <c r="I61" s="688"/>
      <c r="J61" s="25"/>
      <c r="K61" s="25"/>
      <c r="L61" s="25"/>
    </row>
    <row r="63" spans="1:12">
      <c r="A63" s="11" t="s">
        <v>0</v>
      </c>
    </row>
    <row r="64" spans="1:12">
      <c r="A64" s="11" t="s">
        <v>0</v>
      </c>
    </row>
  </sheetData>
  <sortState ref="D12:E20">
    <sortCondition descending="1" ref="E12:E20"/>
  </sortState>
  <mergeCells count="4">
    <mergeCell ref="A1:L1"/>
    <mergeCell ref="A2:L2"/>
    <mergeCell ref="A3:L3"/>
    <mergeCell ref="A4:L4"/>
  </mergeCells>
  <phoneticPr fontId="0" type="noConversion"/>
  <pageMargins left="1.52" right="0.23" top="0.65" bottom="0.38" header="0.54" footer="0.21"/>
  <pageSetup scale="57" orientation="landscape" r:id="rId1"/>
  <headerFooter alignWithMargins="0">
    <oddFooter>&amp;R&amp;16&amp;P</oddFooter>
  </headerFooter>
</worksheet>
</file>

<file path=xl/worksheets/sheet32.xml><?xml version="1.0" encoding="utf-8"?>
<worksheet xmlns="http://schemas.openxmlformats.org/spreadsheetml/2006/main" xmlns:r="http://schemas.openxmlformats.org/officeDocument/2006/relationships">
  <sheetPr>
    <pageSetUpPr fitToPage="1"/>
  </sheetPr>
  <dimension ref="A1:R74"/>
  <sheetViews>
    <sheetView topLeftCell="G6" workbookViewId="0">
      <selection activeCell="M33" sqref="M33"/>
    </sheetView>
  </sheetViews>
  <sheetFormatPr baseColWidth="10" defaultColWidth="9" defaultRowHeight="15.75"/>
  <cols>
    <col min="1" max="1" width="26.375" hidden="1" customWidth="1"/>
    <col min="2" max="2" width="15.625" hidden="1" customWidth="1"/>
    <col min="3" max="3" width="7" hidden="1" customWidth="1"/>
    <col min="4" max="4" width="18.625" style="401" hidden="1" customWidth="1"/>
    <col min="5" max="5" width="17.125" style="401" hidden="1" customWidth="1"/>
    <col min="6" max="6" width="0.625" style="401" hidden="1" customWidth="1"/>
    <col min="7" max="7" width="18.625" style="401" customWidth="1"/>
    <col min="8" max="8" width="16.75" style="401" customWidth="1"/>
    <col min="9" max="9" width="7" style="401" customWidth="1"/>
    <col min="10" max="10" width="18.625" style="401" customWidth="1"/>
    <col min="11" max="11" width="18.125" style="401" customWidth="1"/>
    <col min="12" max="12" width="7" customWidth="1"/>
    <col min="13" max="13" width="18.625" customWidth="1"/>
    <col min="14" max="14" width="18.125" customWidth="1"/>
    <col min="15" max="15" width="7" customWidth="1"/>
    <col min="16" max="16" width="18.625" customWidth="1"/>
    <col min="17" max="17" width="18.5" customWidth="1"/>
  </cols>
  <sheetData>
    <row r="1" spans="1:18">
      <c r="A1" s="1556" t="s">
        <v>192</v>
      </c>
      <c r="B1" s="1556"/>
      <c r="C1" s="1556"/>
      <c r="D1" s="1556"/>
      <c r="E1" s="1556"/>
      <c r="F1" s="1556"/>
      <c r="G1" s="1556"/>
      <c r="H1" s="1556"/>
      <c r="I1" s="1556"/>
      <c r="J1" s="1556"/>
      <c r="K1" s="1556"/>
      <c r="L1" s="1556"/>
      <c r="M1" s="1556"/>
      <c r="N1" s="1556"/>
      <c r="O1" s="1556"/>
    </row>
    <row r="2" spans="1:18">
      <c r="A2" s="1556" t="s">
        <v>193</v>
      </c>
      <c r="B2" s="1556"/>
      <c r="C2" s="1556"/>
      <c r="D2" s="1556"/>
      <c r="E2" s="1556"/>
      <c r="F2" s="1556"/>
      <c r="G2" s="1556"/>
      <c r="H2" s="1556"/>
      <c r="I2" s="1556"/>
      <c r="J2" s="1556"/>
      <c r="K2" s="1556"/>
      <c r="L2" s="1556"/>
      <c r="M2" s="1556"/>
      <c r="N2" s="1556"/>
      <c r="O2" s="1556"/>
    </row>
    <row r="3" spans="1:18">
      <c r="A3" s="1556" t="s">
        <v>495</v>
      </c>
      <c r="B3" s="1556"/>
      <c r="C3" s="1556"/>
      <c r="D3" s="1556"/>
      <c r="E3" s="1556"/>
      <c r="F3" s="1556"/>
      <c r="G3" s="1556"/>
      <c r="H3" s="1556"/>
      <c r="I3" s="1556"/>
      <c r="J3" s="1556"/>
      <c r="K3" s="1556"/>
      <c r="L3" s="1556"/>
      <c r="M3" s="1556"/>
      <c r="N3" s="1556"/>
      <c r="O3" s="1556"/>
    </row>
    <row r="4" spans="1:18">
      <c r="A4" s="1556" t="s">
        <v>243</v>
      </c>
      <c r="B4" s="1556"/>
      <c r="C4" s="1556"/>
      <c r="D4" s="1556"/>
      <c r="E4" s="1556"/>
      <c r="F4" s="1556"/>
      <c r="G4" s="1556"/>
      <c r="H4" s="1556"/>
      <c r="I4" s="1556"/>
      <c r="J4" s="1556"/>
      <c r="K4" s="1556"/>
      <c r="L4" s="1556"/>
      <c r="M4" s="1556"/>
      <c r="N4" s="1556"/>
      <c r="O4" s="1556"/>
    </row>
    <row r="5" spans="1:18" ht="16.5" thickBot="1">
      <c r="A5" s="25"/>
      <c r="B5" s="25"/>
      <c r="C5" s="25"/>
      <c r="D5" s="688"/>
      <c r="E5" s="688"/>
      <c r="F5" s="688"/>
      <c r="G5" s="688"/>
      <c r="H5" s="688"/>
      <c r="I5" s="688"/>
      <c r="J5" s="688"/>
      <c r="K5" s="688"/>
      <c r="L5" s="25"/>
      <c r="M5" s="25"/>
      <c r="N5" s="25"/>
      <c r="O5" s="25"/>
      <c r="P5" s="26"/>
      <c r="Q5" s="26"/>
      <c r="R5" s="26"/>
    </row>
    <row r="6" spans="1:18">
      <c r="A6" s="26"/>
      <c r="B6" s="26"/>
      <c r="C6" s="26"/>
      <c r="D6" s="278"/>
      <c r="E6" s="278"/>
      <c r="F6" s="278"/>
      <c r="G6" s="278"/>
      <c r="H6" s="278"/>
      <c r="I6" s="278"/>
      <c r="J6" s="278"/>
      <c r="K6" s="278"/>
    </row>
    <row r="7" spans="1:18">
      <c r="A7" s="11" t="s">
        <v>490</v>
      </c>
      <c r="B7" s="26"/>
      <c r="C7" s="26"/>
      <c r="D7" s="278"/>
      <c r="E7" s="278"/>
      <c r="F7" s="278"/>
      <c r="G7" s="278"/>
      <c r="H7" s="1557" t="s">
        <v>991</v>
      </c>
      <c r="I7" s="1557"/>
      <c r="J7" s="1557"/>
      <c r="K7" s="1557"/>
      <c r="L7" s="1557"/>
      <c r="N7" s="1558" t="str">
        <f>+'partdemarc. (4)'!A7</f>
        <v>AU 31 DÉCEMBRE 2014</v>
      </c>
      <c r="O7" s="1558"/>
    </row>
    <row r="8" spans="1:18">
      <c r="H8" s="690" t="s">
        <v>473</v>
      </c>
      <c r="I8" s="690"/>
    </row>
    <row r="9" spans="1:18" ht="16.5" thickBot="1">
      <c r="B9" s="156" t="s">
        <v>471</v>
      </c>
      <c r="C9" s="1" t="s">
        <v>250</v>
      </c>
      <c r="E9" s="689" t="s">
        <v>472</v>
      </c>
      <c r="F9" s="1" t="s">
        <v>250</v>
      </c>
      <c r="H9" s="700" t="s">
        <v>474</v>
      </c>
      <c r="I9" s="1" t="s">
        <v>250</v>
      </c>
      <c r="K9" s="701" t="s">
        <v>475</v>
      </c>
      <c r="L9" s="1" t="s">
        <v>250</v>
      </c>
      <c r="N9" s="1" t="s">
        <v>476</v>
      </c>
      <c r="O9" s="1" t="s">
        <v>250</v>
      </c>
      <c r="P9" s="3" t="s">
        <v>0</v>
      </c>
      <c r="Q9" s="384" t="s">
        <v>0</v>
      </c>
      <c r="R9" s="384" t="s">
        <v>0</v>
      </c>
    </row>
    <row r="10" spans="1:18">
      <c r="B10" s="384" t="s">
        <v>0</v>
      </c>
      <c r="C10" s="384"/>
      <c r="E10" s="699" t="s">
        <v>0</v>
      </c>
      <c r="F10" s="699"/>
      <c r="H10" s="699" t="s">
        <v>54</v>
      </c>
      <c r="I10" s="699"/>
      <c r="K10" s="699" t="s">
        <v>0</v>
      </c>
    </row>
    <row r="11" spans="1:18" ht="9.6" customHeight="1">
      <c r="B11" s="3"/>
      <c r="C11" s="3"/>
      <c r="E11" s="690"/>
      <c r="F11" s="690"/>
      <c r="I11" s="690"/>
      <c r="N11" t="s">
        <v>54</v>
      </c>
    </row>
    <row r="12" spans="1:18">
      <c r="A12" s="669" t="s">
        <v>60</v>
      </c>
      <c r="B12" s="702">
        <f>+'bphinfin     '!H59</f>
        <v>0</v>
      </c>
      <c r="C12" s="703">
        <v>1</v>
      </c>
      <c r="D12" s="667" t="s">
        <v>60</v>
      </c>
      <c r="E12" s="702">
        <f>+'bphinfin     '!H61</f>
        <v>0</v>
      </c>
      <c r="F12" s="703">
        <v>1</v>
      </c>
      <c r="G12" s="669" t="s">
        <v>67</v>
      </c>
      <c r="H12" s="704">
        <f>+'sysratfinclédéc. 14'!I74</f>
        <v>0.53695498821524679</v>
      </c>
      <c r="I12" s="703">
        <v>1</v>
      </c>
      <c r="J12" s="667" t="s">
        <v>68</v>
      </c>
      <c r="K12" s="668">
        <f>+'sysratfinclédéc. 14'!K80</f>
        <v>10923.2</v>
      </c>
      <c r="L12" s="703">
        <v>1</v>
      </c>
      <c r="M12" s="667" t="s">
        <v>68</v>
      </c>
      <c r="N12" s="134">
        <f>+'bilsysbandéc. 14  '!K23/((employés!Z136+employés!Z138)/2)</f>
        <v>195696.24615384615</v>
      </c>
      <c r="O12" s="703">
        <v>1</v>
      </c>
      <c r="P12" s="667" t="s">
        <v>0</v>
      </c>
      <c r="R12" s="703" t="s">
        <v>0</v>
      </c>
    </row>
    <row r="13" spans="1:18">
      <c r="A13" s="669" t="s">
        <v>59</v>
      </c>
      <c r="B13" s="702">
        <f>+'bncinfin '!H59</f>
        <v>0</v>
      </c>
      <c r="C13" s="703">
        <v>2</v>
      </c>
      <c r="D13" s="667" t="s">
        <v>69</v>
      </c>
      <c r="E13" s="702">
        <f>+scotiainfin!H60</f>
        <v>0</v>
      </c>
      <c r="F13" s="703">
        <v>2</v>
      </c>
      <c r="G13" s="667" t="s">
        <v>65</v>
      </c>
      <c r="H13" s="704">
        <f>+'sysratfinclédéc. 14'!G74</f>
        <v>0.55681072587046476</v>
      </c>
      <c r="I13" s="703">
        <v>2</v>
      </c>
      <c r="J13" s="667" t="s">
        <v>67</v>
      </c>
      <c r="K13" s="668">
        <f>+'sysratfinclédéc. 14'!I80</f>
        <v>3861.109754666667</v>
      </c>
      <c r="L13" s="703">
        <v>2</v>
      </c>
      <c r="M13" s="667" t="s">
        <v>67</v>
      </c>
      <c r="N13" s="134">
        <f>+'bilsysbandéc. 14  '!I23/((employés!W136+employés!W138)/2)</f>
        <v>90576.35898971853</v>
      </c>
      <c r="O13" s="703">
        <v>2</v>
      </c>
      <c r="P13" s="667" t="s">
        <v>0</v>
      </c>
      <c r="R13" s="703" t="s">
        <v>0</v>
      </c>
    </row>
    <row r="14" spans="1:18">
      <c r="A14" s="669" t="s">
        <v>67</v>
      </c>
      <c r="B14" s="702">
        <f>+sgbelinfin!H58</f>
        <v>0</v>
      </c>
      <c r="C14" s="703">
        <v>3</v>
      </c>
      <c r="D14" s="669" t="s">
        <v>67</v>
      </c>
      <c r="E14" s="702">
        <f>+sgbelinfin!H60</f>
        <v>0</v>
      </c>
      <c r="F14" s="703">
        <v>3</v>
      </c>
      <c r="G14" s="667" t="s">
        <v>59</v>
      </c>
      <c r="H14" s="704">
        <f>+'sysratfinclédéc. 14'!B74</f>
        <v>0.59283524066629756</v>
      </c>
      <c r="I14" s="703">
        <v>3</v>
      </c>
      <c r="J14" s="667" t="s">
        <v>69</v>
      </c>
      <c r="K14" s="668">
        <f>+'sysratfinclédéc. 14'!L80</f>
        <v>3375.1771428571428</v>
      </c>
      <c r="L14" s="703">
        <v>3</v>
      </c>
      <c r="M14" s="667" t="s">
        <v>69</v>
      </c>
      <c r="N14" s="134">
        <f>+'bilsysbandéc. 14  '!L23/((employés!AB136+employés!AB138)/2)</f>
        <v>70099.222857142857</v>
      </c>
      <c r="O14" s="703">
        <v>3</v>
      </c>
      <c r="P14" s="667" t="s">
        <v>0</v>
      </c>
      <c r="R14" s="703" t="s">
        <v>0</v>
      </c>
    </row>
    <row r="15" spans="1:18">
      <c r="A15" s="669" t="s">
        <v>69</v>
      </c>
      <c r="B15" s="702">
        <f>+scotiainfin!H58</f>
        <v>0</v>
      </c>
      <c r="C15" s="703">
        <v>4</v>
      </c>
      <c r="D15" s="667" t="s">
        <v>63</v>
      </c>
      <c r="E15" s="702" t="e">
        <f>+#REF!</f>
        <v>#REF!</v>
      </c>
      <c r="F15" s="703">
        <v>4</v>
      </c>
      <c r="G15" s="667" t="s">
        <v>69</v>
      </c>
      <c r="H15" s="704">
        <f>+'sysratfinclédéc. 14'!L74</f>
        <v>0.62822353451078128</v>
      </c>
      <c r="I15" s="703">
        <v>4</v>
      </c>
      <c r="J15" s="667" t="s">
        <v>65</v>
      </c>
      <c r="K15" s="668">
        <f>+'sysratfinclédéc. 14'!G80</f>
        <v>3337.3646922097714</v>
      </c>
      <c r="L15" s="703">
        <v>4</v>
      </c>
      <c r="M15" s="667" t="s">
        <v>59</v>
      </c>
      <c r="N15" s="134">
        <f>+'bilsysbandéc. 14  '!B23/((employés!E136+employés!E138)/2)</f>
        <v>65879.748046190478</v>
      </c>
      <c r="O15" s="703">
        <v>4</v>
      </c>
      <c r="P15" s="667" t="s">
        <v>0</v>
      </c>
      <c r="R15" s="703" t="s">
        <v>0</v>
      </c>
    </row>
    <row r="16" spans="1:18">
      <c r="A16" s="669" t="s">
        <v>63</v>
      </c>
      <c r="B16" s="702" t="e">
        <f>+#REF!</f>
        <v>#REF!</v>
      </c>
      <c r="C16" s="703">
        <v>5</v>
      </c>
      <c r="D16" s="667" t="s">
        <v>61</v>
      </c>
      <c r="E16" s="702">
        <f>+buhinfin!H60</f>
        <v>0</v>
      </c>
      <c r="F16" s="703">
        <v>5</v>
      </c>
      <c r="G16" s="667" t="s">
        <v>66</v>
      </c>
      <c r="H16" s="704">
        <f>+'sysratfinclédéc. 14'!E74</f>
        <v>0.65920340319513371</v>
      </c>
      <c r="I16" s="703">
        <v>5</v>
      </c>
      <c r="J16" s="667" t="s">
        <v>59</v>
      </c>
      <c r="K16" s="668">
        <f>+'sysratfinclédéc. 14'!B80</f>
        <v>2720.6331777572964</v>
      </c>
      <c r="L16" s="703">
        <v>5</v>
      </c>
      <c r="M16" s="667" t="s">
        <v>65</v>
      </c>
      <c r="N16" s="134">
        <f>+'bilsysbandéc. 14  '!G23/((employés!S136+employés!S138)/2)</f>
        <v>52936.883051855155</v>
      </c>
      <c r="O16" s="703">
        <v>5</v>
      </c>
      <c r="P16" s="667" t="s">
        <v>0</v>
      </c>
      <c r="R16" s="703" t="s">
        <v>0</v>
      </c>
    </row>
    <row r="17" spans="1:18">
      <c r="A17" s="669" t="s">
        <v>66</v>
      </c>
      <c r="B17" s="702">
        <f>+'capitalbkinfin '!H58</f>
        <v>0</v>
      </c>
      <c r="C17" s="703">
        <v>6</v>
      </c>
      <c r="D17" s="667" t="s">
        <v>59</v>
      </c>
      <c r="E17" s="702">
        <f>+'bncinfin '!H61</f>
        <v>0</v>
      </c>
      <c r="F17" s="703">
        <v>6</v>
      </c>
      <c r="G17" s="667" t="s">
        <v>68</v>
      </c>
      <c r="H17" s="704">
        <f>+'sysratfinclédéc. 14'!K74</f>
        <v>0.67262340706020218</v>
      </c>
      <c r="I17" s="703">
        <v>6</v>
      </c>
      <c r="J17" s="667" t="s">
        <v>66</v>
      </c>
      <c r="K17" s="668">
        <f>+'sysratfinclédéc. 14'!E80</f>
        <v>2273.7024482109227</v>
      </c>
      <c r="L17" s="703">
        <v>6</v>
      </c>
      <c r="M17" s="667" t="s">
        <v>64</v>
      </c>
      <c r="N17" s="134">
        <f>+'bilsysbandéc. 14  '!F23/((employés!Q136+employés!Q138)/2)</f>
        <v>36574.377876584025</v>
      </c>
      <c r="O17" s="703">
        <v>6</v>
      </c>
      <c r="P17" s="667" t="s">
        <v>0</v>
      </c>
      <c r="R17" s="703" t="s">
        <v>0</v>
      </c>
    </row>
    <row r="18" spans="1:18">
      <c r="A18" s="669" t="s">
        <v>61</v>
      </c>
      <c r="B18" s="702">
        <f>+buhinfin!H58</f>
        <v>0</v>
      </c>
      <c r="C18" s="703">
        <v>7</v>
      </c>
      <c r="D18" s="667" t="s">
        <v>66</v>
      </c>
      <c r="E18" s="702">
        <f>+'capitalbkinfin '!H60</f>
        <v>0</v>
      </c>
      <c r="F18" s="703">
        <v>7</v>
      </c>
      <c r="G18" s="667" t="s">
        <v>64</v>
      </c>
      <c r="H18" s="704">
        <f>+'sysratfinclédéc. 14'!F74</f>
        <v>0.73454762479408831</v>
      </c>
      <c r="I18" s="703">
        <v>7</v>
      </c>
      <c r="J18" s="667" t="s">
        <v>61</v>
      </c>
      <c r="K18" s="668">
        <f>+'sysratfinclédéc. 14'!D80</f>
        <v>2262.7160623588925</v>
      </c>
      <c r="L18" s="703">
        <v>7</v>
      </c>
      <c r="M18" s="667" t="s">
        <v>61</v>
      </c>
      <c r="N18" s="134">
        <f>+'bilsysbandéc. 14  '!D23/((employés!I136+employés!I138)/2)</f>
        <v>29418.699230323211</v>
      </c>
      <c r="O18" s="703">
        <v>7</v>
      </c>
      <c r="P18" s="667" t="s">
        <v>0</v>
      </c>
      <c r="R18" s="703" t="s">
        <v>0</v>
      </c>
    </row>
    <row r="19" spans="1:18">
      <c r="A19" s="669" t="s">
        <v>62</v>
      </c>
      <c r="B19" s="702" t="e">
        <f>+#REF!</f>
        <v>#REF!</v>
      </c>
      <c r="C19" s="703">
        <v>8</v>
      </c>
      <c r="D19" s="667" t="s">
        <v>64</v>
      </c>
      <c r="E19" s="702">
        <f>+'sogebkinfin  '!H60</f>
        <v>0</v>
      </c>
      <c r="F19" s="703">
        <v>8</v>
      </c>
      <c r="G19" s="667" t="s">
        <v>60</v>
      </c>
      <c r="H19" s="704">
        <f>+'sysratfinclédéc. 14'!C74</f>
        <v>0.77255670838331403</v>
      </c>
      <c r="I19" s="703">
        <v>8</v>
      </c>
      <c r="J19" s="667" t="s">
        <v>64</v>
      </c>
      <c r="K19" s="668">
        <f>+'sysratfinclédéc. 14'!F80</f>
        <v>2080.0217159779613</v>
      </c>
      <c r="L19" s="703">
        <v>8</v>
      </c>
      <c r="M19" s="667" t="s">
        <v>66</v>
      </c>
      <c r="N19" s="134">
        <f>+'bilsysbandéc. 14  '!E23/((employés!U136+employés!U138)/2)</f>
        <v>23193.295668549905</v>
      </c>
      <c r="O19" s="703">
        <v>8</v>
      </c>
      <c r="P19" s="667" t="s">
        <v>0</v>
      </c>
      <c r="R19" s="703" t="s">
        <v>0</v>
      </c>
    </row>
    <row r="20" spans="1:18">
      <c r="A20" s="669" t="s">
        <v>64</v>
      </c>
      <c r="B20" s="702">
        <f>+'sogebkinfin  '!H58</f>
        <v>0</v>
      </c>
      <c r="C20" s="703">
        <v>9</v>
      </c>
      <c r="D20" s="667" t="s">
        <v>62</v>
      </c>
      <c r="E20" s="702" t="e">
        <f>+#REF!</f>
        <v>#REF!</v>
      </c>
      <c r="F20" s="703">
        <v>9</v>
      </c>
      <c r="G20" s="667" t="s">
        <v>61</v>
      </c>
      <c r="H20" s="704">
        <f>+'sysratfinclédéc. 14'!D74</f>
        <v>0.84110809413443777</v>
      </c>
      <c r="I20" s="703">
        <v>9</v>
      </c>
      <c r="J20" s="667" t="s">
        <v>60</v>
      </c>
      <c r="K20" s="668">
        <f>+'sysratfinclédéc. 14'!C80</f>
        <v>1131.492532645161</v>
      </c>
      <c r="L20" s="703">
        <v>9</v>
      </c>
      <c r="M20" s="667" t="s">
        <v>60</v>
      </c>
      <c r="N20" s="134">
        <f>+'bilsysbandéc. 14  '!C23/((employés!G136+employés!G138)/2)</f>
        <v>20637.930996645162</v>
      </c>
      <c r="O20" s="703">
        <v>9</v>
      </c>
      <c r="P20" s="667" t="s">
        <v>0</v>
      </c>
      <c r="R20" s="703" t="s">
        <v>0</v>
      </c>
    </row>
    <row r="21" spans="1:18">
      <c r="A21" s="669" t="s">
        <v>65</v>
      </c>
      <c r="B21" s="702">
        <f>+unibkinfin!H59</f>
        <v>0</v>
      </c>
      <c r="C21" s="703">
        <v>10</v>
      </c>
      <c r="D21" s="667" t="s">
        <v>65</v>
      </c>
      <c r="E21" s="702">
        <f>+unibkinfin!H61</f>
        <v>0</v>
      </c>
      <c r="F21" s="703">
        <v>10</v>
      </c>
      <c r="I21" s="703" t="s">
        <v>0</v>
      </c>
      <c r="L21" s="703" t="s">
        <v>0</v>
      </c>
      <c r="O21" s="703" t="s">
        <v>0</v>
      </c>
      <c r="P21" s="667" t="s">
        <v>0</v>
      </c>
      <c r="R21" s="703" t="s">
        <v>0</v>
      </c>
    </row>
    <row r="22" spans="1:18">
      <c r="A22" s="669" t="s">
        <v>251</v>
      </c>
      <c r="B22" s="702" t="e">
        <f>+#REF!</f>
        <v>#REF!</v>
      </c>
      <c r="C22" s="703">
        <v>13</v>
      </c>
      <c r="D22" s="669" t="s">
        <v>251</v>
      </c>
      <c r="E22" s="702" t="e">
        <f>+#REF!</f>
        <v>#REF!</v>
      </c>
      <c r="F22" s="703">
        <v>13</v>
      </c>
      <c r="I22" s="668"/>
    </row>
    <row r="23" spans="1:18">
      <c r="B23" s="12" t="s">
        <v>0</v>
      </c>
      <c r="C23" s="12"/>
      <c r="D23" s="669" t="s">
        <v>0</v>
      </c>
      <c r="E23" s="668" t="s">
        <v>0</v>
      </c>
      <c r="F23" s="668"/>
      <c r="G23" s="691" t="s">
        <v>0</v>
      </c>
      <c r="H23" s="692" t="s">
        <v>0</v>
      </c>
      <c r="I23" s="692" t="s">
        <v>0</v>
      </c>
      <c r="J23" s="691" t="s">
        <v>0</v>
      </c>
      <c r="K23" s="692" t="s">
        <v>0</v>
      </c>
      <c r="L23" t="s">
        <v>0</v>
      </c>
      <c r="M23" t="s">
        <v>0</v>
      </c>
      <c r="N23" t="s">
        <v>0</v>
      </c>
      <c r="O23" t="s">
        <v>0</v>
      </c>
    </row>
    <row r="24" spans="1:18">
      <c r="A24" s="4" t="s">
        <v>0</v>
      </c>
      <c r="B24" s="612" t="s">
        <v>0</v>
      </c>
      <c r="C24" s="612" t="s">
        <v>0</v>
      </c>
      <c r="D24" s="691" t="s">
        <v>0</v>
      </c>
      <c r="E24" s="692" t="s">
        <v>0</v>
      </c>
      <c r="F24" s="692" t="s">
        <v>0</v>
      </c>
      <c r="G24" s="667"/>
      <c r="H24" s="668"/>
      <c r="I24" s="668"/>
      <c r="J24" s="667"/>
      <c r="K24" s="693"/>
    </row>
    <row r="25" spans="1:18" ht="16.5" thickBot="1">
      <c r="A25" s="17"/>
      <c r="B25" s="12"/>
      <c r="C25" s="12"/>
      <c r="D25" s="667"/>
      <c r="E25" s="668"/>
      <c r="F25" s="668"/>
      <c r="G25" s="688"/>
      <c r="H25" s="688"/>
      <c r="I25" s="688"/>
      <c r="J25" s="688"/>
      <c r="K25" s="688"/>
      <c r="L25" s="25"/>
      <c r="M25" s="25"/>
      <c r="N25" s="25"/>
      <c r="O25" s="25"/>
    </row>
    <row r="26" spans="1:18" ht="16.5" thickBot="1">
      <c r="A26" s="25"/>
      <c r="B26" s="25"/>
      <c r="C26" s="25"/>
      <c r="D26" s="688"/>
      <c r="E26" s="688"/>
      <c r="F26" s="688"/>
      <c r="G26" s="278"/>
      <c r="H26" s="278"/>
      <c r="I26" s="278"/>
      <c r="J26" s="278"/>
      <c r="K26" s="278"/>
    </row>
    <row r="27" spans="1:18">
      <c r="A27" s="26"/>
      <c r="B27" s="26"/>
      <c r="C27" s="26"/>
      <c r="D27" s="278"/>
      <c r="E27" s="278"/>
      <c r="F27" s="278"/>
      <c r="H27" s="1557" t="s">
        <v>943</v>
      </c>
      <c r="I27" s="1557"/>
      <c r="J27" s="1557"/>
      <c r="K27" s="1557"/>
      <c r="L27" s="1557"/>
      <c r="N27" s="1558" t="str">
        <f>+'partdemarc. (4)'!A26</f>
        <v>AU 30 SEPTEMBRE 2014</v>
      </c>
      <c r="O27" s="1558"/>
    </row>
    <row r="28" spans="1:18">
      <c r="A28" s="11" t="s">
        <v>486</v>
      </c>
      <c r="H28" s="690" t="s">
        <v>473</v>
      </c>
      <c r="I28" s="690"/>
    </row>
    <row r="29" spans="1:18" ht="16.5" thickBot="1">
      <c r="H29" s="700" t="s">
        <v>474</v>
      </c>
      <c r="I29" s="1" t="s">
        <v>250</v>
      </c>
      <c r="K29" s="701" t="s">
        <v>475</v>
      </c>
      <c r="L29" s="1" t="s">
        <v>250</v>
      </c>
      <c r="N29" s="1" t="s">
        <v>476</v>
      </c>
      <c r="O29" s="1" t="s">
        <v>250</v>
      </c>
      <c r="P29" s="690" t="s">
        <v>0</v>
      </c>
      <c r="Q29" s="384" t="s">
        <v>0</v>
      </c>
      <c r="R29" s="384" t="s">
        <v>0</v>
      </c>
    </row>
    <row r="30" spans="1:18" ht="16.5" thickBot="1">
      <c r="B30" s="156" t="s">
        <v>471</v>
      </c>
      <c r="C30" s="1" t="s">
        <v>250</v>
      </c>
      <c r="E30" s="689" t="s">
        <v>472</v>
      </c>
      <c r="F30" s="1" t="s">
        <v>250</v>
      </c>
      <c r="H30" s="699" t="s">
        <v>54</v>
      </c>
      <c r="I30" s="699"/>
      <c r="K30" s="699" t="s">
        <v>0</v>
      </c>
    </row>
    <row r="31" spans="1:18">
      <c r="B31" s="384" t="s">
        <v>0</v>
      </c>
      <c r="C31" s="384"/>
      <c r="E31" s="699" t="s">
        <v>0</v>
      </c>
      <c r="F31" s="699"/>
      <c r="H31" s="699" t="s">
        <v>0</v>
      </c>
      <c r="I31" s="699"/>
      <c r="K31" s="699" t="s">
        <v>0</v>
      </c>
    </row>
    <row r="32" spans="1:18" ht="9" customHeight="1">
      <c r="B32" s="698" t="s">
        <v>0</v>
      </c>
      <c r="C32" s="698"/>
      <c r="E32" s="699" t="s">
        <v>0</v>
      </c>
      <c r="F32" s="699"/>
      <c r="I32" s="690"/>
    </row>
    <row r="33" spans="1:18">
      <c r="B33" s="3"/>
      <c r="C33" s="3"/>
      <c r="E33" s="690"/>
      <c r="F33" s="690"/>
      <c r="G33" s="669" t="s">
        <v>65</v>
      </c>
      <c r="H33" s="704">
        <v>0.50145728494788233</v>
      </c>
      <c r="I33" s="703">
        <v>1</v>
      </c>
      <c r="J33" s="667" t="s">
        <v>68</v>
      </c>
      <c r="K33" s="668">
        <v>9328.484848484848</v>
      </c>
      <c r="L33" s="703">
        <v>1</v>
      </c>
      <c r="M33" s="667" t="s">
        <v>68</v>
      </c>
      <c r="N33" s="668">
        <v>214845.30303030304</v>
      </c>
      <c r="O33" s="703">
        <v>1</v>
      </c>
      <c r="P33" s="667" t="s">
        <v>0</v>
      </c>
      <c r="Q33" s="705" t="s">
        <v>0</v>
      </c>
      <c r="R33" s="703" t="s">
        <v>0</v>
      </c>
    </row>
    <row r="34" spans="1:18">
      <c r="A34" s="669" t="s">
        <v>68</v>
      </c>
      <c r="B34" s="702">
        <f>+cbnainfin!E58</f>
        <v>0</v>
      </c>
      <c r="C34" s="703">
        <v>1</v>
      </c>
      <c r="D34" s="667" t="s">
        <v>68</v>
      </c>
      <c r="E34" s="702">
        <f>+cbnainfin!E60</f>
        <v>0</v>
      </c>
      <c r="F34" s="703">
        <v>1</v>
      </c>
      <c r="G34" s="667" t="s">
        <v>67</v>
      </c>
      <c r="H34" s="704">
        <v>0.59524445964807271</v>
      </c>
      <c r="I34" s="703">
        <v>2</v>
      </c>
      <c r="J34" s="669" t="s">
        <v>65</v>
      </c>
      <c r="K34" s="668">
        <v>3738.6765651086957</v>
      </c>
      <c r="L34" s="703">
        <v>2</v>
      </c>
      <c r="M34" s="667" t="s">
        <v>67</v>
      </c>
      <c r="N34" s="668">
        <v>84562.353045477619</v>
      </c>
      <c r="O34" s="703">
        <v>2</v>
      </c>
      <c r="P34" s="667" t="s">
        <v>0</v>
      </c>
      <c r="Q34" s="705" t="s">
        <v>0</v>
      </c>
      <c r="R34" s="703" t="s">
        <v>0</v>
      </c>
    </row>
    <row r="35" spans="1:18">
      <c r="A35" s="669" t="s">
        <v>59</v>
      </c>
      <c r="B35" s="702">
        <f>+'bncinfin '!E59</f>
        <v>0</v>
      </c>
      <c r="C35" s="703">
        <v>2</v>
      </c>
      <c r="D35" s="667" t="s">
        <v>60</v>
      </c>
      <c r="E35" s="702">
        <f>+'bphinfin     '!E61</f>
        <v>0</v>
      </c>
      <c r="F35" s="703">
        <v>2</v>
      </c>
      <c r="G35" s="667" t="s">
        <v>64</v>
      </c>
      <c r="H35" s="704">
        <v>0.63385831424811179</v>
      </c>
      <c r="I35" s="703">
        <v>3</v>
      </c>
      <c r="J35" s="667" t="s">
        <v>67</v>
      </c>
      <c r="K35" s="668">
        <v>3579.6744823880595</v>
      </c>
      <c r="L35" s="703">
        <v>3</v>
      </c>
      <c r="M35" s="667" t="s">
        <v>59</v>
      </c>
      <c r="N35" s="668">
        <v>69754.517751662759</v>
      </c>
      <c r="O35" s="703">
        <v>3</v>
      </c>
      <c r="P35" s="667" t="s">
        <v>0</v>
      </c>
      <c r="Q35" s="705" t="s">
        <v>0</v>
      </c>
      <c r="R35" s="703" t="s">
        <v>0</v>
      </c>
    </row>
    <row r="36" spans="1:18">
      <c r="A36" s="669" t="s">
        <v>60</v>
      </c>
      <c r="B36" s="702">
        <f>+'bphinfin     '!E59</f>
        <v>0</v>
      </c>
      <c r="C36" s="703">
        <v>3</v>
      </c>
      <c r="D36" s="667" t="s">
        <v>69</v>
      </c>
      <c r="E36" s="702">
        <f>+scotiainfin!E60</f>
        <v>0</v>
      </c>
      <c r="F36" s="703">
        <v>3</v>
      </c>
      <c r="G36" s="667" t="s">
        <v>66</v>
      </c>
      <c r="H36" s="704">
        <v>0.72323977246808535</v>
      </c>
      <c r="I36" s="703">
        <v>4</v>
      </c>
      <c r="J36" s="667" t="s">
        <v>69</v>
      </c>
      <c r="K36" s="668">
        <v>3122.4</v>
      </c>
      <c r="L36" s="703">
        <v>4</v>
      </c>
      <c r="M36" s="667" t="s">
        <v>69</v>
      </c>
      <c r="N36" s="668">
        <v>65614.733333333337</v>
      </c>
      <c r="O36" s="703">
        <v>4</v>
      </c>
      <c r="P36" s="667" t="s">
        <v>0</v>
      </c>
      <c r="Q36" s="705" t="s">
        <v>0</v>
      </c>
      <c r="R36" s="703" t="s">
        <v>0</v>
      </c>
    </row>
    <row r="37" spans="1:18">
      <c r="A37" s="669" t="s">
        <v>69</v>
      </c>
      <c r="B37" s="702">
        <f>+scotiainfin!E58</f>
        <v>0</v>
      </c>
      <c r="C37" s="703">
        <v>4</v>
      </c>
      <c r="D37" s="667" t="s">
        <v>59</v>
      </c>
      <c r="E37" s="702">
        <f>+'bncinfin '!E61</f>
        <v>0</v>
      </c>
      <c r="F37" s="703">
        <v>4</v>
      </c>
      <c r="G37" s="667" t="s">
        <v>60</v>
      </c>
      <c r="H37" s="704">
        <v>0.73567114445568416</v>
      </c>
      <c r="I37" s="703">
        <v>5</v>
      </c>
      <c r="J37" s="667" t="s">
        <v>59</v>
      </c>
      <c r="K37" s="668">
        <v>2928.572767837627</v>
      </c>
      <c r="L37" s="703">
        <v>5</v>
      </c>
      <c r="M37" s="667" t="s">
        <v>65</v>
      </c>
      <c r="N37" s="668">
        <v>53512.103926063828</v>
      </c>
      <c r="O37" s="703">
        <v>5</v>
      </c>
      <c r="P37" s="667" t="s">
        <v>0</v>
      </c>
      <c r="Q37" s="705" t="s">
        <v>0</v>
      </c>
      <c r="R37" s="703" t="s">
        <v>0</v>
      </c>
    </row>
    <row r="38" spans="1:18">
      <c r="A38" s="669" t="s">
        <v>67</v>
      </c>
      <c r="B38" s="702">
        <f>+sgbelinfin!E58</f>
        <v>0</v>
      </c>
      <c r="C38" s="703">
        <v>5</v>
      </c>
      <c r="D38" s="669" t="s">
        <v>67</v>
      </c>
      <c r="E38" s="702">
        <f>+sgbelinfin!E60</f>
        <v>0</v>
      </c>
      <c r="F38" s="703">
        <v>5</v>
      </c>
      <c r="G38" s="667" t="s">
        <v>59</v>
      </c>
      <c r="H38" s="704">
        <v>0.76461246797037163</v>
      </c>
      <c r="I38" s="703">
        <v>6</v>
      </c>
      <c r="J38" s="667" t="s">
        <v>61</v>
      </c>
      <c r="K38" s="668">
        <v>2431.6270966279062</v>
      </c>
      <c r="L38" s="703">
        <v>6</v>
      </c>
      <c r="M38" s="667" t="s">
        <v>64</v>
      </c>
      <c r="N38" s="668">
        <v>36173.303422189019</v>
      </c>
      <c r="O38" s="703">
        <v>6</v>
      </c>
      <c r="P38" s="667" t="s">
        <v>0</v>
      </c>
      <c r="Q38" s="705" t="s">
        <v>0</v>
      </c>
      <c r="R38" s="703" t="s">
        <v>0</v>
      </c>
    </row>
    <row r="39" spans="1:18">
      <c r="A39" s="669" t="s">
        <v>62</v>
      </c>
      <c r="B39" s="702" t="e">
        <f>+#REF!</f>
        <v>#REF!</v>
      </c>
      <c r="C39" s="703">
        <v>6</v>
      </c>
      <c r="D39" s="667" t="s">
        <v>62</v>
      </c>
      <c r="E39" s="702" t="e">
        <f>+#REF!</f>
        <v>#REF!</v>
      </c>
      <c r="F39" s="703">
        <v>6</v>
      </c>
      <c r="G39" s="667" t="s">
        <v>68</v>
      </c>
      <c r="H39" s="704">
        <v>0.86856808731808732</v>
      </c>
      <c r="I39" s="703">
        <v>7</v>
      </c>
      <c r="J39" s="667" t="s">
        <v>64</v>
      </c>
      <c r="K39" s="668">
        <v>2351.2508350418293</v>
      </c>
      <c r="L39" s="703">
        <v>7</v>
      </c>
      <c r="M39" s="667" t="s">
        <v>61</v>
      </c>
      <c r="N39" s="668">
        <v>26031.14467650096</v>
      </c>
      <c r="O39" s="703">
        <v>7</v>
      </c>
      <c r="P39" s="667" t="s">
        <v>0</v>
      </c>
      <c r="Q39" s="705" t="s">
        <v>0</v>
      </c>
      <c r="R39" s="703" t="s">
        <v>0</v>
      </c>
    </row>
    <row r="40" spans="1:18">
      <c r="A40" s="669" t="s">
        <v>63</v>
      </c>
      <c r="B40" s="702" t="e">
        <f>+#REF!</f>
        <v>#REF!</v>
      </c>
      <c r="C40" s="703">
        <v>7</v>
      </c>
      <c r="D40" s="667" t="s">
        <v>63</v>
      </c>
      <c r="E40" s="702" t="e">
        <f>+#REF!</f>
        <v>#REF!</v>
      </c>
      <c r="F40" s="703">
        <v>7</v>
      </c>
      <c r="G40" s="667" t="s">
        <v>61</v>
      </c>
      <c r="H40" s="704">
        <v>1.0632189982968676</v>
      </c>
      <c r="I40" s="703">
        <v>8</v>
      </c>
      <c r="J40" s="667" t="s">
        <v>66</v>
      </c>
      <c r="K40" s="668">
        <v>2269.5372549019608</v>
      </c>
      <c r="L40" s="703">
        <v>8</v>
      </c>
      <c r="M40" s="667" t="s">
        <v>66</v>
      </c>
      <c r="N40" s="668">
        <v>23495.074509803922</v>
      </c>
      <c r="O40" s="703">
        <v>8</v>
      </c>
      <c r="P40" s="667" t="s">
        <v>0</v>
      </c>
      <c r="Q40" s="705" t="s">
        <v>0</v>
      </c>
      <c r="R40" s="703" t="s">
        <v>0</v>
      </c>
    </row>
    <row r="41" spans="1:18">
      <c r="A41" s="669" t="s">
        <v>65</v>
      </c>
      <c r="B41" s="702">
        <f>+unibkinfin!E59</f>
        <v>0</v>
      </c>
      <c r="C41" s="703">
        <v>8</v>
      </c>
      <c r="D41" s="667" t="s">
        <v>61</v>
      </c>
      <c r="E41" s="702">
        <f>+buhinfin!E60</f>
        <v>0</v>
      </c>
      <c r="F41" s="703">
        <v>8</v>
      </c>
      <c r="G41" s="667" t="s">
        <v>69</v>
      </c>
      <c r="H41" s="704">
        <v>1.2783329063113844</v>
      </c>
      <c r="I41" s="703">
        <v>9</v>
      </c>
      <c r="J41" s="667" t="s">
        <v>60</v>
      </c>
      <c r="K41" s="668">
        <v>1091.1039997394139</v>
      </c>
      <c r="L41" s="703">
        <v>9</v>
      </c>
      <c r="M41" s="667" t="s">
        <v>60</v>
      </c>
      <c r="N41" s="668">
        <v>19966.314440977203</v>
      </c>
      <c r="O41" s="703">
        <v>9</v>
      </c>
      <c r="P41" s="667" t="s">
        <v>0</v>
      </c>
      <c r="Q41" s="705" t="s">
        <v>0</v>
      </c>
      <c r="R41" s="703" t="s">
        <v>0</v>
      </c>
    </row>
    <row r="42" spans="1:18">
      <c r="A42" s="669" t="s">
        <v>61</v>
      </c>
      <c r="B42" s="702">
        <f>+buhinfin!E58</f>
        <v>0</v>
      </c>
      <c r="C42" s="703">
        <v>9</v>
      </c>
      <c r="D42" s="667" t="s">
        <v>65</v>
      </c>
      <c r="E42" s="702">
        <f>+unibkinfin!E61</f>
        <v>0</v>
      </c>
      <c r="F42" s="703">
        <v>9</v>
      </c>
      <c r="I42" s="703" t="s">
        <v>0</v>
      </c>
      <c r="L42" s="703" t="s">
        <v>0</v>
      </c>
      <c r="O42" s="703" t="s">
        <v>0</v>
      </c>
      <c r="P42" s="667" t="s">
        <v>0</v>
      </c>
      <c r="Q42" s="705" t="s">
        <v>0</v>
      </c>
      <c r="R42" s="703" t="s">
        <v>0</v>
      </c>
    </row>
    <row r="43" spans="1:18">
      <c r="A43" s="669" t="s">
        <v>66</v>
      </c>
      <c r="B43" s="702">
        <f>+'capitalbkinfin '!E58</f>
        <v>0</v>
      </c>
      <c r="C43" s="703">
        <v>10</v>
      </c>
      <c r="D43" s="667" t="s">
        <v>66</v>
      </c>
      <c r="E43" s="702">
        <f>+'capitalbkinfin '!E60</f>
        <v>0</v>
      </c>
      <c r="F43" s="703">
        <v>10</v>
      </c>
      <c r="I43" s="703" t="s">
        <v>0</v>
      </c>
      <c r="K43" s="668" t="s">
        <v>0</v>
      </c>
      <c r="L43" s="703" t="s">
        <v>0</v>
      </c>
      <c r="M43" s="667" t="s">
        <v>0</v>
      </c>
      <c r="N43" s="668" t="s">
        <v>0</v>
      </c>
      <c r="O43" s="703" t="s">
        <v>0</v>
      </c>
      <c r="P43" s="667" t="s">
        <v>0</v>
      </c>
      <c r="Q43" s="705" t="s">
        <v>0</v>
      </c>
      <c r="R43" s="703" t="s">
        <v>0</v>
      </c>
    </row>
    <row r="44" spans="1:18">
      <c r="A44" s="669" t="s">
        <v>64</v>
      </c>
      <c r="B44" s="702">
        <f>+'sogebkinfin  '!E58</f>
        <v>0</v>
      </c>
      <c r="C44" s="703">
        <v>11</v>
      </c>
      <c r="D44" s="667" t="s">
        <v>58</v>
      </c>
      <c r="E44" s="702" t="e">
        <f>+#REF!</f>
        <v>#REF!</v>
      </c>
      <c r="F44" s="703">
        <v>11</v>
      </c>
      <c r="I44" s="703" t="s">
        <v>0</v>
      </c>
      <c r="J44" s="669" t="s">
        <v>0</v>
      </c>
      <c r="K44" s="668" t="s">
        <v>0</v>
      </c>
      <c r="L44" s="703" t="s">
        <v>0</v>
      </c>
      <c r="N44" s="668" t="s">
        <v>0</v>
      </c>
      <c r="O44" s="703" t="s">
        <v>0</v>
      </c>
      <c r="P44" s="667" t="s">
        <v>0</v>
      </c>
      <c r="Q44" s="705" t="s">
        <v>0</v>
      </c>
      <c r="R44" s="703" t="s">
        <v>0</v>
      </c>
    </row>
    <row r="45" spans="1:18">
      <c r="A45" s="667" t="s">
        <v>58</v>
      </c>
      <c r="B45" s="702" t="e">
        <f>+#REF!</f>
        <v>#REF!</v>
      </c>
      <c r="C45" s="703">
        <v>12</v>
      </c>
      <c r="D45" s="667" t="s">
        <v>64</v>
      </c>
      <c r="E45" s="702">
        <f>+'sogebkinfin  '!E60</f>
        <v>0</v>
      </c>
      <c r="F45" s="703">
        <v>12</v>
      </c>
      <c r="I45" s="668"/>
      <c r="P45" s="669" t="s">
        <v>0</v>
      </c>
      <c r="Q45" s="705" t="s">
        <v>0</v>
      </c>
      <c r="R45" s="703" t="s">
        <v>0</v>
      </c>
    </row>
    <row r="46" spans="1:18">
      <c r="A46" s="669" t="s">
        <v>251</v>
      </c>
      <c r="B46" s="702" t="e">
        <f>+#REF!</f>
        <v>#REF!</v>
      </c>
      <c r="C46" s="703">
        <v>13</v>
      </c>
      <c r="D46" s="669" t="s">
        <v>251</v>
      </c>
      <c r="E46" s="702" t="e">
        <f>+#REF!</f>
        <v>#REF!</v>
      </c>
      <c r="F46" s="703">
        <v>13</v>
      </c>
      <c r="G46" s="691" t="s">
        <v>0</v>
      </c>
      <c r="H46" s="692" t="s">
        <v>0</v>
      </c>
      <c r="I46" s="692" t="s">
        <v>0</v>
      </c>
      <c r="J46" s="691" t="s">
        <v>0</v>
      </c>
      <c r="K46" s="692" t="s">
        <v>0</v>
      </c>
      <c r="L46" t="s">
        <v>0</v>
      </c>
      <c r="M46" t="s">
        <v>0</v>
      </c>
      <c r="N46" t="s">
        <v>0</v>
      </c>
      <c r="O46" t="s">
        <v>0</v>
      </c>
      <c r="P46" s="669" t="s">
        <v>0</v>
      </c>
      <c r="R46" t="s">
        <v>347</v>
      </c>
    </row>
    <row r="47" spans="1:18" ht="16.5" thickBot="1">
      <c r="A47" s="17"/>
      <c r="B47" s="12" t="s">
        <v>0</v>
      </c>
      <c r="C47" s="12"/>
      <c r="D47" s="667"/>
      <c r="E47" s="668"/>
      <c r="F47" s="668"/>
      <c r="G47" s="688"/>
      <c r="H47" s="688"/>
      <c r="I47" s="688"/>
      <c r="J47" s="688"/>
      <c r="K47" s="694"/>
      <c r="L47" s="25"/>
      <c r="M47" s="25"/>
      <c r="N47" s="25"/>
      <c r="O47" s="25"/>
    </row>
    <row r="48" spans="1:18">
      <c r="A48" s="4" t="s">
        <v>0</v>
      </c>
      <c r="B48" s="612" t="s">
        <v>0</v>
      </c>
      <c r="C48" s="612" t="s">
        <v>0</v>
      </c>
      <c r="D48" s="691" t="s">
        <v>0</v>
      </c>
      <c r="E48" s="692" t="s">
        <v>0</v>
      </c>
      <c r="F48" s="692" t="s">
        <v>0</v>
      </c>
      <c r="G48" s="278"/>
      <c r="H48" s="278"/>
      <c r="I48" s="278"/>
      <c r="J48" s="278"/>
      <c r="K48" s="695"/>
      <c r="P48" s="26"/>
      <c r="Q48" s="26"/>
      <c r="R48" s="26"/>
    </row>
    <row r="49" spans="1:18" ht="16.5" thickBot="1">
      <c r="A49" s="25"/>
      <c r="B49" s="25"/>
      <c r="C49" s="25"/>
      <c r="D49" s="688"/>
      <c r="E49" s="688"/>
      <c r="F49" s="688"/>
      <c r="H49" s="1557" t="s">
        <v>958</v>
      </c>
      <c r="I49" s="1557"/>
      <c r="J49" s="1557"/>
      <c r="K49" s="1557"/>
      <c r="L49" s="1557"/>
      <c r="N49" s="1558" t="str">
        <f>+'partdemarc. (4)'!A45</f>
        <v>AU 30 SEPTEMBRE 2013</v>
      </c>
      <c r="O49" s="1558"/>
    </row>
    <row r="50" spans="1:18">
      <c r="A50" s="26"/>
      <c r="B50" s="26"/>
      <c r="C50" s="26"/>
      <c r="D50" s="278"/>
      <c r="E50" s="278"/>
      <c r="F50" s="278"/>
      <c r="H50" s="690" t="s">
        <v>473</v>
      </c>
      <c r="I50" s="690"/>
    </row>
    <row r="51" spans="1:18" ht="16.5" thickBot="1">
      <c r="A51" s="11" t="s">
        <v>470</v>
      </c>
      <c r="H51" s="700" t="s">
        <v>474</v>
      </c>
      <c r="I51" s="1" t="s">
        <v>250</v>
      </c>
      <c r="K51" s="701" t="s">
        <v>475</v>
      </c>
      <c r="L51" s="1" t="s">
        <v>250</v>
      </c>
      <c r="N51" s="1" t="s">
        <v>476</v>
      </c>
      <c r="O51" s="1" t="s">
        <v>250</v>
      </c>
    </row>
    <row r="52" spans="1:18">
      <c r="I52" s="690"/>
      <c r="P52" s="3" t="s">
        <v>0</v>
      </c>
      <c r="Q52" s="384" t="s">
        <v>0</v>
      </c>
      <c r="R52" s="384" t="s">
        <v>0</v>
      </c>
    </row>
    <row r="53" spans="1:18" ht="16.5" thickBot="1">
      <c r="B53" s="156" t="s">
        <v>471</v>
      </c>
      <c r="C53" s="1" t="s">
        <v>250</v>
      </c>
      <c r="E53" s="689" t="s">
        <v>472</v>
      </c>
      <c r="F53" s="1" t="s">
        <v>250</v>
      </c>
      <c r="G53" s="667" t="s">
        <v>65</v>
      </c>
      <c r="H53" s="704">
        <v>0.51190000000000002</v>
      </c>
      <c r="I53" s="703">
        <v>1</v>
      </c>
      <c r="J53" s="667" t="s">
        <v>68</v>
      </c>
      <c r="K53" s="668">
        <v>6766.5</v>
      </c>
      <c r="L53" s="703">
        <v>1</v>
      </c>
      <c r="M53" s="667" t="s">
        <v>68</v>
      </c>
      <c r="N53" s="668">
        <v>144242.1</v>
      </c>
      <c r="O53" s="703">
        <v>1</v>
      </c>
    </row>
    <row r="54" spans="1:18">
      <c r="B54" s="3"/>
      <c r="C54" s="3"/>
      <c r="F54" s="690"/>
      <c r="G54" s="669" t="s">
        <v>67</v>
      </c>
      <c r="H54" s="704">
        <v>0.55459999999999998</v>
      </c>
      <c r="I54" s="703">
        <v>2</v>
      </c>
      <c r="J54" s="669" t="s">
        <v>67</v>
      </c>
      <c r="K54" s="668">
        <v>4420.7</v>
      </c>
      <c r="L54" s="703">
        <v>2</v>
      </c>
      <c r="M54" s="667" t="s">
        <v>59</v>
      </c>
      <c r="N54" s="668">
        <v>74086.600000000006</v>
      </c>
      <c r="O54" s="703">
        <v>2</v>
      </c>
      <c r="P54" s="667" t="s">
        <v>0</v>
      </c>
      <c r="Q54" s="706" t="s">
        <v>0</v>
      </c>
      <c r="R54" s="703" t="s">
        <v>0</v>
      </c>
    </row>
    <row r="55" spans="1:18">
      <c r="A55" s="669" t="s">
        <v>59</v>
      </c>
      <c r="B55" s="702">
        <f>+'bncinfin '!Q59</f>
        <v>9.4000000000000004E-3</v>
      </c>
      <c r="C55" s="703">
        <v>1</v>
      </c>
      <c r="D55" s="667" t="s">
        <v>60</v>
      </c>
      <c r="E55" s="702">
        <f>+'bphinfin     '!Q61</f>
        <v>-3.4099999999999998E-2</v>
      </c>
      <c r="F55" s="703">
        <v>1</v>
      </c>
      <c r="G55" s="667" t="s">
        <v>64</v>
      </c>
      <c r="H55" s="704">
        <v>0.69450000000000001</v>
      </c>
      <c r="I55" s="703">
        <v>3</v>
      </c>
      <c r="J55" s="667" t="s">
        <v>65</v>
      </c>
      <c r="K55" s="668">
        <v>3595.3</v>
      </c>
      <c r="L55" s="703">
        <v>3</v>
      </c>
      <c r="M55" s="667" t="s">
        <v>67</v>
      </c>
      <c r="N55" s="668">
        <v>72927</v>
      </c>
      <c r="O55" s="703">
        <v>3</v>
      </c>
      <c r="P55" s="667" t="s">
        <v>0</v>
      </c>
      <c r="Q55" s="706" t="s">
        <v>0</v>
      </c>
      <c r="R55" s="703" t="s">
        <v>0</v>
      </c>
    </row>
    <row r="56" spans="1:18">
      <c r="A56" s="669" t="s">
        <v>68</v>
      </c>
      <c r="B56" s="702">
        <f>+cbnainfin!Q58</f>
        <v>2.23E-2</v>
      </c>
      <c r="C56" s="703">
        <v>2</v>
      </c>
      <c r="D56" s="667" t="s">
        <v>59</v>
      </c>
      <c r="E56" s="702">
        <f>+'bncinfin '!Q61</f>
        <v>0.1434</v>
      </c>
      <c r="F56" s="703">
        <v>2</v>
      </c>
      <c r="G56" s="667" t="s">
        <v>59</v>
      </c>
      <c r="H56" s="704">
        <v>0.72070000000000001</v>
      </c>
      <c r="I56" s="703">
        <v>4</v>
      </c>
      <c r="J56" s="667" t="s">
        <v>69</v>
      </c>
      <c r="K56" s="668">
        <v>3182.9</v>
      </c>
      <c r="L56" s="703">
        <v>4</v>
      </c>
      <c r="M56" s="667" t="s">
        <v>69</v>
      </c>
      <c r="N56" s="668">
        <v>64407</v>
      </c>
      <c r="O56" s="703">
        <v>4</v>
      </c>
      <c r="P56" s="667" t="s">
        <v>0</v>
      </c>
      <c r="Q56" s="706" t="s">
        <v>0</v>
      </c>
      <c r="R56" s="703" t="s">
        <v>0</v>
      </c>
    </row>
    <row r="57" spans="1:18">
      <c r="A57" s="669" t="s">
        <v>60</v>
      </c>
      <c r="B57" s="702">
        <f>+'bphinfin     '!Q59</f>
        <v>-1.9E-3</v>
      </c>
      <c r="C57" s="703">
        <v>3</v>
      </c>
      <c r="D57" s="667" t="s">
        <v>69</v>
      </c>
      <c r="E57" s="702">
        <f>+scotiainfin!Q60</f>
        <v>-3.1099999999999999E-2</v>
      </c>
      <c r="F57" s="703">
        <v>3</v>
      </c>
      <c r="G57" s="667" t="s">
        <v>66</v>
      </c>
      <c r="H57" s="704">
        <v>0.74039999999999995</v>
      </c>
      <c r="I57" s="703">
        <v>5</v>
      </c>
      <c r="J57" s="667" t="s">
        <v>59</v>
      </c>
      <c r="K57" s="668">
        <v>2990.4</v>
      </c>
      <c r="L57" s="703">
        <v>5</v>
      </c>
      <c r="M57" s="667" t="s">
        <v>65</v>
      </c>
      <c r="N57" s="668">
        <v>51483.7</v>
      </c>
      <c r="O57" s="703">
        <v>5</v>
      </c>
      <c r="P57" s="667" t="s">
        <v>0</v>
      </c>
      <c r="Q57" s="706" t="s">
        <v>0</v>
      </c>
      <c r="R57" s="703" t="s">
        <v>0</v>
      </c>
    </row>
    <row r="58" spans="1:18">
      <c r="A58" s="669" t="s">
        <v>67</v>
      </c>
      <c r="B58" s="702">
        <f>+sgbelinfin!Q58</f>
        <v>1.1299999999999999E-2</v>
      </c>
      <c r="C58" s="703">
        <v>4</v>
      </c>
      <c r="D58" s="667" t="s">
        <v>64</v>
      </c>
      <c r="E58" s="702">
        <f>+'sogebkinfin  '!Q60</f>
        <v>0.12529999999999999</v>
      </c>
      <c r="F58" s="703">
        <v>4</v>
      </c>
      <c r="G58" s="667" t="s">
        <v>60</v>
      </c>
      <c r="H58" s="704">
        <v>0.80800000000000005</v>
      </c>
      <c r="I58" s="703">
        <v>6</v>
      </c>
      <c r="J58" s="667" t="s">
        <v>61</v>
      </c>
      <c r="K58" s="668">
        <v>2845.4</v>
      </c>
      <c r="L58" s="703">
        <v>6</v>
      </c>
      <c r="M58" s="667" t="s">
        <v>64</v>
      </c>
      <c r="N58" s="668">
        <v>35708.9</v>
      </c>
      <c r="O58" s="703">
        <v>6</v>
      </c>
      <c r="P58" s="667" t="s">
        <v>0</v>
      </c>
      <c r="Q58" s="706" t="s">
        <v>0</v>
      </c>
      <c r="R58" s="703" t="s">
        <v>0</v>
      </c>
    </row>
    <row r="59" spans="1:18">
      <c r="A59" s="669" t="s">
        <v>69</v>
      </c>
      <c r="B59" s="702">
        <f>+scotiainfin!Q58</f>
        <v>-1.2999999999999999E-3</v>
      </c>
      <c r="C59" s="703">
        <v>5</v>
      </c>
      <c r="D59" s="667" t="s">
        <v>62</v>
      </c>
      <c r="E59" s="702" t="e">
        <f>+#REF!</f>
        <v>#REF!</v>
      </c>
      <c r="F59" s="703">
        <v>5</v>
      </c>
      <c r="G59" s="667" t="s">
        <v>61</v>
      </c>
      <c r="H59" s="704">
        <v>0.81159999999999999</v>
      </c>
      <c r="I59" s="703">
        <v>7</v>
      </c>
      <c r="J59" s="667" t="s">
        <v>64</v>
      </c>
      <c r="K59" s="668">
        <v>2108.4</v>
      </c>
      <c r="L59" s="703">
        <v>7</v>
      </c>
      <c r="M59" s="667" t="s">
        <v>66</v>
      </c>
      <c r="N59" s="668">
        <v>21414.799999999999</v>
      </c>
      <c r="O59" s="703">
        <v>7</v>
      </c>
      <c r="P59" s="667" t="s">
        <v>0</v>
      </c>
      <c r="Q59" s="706" t="s">
        <v>0</v>
      </c>
      <c r="R59" s="703" t="s">
        <v>0</v>
      </c>
    </row>
    <row r="60" spans="1:18">
      <c r="A60" s="669" t="s">
        <v>64</v>
      </c>
      <c r="B60" s="702">
        <f>+'sogebkinfin  '!Q58</f>
        <v>9.1000000000000004E-3</v>
      </c>
      <c r="C60" s="703">
        <v>6</v>
      </c>
      <c r="D60" s="667" t="s">
        <v>68</v>
      </c>
      <c r="E60" s="702">
        <f>+cbnainfin!Q60</f>
        <v>0.45710000000000001</v>
      </c>
      <c r="F60" s="703">
        <v>6</v>
      </c>
      <c r="G60" s="667" t="s">
        <v>68</v>
      </c>
      <c r="H60" s="704">
        <v>0.91469999999999996</v>
      </c>
      <c r="I60" s="703">
        <v>8</v>
      </c>
      <c r="J60" s="667" t="s">
        <v>66</v>
      </c>
      <c r="K60" s="668">
        <v>2013.3</v>
      </c>
      <c r="L60" s="703">
        <v>8</v>
      </c>
      <c r="M60" s="667" t="s">
        <v>60</v>
      </c>
      <c r="N60" s="668">
        <v>19463.2</v>
      </c>
      <c r="O60" s="703">
        <v>8</v>
      </c>
      <c r="P60" s="667" t="s">
        <v>0</v>
      </c>
      <c r="Q60" s="705" t="s">
        <v>0</v>
      </c>
      <c r="R60" s="703" t="s">
        <v>0</v>
      </c>
    </row>
    <row r="61" spans="1:18">
      <c r="A61" s="669" t="s">
        <v>62</v>
      </c>
      <c r="B61" s="702" t="e">
        <f>+#REF!</f>
        <v>#REF!</v>
      </c>
      <c r="C61" s="703">
        <v>7</v>
      </c>
      <c r="D61" s="669" t="s">
        <v>67</v>
      </c>
      <c r="E61" s="702">
        <f>+sgbelinfin!Q60</f>
        <v>0.12330000000000001</v>
      </c>
      <c r="F61" s="703">
        <v>7</v>
      </c>
      <c r="G61" s="667" t="s">
        <v>69</v>
      </c>
      <c r="H61" s="704">
        <v>1.6944999999999999</v>
      </c>
      <c r="I61" s="703">
        <v>9</v>
      </c>
      <c r="J61" s="667" t="s">
        <v>60</v>
      </c>
      <c r="K61" s="668">
        <v>1132</v>
      </c>
      <c r="L61" s="703">
        <v>9</v>
      </c>
      <c r="M61" s="667" t="s">
        <v>61</v>
      </c>
      <c r="N61" s="668">
        <v>19229.5</v>
      </c>
      <c r="O61" s="703">
        <v>9</v>
      </c>
      <c r="P61" s="667" t="s">
        <v>0</v>
      </c>
      <c r="Q61" s="705" t="s">
        <v>0</v>
      </c>
      <c r="R61" s="703" t="s">
        <v>0</v>
      </c>
    </row>
    <row r="62" spans="1:18">
      <c r="A62" s="669" t="s">
        <v>65</v>
      </c>
      <c r="B62" s="702">
        <f>+unibkinfin!Q59</f>
        <v>2.7699999999999999E-2</v>
      </c>
      <c r="C62" s="703">
        <v>8</v>
      </c>
      <c r="D62" s="667" t="s">
        <v>65</v>
      </c>
      <c r="E62" s="702">
        <f>+unibkinfin!Q61</f>
        <v>0.30630000000000002</v>
      </c>
      <c r="F62" s="703">
        <v>8</v>
      </c>
      <c r="G62" s="667" t="s">
        <v>0</v>
      </c>
      <c r="H62" s="704" t="s">
        <v>0</v>
      </c>
      <c r="I62" s="703" t="s">
        <v>0</v>
      </c>
      <c r="K62" s="668" t="s">
        <v>0</v>
      </c>
      <c r="L62" s="703" t="s">
        <v>0</v>
      </c>
      <c r="N62" s="668" t="s">
        <v>0</v>
      </c>
      <c r="O62" s="703" t="s">
        <v>0</v>
      </c>
      <c r="P62" s="667" t="s">
        <v>0</v>
      </c>
      <c r="Q62" s="706" t="s">
        <v>0</v>
      </c>
      <c r="R62" s="703" t="s">
        <v>0</v>
      </c>
    </row>
    <row r="63" spans="1:18">
      <c r="A63" s="669" t="s">
        <v>66</v>
      </c>
      <c r="B63" s="702">
        <f>+'capitalbkinfin '!Q58</f>
        <v>2.1100000000000001E-2</v>
      </c>
      <c r="C63" s="703">
        <v>9</v>
      </c>
      <c r="D63" s="667" t="s">
        <v>66</v>
      </c>
      <c r="E63" s="702">
        <f>+'capitalbkinfin '!Q60</f>
        <v>0.24979999999999999</v>
      </c>
      <c r="F63" s="703">
        <v>9</v>
      </c>
      <c r="H63" s="704" t="s">
        <v>0</v>
      </c>
      <c r="I63" s="703" t="s">
        <v>0</v>
      </c>
      <c r="J63" s="667" t="s">
        <v>0</v>
      </c>
      <c r="K63" s="668" t="s">
        <v>0</v>
      </c>
      <c r="L63" s="703" t="s">
        <v>0</v>
      </c>
      <c r="N63" s="668" t="s">
        <v>0</v>
      </c>
      <c r="O63" s="703" t="s">
        <v>0</v>
      </c>
      <c r="P63" s="667" t="s">
        <v>0</v>
      </c>
      <c r="Q63" s="706" t="s">
        <v>0</v>
      </c>
      <c r="R63" s="703" t="s">
        <v>0</v>
      </c>
    </row>
    <row r="64" spans="1:18">
      <c r="A64" s="669" t="s">
        <v>63</v>
      </c>
      <c r="B64" s="702" t="e">
        <f>+#REF!</f>
        <v>#REF!</v>
      </c>
      <c r="C64" s="703">
        <v>10</v>
      </c>
      <c r="D64" s="667" t="s">
        <v>61</v>
      </c>
      <c r="E64" s="702">
        <f>+buhinfin!Q60</f>
        <v>4.53E-2</v>
      </c>
      <c r="F64" s="703">
        <v>10</v>
      </c>
      <c r="G64" s="667" t="s">
        <v>0</v>
      </c>
      <c r="H64" s="704" t="s">
        <v>0</v>
      </c>
      <c r="I64" s="703" t="s">
        <v>0</v>
      </c>
      <c r="K64" s="668" t="s">
        <v>0</v>
      </c>
      <c r="L64" s="703" t="s">
        <v>0</v>
      </c>
      <c r="N64" s="668" t="s">
        <v>0</v>
      </c>
      <c r="O64" s="703" t="s">
        <v>0</v>
      </c>
      <c r="P64" s="667" t="s">
        <v>0</v>
      </c>
      <c r="Q64" s="706" t="s">
        <v>0</v>
      </c>
      <c r="R64" s="703" t="s">
        <v>0</v>
      </c>
    </row>
    <row r="65" spans="1:18">
      <c r="A65" s="669" t="s">
        <v>61</v>
      </c>
      <c r="B65" s="702">
        <f>+buhinfin!Q58</f>
        <v>2.0999999999999999E-3</v>
      </c>
      <c r="C65" s="703">
        <v>11</v>
      </c>
      <c r="D65" s="667" t="s">
        <v>63</v>
      </c>
      <c r="E65" s="702" t="e">
        <f>+#REF!</f>
        <v>#REF!</v>
      </c>
      <c r="F65" s="703">
        <v>11</v>
      </c>
      <c r="J65" s="667" t="s">
        <v>0</v>
      </c>
      <c r="K65" s="668" t="s">
        <v>0</v>
      </c>
      <c r="P65" s="667" t="s">
        <v>0</v>
      </c>
      <c r="Q65" s="706" t="s">
        <v>0</v>
      </c>
      <c r="R65" s="703" t="s">
        <v>0</v>
      </c>
    </row>
    <row r="66" spans="1:18">
      <c r="A66" s="669" t="s">
        <v>251</v>
      </c>
      <c r="B66" s="702" t="e">
        <f>+#REF!</f>
        <v>#REF!</v>
      </c>
      <c r="C66" s="703">
        <v>12</v>
      </c>
      <c r="D66" s="669" t="s">
        <v>58</v>
      </c>
      <c r="E66" s="702" t="e">
        <f>+#REF!</f>
        <v>#REF!</v>
      </c>
      <c r="F66" s="703">
        <v>12</v>
      </c>
      <c r="G66" s="691" t="s">
        <v>0</v>
      </c>
      <c r="H66" s="692" t="s">
        <v>0</v>
      </c>
      <c r="I66" s="692" t="s">
        <v>0</v>
      </c>
      <c r="J66" s="691" t="s">
        <v>0</v>
      </c>
      <c r="K66" s="692" t="s">
        <v>0</v>
      </c>
      <c r="L66" t="s">
        <v>0</v>
      </c>
      <c r="M66" t="s">
        <v>0</v>
      </c>
      <c r="N66" t="s">
        <v>0</v>
      </c>
      <c r="O66" t="s">
        <v>0</v>
      </c>
      <c r="P66" s="669" t="s">
        <v>0</v>
      </c>
      <c r="Q66" s="706" t="s">
        <v>0</v>
      </c>
      <c r="R66" s="703" t="s">
        <v>0</v>
      </c>
    </row>
    <row r="67" spans="1:18" ht="16.5" thickBot="1">
      <c r="A67" s="669" t="s">
        <v>58</v>
      </c>
      <c r="B67" s="702" t="e">
        <f>+#REF!</f>
        <v>#REF!</v>
      </c>
      <c r="C67" s="703">
        <v>13</v>
      </c>
      <c r="D67" s="667" t="s">
        <v>251</v>
      </c>
      <c r="E67" s="702" t="e">
        <f>+#REF!</f>
        <v>#REF!</v>
      </c>
      <c r="F67" s="703">
        <v>13</v>
      </c>
      <c r="G67" s="688"/>
      <c r="H67" s="688"/>
      <c r="I67" s="688"/>
      <c r="J67" s="688" t="s">
        <v>0</v>
      </c>
      <c r="K67" s="688"/>
      <c r="L67" s="25"/>
      <c r="M67" s="25"/>
      <c r="N67" s="25"/>
      <c r="O67" s="25"/>
      <c r="P67" t="s">
        <v>0</v>
      </c>
    </row>
    <row r="68" spans="1:18">
      <c r="E68" s="690"/>
      <c r="P68" t="s">
        <v>0</v>
      </c>
    </row>
    <row r="69" spans="1:18">
      <c r="A69" s="4" t="s">
        <v>0</v>
      </c>
      <c r="B69" s="612" t="s">
        <v>0</v>
      </c>
      <c r="C69" s="612" t="s">
        <v>0</v>
      </c>
      <c r="D69" s="691" t="s">
        <v>0</v>
      </c>
      <c r="E69" s="692" t="s">
        <v>0</v>
      </c>
      <c r="F69" s="692" t="s">
        <v>0</v>
      </c>
      <c r="K69" s="696" t="s">
        <v>0</v>
      </c>
      <c r="P69" s="26"/>
      <c r="Q69" s="26"/>
      <c r="R69" s="26"/>
    </row>
    <row r="70" spans="1:18" ht="16.5" thickBot="1">
      <c r="A70" s="169" t="s">
        <v>0</v>
      </c>
      <c r="B70" s="190" t="s">
        <v>0</v>
      </c>
      <c r="C70" s="190"/>
      <c r="D70" s="688"/>
      <c r="E70" s="688"/>
      <c r="F70" s="688"/>
    </row>
    <row r="72" spans="1:18">
      <c r="A72" s="644" t="s">
        <v>142</v>
      </c>
      <c r="K72" s="697" t="s">
        <v>0</v>
      </c>
    </row>
    <row r="73" spans="1:18">
      <c r="A73" s="11" t="s">
        <v>0</v>
      </c>
    </row>
    <row r="74" spans="1:18">
      <c r="K74" s="697" t="s">
        <v>0</v>
      </c>
    </row>
  </sheetData>
  <sortState ref="M12:N20">
    <sortCondition descending="1" ref="N12:N20"/>
  </sortState>
  <mergeCells count="10">
    <mergeCell ref="H27:L27"/>
    <mergeCell ref="H49:L49"/>
    <mergeCell ref="A1:O1"/>
    <mergeCell ref="A2:O2"/>
    <mergeCell ref="A3:O3"/>
    <mergeCell ref="A4:O4"/>
    <mergeCell ref="N27:O27"/>
    <mergeCell ref="N49:O49"/>
    <mergeCell ref="H7:L7"/>
    <mergeCell ref="N7:O7"/>
  </mergeCells>
  <phoneticPr fontId="0" type="noConversion"/>
  <printOptions horizontalCentered="1"/>
  <pageMargins left="0.9" right="0.23" top="0.65" bottom="0.38" header="0.54" footer="0.21"/>
  <pageSetup scale="50" orientation="landscape" r:id="rId1"/>
  <headerFooter alignWithMargins="0">
    <oddFooter>&amp;R&amp;16&amp;P</oddFooter>
  </headerFooter>
</worksheet>
</file>

<file path=xl/worksheets/sheet33.xml><?xml version="1.0" encoding="utf-8"?>
<worksheet xmlns="http://schemas.openxmlformats.org/spreadsheetml/2006/main" xmlns:r="http://schemas.openxmlformats.org/officeDocument/2006/relationships">
  <sheetPr>
    <pageSetUpPr fitToPage="1"/>
  </sheetPr>
  <dimension ref="A1:U154"/>
  <sheetViews>
    <sheetView topLeftCell="A6" workbookViewId="0">
      <pane xSplit="1" ySplit="2"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3.25" customWidth="1"/>
    <col min="2" max="2" width="17.375" style="20" customWidth="1"/>
    <col min="3" max="3" width="12" style="21" customWidth="1"/>
    <col min="4" max="4" width="15.75" style="20" customWidth="1"/>
    <col min="5" max="5" width="11.5" style="21" customWidth="1"/>
    <col min="6" max="6" width="15.75" style="20" customWidth="1"/>
    <col min="7" max="7" width="12" style="21" customWidth="1"/>
    <col min="8" max="8" width="15.75" style="20" customWidth="1"/>
    <col min="9" max="9" width="12.8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ht="16.5" thickBot="1">
      <c r="A1" s="111" t="s">
        <v>253</v>
      </c>
      <c r="J1" s="203" t="s">
        <v>998</v>
      </c>
      <c r="L1" s="203" t="s">
        <v>902</v>
      </c>
      <c r="N1" s="205" t="s">
        <v>811</v>
      </c>
      <c r="P1" s="205" t="s">
        <v>769</v>
      </c>
    </row>
    <row r="2" spans="1:21">
      <c r="A2" s="111" t="s">
        <v>192</v>
      </c>
      <c r="B2" s="42"/>
      <c r="C2" s="43"/>
      <c r="D2" s="42"/>
      <c r="E2" s="43"/>
      <c r="F2" s="42"/>
      <c r="G2" s="43"/>
      <c r="H2" s="42"/>
      <c r="I2" s="43"/>
      <c r="J2" s="42"/>
      <c r="K2" s="43"/>
      <c r="L2" s="42"/>
      <c r="M2" s="43"/>
      <c r="N2" s="42"/>
      <c r="O2" s="43"/>
      <c r="P2" s="42"/>
    </row>
    <row r="3" spans="1:21">
      <c r="A3" s="111" t="s">
        <v>193</v>
      </c>
      <c r="B3" s="42"/>
      <c r="C3" s="43"/>
      <c r="D3" s="42"/>
      <c r="E3" s="43"/>
      <c r="F3" s="42"/>
      <c r="G3" s="43"/>
      <c r="H3" s="42"/>
      <c r="I3" s="43"/>
      <c r="J3" s="42"/>
      <c r="K3" s="43"/>
      <c r="L3" s="42"/>
      <c r="M3" s="43"/>
      <c r="N3" s="42"/>
      <c r="O3" s="43"/>
      <c r="P3" s="42"/>
    </row>
    <row r="4" spans="1:21">
      <c r="A4" s="111" t="s">
        <v>254</v>
      </c>
      <c r="B4" s="42"/>
      <c r="C4" s="43"/>
      <c r="D4" s="42"/>
      <c r="E4" s="43"/>
      <c r="F4" s="42"/>
      <c r="G4" s="43"/>
      <c r="H4" s="42"/>
      <c r="I4" s="43"/>
      <c r="J4" s="42"/>
      <c r="K4" s="43"/>
      <c r="L4" s="42"/>
      <c r="M4" s="43"/>
      <c r="N4" s="42"/>
      <c r="O4" s="43"/>
      <c r="P4" s="42"/>
    </row>
    <row r="5" spans="1:21">
      <c r="A5" s="111" t="s">
        <v>198</v>
      </c>
      <c r="B5" s="42"/>
      <c r="C5" s="43"/>
      <c r="D5" s="42"/>
      <c r="E5" s="43"/>
      <c r="F5" s="42"/>
      <c r="G5" s="43"/>
      <c r="H5" s="42"/>
      <c r="I5" s="43"/>
      <c r="J5" s="42"/>
      <c r="K5" s="43"/>
      <c r="L5" s="42"/>
      <c r="M5" s="43"/>
      <c r="N5" s="42"/>
      <c r="O5" s="43"/>
      <c r="P5" s="42"/>
    </row>
    <row r="6" spans="1:21" ht="16.5" thickBot="1">
      <c r="B6" s="216" t="s">
        <v>0</v>
      </c>
      <c r="C6" s="195"/>
      <c r="D6" s="196"/>
      <c r="E6" s="195"/>
      <c r="F6" s="196"/>
      <c r="G6" s="195"/>
      <c r="H6" s="196"/>
      <c r="I6" s="402" t="str">
        <f>+sofiinfisys!I5</f>
        <v>Var. déc. 14</v>
      </c>
      <c r="J6" s="118" t="s">
        <v>195</v>
      </c>
      <c r="K6" s="43"/>
      <c r="L6" s="42"/>
      <c r="M6" s="43"/>
      <c r="N6" s="42"/>
      <c r="O6" s="43"/>
      <c r="P6" s="42"/>
    </row>
    <row r="7" spans="1:21" ht="16.5" thickBot="1">
      <c r="B7" s="200" t="str">
        <f>+sofiinfisys!B6</f>
        <v>Déc. 14</v>
      </c>
      <c r="C7" s="201" t="s">
        <v>196</v>
      </c>
      <c r="D7" s="202" t="str">
        <f>+sofiinfisys!D6</f>
        <v>Mars 15</v>
      </c>
      <c r="E7" s="202" t="str">
        <f>+sofiinfisys!E6</f>
        <v>Var.</v>
      </c>
      <c r="F7" s="202" t="str">
        <f>+sofiinfisys!F6</f>
        <v>Juin 15</v>
      </c>
      <c r="G7" s="202" t="str">
        <f>+sofiinfisys!G6</f>
        <v>Var.</v>
      </c>
      <c r="H7" s="202" t="str">
        <f>+sofiinfisys!H6</f>
        <v>Sept. 15</v>
      </c>
      <c r="I7" s="202" t="str">
        <f>+sofiinfisys!I6</f>
        <v>/sept. 14</v>
      </c>
      <c r="J7" s="205" t="str">
        <f>+sofiinfisys!J6</f>
        <v>2014</v>
      </c>
      <c r="K7" s="205" t="str">
        <f>+sofiinfisys!K6</f>
        <v>Var.</v>
      </c>
      <c r="L7" s="205" t="str">
        <f>+sofiinfisys!L6</f>
        <v>2013</v>
      </c>
      <c r="M7" s="205" t="str">
        <f>+sofiinfisys!M6</f>
        <v>Var.</v>
      </c>
      <c r="N7" s="205" t="str">
        <f>+sofiinfisys!N6</f>
        <v>2012</v>
      </c>
      <c r="O7" s="205" t="str">
        <f>+sofiinfisys!O6</f>
        <v>Var.</v>
      </c>
      <c r="P7" s="205" t="str">
        <f>+sofiinfisys!P6</f>
        <v>2011</v>
      </c>
      <c r="Q7" s="22"/>
      <c r="R7" s="22"/>
      <c r="S7" s="17"/>
      <c r="T7" s="17"/>
      <c r="U7" s="17"/>
    </row>
    <row r="8" spans="1:21">
      <c r="A8" s="86" t="s">
        <v>244</v>
      </c>
      <c r="B8" s="120"/>
      <c r="C8" s="119"/>
      <c r="D8" s="197"/>
      <c r="E8" s="119"/>
      <c r="F8" s="197"/>
      <c r="G8" s="119"/>
      <c r="H8" s="197"/>
      <c r="I8" s="119"/>
      <c r="J8" s="198"/>
      <c r="K8" s="119"/>
      <c r="L8" s="197"/>
      <c r="M8" s="119"/>
      <c r="N8" s="197"/>
      <c r="O8" s="119"/>
      <c r="P8" s="197"/>
      <c r="Q8" s="22"/>
      <c r="R8" s="22"/>
      <c r="S8" s="17"/>
      <c r="T8" s="17"/>
      <c r="U8" s="17"/>
    </row>
    <row r="9" spans="1:21">
      <c r="A9" s="10" t="s">
        <v>255</v>
      </c>
      <c r="B9" t="s">
        <v>0</v>
      </c>
    </row>
    <row r="10" spans="1:21">
      <c r="A10" s="10" t="s">
        <v>256</v>
      </c>
      <c r="B10" s="81">
        <f>+scotiavar!B10+cbnavar!B10+sgbelvar!B10+capitalbkvar!B10+unibkvar!B10+bphvar!B10+sogebkvar!B10+bncvar!B10+buhvar!B10</f>
        <v>9932553.3570258524</v>
      </c>
      <c r="C10" s="321">
        <v>0</v>
      </c>
      <c r="D10" s="81">
        <f>+scotiavar!D10+cbnavar!D10+sgbelvar!D10+capitalbkvar!D10+unibkvar!D10+bphvar!D10+sogebkvar!D10+bncvar!D10+buhvar!D10</f>
        <v>0</v>
      </c>
      <c r="E10" s="321">
        <v>0</v>
      </c>
      <c r="F10" s="81">
        <f>+scotiavar!F10+cbnavar!F10+sgbelvar!F10+capitalbkvar!F10+unibkvar!F10+bphvar!F10+sogebkvar!F10+bncvar!F10+buhvar!F10</f>
        <v>0</v>
      </c>
      <c r="G10" s="321">
        <v>0</v>
      </c>
      <c r="H10" s="81">
        <f>+scotiavar!H10+cbnavar!H10+sgbelvar!H10+capitalbkvar!H10+unibkvar!H10+bphvar!H10+sogebkvar!H10+bncvar!H10+buhvar!H10</f>
        <v>0</v>
      </c>
      <c r="I10" s="999">
        <f t="shared" ref="I10:I15" si="0">+(B10-J10)/ABS(J10)</f>
        <v>0.24199061748844036</v>
      </c>
      <c r="J10" s="81">
        <f>+scotiavar!J10+cbnavar!J10+sgbelvar!J10+capitalbkvar!J10+unibkvar!J10+bphvar!J10+sogebkvar!J10+bncvar!J10+buhvar!J10</f>
        <v>7997285.3394911401</v>
      </c>
      <c r="K10" s="999">
        <f t="shared" ref="K10:K15" si="1">+(J10-L10)/ABS(L10)</f>
        <v>0.28360141041728515</v>
      </c>
      <c r="L10" s="81">
        <f>+scotiavar!L10+cbnavar!L10+sgbelvar!L10+capitalbkvar!L10+unibkvar!L10+bphvar!L10+sogebkvar!L10+bncvar!L10+buhvar!L10</f>
        <v>6230349.448503105</v>
      </c>
      <c r="M10" s="999">
        <f t="shared" ref="M10:M15" si="2">+(L10-N10)/ABS(N10)</f>
        <v>0.23091167925507797</v>
      </c>
      <c r="N10" s="81">
        <f>+scotiavar!N10+cbnavar!N10+sgbelvar!N10+capitalbkvar!N10+unibkvar!N10+bphvar!N10+sogebkvar!N10+bncvar!N10+buhvar!N10</f>
        <v>5061573.1035012864</v>
      </c>
      <c r="O10" s="999">
        <f t="shared" ref="O10:O15" si="3">+(N10-P10)/ABS(P10)</f>
        <v>0.16586794908598779</v>
      </c>
      <c r="P10" s="81">
        <f>+scotiavar!P10+cbnavar!P10+sgbelvar!P10+capitalbkvar!P10+unibkvar!P10+bphvar!P10+sogebkvar!P10+bncvar!P10+buhvar!P10</f>
        <v>4341463.4628813984</v>
      </c>
    </row>
    <row r="11" spans="1:21">
      <c r="A11" s="10" t="s">
        <v>257</v>
      </c>
      <c r="B11" s="81">
        <f>+scotiavar!B11+cbnavar!B11+sgbelvar!B11+capitalbkvar!B11+unibkvar!B11+bphvar!B11+sogebkvar!B11+bncvar!B11+buhvar!B11</f>
        <v>53570133.591419749</v>
      </c>
      <c r="C11" s="321">
        <v>0</v>
      </c>
      <c r="D11" s="81">
        <f>+scotiavar!D11+cbnavar!D11+sgbelvar!D11+capitalbkvar!D11+unibkvar!D11+bphvar!D11+sogebkvar!D11+bncvar!D11+buhvar!D11</f>
        <v>0</v>
      </c>
      <c r="E11" s="321">
        <v>0</v>
      </c>
      <c r="F11" s="81">
        <f>+scotiavar!F11+cbnavar!F11+sgbelvar!F11+capitalbkvar!F11+unibkvar!F11+bphvar!F11+sogebkvar!F11+bncvar!F11+buhvar!F11</f>
        <v>0</v>
      </c>
      <c r="G11" s="321">
        <v>0</v>
      </c>
      <c r="H11" s="81">
        <f>+scotiavar!H11+cbnavar!H11+sgbelvar!H11+capitalbkvar!H11+unibkvar!H11+bphvar!H11+sogebkvar!H11+bncvar!H11+buhvar!H11</f>
        <v>0</v>
      </c>
      <c r="I11" s="999">
        <f t="shared" si="0"/>
        <v>-2.8671709097034349E-2</v>
      </c>
      <c r="J11" s="81">
        <f>+scotiavar!J11+cbnavar!J11+sgbelvar!J11+capitalbkvar!J11+unibkvar!J11+bphvar!J11+sogebkvar!J11+bncvar!J11+buhvar!J11</f>
        <v>55151419.034258656</v>
      </c>
      <c r="K11" s="999">
        <f t="shared" si="1"/>
        <v>5.8545513414285787E-2</v>
      </c>
      <c r="L11" s="81">
        <f>+scotiavar!L11+cbnavar!L11+sgbelvar!L11+capitalbkvar!L11+unibkvar!L11+bphvar!L11+sogebkvar!L11+bncvar!L11+buhvar!L11</f>
        <v>52101131.538851365</v>
      </c>
      <c r="M11" s="999">
        <f t="shared" si="2"/>
        <v>-3.8980006731389849E-2</v>
      </c>
      <c r="N11" s="81">
        <f>+scotiavar!N11+cbnavar!N11+sgbelvar!N11+capitalbkvar!N11+unibkvar!N11+bphvar!N11+sogebkvar!N11+bncvar!N11+buhvar!N11</f>
        <v>54214409.589591987</v>
      </c>
      <c r="O11" s="999">
        <f t="shared" si="3"/>
        <v>6.8258424360397599E-2</v>
      </c>
      <c r="P11" s="81">
        <f>+scotiavar!P11+cbnavar!P11+sgbelvar!P11+capitalbkvar!P11+unibkvar!P11+bphvar!P11+sogebkvar!P11+bncvar!P11+buhvar!P11</f>
        <v>50750275.732252695</v>
      </c>
    </row>
    <row r="12" spans="1:21">
      <c r="A12" s="10" t="s">
        <v>258</v>
      </c>
      <c r="B12" s="81">
        <f>+scotiavar!B12+cbnavar!B12+sgbelvar!B12+capitalbkvar!B12+unibkvar!B12+bphvar!B12+sogebkvar!B12+bncvar!B12+buhvar!B12</f>
        <v>4771613.8671415038</v>
      </c>
      <c r="C12" s="321">
        <v>0</v>
      </c>
      <c r="D12" s="81">
        <f>+scotiavar!D12+cbnavar!D12+sgbelvar!D12+capitalbkvar!D12+unibkvar!D12+bphvar!D12+sogebkvar!D12+bncvar!D12+buhvar!D12</f>
        <v>0</v>
      </c>
      <c r="E12" s="321">
        <v>0</v>
      </c>
      <c r="F12" s="81">
        <f>+scotiavar!F12+cbnavar!F12+sgbelvar!F12+capitalbkvar!F12+unibkvar!F12+bphvar!F12+sogebkvar!F12+bncvar!F12+buhvar!F12</f>
        <v>0</v>
      </c>
      <c r="G12" s="321">
        <v>0</v>
      </c>
      <c r="H12" s="81">
        <f>+scotiavar!H12+cbnavar!H12+sgbelvar!H12+capitalbkvar!H12+unibkvar!H12+bphvar!H12+sogebkvar!H12+bncvar!H12+buhvar!H12</f>
        <v>0</v>
      </c>
      <c r="I12" s="999">
        <f t="shared" si="0"/>
        <v>-0.34265656502687936</v>
      </c>
      <c r="J12" s="81">
        <f>+scotiavar!J12+cbnavar!J12+sgbelvar!J12+capitalbkvar!J12+unibkvar!J12+bphvar!J12+sogebkvar!J12+bncvar!J12+buhvar!J12</f>
        <v>7258935.9127571108</v>
      </c>
      <c r="K12" s="999">
        <f t="shared" si="1"/>
        <v>0.16631313081311053</v>
      </c>
      <c r="L12" s="81">
        <f>+scotiavar!L12+cbnavar!L12+sgbelvar!L12+capitalbkvar!L12+unibkvar!L12+bphvar!L12+sogebkvar!L12+bncvar!L12+buhvar!L12</f>
        <v>6223831.0801632218</v>
      </c>
      <c r="M12" s="999">
        <f t="shared" si="2"/>
        <v>-0.23454976077718737</v>
      </c>
      <c r="N12" s="81">
        <f>+scotiavar!N12+cbnavar!N12+sgbelvar!N12+capitalbkvar!N12+unibkvar!N12+bphvar!N12+sogebkvar!N12+bncvar!N12+buhvar!N12</f>
        <v>8130941.4528140808</v>
      </c>
      <c r="O12" s="999">
        <f t="shared" si="3"/>
        <v>-0.29635563134088644</v>
      </c>
      <c r="P12" s="81">
        <f>+scotiavar!P12+cbnavar!P12+sgbelvar!P12+capitalbkvar!P12+unibkvar!P12+bphvar!P12+sogebkvar!P12+bncvar!P12+buhvar!P12</f>
        <v>11555470.085419221</v>
      </c>
    </row>
    <row r="13" spans="1:21">
      <c r="A13" s="10" t="s">
        <v>259</v>
      </c>
      <c r="B13" s="81">
        <f>+scotiavar!B13+cbnavar!B13+sgbelvar!B13+capitalbkvar!B13+unibkvar!B13+bphvar!B13+sogebkvar!B13+bncvar!B13+buhvar!B13</f>
        <v>1954192.8783900484</v>
      </c>
      <c r="C13" s="321">
        <v>0</v>
      </c>
      <c r="D13" s="81">
        <f>+scotiavar!D13+cbnavar!D13+sgbelvar!D13+capitalbkvar!D13+unibkvar!D13+bphvar!D13+sogebkvar!D13+bncvar!D13+buhvar!D13</f>
        <v>0</v>
      </c>
      <c r="E13" s="321">
        <v>0</v>
      </c>
      <c r="F13" s="81">
        <f>+scotiavar!F13+cbnavar!F13+sgbelvar!F13+capitalbkvar!F13+unibkvar!F13+bphvar!F13+sogebkvar!F13+bncvar!F13+buhvar!F13</f>
        <v>0</v>
      </c>
      <c r="G13" s="321">
        <v>0</v>
      </c>
      <c r="H13" s="81">
        <f>+scotiavar!H13+cbnavar!H13+sgbelvar!H13+capitalbkvar!H13+unibkvar!H13+bphvar!H13+sogebkvar!H13+bncvar!H13+buhvar!H13</f>
        <v>0</v>
      </c>
      <c r="I13" s="999">
        <f t="shared" si="0"/>
        <v>0.16943802310597458</v>
      </c>
      <c r="J13" s="81">
        <f>+scotiavar!J13+cbnavar!J13+sgbelvar!J13+capitalbkvar!J13+unibkvar!J13+bphvar!J13+sogebkvar!J13+bncvar!J13+buhvar!J13</f>
        <v>1671052.9671335642</v>
      </c>
      <c r="K13" s="999">
        <f t="shared" si="1"/>
        <v>0.43701189511342681</v>
      </c>
      <c r="L13" s="81">
        <f>+scotiavar!L13+cbnavar!L13+sgbelvar!L13+capitalbkvar!L13+unibkvar!L13+bphvar!L13+sogebkvar!L13+bncvar!L13+buhvar!L13</f>
        <v>1162866.482049311</v>
      </c>
      <c r="M13" s="999">
        <f t="shared" si="2"/>
        <v>-0.33526824756488172</v>
      </c>
      <c r="N13" s="81">
        <f>+scotiavar!N13+cbnavar!N13+sgbelvar!N13+capitalbkvar!N13+unibkvar!N13+bphvar!N13+sogebkvar!N13+bncvar!N13+buhvar!N13</f>
        <v>1749377.0649429201</v>
      </c>
      <c r="O13" s="999">
        <f t="shared" si="3"/>
        <v>-1.6952302464696579E-2</v>
      </c>
      <c r="P13" s="81">
        <f>+scotiavar!P13+cbnavar!P13+sgbelvar!P13+capitalbkvar!P13+unibkvar!P13+bphvar!P13+sogebkvar!P13+bncvar!P13+buhvar!P13</f>
        <v>1779544.440548467</v>
      </c>
    </row>
    <row r="14" spans="1:21">
      <c r="A14" s="10" t="s">
        <v>260</v>
      </c>
      <c r="B14" s="217">
        <f>+scotiavar!B14+cbnavar!B14+sgbelvar!B14+capitalbkvar!B14+unibkvar!B14+bphvar!B14+sogebkvar!B14+bncvar!B14+buhvar!B14</f>
        <v>1075726.7206573209</v>
      </c>
      <c r="C14" s="321">
        <v>0</v>
      </c>
      <c r="D14" s="217">
        <f>+scotiavar!D14+cbnavar!D14+sgbelvar!D14+capitalbkvar!D14+unibkvar!D14+bphvar!D14+sogebkvar!D14+bncvar!D14+buhvar!D14</f>
        <v>0</v>
      </c>
      <c r="E14" s="321">
        <v>0</v>
      </c>
      <c r="F14" s="217">
        <f>+scotiavar!F14+cbnavar!F14+sgbelvar!F14+capitalbkvar!F14+unibkvar!F14+bphvar!F14+sogebkvar!F14+bncvar!F14+buhvar!F14</f>
        <v>0</v>
      </c>
      <c r="G14" s="321">
        <v>0</v>
      </c>
      <c r="H14" s="217">
        <f>+scotiavar!H14+cbnavar!H14+sgbelvar!H14+capitalbkvar!H14+unibkvar!H14+bphvar!H14+sogebkvar!H14+bncvar!H14+buhvar!H14</f>
        <v>0</v>
      </c>
      <c r="I14" s="999">
        <f t="shared" si="0"/>
        <v>-0.13641804488720824</v>
      </c>
      <c r="J14" s="217">
        <f>+scotiavar!J14+cbnavar!J14+sgbelvar!J14+capitalbkvar!J14+unibkvar!J14+bphvar!J14+sogebkvar!J14+bncvar!J14+buhvar!J14</f>
        <v>1245656.783688609</v>
      </c>
      <c r="K14" s="999">
        <f t="shared" si="1"/>
        <v>-0.1397176028352157</v>
      </c>
      <c r="L14" s="217">
        <f>+scotiavar!L14+cbnavar!L14+sgbelvar!L14+capitalbkvar!L14+unibkvar!L14+bphvar!L14+sogebkvar!L14+bncvar!L14+buhvar!L14</f>
        <v>1447962.6548141581</v>
      </c>
      <c r="M14" s="999">
        <f t="shared" si="2"/>
        <v>-0.31950837298087675</v>
      </c>
      <c r="N14" s="217">
        <f>+scotiavar!N14+cbnavar!N14+sgbelvar!N14+capitalbkvar!N14+unibkvar!N14+bphvar!N14+sogebkvar!N14+bncvar!N14+buhvar!N14</f>
        <v>2127818.473177874</v>
      </c>
      <c r="O14" s="999">
        <f t="shared" si="3"/>
        <v>0.38610089054955665</v>
      </c>
      <c r="P14" s="217">
        <f>+scotiavar!P14+cbnavar!P14+sgbelvar!P14+capitalbkvar!P14+unibkvar!P14+bphvar!P14+sogebkvar!P14+bncvar!P14+buhvar!P14</f>
        <v>1535110.8189060059</v>
      </c>
    </row>
    <row r="15" spans="1:21" ht="15.6" customHeight="1">
      <c r="A15" s="10"/>
      <c r="B15" s="20">
        <f>SUM(B10:B14)</f>
        <v>71304220.414634466</v>
      </c>
      <c r="C15" s="321">
        <v>0</v>
      </c>
      <c r="D15" s="20">
        <f>SUM(D10:D14)</f>
        <v>0</v>
      </c>
      <c r="E15" s="321">
        <v>0</v>
      </c>
      <c r="F15" s="20">
        <f>SUM(F10:F14)</f>
        <v>0</v>
      </c>
      <c r="G15" s="321">
        <v>0</v>
      </c>
      <c r="H15" s="20">
        <f>SUM(H10:H14)</f>
        <v>0</v>
      </c>
      <c r="I15" s="999">
        <f t="shared" si="0"/>
        <v>-2.75505970617697E-2</v>
      </c>
      <c r="J15" s="20">
        <f>SUM(J10:J14)</f>
        <v>73324350.037329078</v>
      </c>
      <c r="K15" s="999">
        <f t="shared" si="1"/>
        <v>9.1686208594431162E-2</v>
      </c>
      <c r="L15" s="20">
        <f>SUM(L10:L14)</f>
        <v>67166141.204381168</v>
      </c>
      <c r="M15" s="999">
        <f t="shared" si="2"/>
        <v>-5.7768525414920217E-2</v>
      </c>
      <c r="N15" s="20">
        <f>SUM(N10:N14)</f>
        <v>71284119.684028164</v>
      </c>
      <c r="O15" s="999">
        <f t="shared" si="3"/>
        <v>1.889965558685518E-2</v>
      </c>
      <c r="P15" s="20">
        <f>SUM(P10:P14)</f>
        <v>69961864.5400078</v>
      </c>
    </row>
    <row r="16" spans="1:21" ht="7.9" customHeight="1">
      <c r="A16" s="10"/>
      <c r="C16" s="321" t="s">
        <v>0</v>
      </c>
      <c r="E16" s="321" t="s">
        <v>0</v>
      </c>
      <c r="G16" s="321" t="s">
        <v>0</v>
      </c>
      <c r="I16" s="1536" t="s">
        <v>0</v>
      </c>
      <c r="K16" s="999" t="s">
        <v>0</v>
      </c>
      <c r="M16" s="999" t="s">
        <v>0</v>
      </c>
      <c r="O16" s="999" t="s">
        <v>0</v>
      </c>
    </row>
    <row r="17" spans="1:16" ht="15.6" customHeight="1">
      <c r="A17" s="10" t="s">
        <v>261</v>
      </c>
      <c r="B17" s="81">
        <f>+scotiavar!B17+cbnavar!B17+sgbelvar!B17+capitalbkvar!B17+unibkvar!B17+bphvar!B17+sogebkvar!B17+bncvar!B17+buhvar!B17</f>
        <v>6608224</v>
      </c>
      <c r="C17" s="321">
        <v>0</v>
      </c>
      <c r="D17" s="81">
        <f>+scotiavar!D17+cbnavar!D17+sgbelvar!D17+capitalbkvar!D17+unibkvar!D17+bphvar!D17+sogebkvar!D17+bncvar!D17+buhvar!D17</f>
        <v>0</v>
      </c>
      <c r="E17" s="321">
        <v>0</v>
      </c>
      <c r="F17" s="81">
        <f>+scotiavar!F17+cbnavar!F17+sgbelvar!F17+capitalbkvar!F17+unibkvar!F17+bphvar!F17+sogebkvar!F17+bncvar!F17+buhvar!F17</f>
        <v>0</v>
      </c>
      <c r="G17" s="321">
        <v>0</v>
      </c>
      <c r="H17" s="81">
        <f>+scotiavar!H17+cbnavar!H17+sgbelvar!H17+capitalbkvar!H17+unibkvar!H17+bphvar!H17+sogebkvar!H17+bncvar!H17+buhvar!H17</f>
        <v>0</v>
      </c>
      <c r="I17" s="999">
        <f t="shared" ref="I17:I23" si="4">+(B17-J17)/ABS(J17)</f>
        <v>0.4657077489350801</v>
      </c>
      <c r="J17" s="81">
        <f>+scotiavar!J17+cbnavar!J17+sgbelvar!J17+capitalbkvar!J17+unibkvar!J17+bphvar!J17+sogebkvar!J17+bncvar!J17+buhvar!J17</f>
        <v>4508555</v>
      </c>
      <c r="K17" s="999">
        <f t="shared" ref="K17:K23" si="5">+(J17-L17)/ABS(L17)</f>
        <v>-0.24162045825178702</v>
      </c>
      <c r="L17" s="81">
        <f>+scotiavar!L17+cbnavar!L17+sgbelvar!L17+capitalbkvar!L17+unibkvar!L17+bphvar!L17+sogebkvar!L17+bncvar!L17+buhvar!L17</f>
        <v>5944985</v>
      </c>
      <c r="M17" s="999">
        <f t="shared" ref="M17:M23" si="6">+(L17-N17)/ABS(N17)</f>
        <v>-5.1754811461859465E-2</v>
      </c>
      <c r="N17" s="81">
        <f>+scotiavar!N17+cbnavar!N17+sgbelvar!N17+capitalbkvar!N17+unibkvar!N17+bphvar!N17+sogebkvar!N17+bncvar!N17+buhvar!N17</f>
        <v>6269459.7050000001</v>
      </c>
      <c r="O17" s="999">
        <f t="shared" ref="O17:O23" si="7">+(N17-P17)/ABS(P17)</f>
        <v>-9.2383910699243132E-3</v>
      </c>
      <c r="P17" s="81">
        <f>+scotiavar!P17+cbnavar!P17+sgbelvar!P17+capitalbkvar!P17+unibkvar!P17+bphvar!P17+sogebkvar!P17+bncvar!P17+buhvar!P17</f>
        <v>6327919.5</v>
      </c>
    </row>
    <row r="18" spans="1:16" ht="15.6" customHeight="1">
      <c r="A18" s="76" t="s">
        <v>909</v>
      </c>
      <c r="B18" s="81">
        <f>+scotiavar!B18+cbnavar!B18+sgbelvar!B18+capitalbkvar!B18+unibkvar!B18+bphvar!B18+sogebkvar!B18+bncvar!B18+buhvar!B18</f>
        <v>2875000</v>
      </c>
      <c r="C18" s="321">
        <v>0</v>
      </c>
      <c r="D18" s="81">
        <f>+scotiavar!D18+cbnavar!D18+sgbelvar!D18+capitalbkvar!D18+unibkvar!D18+bphvar!D18+sogebkvar!D18+bncvar!D18+buhvar!D18</f>
        <v>0</v>
      </c>
      <c r="E18" s="321">
        <v>0</v>
      </c>
      <c r="F18" s="81">
        <f>+scotiavar!F18+cbnavar!F18+sgbelvar!F18+capitalbkvar!F18+unibkvar!F18+bphvar!F18+sogebkvar!F18+bncvar!F18+buhvar!F18</f>
        <v>0</v>
      </c>
      <c r="G18" s="321">
        <v>0</v>
      </c>
      <c r="H18" s="81">
        <f>+scotiavar!H18+cbnavar!H18+sgbelvar!H18+capitalbkvar!H18+unibkvar!H18+bphvar!H18+sogebkvar!H18+bncvar!H18+buhvar!H18</f>
        <v>0</v>
      </c>
      <c r="I18" s="999">
        <f t="shared" si="4"/>
        <v>-0.25806451612903225</v>
      </c>
      <c r="J18" s="81">
        <f>+scotiavar!J18+cbnavar!J18+sgbelvar!J18+capitalbkvar!J18+unibkvar!J18+bphvar!J18+sogebkvar!J18+bncvar!J18+buhvar!J18</f>
        <v>3875000</v>
      </c>
      <c r="K18" s="321">
        <v>0</v>
      </c>
      <c r="L18" s="81">
        <v>0</v>
      </c>
      <c r="M18" s="321">
        <v>0</v>
      </c>
      <c r="N18" s="81">
        <v>0</v>
      </c>
      <c r="O18" s="321">
        <v>0</v>
      </c>
      <c r="P18" s="81">
        <v>0</v>
      </c>
    </row>
    <row r="19" spans="1:16">
      <c r="A19" s="10" t="s">
        <v>262</v>
      </c>
      <c r="B19" s="81">
        <f>+scotiavar!B19+cbnavar!B19+sgbelvar!B19+capitalbkvar!B19+unibkvar!B19+bphvar!B19+sogebkvar!B19+bncvar!B19+buhvar!B19</f>
        <v>31695053.010273736</v>
      </c>
      <c r="C19" s="321">
        <v>0</v>
      </c>
      <c r="D19" s="81">
        <f>+scotiavar!D19+cbnavar!D19+sgbelvar!D19+capitalbkvar!D19+unibkvar!D19+bphvar!D19+sogebkvar!D19+bncvar!D19+buhvar!D19</f>
        <v>0</v>
      </c>
      <c r="E19" s="321">
        <v>0</v>
      </c>
      <c r="F19" s="81">
        <f>+scotiavar!F19+cbnavar!F19+sgbelvar!F19+capitalbkvar!F19+unibkvar!F19+bphvar!F19+sogebkvar!F19+bncvar!F19+buhvar!F19</f>
        <v>0</v>
      </c>
      <c r="G19" s="321">
        <v>0</v>
      </c>
      <c r="H19" s="81">
        <f>+scotiavar!H19+cbnavar!H19+sgbelvar!H19+capitalbkvar!H19+unibkvar!H19+bphvar!H19+sogebkvar!H19+bncvar!H19+buhvar!H19</f>
        <v>0</v>
      </c>
      <c r="I19" s="999">
        <f t="shared" si="4"/>
        <v>-3.545078637678957E-2</v>
      </c>
      <c r="J19" s="81">
        <f>+scotiavar!J19+cbnavar!J19+sgbelvar!J19+capitalbkvar!J19+unibkvar!J19+bphvar!J19+sogebkvar!J19+bncvar!J19+buhvar!J19</f>
        <v>32859964.59549759</v>
      </c>
      <c r="K19" s="999">
        <f t="shared" si="5"/>
        <v>7.5543245088526473E-2</v>
      </c>
      <c r="L19" s="81">
        <f>+scotiavar!L19+cbnavar!L19+sgbelvar!L19+capitalbkvar!L19+unibkvar!L19+bphvar!L19+sogebkvar!L19+bncvar!L19+buhvar!L19</f>
        <v>30551969.663286697</v>
      </c>
      <c r="M19" s="999">
        <f t="shared" si="6"/>
        <v>7.6931507286327411E-3</v>
      </c>
      <c r="N19" s="81">
        <f>+scotiavar!N19+cbnavar!N19+sgbelvar!N19+capitalbkvar!N19+unibkvar!N19+bphvar!N19+sogebkvar!N19+bncvar!N19+buhvar!N19</f>
        <v>30318723.156146772</v>
      </c>
      <c r="O19" s="999">
        <f t="shared" si="7"/>
        <v>2.1983171598948723E-2</v>
      </c>
      <c r="P19" s="81">
        <f>+scotiavar!P19+cbnavar!P19+sgbelvar!P19+capitalbkvar!P19+unibkvar!P19+bphvar!P19+sogebkvar!P19+bncvar!P19+buhvar!P19</f>
        <v>29666558.118282385</v>
      </c>
    </row>
    <row r="20" spans="1:16">
      <c r="A20" s="10" t="s">
        <v>263</v>
      </c>
      <c r="B20" s="81">
        <f>+scotiavar!B20+cbnavar!B20+sgbelvar!B20+capitalbkvar!B20+unibkvar!B20+bphvar!B20+sogebkvar!B20+bncvar!B20+buhvar!B20</f>
        <v>69792588.755855486</v>
      </c>
      <c r="C20" s="321">
        <v>0</v>
      </c>
      <c r="D20" s="81">
        <f>+scotiavar!D20+cbnavar!D20+sgbelvar!D20+capitalbkvar!D20+unibkvar!D20+bphvar!D20+sogebkvar!D20+bncvar!D20+buhvar!D20</f>
        <v>0</v>
      </c>
      <c r="E20" s="321">
        <v>0</v>
      </c>
      <c r="F20" s="81">
        <f>+scotiavar!F20+cbnavar!F20+sgbelvar!F20+capitalbkvar!F20+unibkvar!F20+bphvar!F20+sogebkvar!F20+bncvar!F20+buhvar!F20</f>
        <v>0</v>
      </c>
      <c r="G20" s="321">
        <v>0</v>
      </c>
      <c r="H20" s="81">
        <f>+scotiavar!H20+cbnavar!H20+sgbelvar!H20+capitalbkvar!H20+unibkvar!H20+bphvar!H20+sogebkvar!H20+bncvar!H20+buhvar!H20</f>
        <v>0</v>
      </c>
      <c r="I20" s="999">
        <f t="shared" si="4"/>
        <v>2.3678246820488452E-2</v>
      </c>
      <c r="J20" s="81">
        <f>+scotiavar!J20+cbnavar!J20+sgbelvar!J20+capitalbkvar!J20+unibkvar!J20+bphvar!J20+sogebkvar!J20+bncvar!J20+buhvar!J20</f>
        <v>68178247.386450782</v>
      </c>
      <c r="K20" s="999">
        <f t="shared" si="5"/>
        <v>9.6713142649391959E-2</v>
      </c>
      <c r="L20" s="81">
        <f>+scotiavar!L20+cbnavar!L20+sgbelvar!L20+capitalbkvar!L20+unibkvar!L20+bphvar!L20+sogebkvar!L20+bncvar!L20+buhvar!L20</f>
        <v>62165980.086414151</v>
      </c>
      <c r="M20" s="999">
        <f t="shared" si="6"/>
        <v>0.19872312239453824</v>
      </c>
      <c r="N20" s="81">
        <f>+scotiavar!N20+cbnavar!N20+sgbelvar!N20+capitalbkvar!N20+unibkvar!N20+bphvar!N20+sogebkvar!N20+bncvar!N20+buhvar!N20</f>
        <v>51860165.975803487</v>
      </c>
      <c r="O20" s="999">
        <f t="shared" si="7"/>
        <v>0.34014931176481022</v>
      </c>
      <c r="P20" s="81">
        <f>+scotiavar!P20+cbnavar!P20+sgbelvar!P20+capitalbkvar!P20+unibkvar!P20+bphvar!P20+sogebkvar!P20+bncvar!P20+buhvar!P20</f>
        <v>38697304.487296335</v>
      </c>
    </row>
    <row r="21" spans="1:16">
      <c r="A21" s="10" t="s">
        <v>264</v>
      </c>
      <c r="B21" s="81">
        <f>+scotiavar!B21+cbnavar!B21+sgbelvar!B21+capitalbkvar!B21+unibkvar!B21+bphvar!B21+sogebkvar!B21+bncvar!B21+buhvar!B21</f>
        <v>6435815.63215</v>
      </c>
      <c r="C21" s="321">
        <v>0</v>
      </c>
      <c r="D21" s="81">
        <f>+scotiavar!D21+cbnavar!D21+sgbelvar!D21+capitalbkvar!D21+unibkvar!D21+bphvar!D21+sogebkvar!D21+bncvar!D21+buhvar!D21</f>
        <v>0</v>
      </c>
      <c r="E21" s="321">
        <v>0</v>
      </c>
      <c r="F21" s="81">
        <f>+scotiavar!F21+cbnavar!F21+sgbelvar!F21+capitalbkvar!F21+unibkvar!F21+bphvar!F21+sogebkvar!F21+bncvar!F21+buhvar!F21</f>
        <v>0</v>
      </c>
      <c r="G21" s="321">
        <v>0</v>
      </c>
      <c r="H21" s="81">
        <f>+scotiavar!H21+cbnavar!H21+sgbelvar!H21+capitalbkvar!H21+unibkvar!H21+bphvar!H21+sogebkvar!H21+bncvar!H21+buhvar!H21</f>
        <v>0</v>
      </c>
      <c r="I21" s="999">
        <f t="shared" si="4"/>
        <v>2.964037044733463E-2</v>
      </c>
      <c r="J21" s="81">
        <f>+scotiavar!J21+cbnavar!J21+sgbelvar!J21+capitalbkvar!J21+unibkvar!J21+bphvar!J21+sogebkvar!J21+bncvar!J21+buhvar!J21</f>
        <v>6250547.100589999</v>
      </c>
      <c r="K21" s="999">
        <f t="shared" si="5"/>
        <v>0.15426309227171525</v>
      </c>
      <c r="L21" s="81">
        <f>+scotiavar!L21+cbnavar!L21+sgbelvar!L21+capitalbkvar!L21+unibkvar!L21+bphvar!L21+sogebkvar!L21+bncvar!L21+buhvar!L21</f>
        <v>5415184.0619699992</v>
      </c>
      <c r="M21" s="999">
        <f t="shared" si="6"/>
        <v>9.4233127857143384E-2</v>
      </c>
      <c r="N21" s="81">
        <f>+scotiavar!N21+cbnavar!N21+sgbelvar!N21+capitalbkvar!N21+unibkvar!N21+bphvar!N21+sogebkvar!N21+bncvar!N21+buhvar!N21</f>
        <v>4948839.4420800004</v>
      </c>
      <c r="O21" s="999">
        <f t="shared" si="7"/>
        <v>0.13353848888361039</v>
      </c>
      <c r="P21" s="81">
        <f>+scotiavar!P21+cbnavar!P21+sgbelvar!P21+capitalbkvar!P21+unibkvar!P21+bphvar!P21+sogebkvar!P21+bncvar!P21+buhvar!P21</f>
        <v>4365832.7358199991</v>
      </c>
    </row>
    <row r="22" spans="1:16" ht="16.5" thickBot="1">
      <c r="A22" s="10" t="s">
        <v>265</v>
      </c>
      <c r="B22" s="79">
        <f>+scotiavar!B22+cbnavar!B22+sgbelvar!B22+capitalbkvar!B22+unibkvar!B22+bphvar!B22+sogebkvar!B22+bncvar!B22+buhvar!B22</f>
        <v>6089818.3251936156</v>
      </c>
      <c r="C22" s="321">
        <v>0</v>
      </c>
      <c r="D22" s="79">
        <f>+scotiavar!D22+cbnavar!D22+sgbelvar!D22+capitalbkvar!D22+unibkvar!D22+bphvar!D22+sogebkvar!D22+bncvar!D22+buhvar!D22</f>
        <v>0</v>
      </c>
      <c r="E22" s="321">
        <v>0</v>
      </c>
      <c r="F22" s="79">
        <f>+scotiavar!F22+cbnavar!F22+sgbelvar!F22+capitalbkvar!F22+unibkvar!F22+bphvar!F22+sogebkvar!F22+bncvar!F22+buhvar!F22</f>
        <v>0</v>
      </c>
      <c r="G22" s="321">
        <v>0</v>
      </c>
      <c r="H22" s="79">
        <f>+scotiavar!H22+cbnavar!H22+sgbelvar!H22+capitalbkvar!H22+unibkvar!H22+bphvar!H22+sogebkvar!H22+bncvar!H22+buhvar!H22</f>
        <v>0</v>
      </c>
      <c r="I22" s="999">
        <f t="shared" si="4"/>
        <v>0.10622780171356944</v>
      </c>
      <c r="J22" s="79">
        <f>+scotiavar!J22+cbnavar!J22+sgbelvar!J22+capitalbkvar!J22+unibkvar!J22+bphvar!J22+sogebkvar!J22+bncvar!J22+buhvar!J22</f>
        <v>5505030.9852639418</v>
      </c>
      <c r="K22" s="999">
        <f t="shared" si="5"/>
        <v>0.17433979818202336</v>
      </c>
      <c r="L22" s="79">
        <f>+scotiavar!L22+cbnavar!L22+sgbelvar!L22+capitalbkvar!L22+unibkvar!L22+bphvar!L22+sogebkvar!L22+bncvar!L22+buhvar!L22</f>
        <v>4687766.6871089544</v>
      </c>
      <c r="M22" s="999">
        <f t="shared" si="6"/>
        <v>-0.20200037640537807</v>
      </c>
      <c r="N22" s="79">
        <f>+scotiavar!N22+cbnavar!N22+sgbelvar!N22+capitalbkvar!N22+unibkvar!N22+bphvar!N22+sogebkvar!N22+bncvar!N22+buhvar!N22</f>
        <v>5874397.1156185735</v>
      </c>
      <c r="O22" s="999">
        <f t="shared" si="7"/>
        <v>0.18058756486529115</v>
      </c>
      <c r="P22" s="79">
        <f>+scotiavar!P22+cbnavar!P22+sgbelvar!P22+capitalbkvar!P22+unibkvar!P22+bphvar!P22+sogebkvar!P22+bncvar!P22+buhvar!P22</f>
        <v>4975824.9963346524</v>
      </c>
    </row>
    <row r="23" spans="1:16">
      <c r="A23" s="10" t="s">
        <v>54</v>
      </c>
      <c r="B23" s="13">
        <f>SUM(B15:B22)</f>
        <v>194800720.1381073</v>
      </c>
      <c r="C23" s="321">
        <v>0</v>
      </c>
      <c r="D23" s="13">
        <f>SUM(D15:D22)</f>
        <v>0</v>
      </c>
      <c r="E23" s="321">
        <v>0</v>
      </c>
      <c r="F23" s="13">
        <f>SUM(F15:F22)</f>
        <v>0</v>
      </c>
      <c r="G23" s="321">
        <v>0</v>
      </c>
      <c r="H23" s="13">
        <f>SUM(H15:H22)</f>
        <v>0</v>
      </c>
      <c r="I23" s="999">
        <f t="shared" si="4"/>
        <v>1.5373903698591631E-3</v>
      </c>
      <c r="J23" s="13">
        <f>SUM(J15:J22)</f>
        <v>194501695.10513139</v>
      </c>
      <c r="K23" s="1001">
        <f t="shared" si="5"/>
        <v>0.10555024431851653</v>
      </c>
      <c r="L23" s="13">
        <f>SUM(L15:L22)</f>
        <v>175932026.70316097</v>
      </c>
      <c r="M23" s="1001">
        <f t="shared" si="6"/>
        <v>3.1522379283670909E-2</v>
      </c>
      <c r="N23" s="13">
        <f>SUM(N15:N22)</f>
        <v>170555705.078677</v>
      </c>
      <c r="O23" s="1001">
        <f t="shared" si="7"/>
        <v>0.10753834844414593</v>
      </c>
      <c r="P23" s="13">
        <f>SUM(P15:P22)</f>
        <v>153995304.37774116</v>
      </c>
    </row>
    <row r="24" spans="1:16" ht="15.6" customHeight="1">
      <c r="A24" s="10"/>
      <c r="C24" s="321" t="s">
        <v>0</v>
      </c>
      <c r="E24" s="321" t="s">
        <v>0</v>
      </c>
      <c r="G24" s="321" t="s">
        <v>0</v>
      </c>
      <c r="I24" s="999" t="s">
        <v>0</v>
      </c>
      <c r="K24" s="999" t="s">
        <v>0</v>
      </c>
      <c r="M24" s="999" t="s">
        <v>0</v>
      </c>
      <c r="O24" s="999" t="s">
        <v>0</v>
      </c>
    </row>
    <row r="25" spans="1:16">
      <c r="A25" s="86" t="s">
        <v>266</v>
      </c>
      <c r="C25" s="321" t="s">
        <v>0</v>
      </c>
      <c r="E25" s="321" t="s">
        <v>0</v>
      </c>
      <c r="G25" s="321" t="s">
        <v>0</v>
      </c>
      <c r="I25" s="62"/>
      <c r="K25" s="999" t="s">
        <v>0</v>
      </c>
      <c r="M25" s="999" t="s">
        <v>0</v>
      </c>
      <c r="O25" s="999" t="s">
        <v>0</v>
      </c>
    </row>
    <row r="26" spans="1:16">
      <c r="A26" s="10" t="s">
        <v>267</v>
      </c>
      <c r="C26" s="321" t="s">
        <v>0</v>
      </c>
      <c r="E26" s="321" t="s">
        <v>0</v>
      </c>
      <c r="G26" s="321" t="s">
        <v>0</v>
      </c>
      <c r="I26" s="999" t="s">
        <v>0</v>
      </c>
      <c r="K26" s="999" t="s">
        <v>0</v>
      </c>
      <c r="M26" s="999" t="s">
        <v>0</v>
      </c>
      <c r="O26" s="999" t="s">
        <v>0</v>
      </c>
    </row>
    <row r="27" spans="1:16">
      <c r="A27" s="10" t="s">
        <v>268</v>
      </c>
      <c r="B27" s="81">
        <f>+scotiavar!B27+cbnavar!B27+sgbelvar!B27+capitalbkvar!B27+unibkvar!B27+bphvar!B27+sogebkvar!B27+bncvar!B27+buhvar!B27</f>
        <v>74442958.889613301</v>
      </c>
      <c r="C27" s="321">
        <v>0</v>
      </c>
      <c r="D27" s="81">
        <f>+scotiavar!D27+cbnavar!D27+sgbelvar!D27+capitalbkvar!D27+unibkvar!D27+bphvar!D27+sogebkvar!D27+bncvar!D27+buhvar!D27</f>
        <v>0</v>
      </c>
      <c r="E27" s="321">
        <v>0</v>
      </c>
      <c r="F27" s="81">
        <f>+scotiavar!F27+cbnavar!F27+sgbelvar!F27+capitalbkvar!F27+unibkvar!F27+bphvar!F27+sogebkvar!F27+bncvar!F27+buhvar!F27</f>
        <v>0</v>
      </c>
      <c r="G27" s="321">
        <v>0</v>
      </c>
      <c r="H27" s="81">
        <f>+scotiavar!H27+cbnavar!H27+sgbelvar!H27+capitalbkvar!H27+unibkvar!H27+bphvar!H27+sogebkvar!H27+bncvar!H27+buhvar!H27</f>
        <v>0</v>
      </c>
      <c r="I27" s="999">
        <f>+(B27-J27)/ABS(J27)</f>
        <v>-1.8523415933662593E-2</v>
      </c>
      <c r="J27" s="81">
        <f>+scotiavar!J27+cbnavar!J27+sgbelvar!J27+capitalbkvar!J27+unibkvar!J27+bphvar!J27+sogebkvar!J27+bncvar!J27+buhvar!J27</f>
        <v>75847921.487021178</v>
      </c>
      <c r="K27" s="999">
        <f>+(J27-L27)/ABS(L27)</f>
        <v>6.1399501903044815E-2</v>
      </c>
      <c r="L27" s="81">
        <f>+scotiavar!L27+cbnavar!L27+sgbelvar!L27+capitalbkvar!L27+unibkvar!L27+bphvar!L27+sogebkvar!L27+bncvar!L27+buhvar!L27</f>
        <v>71460294.970017448</v>
      </c>
      <c r="M27" s="999">
        <f>+(L27-N27)/ABS(N27)</f>
        <v>-6.7939872397757797E-2</v>
      </c>
      <c r="N27" s="81">
        <f>+scotiavar!N27+cbnavar!N27+sgbelvar!N27+capitalbkvar!N27+unibkvar!N27+bphvar!N27+sogebkvar!N27+bncvar!N27+buhvar!N27</f>
        <v>76669189.952210054</v>
      </c>
      <c r="O27" s="999">
        <f>+(N27-P27)/ABS(P27)</f>
        <v>0.11988950029806479</v>
      </c>
      <c r="P27" s="81">
        <f>+scotiavar!P27+cbnavar!P27+sgbelvar!P27+capitalbkvar!P27+unibkvar!P27+bphvar!P27+sogebkvar!P27+bncvar!P27+buhvar!P27</f>
        <v>68461388.317154616</v>
      </c>
    </row>
    <row r="28" spans="1:16">
      <c r="A28" s="10" t="s">
        <v>269</v>
      </c>
      <c r="B28" s="81">
        <f>+scotiavar!B28+cbnavar!B28+sgbelvar!B28+capitalbkvar!B28+unibkvar!B28+bphvar!B28+sogebkvar!B28+bncvar!B28+buhvar!B28</f>
        <v>56283904.958394691</v>
      </c>
      <c r="C28" s="321">
        <v>0</v>
      </c>
      <c r="D28" s="81">
        <f>+scotiavar!D28+cbnavar!D28+sgbelvar!D28+capitalbkvar!D28+unibkvar!D28+bphvar!D28+sogebkvar!D28+bncvar!D28+buhvar!D28</f>
        <v>0</v>
      </c>
      <c r="E28" s="321">
        <v>0</v>
      </c>
      <c r="F28" s="81">
        <f>+scotiavar!F28+cbnavar!F28+sgbelvar!F28+capitalbkvar!F28+unibkvar!F28+bphvar!F28+sogebkvar!F28+bncvar!F28+buhvar!F28</f>
        <v>0</v>
      </c>
      <c r="G28" s="321">
        <v>0</v>
      </c>
      <c r="H28" s="81">
        <f>+scotiavar!H28+cbnavar!H28+sgbelvar!H28+capitalbkvar!H28+unibkvar!H28+bphvar!H28+sogebkvar!H28+bncvar!H28+buhvar!H28</f>
        <v>0</v>
      </c>
      <c r="I28" s="999">
        <f>+(B28-J28)/ABS(J28)</f>
        <v>1.8698745136812016E-2</v>
      </c>
      <c r="J28" s="81">
        <f>+scotiavar!J28+cbnavar!J28+sgbelvar!J28+capitalbkvar!J28+unibkvar!J28+bphvar!J28+sogebkvar!J28+bncvar!J28+buhvar!J28</f>
        <v>55250784.618209891</v>
      </c>
      <c r="K28" s="999">
        <f>+(J28-L28)/ABS(L28)</f>
        <v>6.2506300299128209E-2</v>
      </c>
      <c r="L28" s="81">
        <f>+scotiavar!L28+cbnavar!L28+sgbelvar!L28+capitalbkvar!L28+unibkvar!L28+bphvar!L28+sogebkvar!L28+bncvar!L28+buhvar!L28</f>
        <v>52000430.117595628</v>
      </c>
      <c r="M28" s="999">
        <f>+(L28-N28)/ABS(N28)</f>
        <v>3.2053533767332713E-2</v>
      </c>
      <c r="N28" s="81">
        <f>+scotiavar!N28+cbnavar!N28+sgbelvar!N28+capitalbkvar!N28+unibkvar!N28+bphvar!N28+sogebkvar!N28+bncvar!N28+buhvar!N28</f>
        <v>50385399.997398451</v>
      </c>
      <c r="O28" s="999">
        <f>+(N28-P28)/ABS(P28)</f>
        <v>4.976457276606313E-2</v>
      </c>
      <c r="P28" s="81">
        <f>+scotiavar!P28+cbnavar!P28+sgbelvar!P28+capitalbkvar!P28+unibkvar!P28+bphvar!P28+sogebkvar!P28+bncvar!P28+buhvar!P28</f>
        <v>47996856.918724276</v>
      </c>
    </row>
    <row r="29" spans="1:16">
      <c r="A29" s="10" t="s">
        <v>270</v>
      </c>
      <c r="B29" s="217">
        <f>+scotiavar!B29+cbnavar!B29+sgbelvar!B29+capitalbkvar!B29+unibkvar!B29+bphvar!B29+sogebkvar!B29+bncvar!B29+buhvar!B29</f>
        <v>27834231.97315377</v>
      </c>
      <c r="C29" s="321">
        <v>0</v>
      </c>
      <c r="D29" s="217">
        <f>+scotiavar!D29+cbnavar!D29+sgbelvar!D29+capitalbkvar!D29+unibkvar!D29+bphvar!D29+sogebkvar!D29+bncvar!D29+buhvar!D29</f>
        <v>0</v>
      </c>
      <c r="E29" s="321">
        <v>0</v>
      </c>
      <c r="F29" s="217">
        <f>+scotiavar!F29+cbnavar!F29+sgbelvar!F29+capitalbkvar!F29+unibkvar!F29+bphvar!F29+sogebkvar!F29+bncvar!F29+buhvar!F29</f>
        <v>0</v>
      </c>
      <c r="G29" s="321">
        <v>0</v>
      </c>
      <c r="H29" s="217">
        <f>+scotiavar!H29+cbnavar!H29+sgbelvar!H29+capitalbkvar!H29+unibkvar!H29+bphvar!H29+sogebkvar!H29+bncvar!H29+buhvar!H29</f>
        <v>0</v>
      </c>
      <c r="I29" s="999">
        <f>+(B29-J29)/ABS(J29)</f>
        <v>5.2317346030044613E-2</v>
      </c>
      <c r="J29" s="217">
        <f>+scotiavar!J29+cbnavar!J29+sgbelvar!J29+capitalbkvar!J29+unibkvar!J29+bphvar!J29+sogebkvar!J29+bncvar!J29+buhvar!J29</f>
        <v>26450416.386426341</v>
      </c>
      <c r="K29" s="999">
        <f>+(J29-L29)/ABS(L29)</f>
        <v>0.19225389614881089</v>
      </c>
      <c r="L29" s="217">
        <f>+scotiavar!L29+cbnavar!L29+sgbelvar!L29+capitalbkvar!L29+unibkvar!L29+bphvar!L29+sogebkvar!L29+bncvar!L29+buhvar!L29</f>
        <v>22185221.178027451</v>
      </c>
      <c r="M29" s="999">
        <f>+(L29-N29)/ABS(N29)</f>
        <v>0.12139993280735979</v>
      </c>
      <c r="N29" s="217">
        <f>+scotiavar!N29+cbnavar!N29+sgbelvar!N29+capitalbkvar!N29+unibkvar!N29+bphvar!N29+sogebkvar!N29+bncvar!N29+buhvar!N29</f>
        <v>19783505.000297293</v>
      </c>
      <c r="O29" s="999">
        <f>+(N29-P29)/ABS(P29)</f>
        <v>3.6287424476990911E-2</v>
      </c>
      <c r="P29" s="217">
        <f>+scotiavar!P29+cbnavar!P29+sgbelvar!P29+capitalbkvar!P29+unibkvar!P29+bphvar!P29+sogebkvar!P29+bncvar!P29+buhvar!P29</f>
        <v>19090750.8216477</v>
      </c>
    </row>
    <row r="30" spans="1:16">
      <c r="A30" s="10"/>
      <c r="B30" s="20">
        <f>SUM(B27:B29)</f>
        <v>158561095.82116175</v>
      </c>
      <c r="C30" s="321">
        <v>0</v>
      </c>
      <c r="D30" s="20">
        <f>SUM(D27:D29)</f>
        <v>0</v>
      </c>
      <c r="E30" s="321">
        <v>0</v>
      </c>
      <c r="F30" s="20">
        <f>SUM(F27:F29)</f>
        <v>0</v>
      </c>
      <c r="G30" s="321">
        <v>0</v>
      </c>
      <c r="H30" s="20">
        <f>SUM(H27:H29)</f>
        <v>0</v>
      </c>
      <c r="I30" s="999">
        <f>+(B30-J30)/ABS(J30)</f>
        <v>6.4232241570112668E-3</v>
      </c>
      <c r="J30" s="20">
        <f>SUM(J27:J29)</f>
        <v>157549122.49165741</v>
      </c>
      <c r="K30" s="999">
        <f>+(J30-L30)/ABS(L30)</f>
        <v>8.1726793853273E-2</v>
      </c>
      <c r="L30" s="20">
        <f>SUM(L27:L29)</f>
        <v>145645946.26564053</v>
      </c>
      <c r="M30" s="999">
        <f>+(L30-N30)/ABS(N30)</f>
        <v>-8.1187969965967645E-3</v>
      </c>
      <c r="N30" s="20">
        <f>SUM(N27:N29)</f>
        <v>146838094.94990581</v>
      </c>
      <c r="O30" s="999">
        <f>+(N30-P30)/ABS(P30)</f>
        <v>8.328426783469621E-2</v>
      </c>
      <c r="P30" s="20">
        <f>SUM(P27:P29)</f>
        <v>135548996.05752659</v>
      </c>
    </row>
    <row r="31" spans="1:16" ht="7.9" customHeight="1">
      <c r="A31" s="10"/>
      <c r="C31" s="321" t="s">
        <v>0</v>
      </c>
      <c r="E31" s="321" t="s">
        <v>0</v>
      </c>
      <c r="G31" s="321" t="s">
        <v>0</v>
      </c>
      <c r="I31" s="999" t="s">
        <v>0</v>
      </c>
      <c r="K31" s="999" t="s">
        <v>0</v>
      </c>
      <c r="M31" s="999" t="s">
        <v>0</v>
      </c>
      <c r="O31" s="999" t="s">
        <v>0</v>
      </c>
    </row>
    <row r="32" spans="1:16">
      <c r="A32" s="10" t="s">
        <v>271</v>
      </c>
      <c r="C32" s="321" t="s">
        <v>0</v>
      </c>
      <c r="E32" s="321" t="s">
        <v>0</v>
      </c>
      <c r="G32" s="321" t="s">
        <v>0</v>
      </c>
      <c r="I32" s="999" t="s">
        <v>0</v>
      </c>
      <c r="K32" s="999" t="s">
        <v>0</v>
      </c>
      <c r="M32" s="999" t="s">
        <v>0</v>
      </c>
      <c r="O32" s="999" t="s">
        <v>0</v>
      </c>
    </row>
    <row r="33" spans="1:21">
      <c r="A33" s="10" t="s">
        <v>272</v>
      </c>
      <c r="B33" s="81">
        <f>+scotiavar!B33+cbnavar!B33+sgbelvar!B33+capitalbkvar!B33+unibkvar!B33+bphvar!B33+sogebkvar!B33+bncvar!B33+buhvar!B33</f>
        <v>300000</v>
      </c>
      <c r="C33" s="321">
        <v>0</v>
      </c>
      <c r="D33" s="81">
        <f>+scotiavar!D33+cbnavar!D33+sgbelvar!D33+capitalbkvar!D33+unibkvar!D33+bphvar!D33+sogebkvar!D33+bncvar!D33+buhvar!D33</f>
        <v>0</v>
      </c>
      <c r="E33" s="321">
        <v>0</v>
      </c>
      <c r="F33" s="81">
        <f>+scotiavar!F33+cbnavar!F33+sgbelvar!F33+capitalbkvar!F33+unibkvar!F33+bphvar!F33+sogebkvar!F33+bncvar!F33+buhvar!F33</f>
        <v>0</v>
      </c>
      <c r="G33" s="321">
        <v>0</v>
      </c>
      <c r="H33" s="81">
        <f>+scotiavar!H33+cbnavar!H33+sgbelvar!H33+capitalbkvar!H33+unibkvar!H33+bphvar!H33+sogebkvar!H33+bncvar!H33+buhvar!H33</f>
        <v>0</v>
      </c>
      <c r="I33" s="999">
        <f>+(B33-J33)/ABS(J33)</f>
        <v>0</v>
      </c>
      <c r="J33" s="81">
        <f>+scotiavar!J33+cbnavar!J33+sgbelvar!J33+capitalbkvar!J33+unibkvar!J33+bphvar!J33+sogebkvar!J33+bncvar!J33+buhvar!J33</f>
        <v>300000</v>
      </c>
      <c r="K33" s="999">
        <f>+(J33-L33)/ABS(L33)</f>
        <v>0.5</v>
      </c>
      <c r="L33" s="81">
        <f>+scotiavar!L33+cbnavar!L33+sgbelvar!L33+capitalbkvar!L33+unibkvar!L33+bphvar!L33+sogebkvar!L33+bncvar!L33+buhvar!L33</f>
        <v>200000</v>
      </c>
      <c r="M33" s="999">
        <f>+(L33-N33)/ABS(N33)</f>
        <v>0</v>
      </c>
      <c r="N33" s="81">
        <f>+scotiavar!N33+cbnavar!N33+sgbelvar!N33+capitalbkvar!N33+unibkvar!N33+bphvar!N33+sogebkvar!N33+bncvar!N33+buhvar!N33</f>
        <v>200000</v>
      </c>
      <c r="O33" s="999">
        <f>+(N33-P33)/ABS(P33)</f>
        <v>-0.375</v>
      </c>
      <c r="P33" s="81">
        <f>+scotiavar!P33+cbnavar!P33+sgbelvar!P33+capitalbkvar!P33+unibkvar!P33+bphvar!P33+sogebkvar!P33+bncvar!P33+buhvar!P33</f>
        <v>320000</v>
      </c>
    </row>
    <row r="34" spans="1:21">
      <c r="A34" s="10" t="s">
        <v>273</v>
      </c>
      <c r="B34" s="81">
        <f>+scotiavar!B34+cbnavar!B34+sgbelvar!B34+capitalbkvar!B34+unibkvar!B34+bphvar!B34+sogebkvar!B34+bncvar!B34+buhvar!B34</f>
        <v>140243</v>
      </c>
      <c r="C34" s="321">
        <v>0</v>
      </c>
      <c r="D34" s="81">
        <f>+scotiavar!D34+cbnavar!D34+sgbelvar!D34+capitalbkvar!D34+unibkvar!D34+bphvar!D34+sogebkvar!D34+bncvar!D34+buhvar!D34</f>
        <v>0</v>
      </c>
      <c r="E34" s="321">
        <v>0</v>
      </c>
      <c r="F34" s="81">
        <f>+scotiavar!F34+cbnavar!F34+sgbelvar!F34+capitalbkvar!F34+unibkvar!F34+bphvar!F34+sogebkvar!F34+bncvar!F34+buhvar!F34</f>
        <v>0</v>
      </c>
      <c r="G34" s="321">
        <v>0</v>
      </c>
      <c r="H34" s="81">
        <f>+scotiavar!H34+cbnavar!H34+sgbelvar!H34+capitalbkvar!H34+unibkvar!H34+bphvar!H34+sogebkvar!H34+bncvar!H34+buhvar!H34</f>
        <v>0</v>
      </c>
      <c r="I34" s="321">
        <v>0</v>
      </c>
      <c r="J34" s="81">
        <f>+scotiavar!J34+cbnavar!J34+sgbelvar!J34+capitalbkvar!J34+unibkvar!J34+bphvar!J34+sogebkvar!J34+bncvar!J34+buhvar!J34</f>
        <v>0</v>
      </c>
      <c r="K34" s="321">
        <v>0</v>
      </c>
      <c r="L34" s="81">
        <f>+scotiavar!L34+cbnavar!L34+sgbelvar!L34+capitalbkvar!L34+unibkvar!L34+bphvar!L34+sogebkvar!L34+bncvar!L34+buhvar!L34</f>
        <v>0</v>
      </c>
      <c r="M34" s="321">
        <v>0</v>
      </c>
      <c r="N34" s="81">
        <f>+scotiavar!N34+cbnavar!N34+sgbelvar!N34+capitalbkvar!N34+unibkvar!N34+bphvar!N34+sogebkvar!N34+bncvar!N34+buhvar!N34</f>
        <v>0</v>
      </c>
      <c r="O34" s="321">
        <v>0</v>
      </c>
      <c r="P34" s="81">
        <f>+scotiavar!P34+cbnavar!P34+sgbelvar!P34+capitalbkvar!P34+unibkvar!P34+bphvar!P34+sogebkvar!P34+bncvar!P34+buhvar!P34</f>
        <v>0</v>
      </c>
    </row>
    <row r="35" spans="1:21" ht="18">
      <c r="A35" s="10" t="s">
        <v>274</v>
      </c>
      <c r="B35" s="217">
        <f>+scotiavar!B35+cbnavar!B35+sgbelvar!B35+capitalbkvar!B35+unibkvar!B35+bphvar!B35+sogebkvar!B35+bncvar!B35+buhvar!B35</f>
        <v>7093867.5411747862</v>
      </c>
      <c r="C35" s="321">
        <v>0</v>
      </c>
      <c r="D35" s="217">
        <f>+scotiavar!D35+cbnavar!D35+sgbelvar!D35+capitalbkvar!D35+unibkvar!D35+bphvar!D35+sogebkvar!D35+bncvar!D35+buhvar!D35</f>
        <v>0</v>
      </c>
      <c r="E35" s="321">
        <v>0</v>
      </c>
      <c r="F35" s="217">
        <f>+scotiavar!F35+cbnavar!F35+sgbelvar!F35+capitalbkvar!F35+unibkvar!F35+bphvar!F35+sogebkvar!F35+bncvar!F35+buhvar!F35</f>
        <v>0</v>
      </c>
      <c r="G35" s="321">
        <v>0</v>
      </c>
      <c r="H35" s="217">
        <f>+scotiavar!H35+cbnavar!H35+sgbelvar!H35+capitalbkvar!H35+unibkvar!H35+bphvar!H35+sogebkvar!H35+bncvar!H35+buhvar!H35</f>
        <v>0</v>
      </c>
      <c r="I35" s="999">
        <f>+(B35-J35)/ABS(J35)</f>
        <v>7.2739301841711597E-3</v>
      </c>
      <c r="J35" s="217">
        <f>+scotiavar!J35+cbnavar!J35+sgbelvar!J35+capitalbkvar!J35+unibkvar!J35+bphvar!J35+sogebkvar!J35+bncvar!J35+buhvar!J35</f>
        <v>7042639.8704449097</v>
      </c>
      <c r="K35" s="999">
        <f>+(J35-L35)/ABS(L35)</f>
        <v>0.28123686344862825</v>
      </c>
      <c r="L35" s="217">
        <f>+scotiavar!L35+cbnavar!L35+sgbelvar!L35+capitalbkvar!L35+unibkvar!L35+bphvar!L35+sogebkvar!L35+bncvar!L35+buhvar!L35</f>
        <v>5496750.8907671133</v>
      </c>
      <c r="M35" s="999">
        <f>+(L35-N35)/ABS(N35)</f>
        <v>0.13800035139706474</v>
      </c>
      <c r="N35" s="217">
        <f>+scotiavar!N35+cbnavar!N35+sgbelvar!N35+capitalbkvar!N35+unibkvar!N35+bphvar!N35+sogebkvar!N35+bncvar!N35+buhvar!N35</f>
        <v>4830183.8255313663</v>
      </c>
      <c r="O35" s="999">
        <f>+(N35-P35)/ABS(P35)</f>
        <v>0.2081188601032028</v>
      </c>
      <c r="P35" s="217">
        <f>+scotiavar!P35+cbnavar!P35+sgbelvar!P35+capitalbkvar!P35+unibkvar!P35+bphvar!P35+sogebkvar!P35+bncvar!P35+buhvar!P35</f>
        <v>3998103.1544518317</v>
      </c>
      <c r="Q35" s="14"/>
      <c r="R35" s="14"/>
      <c r="S35" s="15"/>
      <c r="T35" s="15"/>
      <c r="U35" s="15"/>
    </row>
    <row r="36" spans="1:21">
      <c r="A36" s="10"/>
      <c r="B36" s="20">
        <f>SUM(B33:B35)</f>
        <v>7534110.5411747862</v>
      </c>
      <c r="C36" s="321">
        <v>0</v>
      </c>
      <c r="D36" s="20">
        <f>SUM(D33:D35)</f>
        <v>0</v>
      </c>
      <c r="E36" s="321">
        <v>0</v>
      </c>
      <c r="F36" s="20">
        <f>SUM(F33:F35)</f>
        <v>0</v>
      </c>
      <c r="G36" s="321">
        <v>0</v>
      </c>
      <c r="H36" s="20">
        <f>SUM(H33:H35)</f>
        <v>0</v>
      </c>
      <c r="I36" s="999">
        <f>+(B36-J36)/ABS(J36)</f>
        <v>2.6076543873623858E-2</v>
      </c>
      <c r="J36" s="20">
        <f>SUM(J33:J35)</f>
        <v>7342639.8704449097</v>
      </c>
      <c r="K36" s="999">
        <f>+(J36-L36)/ABS(L36)</f>
        <v>0.28891714088206588</v>
      </c>
      <c r="L36" s="20">
        <f>SUM(L33:L35)</f>
        <v>5696750.8907671133</v>
      </c>
      <c r="M36" s="999">
        <f>+(L36-N36)/ABS(N36)</f>
        <v>0.13251346041321538</v>
      </c>
      <c r="N36" s="20">
        <f>SUM(N33:N35)</f>
        <v>5030183.8255313663</v>
      </c>
      <c r="O36" s="999">
        <f>+(N36-P36)/ABS(P36)</f>
        <v>0.16490589631824815</v>
      </c>
      <c r="P36" s="20">
        <f>SUM(P33:P35)</f>
        <v>4318103.1544518322</v>
      </c>
    </row>
    <row r="37" spans="1:21" ht="7.15" customHeight="1">
      <c r="A37" s="10"/>
      <c r="C37" s="321" t="s">
        <v>0</v>
      </c>
      <c r="E37" s="321" t="s">
        <v>0</v>
      </c>
      <c r="G37" s="321" t="s">
        <v>0</v>
      </c>
      <c r="I37" s="999" t="s">
        <v>0</v>
      </c>
      <c r="K37" s="999" t="s">
        <v>0</v>
      </c>
      <c r="M37" s="999" t="s">
        <v>0</v>
      </c>
      <c r="O37" s="999" t="s">
        <v>0</v>
      </c>
    </row>
    <row r="38" spans="1:21">
      <c r="A38" s="10" t="s">
        <v>275</v>
      </c>
      <c r="C38" s="321" t="s">
        <v>0</v>
      </c>
      <c r="E38" s="321" t="s">
        <v>0</v>
      </c>
      <c r="G38" s="321" t="s">
        <v>0</v>
      </c>
      <c r="I38" s="999" t="s">
        <v>0</v>
      </c>
      <c r="K38" s="999" t="s">
        <v>0</v>
      </c>
      <c r="M38" s="999" t="s">
        <v>0</v>
      </c>
      <c r="O38" s="999" t="s">
        <v>0</v>
      </c>
    </row>
    <row r="39" spans="1:21">
      <c r="A39" s="10" t="s">
        <v>272</v>
      </c>
      <c r="B39" s="81">
        <f>+scotiavar!B39+cbnavar!B39+sgbelvar!B39+capitalbkvar!B39+unibkvar!B39+bphvar!B39+sogebkvar!B39+bncvar!B39+buhvar!B39</f>
        <v>1065132.5</v>
      </c>
      <c r="C39" s="321">
        <v>0</v>
      </c>
      <c r="D39" s="81">
        <f>+scotiavar!D39+cbnavar!D39+sgbelvar!D39+capitalbkvar!D39+unibkvar!D39+bphvar!D39+sogebkvar!D39+bncvar!D39+buhvar!D39</f>
        <v>0</v>
      </c>
      <c r="E39" s="321">
        <v>0</v>
      </c>
      <c r="F39" s="81">
        <f>+scotiavar!F39+cbnavar!F39+sgbelvar!F39+capitalbkvar!F39+unibkvar!F39+bphvar!F39+sogebkvar!F39+bncvar!F39+buhvar!F39</f>
        <v>0</v>
      </c>
      <c r="G39" s="321">
        <v>0</v>
      </c>
      <c r="H39" s="81">
        <f>+scotiavar!H39+cbnavar!H39+sgbelvar!H39+capitalbkvar!H39+unibkvar!H39+bphvar!H39+sogebkvar!H39+bncvar!H39+buhvar!H39</f>
        <v>0</v>
      </c>
      <c r="I39" s="999">
        <f>+(B39-J39)/ABS(J39)</f>
        <v>-0.36124371068239469</v>
      </c>
      <c r="J39" s="81">
        <f>+scotiavar!J39+cbnavar!J39+sgbelvar!J39+capitalbkvar!J39+unibkvar!J39+bphvar!J39+sogebkvar!J39+bncvar!J39+buhvar!J39</f>
        <v>1667510</v>
      </c>
      <c r="K39" s="999">
        <f>+(J39-L39)/ABS(L39)</f>
        <v>-3.44581996734259E-2</v>
      </c>
      <c r="L39" s="81">
        <f>+scotiavar!L39+cbnavar!L39+sgbelvar!L39+capitalbkvar!L39+unibkvar!L39+bphvar!L39+sogebkvar!L39+bncvar!L39+buhvar!L39</f>
        <v>1727020</v>
      </c>
      <c r="M39" s="999">
        <f>+(L39-N39)/ABS(N39)</f>
        <v>0.46168104068453614</v>
      </c>
      <c r="N39" s="81">
        <f>+scotiavar!N39+cbnavar!N39+sgbelvar!N39+capitalbkvar!N39+unibkvar!N39+bphvar!N39+sogebkvar!N39+bncvar!N39+buhvar!N39</f>
        <v>1181530</v>
      </c>
      <c r="O39" s="999">
        <f>+(N39-P39)/ABS(P39)</f>
        <v>1.9318362282878412</v>
      </c>
      <c r="P39" s="81">
        <f>+scotiavar!P39+cbnavar!P39+sgbelvar!P39+capitalbkvar!P39+unibkvar!P39+bphvar!P39+sogebkvar!P39+bncvar!P39+buhvar!P39</f>
        <v>403000</v>
      </c>
    </row>
    <row r="40" spans="1:21">
      <c r="A40" s="10" t="s">
        <v>276</v>
      </c>
      <c r="B40" s="81">
        <f>+scotiavar!B40+cbnavar!B40+sgbelvar!B40+capitalbkvar!B40+unibkvar!B40+bphvar!B40+sogebkvar!B40+bncvar!B40+buhvar!B40</f>
        <v>3075243.5976900002</v>
      </c>
      <c r="C40" s="321">
        <v>0</v>
      </c>
      <c r="D40" s="81">
        <f>+scotiavar!D40+cbnavar!D40+sgbelvar!D40+capitalbkvar!D40+unibkvar!D40+bphvar!D40+sogebkvar!D40+bncvar!D40+buhvar!D40</f>
        <v>0</v>
      </c>
      <c r="E40" s="321">
        <v>0</v>
      </c>
      <c r="F40" s="81">
        <f>+scotiavar!F40+cbnavar!F40+sgbelvar!F40+capitalbkvar!F40+unibkvar!F40+bphvar!F40+sogebkvar!F40+bncvar!F40+buhvar!F40</f>
        <v>0</v>
      </c>
      <c r="G40" s="321">
        <v>0</v>
      </c>
      <c r="H40" s="81">
        <f>+scotiavar!H40+cbnavar!H40+sgbelvar!H40+capitalbkvar!H40+unibkvar!H40+bphvar!H40+sogebkvar!H40+bncvar!H40+buhvar!H40</f>
        <v>0</v>
      </c>
      <c r="I40" s="999">
        <f>+(B40-J40)/ABS(J40)</f>
        <v>-0.27533104183578094</v>
      </c>
      <c r="J40" s="81">
        <f>+scotiavar!J40+cbnavar!J40+sgbelvar!J40+capitalbkvar!J40+unibkvar!J40+bphvar!J40+sogebkvar!J40+bncvar!J40+buhvar!J40</f>
        <v>4243652.9991299994</v>
      </c>
      <c r="K40" s="999">
        <f>+(J40-L40)/ABS(L40)</f>
        <v>1.3807961300397933</v>
      </c>
      <c r="L40" s="81">
        <f>+scotiavar!L40+cbnavar!L40+sgbelvar!L40+capitalbkvar!L40+unibkvar!L40+bphvar!L40+sogebkvar!L40+bncvar!L40+buhvar!L40</f>
        <v>1782451.2336800001</v>
      </c>
      <c r="M40" s="321">
        <v>0</v>
      </c>
      <c r="N40" s="81">
        <f>+scotiavar!N40+cbnavar!N40+sgbelvar!N40+capitalbkvar!N40+unibkvar!N40+bphvar!N40+sogebkvar!N40+bncvar!N40+buhvar!N40</f>
        <v>634833</v>
      </c>
      <c r="O40" s="321">
        <v>0</v>
      </c>
      <c r="P40" s="81">
        <f>+scotiavar!P40+cbnavar!P40+sgbelvar!P40+capitalbkvar!P40+unibkvar!P40+bphvar!P40+sogebkvar!P40+bncvar!P40+buhvar!P40</f>
        <v>-4.5780000000000001E-2</v>
      </c>
    </row>
    <row r="41" spans="1:21">
      <c r="A41" s="10" t="s">
        <v>274</v>
      </c>
      <c r="B41" s="217">
        <f>+scotiavar!B41+cbnavar!B41+sgbelvar!B41+capitalbkvar!B41+unibkvar!B41+bphvar!B41+sogebkvar!B41+bncvar!B41+buhvar!B41</f>
        <v>4608097.856222962</v>
      </c>
      <c r="C41" s="321">
        <v>0</v>
      </c>
      <c r="D41" s="217">
        <f>+scotiavar!D41+cbnavar!D41+sgbelvar!D41+capitalbkvar!D41+unibkvar!D41+bphvar!D41+sogebkvar!D41+bncvar!D41+buhvar!D41</f>
        <v>0</v>
      </c>
      <c r="E41" s="321">
        <v>0</v>
      </c>
      <c r="F41" s="217">
        <f>+scotiavar!F41+cbnavar!F41+sgbelvar!F41+capitalbkvar!F41+unibkvar!F41+bphvar!F41+sogebkvar!F41+bncvar!F41+buhvar!F41</f>
        <v>0</v>
      </c>
      <c r="G41" s="321">
        <v>0</v>
      </c>
      <c r="H41" s="217">
        <f>+scotiavar!H41+cbnavar!H41+sgbelvar!H41+capitalbkvar!H41+unibkvar!H41+bphvar!H41+sogebkvar!H41+bncvar!H41+buhvar!H41</f>
        <v>0</v>
      </c>
      <c r="I41" s="999">
        <f>+(B41-J41)/ABS(J41)</f>
        <v>6.2950674008056947E-3</v>
      </c>
      <c r="J41" s="217">
        <f>+scotiavar!J41+cbnavar!J41+sgbelvar!J41+capitalbkvar!J41+unibkvar!J41+bphvar!J41+sogebkvar!J41+bncvar!J41+buhvar!J41</f>
        <v>4579271.0364022525</v>
      </c>
      <c r="K41" s="999">
        <f>+(J41-L41)/ABS(L41)</f>
        <v>0.17483616409754146</v>
      </c>
      <c r="L41" s="217">
        <f>+scotiavar!L41+cbnavar!L41+sgbelvar!L41+capitalbkvar!L41+unibkvar!L41+bphvar!L41+sogebkvar!L41+bncvar!L41+buhvar!L41</f>
        <v>3897795.4342424003</v>
      </c>
      <c r="M41" s="999">
        <f>+(L41-N41)/ABS(N41)</f>
        <v>0.31843726046438969</v>
      </c>
      <c r="N41" s="217">
        <f>+scotiavar!N41+cbnavar!N41+sgbelvar!N41+capitalbkvar!N41+unibkvar!N41+bphvar!N41+sogebkvar!N41+bncvar!N41+buhvar!N41</f>
        <v>2956375.3628060315</v>
      </c>
      <c r="O41" s="999">
        <f>+(N41-P41)/ABS(P41)</f>
        <v>0.5244906893578517</v>
      </c>
      <c r="P41" s="217">
        <f>+scotiavar!P41+cbnavar!P41+sgbelvar!P41+capitalbkvar!P41+unibkvar!P41+bphvar!P41+sogebkvar!P41+bncvar!P41+buhvar!P41</f>
        <v>1939254.4562219139</v>
      </c>
    </row>
    <row r="42" spans="1:21">
      <c r="A42" s="10"/>
      <c r="B42" s="20">
        <f>SUM(B39:B41)</f>
        <v>8748473.9539129622</v>
      </c>
      <c r="C42" s="321">
        <v>0</v>
      </c>
      <c r="D42" s="20">
        <f>SUM(D39:D41)</f>
        <v>0</v>
      </c>
      <c r="E42" s="321">
        <v>0</v>
      </c>
      <c r="F42" s="20">
        <f>SUM(F39:F41)</f>
        <v>0</v>
      </c>
      <c r="G42" s="321">
        <v>0</v>
      </c>
      <c r="H42" s="20">
        <f>SUM(H39:H41)</f>
        <v>0</v>
      </c>
      <c r="I42" s="999">
        <f>+(B42-J42)/ABS(J42)</f>
        <v>-0.16605224109117686</v>
      </c>
      <c r="J42" s="20">
        <f>SUM(J39:J41)</f>
        <v>10490434.035532251</v>
      </c>
      <c r="K42" s="999">
        <f>+(J42-L42)/ABS(L42)</f>
        <v>0.41623550303132556</v>
      </c>
      <c r="L42" s="20">
        <f>SUM(L39:L41)</f>
        <v>7407266.6679223999</v>
      </c>
      <c r="M42" s="999">
        <f>+(L42-N42)/ABS(N42)</f>
        <v>0.5519951241507931</v>
      </c>
      <c r="N42" s="20">
        <f>SUM(N39:N41)</f>
        <v>4772738.3628060315</v>
      </c>
      <c r="O42" s="999">
        <f>+(N42-P42)/ABS(P42)</f>
        <v>1.0376686415996788</v>
      </c>
      <c r="P42" s="20">
        <f>SUM(P39:P41)</f>
        <v>2342254.4104419141</v>
      </c>
    </row>
    <row r="43" spans="1:21" ht="8.4499999999999993" customHeight="1">
      <c r="A43" s="10"/>
      <c r="C43" s="321" t="s">
        <v>0</v>
      </c>
      <c r="E43" s="321" t="s">
        <v>0</v>
      </c>
      <c r="G43" s="321" t="s">
        <v>0</v>
      </c>
      <c r="I43" s="999" t="s">
        <v>0</v>
      </c>
      <c r="K43" s="999" t="s">
        <v>0</v>
      </c>
      <c r="M43" s="999" t="s">
        <v>0</v>
      </c>
      <c r="O43" s="999" t="s">
        <v>0</v>
      </c>
    </row>
    <row r="44" spans="1:21" ht="18">
      <c r="A44" s="10" t="s">
        <v>277</v>
      </c>
      <c r="B44" s="217">
        <f>+scotiavar!B44+cbnavar!B44+sgbelvar!B44+capitalbkvar!B44+unibkvar!B44+bphvar!B44+sogebkvar!B44+bncvar!B44+buhvar!B44</f>
        <v>4445986.2805498475</v>
      </c>
      <c r="C44" s="321">
        <v>0</v>
      </c>
      <c r="D44" s="217">
        <f>+scotiavar!D44+cbnavar!D44+sgbelvar!D44+capitalbkvar!D44+unibkvar!D44+bphvar!D44+sogebkvar!D44+bncvar!D44+buhvar!D44</f>
        <v>0</v>
      </c>
      <c r="E44" s="321">
        <v>0</v>
      </c>
      <c r="F44" s="217">
        <f>+scotiavar!F44+cbnavar!F44+sgbelvar!F44+capitalbkvar!F44+unibkvar!F44+bphvar!F44+sogebkvar!F44+bncvar!F44+buhvar!F44</f>
        <v>0</v>
      </c>
      <c r="G44" s="321">
        <v>0</v>
      </c>
      <c r="H44" s="217">
        <f>+scotiavar!H44+cbnavar!H44+sgbelvar!H44+capitalbkvar!H44+unibkvar!H44+bphvar!H44+sogebkvar!H44+bncvar!H44+buhvar!H44</f>
        <v>0</v>
      </c>
      <c r="I44" s="999">
        <f>+(B44-J44)/ABS(J44)</f>
        <v>1.7617998601919729E-2</v>
      </c>
      <c r="J44" s="217">
        <f>+scotiavar!J44+cbnavar!J44+sgbelvar!J44+capitalbkvar!J44+unibkvar!J44+bphvar!J44+sogebkvar!J44+bncvar!J44+buhvar!J44</f>
        <v>4369013.0153535791</v>
      </c>
      <c r="K44" s="999">
        <f>+(J44-L44)/ABS(L44)</f>
        <v>6.0916605825196854E-2</v>
      </c>
      <c r="L44" s="217">
        <f>+scotiavar!L44+cbnavar!L44+sgbelvar!L44+capitalbkvar!L44+unibkvar!L44+bphvar!L44+sogebkvar!L44+bncvar!L44+buhvar!L44</f>
        <v>4118149.3355505499</v>
      </c>
      <c r="M44" s="999">
        <f>+(L44-N44)/ABS(N44)</f>
        <v>0.3738698911740479</v>
      </c>
      <c r="N44" s="217">
        <f>+scotiavar!N44+cbnavar!N44+sgbelvar!N44+capitalbkvar!N44+unibkvar!N44+bphvar!N44+sogebkvar!N44+bncvar!N44+buhvar!N44</f>
        <v>2997481.320470138</v>
      </c>
      <c r="O44" s="999">
        <f>+(N44-P44)/ABS(P44)</f>
        <v>0.31381104295511364</v>
      </c>
      <c r="P44" s="217">
        <f>+scotiavar!P44+cbnavar!P44+sgbelvar!P44+capitalbkvar!P44+unibkvar!P44+bphvar!P44+sogebkvar!P44+bncvar!P44+buhvar!P44</f>
        <v>2281516.3082569302</v>
      </c>
      <c r="Q44" s="14"/>
      <c r="R44" s="14"/>
    </row>
    <row r="45" spans="1:21">
      <c r="A45" s="10"/>
      <c r="B45" s="20">
        <f>+B30+B36+B42+B44</f>
        <v>179289666.59679937</v>
      </c>
      <c r="C45" s="321">
        <v>0</v>
      </c>
      <c r="D45" s="20">
        <f>+D30+D36+D42+D44</f>
        <v>0</v>
      </c>
      <c r="E45" s="321">
        <v>0</v>
      </c>
      <c r="F45" s="20">
        <f>+F30+F36+F42+F44</f>
        <v>0</v>
      </c>
      <c r="G45" s="321">
        <v>0</v>
      </c>
      <c r="H45" s="20">
        <f>+H30+H36+H42+H44</f>
        <v>0</v>
      </c>
      <c r="I45" s="999">
        <f>+(B45-J45)/ABS(J45)</f>
        <v>-2.5676757207700493E-3</v>
      </c>
      <c r="J45" s="20">
        <f>+J30+J36+J42+J44</f>
        <v>179751209.41298816</v>
      </c>
      <c r="K45" s="999">
        <f>+(J45-L45)/ABS(L45)</f>
        <v>0.10366115211597091</v>
      </c>
      <c r="L45" s="20">
        <f>+L30+L36+L42+L44</f>
        <v>162868113.15988061</v>
      </c>
      <c r="M45" s="999">
        <f>+(L45-N45)/ABS(N45)</f>
        <v>2.023080104328686E-2</v>
      </c>
      <c r="N45" s="20">
        <f>+N30+N36+N42+N44</f>
        <v>159638498.45871332</v>
      </c>
      <c r="O45" s="999">
        <f>+(N45-P45)/ABS(P45)</f>
        <v>0.10483450293643794</v>
      </c>
      <c r="P45" s="20">
        <f>+P30+P36+P42+P44</f>
        <v>144490869.93067726</v>
      </c>
    </row>
    <row r="46" spans="1:21" ht="15.6" customHeight="1">
      <c r="A46" s="10"/>
      <c r="C46" s="321" t="s">
        <v>0</v>
      </c>
      <c r="E46" s="321" t="s">
        <v>0</v>
      </c>
      <c r="G46" s="321" t="s">
        <v>0</v>
      </c>
      <c r="I46" s="999" t="s">
        <v>0</v>
      </c>
      <c r="K46" s="999" t="s">
        <v>0</v>
      </c>
      <c r="M46" s="999" t="s">
        <v>0</v>
      </c>
      <c r="O46" s="999" t="s">
        <v>0</v>
      </c>
    </row>
    <row r="47" spans="1:21">
      <c r="A47" s="86" t="s">
        <v>278</v>
      </c>
      <c r="C47" s="321" t="s">
        <v>0</v>
      </c>
      <c r="E47" s="321" t="s">
        <v>0</v>
      </c>
      <c r="G47" s="321" t="s">
        <v>0</v>
      </c>
      <c r="I47" s="999" t="s">
        <v>0</v>
      </c>
      <c r="K47" s="999" t="s">
        <v>0</v>
      </c>
      <c r="M47" s="999" t="s">
        <v>0</v>
      </c>
      <c r="O47" s="999" t="s">
        <v>0</v>
      </c>
    </row>
    <row r="48" spans="1:21">
      <c r="A48" s="10" t="s">
        <v>279</v>
      </c>
      <c r="B48" s="81">
        <f>+scotiavar!B48+cbnavar!B48+sgbelvar!B48+capitalbkvar!B48+unibkvar!B48+bphvar!B48+sogebkvar!B48+bncvar!B48+buhvar!B48</f>
        <v>6024513</v>
      </c>
      <c r="C48" s="321">
        <v>0</v>
      </c>
      <c r="D48" s="81">
        <f>+scotiavar!D48+cbnavar!D48+sgbelvar!D48+capitalbkvar!D48+unibkvar!D48+bphvar!D48+sogebkvar!D48+bncvar!D48+buhvar!D48</f>
        <v>0</v>
      </c>
      <c r="E48" s="321">
        <v>0</v>
      </c>
      <c r="F48" s="81">
        <f>+scotiavar!F48+cbnavar!F48+sgbelvar!F48+capitalbkvar!F48+unibkvar!F48+bphvar!F48+sogebkvar!F48+bncvar!F48+buhvar!F48</f>
        <v>0</v>
      </c>
      <c r="G48" s="321">
        <v>0</v>
      </c>
      <c r="H48" s="81">
        <f>+scotiavar!H48+cbnavar!H48+sgbelvar!H48+capitalbkvar!H48+unibkvar!H48+bphvar!H48+sogebkvar!H48+bncvar!H48+buhvar!H48</f>
        <v>0</v>
      </c>
      <c r="I48" s="999">
        <f t="shared" ref="I48:I53" si="8">+(B48-J48)/ABS(J48)</f>
        <v>-8.631328568950621E-6</v>
      </c>
      <c r="J48" s="81">
        <f>+scotiavar!J48+cbnavar!J48+sgbelvar!J48+capitalbkvar!J48+unibkvar!J48+bphvar!J48+sogebkvar!J48+bncvar!J48+buhvar!J48</f>
        <v>6024565</v>
      </c>
      <c r="K48" s="999">
        <f t="shared" ref="K48:K53" si="9">+(J48-L48)/ABS(L48)</f>
        <v>2.5160881051991407E-2</v>
      </c>
      <c r="L48" s="81">
        <f>+scotiavar!L48+cbnavar!L48+sgbelvar!L48+capitalbkvar!L48+unibkvar!L48+bphvar!L48+sogebkvar!L48+bncvar!L48+buhvar!L48</f>
        <v>5876702</v>
      </c>
      <c r="M48" s="999">
        <f t="shared" ref="M48:M53" si="10">+(L48-N48)/ABS(N48)</f>
        <v>0.42745652186784155</v>
      </c>
      <c r="N48" s="81">
        <f>+scotiavar!N48+cbnavar!N48+sgbelvar!N48+capitalbkvar!N48+unibkvar!N48+bphvar!N48+sogebkvar!N48+bncvar!N48+buhvar!N48</f>
        <v>4116904.375</v>
      </c>
      <c r="O48" s="999">
        <f t="shared" ref="O48:O53" si="11">+(N48-P48)/ABS(P48)</f>
        <v>2.3237246029807229E-2</v>
      </c>
      <c r="P48" s="81">
        <f>+scotiavar!P48+cbnavar!P48+sgbelvar!P48+capitalbkvar!P48+unibkvar!P48+bphvar!P48+sogebkvar!P48+bncvar!P48+buhvar!P48</f>
        <v>4023411.375</v>
      </c>
    </row>
    <row r="49" spans="1:21">
      <c r="A49" s="10" t="s">
        <v>280</v>
      </c>
      <c r="B49" s="81">
        <f>+scotiavar!B49+cbnavar!B49+sgbelvar!B49+capitalbkvar!B49+unibkvar!B49+bphvar!B49+sogebkvar!B49+bncvar!B49+buhvar!B49</f>
        <v>3053147.8252200005</v>
      </c>
      <c r="C49" s="321">
        <v>0</v>
      </c>
      <c r="D49" s="81">
        <f>+scotiavar!D49+cbnavar!D49+sgbelvar!D49+capitalbkvar!D49+unibkvar!D49+bphvar!D49+sogebkvar!D49+bncvar!D49+buhvar!D49</f>
        <v>0</v>
      </c>
      <c r="E49" s="321">
        <v>0</v>
      </c>
      <c r="F49" s="81">
        <f>+scotiavar!F49+cbnavar!F49+sgbelvar!F49+capitalbkvar!F49+unibkvar!F49+bphvar!F49+sogebkvar!F49+bncvar!F49+buhvar!F49</f>
        <v>0</v>
      </c>
      <c r="G49" s="321">
        <v>0</v>
      </c>
      <c r="H49" s="81">
        <f>+scotiavar!H49+cbnavar!H49+sgbelvar!H49+capitalbkvar!H49+unibkvar!H49+bphvar!H49+sogebkvar!H49+bncvar!H49+buhvar!H49</f>
        <v>0</v>
      </c>
      <c r="I49" s="999">
        <f t="shared" si="8"/>
        <v>5.4824441986296379E-2</v>
      </c>
      <c r="J49" s="81">
        <f>+scotiavar!J49+cbnavar!J49+sgbelvar!J49+capitalbkvar!J49+unibkvar!J49+bphvar!J49+sogebkvar!J49+bncvar!J49+buhvar!J49</f>
        <v>2894460.6359999999</v>
      </c>
      <c r="K49" s="999">
        <f t="shared" si="9"/>
        <v>0.18552812919105147</v>
      </c>
      <c r="L49" s="81">
        <f>+scotiavar!L49+cbnavar!L49+sgbelvar!L49+capitalbkvar!L49+unibkvar!L49+bphvar!L49+sogebkvar!L49+bncvar!L49+buhvar!L49</f>
        <v>2441494.6931500002</v>
      </c>
      <c r="M49" s="999">
        <f t="shared" si="10"/>
        <v>0.23717727654651108</v>
      </c>
      <c r="N49" s="81">
        <f>+scotiavar!N49+cbnavar!N49+sgbelvar!N49+capitalbkvar!N49+unibkvar!N49+bphvar!N49+sogebkvar!N49+bncvar!N49+buhvar!N49</f>
        <v>1973439.6512400003</v>
      </c>
      <c r="O49" s="999">
        <f t="shared" si="11"/>
        <v>0.15464002097351592</v>
      </c>
      <c r="P49" s="81">
        <f>+scotiavar!P49+cbnavar!P49+sgbelvar!P49+capitalbkvar!P49+unibkvar!P49+bphvar!P49+sogebkvar!P49+bncvar!P49+buhvar!P49</f>
        <v>1709138.4460900002</v>
      </c>
    </row>
    <row r="50" spans="1:21">
      <c r="A50" s="10" t="s">
        <v>281</v>
      </c>
      <c r="B50" s="81">
        <f>+scotiavar!B50+cbnavar!B50+sgbelvar!B50+capitalbkvar!B50+unibkvar!B50+bphvar!B50+sogebkvar!B50+bncvar!B50+buhvar!B50</f>
        <v>208035.65532000002</v>
      </c>
      <c r="C50" s="321">
        <v>0</v>
      </c>
      <c r="D50" s="81">
        <f>+scotiavar!D50+cbnavar!D50+sgbelvar!D50+capitalbkvar!D50+unibkvar!D50+bphvar!D50+sogebkvar!D50+bncvar!D50+buhvar!D50</f>
        <v>0</v>
      </c>
      <c r="E50" s="321">
        <v>0</v>
      </c>
      <c r="F50" s="81">
        <f>+scotiavar!F50+cbnavar!F50+sgbelvar!F50+capitalbkvar!F50+unibkvar!F50+bphvar!F50+sogebkvar!F50+bncvar!F50+buhvar!F50</f>
        <v>0</v>
      </c>
      <c r="G50" s="321">
        <v>0</v>
      </c>
      <c r="H50" s="81">
        <f>+scotiavar!H50+cbnavar!H50+sgbelvar!H50+capitalbkvar!H50+unibkvar!H50+bphvar!H50+sogebkvar!H50+bncvar!H50+buhvar!H50</f>
        <v>0</v>
      </c>
      <c r="I50" s="999">
        <f t="shared" si="8"/>
        <v>7.2103042195278012E-10</v>
      </c>
      <c r="J50" s="81">
        <f>+scotiavar!J50+cbnavar!J50+sgbelvar!J50+capitalbkvar!J50+unibkvar!J50+bphvar!J50+sogebkvar!J50+bncvar!J50+buhvar!J50</f>
        <v>208035.65516999998</v>
      </c>
      <c r="K50" s="999">
        <f t="shared" si="9"/>
        <v>-7.3386813179368598E-2</v>
      </c>
      <c r="L50" s="81">
        <f>+scotiavar!L50+cbnavar!L50+sgbelvar!L50+capitalbkvar!L50+unibkvar!L50+bphvar!L50+sogebkvar!L50+bncvar!L50+buhvar!L50</f>
        <v>224511.86550000001</v>
      </c>
      <c r="M50" s="999">
        <f t="shared" si="10"/>
        <v>2.2776352914667761E-2</v>
      </c>
      <c r="N50" s="81">
        <f>+scotiavar!N50+cbnavar!N50+sgbelvar!N50+capitalbkvar!N50+unibkvar!N50+bphvar!N50+sogebkvar!N50+bncvar!N50+buhvar!N50</f>
        <v>219512.17865000002</v>
      </c>
      <c r="O50" s="999">
        <f t="shared" si="11"/>
        <v>0</v>
      </c>
      <c r="P50" s="81">
        <f>+scotiavar!P50+cbnavar!P50+sgbelvar!P50+capitalbkvar!P50+unibkvar!P50+bphvar!P50+sogebkvar!P50+bncvar!P50+buhvar!P50</f>
        <v>219512.17865000002</v>
      </c>
    </row>
    <row r="51" spans="1:21" ht="18">
      <c r="A51" s="10" t="s">
        <v>282</v>
      </c>
      <c r="B51" s="217">
        <f>+scotiavar!B51+cbnavar!B51+sgbelvar!B51+capitalbkvar!B51+unibkvar!B51+bphvar!B51+sogebkvar!B51+bncvar!B51+buhvar!B51</f>
        <v>6225357.0574500002</v>
      </c>
      <c r="C51" s="321">
        <v>0</v>
      </c>
      <c r="D51" s="217">
        <f>+scotiavar!D51+cbnavar!D51+sgbelvar!D51+capitalbkvar!D51+unibkvar!D51+bphvar!D51+sogebkvar!D51+bncvar!D51+buhvar!D51</f>
        <v>0</v>
      </c>
      <c r="E51" s="321">
        <v>0</v>
      </c>
      <c r="F51" s="217">
        <f>+scotiavar!F51+cbnavar!F51+sgbelvar!F51+capitalbkvar!F51+unibkvar!F51+bphvar!F51+sogebkvar!F51+bncvar!F51+buhvar!F51</f>
        <v>0</v>
      </c>
      <c r="G51" s="321">
        <v>0</v>
      </c>
      <c r="H51" s="217">
        <f>+scotiavar!H51+cbnavar!H51+sgbelvar!H51+capitalbkvar!H51+unibkvar!H51+bphvar!H51+sogebkvar!H51+bncvar!H51+buhvar!H51</f>
        <v>0</v>
      </c>
      <c r="I51" s="999">
        <f t="shared" si="8"/>
        <v>0.10704024213688559</v>
      </c>
      <c r="J51" s="217">
        <f>+scotiavar!J51+cbnavar!J51+sgbelvar!J51+capitalbkvar!J51+unibkvar!J51+bphvar!J51+sogebkvar!J51+bncvar!J51+buhvar!J51</f>
        <v>5623424.3530599987</v>
      </c>
      <c r="K51" s="999">
        <f t="shared" si="9"/>
        <v>0.2437888242996776</v>
      </c>
      <c r="L51" s="217">
        <f>+scotiavar!L51+cbnavar!L51+sgbelvar!L51+capitalbkvar!L51+unibkvar!L51+bphvar!L51+sogebkvar!L51+bncvar!L51+buhvar!L51</f>
        <v>4521205.0817600004</v>
      </c>
      <c r="M51" s="999">
        <f t="shared" si="10"/>
        <v>-1.8697370715503175E-2</v>
      </c>
      <c r="N51" s="217">
        <f>+scotiavar!N51+cbnavar!N51+sgbelvar!N51+capitalbkvar!N51+unibkvar!N51+bphvar!N51+sogebkvar!N51+bncvar!N51+buhvar!N51</f>
        <v>4607350.4205900012</v>
      </c>
      <c r="O51" s="999">
        <f t="shared" si="11"/>
        <v>0.29697842653871853</v>
      </c>
      <c r="P51" s="217">
        <f>+scotiavar!P51+cbnavar!P51+sgbelvar!P51+capitalbkvar!P51+unibkvar!P51+bphvar!P51+sogebkvar!P51+bncvar!P51+buhvar!P51</f>
        <v>3552372.4422200006</v>
      </c>
      <c r="Q51" s="14"/>
      <c r="R51" s="14"/>
      <c r="S51" s="15"/>
      <c r="T51" s="15"/>
      <c r="U51" s="15"/>
    </row>
    <row r="52" spans="1:21" ht="16.5" thickBot="1">
      <c r="A52" s="10" t="s">
        <v>54</v>
      </c>
      <c r="B52" s="79">
        <f>SUM(B48:B51)</f>
        <v>15511053.53799</v>
      </c>
      <c r="C52" s="321">
        <v>0</v>
      </c>
      <c r="D52" s="79">
        <f>SUM(D48:D51)</f>
        <v>0</v>
      </c>
      <c r="E52" s="321">
        <v>0</v>
      </c>
      <c r="F52" s="79">
        <f>SUM(F48:F51)</f>
        <v>0</v>
      </c>
      <c r="G52" s="321">
        <v>0</v>
      </c>
      <c r="H52" s="79">
        <f>SUM(H48:H51)</f>
        <v>0</v>
      </c>
      <c r="I52" s="999">
        <f t="shared" si="8"/>
        <v>5.1562227312665965E-2</v>
      </c>
      <c r="J52" s="79">
        <f>SUM(J48:J51)</f>
        <v>14750485.644229997</v>
      </c>
      <c r="K52" s="999">
        <f t="shared" si="9"/>
        <v>0.12910158856248111</v>
      </c>
      <c r="L52" s="79">
        <f>SUM(L48:L51)</f>
        <v>13063913.64041</v>
      </c>
      <c r="M52" s="999">
        <f t="shared" si="10"/>
        <v>0.19663519145270492</v>
      </c>
      <c r="N52" s="79">
        <f>SUM(N48:N51)</f>
        <v>10917206.625480002</v>
      </c>
      <c r="O52" s="999">
        <f t="shared" si="11"/>
        <v>0.14864347712083972</v>
      </c>
      <c r="P52" s="79">
        <f>SUM(P48:P51)</f>
        <v>9504434.4419599995</v>
      </c>
    </row>
    <row r="53" spans="1:21">
      <c r="A53" s="86" t="s">
        <v>0</v>
      </c>
      <c r="B53" s="13">
        <f>(+B30+B36+B42+B44+B52)</f>
        <v>194800720.13478938</v>
      </c>
      <c r="C53" s="321">
        <v>0</v>
      </c>
      <c r="D53" s="13">
        <f>(+D30+D36+D42+D44+D52)</f>
        <v>0</v>
      </c>
      <c r="E53" s="321">
        <v>0</v>
      </c>
      <c r="F53" s="13">
        <f>(+F30+F36+F42+F44+F52)</f>
        <v>0</v>
      </c>
      <c r="G53" s="321">
        <v>0</v>
      </c>
      <c r="H53" s="13">
        <f>(+H30+H36+H42+H44+H52)</f>
        <v>0</v>
      </c>
      <c r="I53" s="999">
        <f t="shared" si="8"/>
        <v>1.5373905995176369E-3</v>
      </c>
      <c r="J53" s="13">
        <f>(+J30+J36+J42+J44+J52)</f>
        <v>194501695.05721816</v>
      </c>
      <c r="K53" s="1001">
        <f t="shared" si="9"/>
        <v>0.10555024343581811</v>
      </c>
      <c r="L53" s="13">
        <f>(+L30+L36+L42+L44+L52)</f>
        <v>175932026.80029061</v>
      </c>
      <c r="M53" s="1001">
        <f t="shared" si="10"/>
        <v>3.1522379819797421E-2</v>
      </c>
      <c r="N53" s="13">
        <f>(+N30+N36+N42+N44+N52)</f>
        <v>170555705.08419332</v>
      </c>
      <c r="O53" s="1001">
        <f t="shared" si="11"/>
        <v>0.10753834851667457</v>
      </c>
      <c r="P53" s="13">
        <f>(+P30+P36+P42+P44+P52)</f>
        <v>153995304.37263727</v>
      </c>
    </row>
    <row r="54" spans="1:21">
      <c r="C54" s="61"/>
      <c r="E54" s="61"/>
      <c r="G54" s="61"/>
      <c r="I54" s="1000"/>
      <c r="K54" s="1000"/>
      <c r="M54" s="1000"/>
      <c r="O54" s="1000"/>
    </row>
    <row r="55" spans="1:21">
      <c r="B55"/>
      <c r="C55" s="54"/>
      <c r="D55"/>
      <c r="E55" s="54"/>
      <c r="F55"/>
      <c r="G55" s="54"/>
      <c r="H55"/>
      <c r="I55" s="17"/>
      <c r="J55"/>
      <c r="K55" s="17"/>
      <c r="L55"/>
      <c r="M55" s="17"/>
      <c r="N55"/>
      <c r="O55" s="17"/>
      <c r="P55"/>
      <c r="Q55"/>
      <c r="R55"/>
    </row>
    <row r="56" spans="1:21">
      <c r="A56" s="166" t="s">
        <v>283</v>
      </c>
      <c r="B56"/>
      <c r="C56" s="54"/>
      <c r="D56"/>
      <c r="E56" s="54"/>
      <c r="F56"/>
      <c r="G56" s="54"/>
      <c r="H56"/>
      <c r="I56" s="17"/>
      <c r="J56"/>
      <c r="K56" s="17"/>
      <c r="L56"/>
      <c r="M56" s="17"/>
      <c r="N56"/>
      <c r="O56" s="17"/>
      <c r="P56"/>
      <c r="Q56"/>
      <c r="R56"/>
    </row>
    <row r="57" spans="1:21">
      <c r="A57" t="s">
        <v>284</v>
      </c>
      <c r="B57" s="81">
        <f>+scotiavar!B57+cbnavar!B57+sgbelvar!B57+capitalbkvar!B57+unibkvar!B57+bphvar!B57+sogebkvar!B57+bncvar!B57+buhvar!B57</f>
        <v>67629.882565999986</v>
      </c>
      <c r="C57" s="54" t="s">
        <v>0</v>
      </c>
      <c r="D57" s="81">
        <f>+scotiavar!D57+cbnavar!D57+sgbelvar!D57+capitalbkvar!D57+unibkvar!D57+bphvar!D57+sogebkvar!D57+bncvar!D57+buhvar!D57</f>
        <v>0</v>
      </c>
      <c r="E57" s="54" t="s">
        <v>0</v>
      </c>
      <c r="F57" s="81">
        <f>+scotiavar!F57+cbnavar!F57+sgbelvar!F57+capitalbkvar!F57+unibkvar!F57+bphvar!F57+sogebkvar!F57+bncvar!F57+buhvar!F57</f>
        <v>0</v>
      </c>
      <c r="G57" s="54" t="s">
        <v>0</v>
      </c>
      <c r="H57" s="81">
        <f>+scotiavar!H57+cbnavar!H57+sgbelvar!H57+capitalbkvar!H57+unibkvar!H57+bphvar!H57+sogebkvar!H57+bncvar!H57+buhvar!H57</f>
        <v>0</v>
      </c>
      <c r="I57" s="17"/>
      <c r="J57" s="81">
        <f>+scotiavar!J57+cbnavar!J57+sgbelvar!J57+capitalbkvar!J57+unibkvar!J57+bphvar!J57+sogebkvar!J57+bncvar!J57+buhvar!J57</f>
        <v>95422.988651913984</v>
      </c>
      <c r="K57" s="17"/>
      <c r="L57" s="81">
        <f>+scotiavar!L57+cbnavar!L57+sgbelvar!L57+capitalbkvar!L57+unibkvar!L57+bphvar!L57+sogebkvar!L57+bncvar!L57+buhvar!L57</f>
        <v>95041.617165185002</v>
      </c>
      <c r="M57" s="17"/>
      <c r="N57" s="81">
        <f>+scotiavar!N57+cbnavar!N57+sgbelvar!N57+capitalbkvar!N57+unibkvar!N57+bphvar!N57+sogebkvar!N57+bncvar!N57+buhvar!N57</f>
        <v>88153.820014290002</v>
      </c>
      <c r="O57" s="17"/>
      <c r="P57" s="81">
        <f>+scotiavar!P57+cbnavar!P57+sgbelvar!P57+capitalbkvar!P57+unibkvar!P57+bphvar!P57+sogebkvar!P57+bncvar!P57+buhvar!P57</f>
        <v>219823.68109</v>
      </c>
      <c r="Q57"/>
      <c r="R57"/>
    </row>
    <row r="58" spans="1:21">
      <c r="A58" t="s">
        <v>285</v>
      </c>
      <c r="B58" s="81">
        <f>+scotiavar!B58+cbnavar!B58+sgbelvar!B58+capitalbkvar!B58+unibkvar!B58+bphvar!B58+sogebkvar!B58+bncvar!B58+buhvar!B58</f>
        <v>1726530.598824569</v>
      </c>
      <c r="C58" s="54" t="s">
        <v>0</v>
      </c>
      <c r="D58" s="81">
        <f>+scotiavar!D58+cbnavar!D58+sgbelvar!D58+capitalbkvar!D58+unibkvar!D58+bphvar!D58+sogebkvar!D58+bncvar!D58+buhvar!D58</f>
        <v>0</v>
      </c>
      <c r="E58" s="54" t="s">
        <v>0</v>
      </c>
      <c r="F58" s="81">
        <f>+scotiavar!F58+cbnavar!F58+sgbelvar!F58+capitalbkvar!F58+unibkvar!F58+bphvar!F58+sogebkvar!F58+bncvar!F58+buhvar!F58</f>
        <v>0</v>
      </c>
      <c r="G58" s="54" t="s">
        <v>0</v>
      </c>
      <c r="H58" s="81">
        <f>+scotiavar!H58+cbnavar!H58+sgbelvar!H58+capitalbkvar!H58+unibkvar!H58+bphvar!H58+sogebkvar!H58+bncvar!H58+buhvar!H58</f>
        <v>0</v>
      </c>
      <c r="I58" s="321"/>
      <c r="J58" s="81">
        <f>+scotiavar!J58+cbnavar!J58+sgbelvar!J58+capitalbkvar!J58+unibkvar!J58+bphvar!J58+sogebkvar!J58+bncvar!J58+buhvar!J58</f>
        <v>1734232.8349955869</v>
      </c>
      <c r="K58" s="17"/>
      <c r="L58" s="81">
        <f>+scotiavar!L58+cbnavar!L58+sgbelvar!L58+capitalbkvar!L58+unibkvar!L58+bphvar!L58+sogebkvar!L58+bncvar!L58+buhvar!L58</f>
        <v>1396251.1047675719</v>
      </c>
      <c r="M58" s="17"/>
      <c r="N58" s="81">
        <f>+scotiavar!N58+cbnavar!N58+sgbelvar!N58+capitalbkvar!N58+unibkvar!N58+bphvar!N58+sogebkvar!N58+bncvar!N58+buhvar!N58</f>
        <v>1532939.698020654</v>
      </c>
      <c r="O58" s="17"/>
      <c r="P58" s="81">
        <f>+scotiavar!P58+cbnavar!P58+sgbelvar!P58+capitalbkvar!P58+unibkvar!P58+bphvar!P58+sogebkvar!P58+bncvar!P58+buhvar!P58</f>
        <v>1442347.3438794401</v>
      </c>
      <c r="Q58"/>
      <c r="R58"/>
    </row>
    <row r="59" spans="1:21">
      <c r="A59" t="s">
        <v>274</v>
      </c>
      <c r="B59" s="81">
        <f>+scotiavar!B59+cbnavar!B59+sgbelvar!B59+capitalbkvar!B59+unibkvar!B59+bphvar!B59+sogebkvar!B59+bncvar!B59+buhvar!B59</f>
        <v>13165089.637156544</v>
      </c>
      <c r="C59" s="54" t="s">
        <v>0</v>
      </c>
      <c r="D59" s="81">
        <f>+scotiavar!D59+cbnavar!D59+sgbelvar!D59+capitalbkvar!D59+unibkvar!D59+bphvar!D59+sogebkvar!D59+bncvar!D59+buhvar!D59</f>
        <v>0</v>
      </c>
      <c r="E59" s="54" t="s">
        <v>0</v>
      </c>
      <c r="F59" s="81">
        <f>+scotiavar!F59+cbnavar!F59+sgbelvar!F59+capitalbkvar!F59+unibkvar!F59+bphvar!F59+sogebkvar!F59+bncvar!F59+buhvar!F59</f>
        <v>0</v>
      </c>
      <c r="G59" s="54" t="s">
        <v>0</v>
      </c>
      <c r="H59" s="81">
        <f>+scotiavar!H59+cbnavar!H59+sgbelvar!H59+capitalbkvar!H59+unibkvar!H59+bphvar!H59+sogebkvar!H59+bncvar!H59+buhvar!H59</f>
        <v>0</v>
      </c>
      <c r="I59" s="321"/>
      <c r="J59" s="81">
        <f>+scotiavar!J59+cbnavar!J59+sgbelvar!J59+capitalbkvar!J59+unibkvar!J59+bphvar!J59+sogebkvar!J59+bncvar!J59+buhvar!J59</f>
        <v>12483174.905221095</v>
      </c>
      <c r="K59" s="17"/>
      <c r="L59" s="81">
        <f>+scotiavar!L59+cbnavar!L59+sgbelvar!L59+capitalbkvar!L59+unibkvar!L59+bphvar!L59+sogebkvar!L59+bncvar!L59+buhvar!L59</f>
        <v>8409571.2585974298</v>
      </c>
      <c r="M59" s="17"/>
      <c r="N59" s="81">
        <f>+scotiavar!N59+cbnavar!N59+sgbelvar!N59+capitalbkvar!N59+unibkvar!N59+bphvar!N59+sogebkvar!N59+bncvar!N59+buhvar!N59</f>
        <v>6828553.3393470151</v>
      </c>
      <c r="O59" s="17"/>
      <c r="P59" s="81">
        <f>+scotiavar!P59+cbnavar!P59+sgbelvar!P59+capitalbkvar!P59+unibkvar!P59+bphvar!P59+sogebkvar!P59+bncvar!P59+buhvar!P59</f>
        <v>23358815.421981815</v>
      </c>
      <c r="Q59"/>
      <c r="R59"/>
    </row>
    <row r="60" spans="1:21">
      <c r="B60"/>
      <c r="C60" s="54" t="s">
        <v>0</v>
      </c>
      <c r="D60"/>
      <c r="E60" s="54" t="s">
        <v>0</v>
      </c>
      <c r="F60"/>
      <c r="G60" s="54" t="s">
        <v>0</v>
      </c>
      <c r="H60"/>
      <c r="I60" s="17"/>
      <c r="J60"/>
      <c r="K60" s="17"/>
      <c r="L60"/>
      <c r="M60" s="17"/>
      <c r="N60"/>
      <c r="O60" s="17"/>
      <c r="P60"/>
      <c r="Q60"/>
      <c r="R60"/>
    </row>
    <row r="61" spans="1:21">
      <c r="A61" s="187" t="s">
        <v>286</v>
      </c>
      <c r="B61" s="81">
        <f>+scotiavar!B61+cbnavar!B61+sgbelvar!B61+capitalbkvar!B61+unibkvar!B61+bphvar!B61+sogebkvar!B61+bncvar!B61+buhvar!B61</f>
        <v>71462876.434937179</v>
      </c>
      <c r="C61" s="321">
        <v>0</v>
      </c>
      <c r="D61" s="81">
        <f>+scotiavar!D61+cbnavar!D61+sgbelvar!D61+capitalbkvar!D61+unibkvar!D61+bphvar!D61+sogebkvar!D61+bncvar!D61+buhvar!D61</f>
        <v>0</v>
      </c>
      <c r="E61" s="321">
        <v>0</v>
      </c>
      <c r="F61" s="81">
        <f>+scotiavar!F61+cbnavar!F61+sgbelvar!F61+capitalbkvar!F61+unibkvar!F61+bphvar!F61+sogebkvar!F61+bncvar!F61+buhvar!F61</f>
        <v>0</v>
      </c>
      <c r="G61" s="321">
        <v>0</v>
      </c>
      <c r="H61" s="81">
        <f>+scotiavar!H61+cbnavar!H61+sgbelvar!H61+capitalbkvar!H61+unibkvar!H61+bphvar!H61+sogebkvar!H61+bncvar!H61+buhvar!H61</f>
        <v>0</v>
      </c>
      <c r="I61" s="999">
        <f>+(B61-J61)/ABS(J61)</f>
        <v>2.5538360970274818E-2</v>
      </c>
      <c r="J61" s="81">
        <f>+scotiavar!J61+cbnavar!J61+sgbelvar!J61+capitalbkvar!J61+unibkvar!J61+bphvar!J61+sogebkvar!J61+bncvar!J61+buhvar!J61</f>
        <v>69683279.684755281</v>
      </c>
      <c r="K61" s="999">
        <f>+(J61-L61)/ABS(L61)</f>
        <v>0.10122079122672724</v>
      </c>
      <c r="L61" s="81">
        <f>+scotiavar!L61+cbnavar!L61+sgbelvar!L61+capitalbkvar!L61+unibkvar!L61+bphvar!L61+sogebkvar!L61+bncvar!L61+buhvar!L61</f>
        <v>63278209.274572611</v>
      </c>
      <c r="M61" s="999">
        <f>+(L61-N61)/ABS(N61)</f>
        <v>0.19162821972751853</v>
      </c>
      <c r="N61" s="81">
        <f>+scotiavar!N61+cbnavar!N61+sgbelvar!N61+capitalbkvar!N61+unibkvar!N61+bphvar!N61+sogebkvar!N61+bncvar!N61+buhvar!N61</f>
        <v>53102308.444022924</v>
      </c>
      <c r="O61" s="999">
        <f>+(N61-P61)/ABS(P61)</f>
        <v>0.32505368211032448</v>
      </c>
      <c r="P61" s="81">
        <f>+scotiavar!P61+cbnavar!P61+sgbelvar!P61+capitalbkvar!P61+unibkvar!P61+bphvar!P61+sogebkvar!P61+bncvar!P61+buhvar!P61</f>
        <v>40075590.265482999</v>
      </c>
      <c r="Q61"/>
      <c r="R61"/>
    </row>
    <row r="62" spans="1:21">
      <c r="A62" s="100" t="s">
        <v>225</v>
      </c>
      <c r="B62" s="81">
        <f>+scotiavar!B62+cbnavar!B62+sgbelvar!B62+capitalbkvar!B62+unibkvar!B62+bphvar!B62+sogebkvar!B62+bncvar!B62+buhvar!B62</f>
        <v>1670287.679081694</v>
      </c>
      <c r="C62" s="321">
        <v>0</v>
      </c>
      <c r="D62" s="81">
        <f>+scotiavar!D62+cbnavar!D62+sgbelvar!D62+capitalbkvar!D62+unibkvar!D62+bphvar!D62+sogebkvar!D62+bncvar!D62+buhvar!D62</f>
        <v>0</v>
      </c>
      <c r="E62" s="321">
        <v>0</v>
      </c>
      <c r="F62" s="81">
        <f>+scotiavar!F62+cbnavar!F62+sgbelvar!F62+capitalbkvar!F62+unibkvar!F62+bphvar!F62+sogebkvar!F62+bncvar!F62+buhvar!F62</f>
        <v>0</v>
      </c>
      <c r="G62" s="321">
        <v>0</v>
      </c>
      <c r="H62" s="81">
        <f>+scotiavar!H62+cbnavar!H62+sgbelvar!H62+capitalbkvar!H62+unibkvar!H62+bphvar!H62+sogebkvar!H62+bncvar!H62+buhvar!H62</f>
        <v>0</v>
      </c>
      <c r="I62" s="999">
        <f>+(B62-J62)/ABS(J62)</f>
        <v>0.10980262069192041</v>
      </c>
      <c r="J62" s="81">
        <f>+scotiavar!J62+cbnavar!J62+sgbelvar!J62+capitalbkvar!J62+unibkvar!J62+bphvar!J62+sogebkvar!J62+bncvar!J62+buhvar!J62</f>
        <v>1505031.2983044968</v>
      </c>
      <c r="K62" s="999">
        <f>+(J62-L62)/ABS(L62)</f>
        <v>0.35316649189559035</v>
      </c>
      <c r="L62" s="81">
        <f>+scotiavar!L62+cbnavar!L62+sgbelvar!L62+capitalbkvar!L62+unibkvar!L62+bphvar!L62+sogebkvar!L62+bncvar!L62+buhvar!L62</f>
        <v>1112229.21001847</v>
      </c>
      <c r="M62" s="999">
        <f>+(L62-N62)/ABS(N62)</f>
        <v>-0.10458776135581546</v>
      </c>
      <c r="N62" s="81">
        <f>+scotiavar!N62+cbnavar!N62+sgbelvar!N62+capitalbkvar!N62+unibkvar!N62+bphvar!N62+sogebkvar!N62+bncvar!N62+buhvar!N62</f>
        <v>1242142.0682194219</v>
      </c>
      <c r="O62" s="999">
        <f>+(N62-P62)/ABS(P62)</f>
        <v>-9.8777571695654806E-2</v>
      </c>
      <c r="P62" s="81">
        <f>+scotiavar!P62+cbnavar!P62+sgbelvar!P62+capitalbkvar!P62+unibkvar!P62+bphvar!P62+sogebkvar!P62+bncvar!P62+buhvar!P62</f>
        <v>1378285.7918399998</v>
      </c>
      <c r="Q62"/>
      <c r="R62"/>
    </row>
    <row r="63" spans="1:21">
      <c r="A63" s="187" t="s">
        <v>287</v>
      </c>
      <c r="B63" s="81">
        <f>+scotiavar!B63+cbnavar!B63+sgbelvar!B63+capitalbkvar!B63+unibkvar!B63+bphvar!B63+sogebkvar!B63+bncvar!B63+buhvar!B63</f>
        <v>3043320.3412478045</v>
      </c>
      <c r="C63" s="321">
        <v>0</v>
      </c>
      <c r="D63" s="81">
        <f>+scotiavar!D63+cbnavar!D63+sgbelvar!D63+capitalbkvar!D63+unibkvar!D63+bphvar!D63+sogebkvar!D63+bncvar!D63+buhvar!D63</f>
        <v>0</v>
      </c>
      <c r="E63" s="321">
        <v>0</v>
      </c>
      <c r="F63" s="1389">
        <f>+scotiavar!F63+cbnavar!F63+sgbelvar!F63+capitalbkvar!F63+unibkvar!F63+bphvar!F63+sogebkvar!F63+bncvar!F63+buhvar!F63</f>
        <v>0</v>
      </c>
      <c r="G63" s="321">
        <v>0</v>
      </c>
      <c r="H63" s="81">
        <f>+scotiavar!H63+cbnavar!H63+sgbelvar!H63+capitalbkvar!H63+unibkvar!H63+bphvar!H63+sogebkvar!H63+bncvar!H63+buhvar!H63</f>
        <v>0</v>
      </c>
      <c r="I63" s="999">
        <f>+(B63-J63)/ABS(J63)</f>
        <v>0.45756663498133665</v>
      </c>
      <c r="J63" s="81">
        <f>+scotiavar!J63+cbnavar!J63+sgbelvar!J63+capitalbkvar!J63+unibkvar!J63+bphvar!J63+sogebkvar!J63+bncvar!J63+buhvar!J63</f>
        <v>2087945.9423731749</v>
      </c>
      <c r="K63" s="999">
        <f>+(J63-L63)/ABS(L63)</f>
        <v>0.35518197658336442</v>
      </c>
      <c r="L63" s="81">
        <f>+scotiavar!L63+cbnavar!L63+sgbelvar!L63+capitalbkvar!L63+unibkvar!L63+bphvar!L63+sogebkvar!L63+bncvar!L63+buhvar!L63</f>
        <v>1540712.59687</v>
      </c>
      <c r="M63" s="999">
        <f>+(L63-N63)/ABS(N63)</f>
        <v>0.19891103060537393</v>
      </c>
      <c r="N63" s="81">
        <f>+scotiavar!N63+cbnavar!N63+sgbelvar!N63+capitalbkvar!N63+unibkvar!N63+bphvar!N63+sogebkvar!N63+bncvar!N63+buhvar!N63</f>
        <v>1285093.353501</v>
      </c>
      <c r="O63" s="999">
        <f>+(N63-P63)/ABS(P63)</f>
        <v>-0.13190282418919899</v>
      </c>
      <c r="P63" s="81">
        <f>+scotiavar!P63+cbnavar!P63+sgbelvar!P63+capitalbkvar!P63+unibkvar!P63+bphvar!P63+sogebkvar!P63+bncvar!P63+buhvar!P63</f>
        <v>1480356.5652667</v>
      </c>
      <c r="Q63"/>
      <c r="R63"/>
    </row>
    <row r="64" spans="1:21">
      <c r="B64"/>
      <c r="C64"/>
      <c r="D64"/>
      <c r="E64"/>
      <c r="F64"/>
      <c r="G64"/>
      <c r="H64"/>
      <c r="I64"/>
      <c r="J64"/>
      <c r="K64"/>
      <c r="L64"/>
      <c r="M64"/>
      <c r="N64"/>
      <c r="O64"/>
      <c r="P64"/>
      <c r="Q64"/>
      <c r="R64"/>
    </row>
    <row r="65" spans="1:18">
      <c r="B65" s="133"/>
      <c r="C65"/>
      <c r="D65"/>
      <c r="E65"/>
      <c r="F65" s="133" t="s">
        <v>0</v>
      </c>
      <c r="G65"/>
      <c r="H65"/>
      <c r="I65"/>
      <c r="J65"/>
      <c r="K65"/>
      <c r="L65"/>
      <c r="M65"/>
      <c r="N65"/>
      <c r="O65"/>
      <c r="P65"/>
      <c r="Q65"/>
      <c r="R65"/>
    </row>
    <row r="66" spans="1:18">
      <c r="B66" s="133" t="s">
        <v>0</v>
      </c>
      <c r="C66"/>
      <c r="D66" s="46" t="s">
        <v>0</v>
      </c>
      <c r="E66"/>
      <c r="F66" t="s">
        <v>0</v>
      </c>
      <c r="G66"/>
      <c r="H66"/>
      <c r="I66"/>
      <c r="J66"/>
      <c r="K66"/>
      <c r="L66"/>
      <c r="M66"/>
      <c r="N66"/>
      <c r="O66"/>
      <c r="P66"/>
      <c r="Q66"/>
      <c r="R66"/>
    </row>
    <row r="67" spans="1:18">
      <c r="B67"/>
      <c r="C67"/>
      <c r="D67"/>
      <c r="E67"/>
      <c r="F67"/>
      <c r="G67"/>
      <c r="H67"/>
      <c r="I67"/>
      <c r="J67"/>
      <c r="K67"/>
      <c r="L67"/>
      <c r="M67"/>
      <c r="N67"/>
      <c r="O67"/>
      <c r="P67"/>
      <c r="Q67"/>
      <c r="R67"/>
    </row>
    <row r="68" spans="1:18">
      <c r="A68" t="s">
        <v>681</v>
      </c>
      <c r="B68" s="668">
        <v>89648769</v>
      </c>
      <c r="C68" s="52"/>
      <c r="D68" s="668">
        <v>0</v>
      </c>
      <c r="E68" s="52"/>
      <c r="F68" s="668">
        <v>0</v>
      </c>
      <c r="G68" s="52"/>
      <c r="H68" s="668">
        <v>0</v>
      </c>
      <c r="I68" s="999">
        <f>+(B68-J68)/ABS(J68)</f>
        <v>-7.764207254054507E-3</v>
      </c>
      <c r="J68" s="668">
        <v>90350267.200000003</v>
      </c>
      <c r="K68" s="999">
        <f>+(J68-L68)/ABS(L68)</f>
        <v>0.12490637734457358</v>
      </c>
      <c r="L68" s="668">
        <v>80318032.700000003</v>
      </c>
      <c r="M68" s="999">
        <f>+(L68-N68)/ABS(N68)</f>
        <v>-0.13099920472578183</v>
      </c>
      <c r="N68" s="668">
        <v>92425729.799999997</v>
      </c>
      <c r="O68" s="999">
        <f>+(N68-P68)/ABS(P68)</f>
        <v>9.4194534686139544E-2</v>
      </c>
      <c r="P68" s="668">
        <v>84469193.429586574</v>
      </c>
      <c r="Q68" s="401"/>
      <c r="R68"/>
    </row>
    <row r="69" spans="1:18">
      <c r="B69" s="401"/>
      <c r="C69" s="401"/>
      <c r="D69" s="401"/>
      <c r="E69" s="401"/>
      <c r="F69" s="401" t="s">
        <v>0</v>
      </c>
      <c r="G69" s="401"/>
      <c r="H69" s="401"/>
      <c r="I69" s="401"/>
      <c r="J69" s="401"/>
      <c r="K69" s="401"/>
      <c r="L69" s="401"/>
      <c r="M69" s="401"/>
      <c r="N69" s="401"/>
      <c r="O69" s="401"/>
      <c r="P69" s="401"/>
      <c r="Q69" s="401"/>
      <c r="R69"/>
    </row>
    <row r="70" spans="1:18">
      <c r="B70" s="401"/>
      <c r="C70" s="401"/>
      <c r="D70" s="401"/>
      <c r="E70" s="401"/>
      <c r="F70" s="401" t="s">
        <v>0</v>
      </c>
      <c r="G70" s="401"/>
      <c r="H70" s="401"/>
      <c r="I70" s="401"/>
      <c r="J70" s="401"/>
      <c r="K70" s="401"/>
      <c r="L70" s="401"/>
      <c r="M70" s="401"/>
      <c r="N70" s="401"/>
      <c r="O70" s="401"/>
      <c r="P70" s="401"/>
      <c r="Q70" s="401"/>
      <c r="R70"/>
    </row>
    <row r="71" spans="1:18">
      <c r="B71" s="690" t="s">
        <v>0</v>
      </c>
      <c r="C71" s="690" t="s">
        <v>0</v>
      </c>
      <c r="D71" s="690" t="s">
        <v>680</v>
      </c>
      <c r="E71" s="690" t="s">
        <v>0</v>
      </c>
      <c r="F71" s="690" t="s">
        <v>769</v>
      </c>
      <c r="G71" s="690" t="s">
        <v>811</v>
      </c>
      <c r="H71" s="690" t="s">
        <v>845</v>
      </c>
      <c r="I71" s="1059" t="s">
        <v>889</v>
      </c>
      <c r="J71" s="1058" t="s">
        <v>959</v>
      </c>
      <c r="K71" s="1541" t="s">
        <v>0</v>
      </c>
      <c r="N71" s="401"/>
      <c r="O71" s="401"/>
      <c r="P71" s="401"/>
      <c r="Q71" s="401"/>
      <c r="R71"/>
    </row>
    <row r="72" spans="1:18">
      <c r="B72" s="401"/>
      <c r="C72" s="401"/>
      <c r="D72" s="401"/>
      <c r="E72" s="401"/>
      <c r="F72" s="401"/>
      <c r="G72" s="401"/>
      <c r="H72" s="401"/>
      <c r="I72" s="401"/>
      <c r="J72" s="401"/>
      <c r="K72" s="672"/>
      <c r="M72" s="1060"/>
      <c r="N72" s="401"/>
      <c r="O72" s="401"/>
      <c r="P72" s="401"/>
      <c r="Q72" s="401"/>
      <c r="R72"/>
    </row>
    <row r="73" spans="1:18">
      <c r="B73" s="668" t="s">
        <v>0</v>
      </c>
      <c r="C73" s="668" t="s">
        <v>0</v>
      </c>
      <c r="D73" s="697" t="s">
        <v>0</v>
      </c>
      <c r="E73" s="697" t="s">
        <v>0</v>
      </c>
      <c r="F73" s="668">
        <f>+P17</f>
        <v>6327919.5</v>
      </c>
      <c r="G73" s="668">
        <f>+N17</f>
        <v>6269459.7050000001</v>
      </c>
      <c r="H73" s="697">
        <f>+L17</f>
        <v>5944985</v>
      </c>
      <c r="I73" s="697">
        <f>+J17</f>
        <v>4508555</v>
      </c>
      <c r="J73" s="134">
        <f>+B17</f>
        <v>6608224</v>
      </c>
      <c r="K73" s="134">
        <v>0</v>
      </c>
      <c r="M73" s="1061">
        <f>+H17</f>
        <v>0</v>
      </c>
      <c r="N73" s="401"/>
      <c r="O73" s="401"/>
      <c r="P73" s="401"/>
      <c r="Q73" s="401"/>
      <c r="R73"/>
    </row>
    <row r="74" spans="1:18">
      <c r="B74" s="401"/>
      <c r="C74" s="401"/>
      <c r="D74" s="401"/>
      <c r="E74" s="401"/>
      <c r="F74" s="401"/>
      <c r="G74" s="401"/>
      <c r="H74" s="401"/>
      <c r="I74" s="401"/>
      <c r="J74" s="401"/>
      <c r="K74" s="401"/>
      <c r="L74" s="401"/>
      <c r="M74" s="401"/>
      <c r="N74" s="401"/>
      <c r="O74" s="401"/>
      <c r="P74" s="401"/>
      <c r="Q74" s="401"/>
      <c r="R74"/>
    </row>
    <row r="75" spans="1:18">
      <c r="B75"/>
      <c r="C75"/>
      <c r="D75"/>
      <c r="E75"/>
      <c r="F75"/>
      <c r="G75"/>
      <c r="H75"/>
      <c r="I75"/>
      <c r="J75"/>
      <c r="K75"/>
      <c r="L75"/>
      <c r="M75"/>
      <c r="N75"/>
      <c r="O75"/>
      <c r="P75"/>
      <c r="Q75"/>
      <c r="R75"/>
    </row>
    <row r="76" spans="1:18">
      <c r="B76"/>
      <c r="C76"/>
      <c r="D76"/>
      <c r="E76"/>
      <c r="F76"/>
      <c r="G76"/>
      <c r="H76"/>
      <c r="I76"/>
      <c r="J76"/>
      <c r="K76"/>
      <c r="L76" t="s">
        <v>0</v>
      </c>
      <c r="M76"/>
      <c r="N76"/>
      <c r="O76"/>
      <c r="P76"/>
      <c r="Q76"/>
      <c r="R76"/>
    </row>
    <row r="77" spans="1:18">
      <c r="B77"/>
      <c r="C77"/>
      <c r="D77"/>
      <c r="E77"/>
      <c r="F77"/>
      <c r="G77"/>
      <c r="H77"/>
      <c r="I77"/>
      <c r="J77"/>
      <c r="K77"/>
      <c r="L77"/>
      <c r="M77"/>
      <c r="N77"/>
      <c r="O77"/>
      <c r="P77"/>
      <c r="Q77"/>
      <c r="R77"/>
    </row>
    <row r="78" spans="1:18">
      <c r="B78"/>
      <c r="C78"/>
      <c r="D78"/>
      <c r="E78"/>
      <c r="F78"/>
      <c r="G78"/>
      <c r="H78"/>
      <c r="I78"/>
      <c r="J78"/>
      <c r="K78"/>
      <c r="L78"/>
      <c r="M78"/>
      <c r="N78"/>
      <c r="O78"/>
      <c r="P78"/>
      <c r="Q78"/>
      <c r="R78"/>
    </row>
    <row r="79" spans="1:18">
      <c r="B79"/>
      <c r="C79"/>
      <c r="D79"/>
      <c r="E79"/>
      <c r="F79"/>
      <c r="G79"/>
      <c r="H79"/>
      <c r="I79"/>
      <c r="J79"/>
      <c r="K79"/>
      <c r="L79"/>
      <c r="M79"/>
      <c r="N79"/>
      <c r="O79"/>
      <c r="P79"/>
      <c r="Q79"/>
      <c r="R79"/>
    </row>
    <row r="80" spans="1: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sheetData>
  <phoneticPr fontId="0" type="noConversion"/>
  <pageMargins left="0.2" right="0.25" top="0.57999999999999996" bottom="0.56999999999999995" header="0.44" footer="0.28999999999999998"/>
  <pageSetup scale="52" orientation="landscape" r:id="rId1"/>
  <headerFooter alignWithMargins="0">
    <oddFooter>&amp;R&amp;16&amp;P</oddFooter>
  </headerFooter>
</worksheet>
</file>

<file path=xl/worksheets/sheet34.xml><?xml version="1.0" encoding="utf-8"?>
<worksheet xmlns="http://schemas.openxmlformats.org/spreadsheetml/2006/main" xmlns:r="http://schemas.openxmlformats.org/officeDocument/2006/relationships">
  <sheetPr>
    <pageSetUpPr fitToPage="1"/>
  </sheetPr>
  <dimension ref="A1:U157"/>
  <sheetViews>
    <sheetView workbookViewId="0">
      <selection activeCell="B6" sqref="B6"/>
    </sheetView>
  </sheetViews>
  <sheetFormatPr baseColWidth="10" defaultColWidth="9" defaultRowHeight="15.75"/>
  <cols>
    <col min="1" max="1" width="33.25" customWidth="1"/>
    <col min="2" max="2" width="17.62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9.75" style="21" customWidth="1"/>
    <col min="18" max="18" width="15.75" style="20" customWidth="1"/>
    <col min="19" max="21" width="15.75" customWidth="1"/>
  </cols>
  <sheetData>
    <row r="1" spans="1:21">
      <c r="A1" s="111" t="s">
        <v>192</v>
      </c>
      <c r="B1" s="42"/>
      <c r="C1" s="43"/>
      <c r="D1" s="42"/>
      <c r="E1" s="43"/>
      <c r="F1" s="42"/>
      <c r="G1" s="43"/>
      <c r="H1" s="42"/>
      <c r="I1" s="43"/>
      <c r="J1" s="42"/>
      <c r="K1" s="43"/>
      <c r="L1" s="42"/>
      <c r="M1" s="43"/>
      <c r="N1" s="42"/>
      <c r="O1" s="43"/>
      <c r="P1" s="42"/>
      <c r="Q1" s="43"/>
    </row>
    <row r="2" spans="1:21">
      <c r="A2" s="111" t="s">
        <v>193</v>
      </c>
      <c r="B2" s="42"/>
      <c r="C2" s="43"/>
      <c r="D2" s="42"/>
      <c r="E2" s="43"/>
      <c r="F2" s="42"/>
      <c r="G2" s="43"/>
      <c r="H2" s="42"/>
      <c r="I2" s="43"/>
      <c r="J2" s="42"/>
      <c r="K2" s="43"/>
      <c r="L2" s="42"/>
      <c r="M2" s="43"/>
      <c r="N2" s="42"/>
      <c r="O2" s="43"/>
      <c r="P2" s="42"/>
      <c r="Q2" s="43"/>
    </row>
    <row r="3" spans="1:21">
      <c r="A3" s="111" t="s">
        <v>288</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5" spans="1:21" ht="16.5" thickBot="1">
      <c r="B5" s="215" t="s">
        <v>0</v>
      </c>
      <c r="C5" s="193"/>
      <c r="D5" s="194"/>
      <c r="E5" s="193"/>
      <c r="F5" s="194"/>
      <c r="G5" s="193"/>
      <c r="H5" s="194"/>
      <c r="J5" s="118" t="s">
        <v>195</v>
      </c>
      <c r="K5" s="207"/>
      <c r="L5" s="118"/>
      <c r="M5" s="207"/>
      <c r="N5" s="118"/>
      <c r="O5" s="207"/>
      <c r="P5" s="118"/>
      <c r="Q5" s="207"/>
    </row>
    <row r="6" spans="1:21" ht="16.5" thickBot="1">
      <c r="B6" s="200" t="str">
        <f>+somfinbilsys!B7</f>
        <v>Déc. 14</v>
      </c>
      <c r="C6" s="201" t="s">
        <v>289</v>
      </c>
      <c r="D6" s="202" t="str">
        <f>+somfinbilsys!D7</f>
        <v>Mars 15</v>
      </c>
      <c r="E6" s="201" t="s">
        <v>289</v>
      </c>
      <c r="F6" s="202" t="str">
        <f>+somfinbilsys!F7</f>
        <v>Juin 15</v>
      </c>
      <c r="G6" s="201" t="s">
        <v>289</v>
      </c>
      <c r="H6" s="202" t="str">
        <f>+somfinbilsys!H7</f>
        <v>Sept. 15</v>
      </c>
      <c r="I6" s="201" t="s">
        <v>289</v>
      </c>
      <c r="J6" s="205" t="str">
        <f>+somfinbilsys!J7</f>
        <v>2014</v>
      </c>
      <c r="K6" s="205" t="s">
        <v>289</v>
      </c>
      <c r="L6" s="205" t="str">
        <f>+somfinbilsys!L7</f>
        <v>2013</v>
      </c>
      <c r="M6" s="205" t="s">
        <v>289</v>
      </c>
      <c r="N6" s="205" t="str">
        <f>+somfinbilsys!N7</f>
        <v>2012</v>
      </c>
      <c r="O6" s="205" t="s">
        <v>289</v>
      </c>
      <c r="P6" s="205" t="str">
        <f>+somfinbilsys!P7</f>
        <v>2011</v>
      </c>
      <c r="Q6" s="204" t="s">
        <v>289</v>
      </c>
      <c r="R6" s="22"/>
      <c r="S6" s="17"/>
      <c r="T6" s="17"/>
      <c r="U6" s="17"/>
    </row>
    <row r="7" spans="1:21">
      <c r="A7" s="86" t="s">
        <v>244</v>
      </c>
      <c r="B7" s="210"/>
      <c r="C7" s="211"/>
      <c r="D7" s="212"/>
      <c r="E7" s="211"/>
      <c r="F7" s="212"/>
      <c r="G7" s="211"/>
      <c r="H7" s="212"/>
      <c r="I7" s="211"/>
      <c r="J7" s="212"/>
      <c r="K7" s="211"/>
      <c r="L7" s="212"/>
      <c r="M7" s="211"/>
      <c r="N7" s="212"/>
      <c r="O7" s="211"/>
      <c r="P7" s="212"/>
      <c r="Q7" s="211"/>
      <c r="R7" s="22"/>
      <c r="S7" s="17"/>
      <c r="T7" s="17"/>
      <c r="U7" s="17"/>
    </row>
    <row r="8" spans="1:21">
      <c r="A8" s="10" t="s">
        <v>255</v>
      </c>
      <c r="B8"/>
    </row>
    <row r="9" spans="1:21">
      <c r="A9" s="10" t="s">
        <v>256</v>
      </c>
      <c r="B9" s="20">
        <f>+somfinbilsys!B10</f>
        <v>9932553.3570258524</v>
      </c>
      <c r="C9" s="999">
        <f t="shared" ref="C9:C14" si="0">+B9/$B$22</f>
        <v>5.098827843133228E-2</v>
      </c>
      <c r="D9" s="20">
        <f>+somfinbilsys!D10</f>
        <v>0</v>
      </c>
      <c r="E9" s="321">
        <v>0</v>
      </c>
      <c r="F9" s="20">
        <f>+somfinbilsys!F10</f>
        <v>0</v>
      </c>
      <c r="G9" s="321">
        <v>0</v>
      </c>
      <c r="H9" s="20">
        <f>+somfinbilsys!H10</f>
        <v>0</v>
      </c>
      <c r="I9" s="321">
        <v>0</v>
      </c>
      <c r="J9" s="20">
        <f>+somfinbilsys!J10</f>
        <v>7997285.3394911401</v>
      </c>
      <c r="K9" s="999">
        <f t="shared" ref="K9:K14" si="1">+J9/$J$22</f>
        <v>4.1952599215343923E-2</v>
      </c>
      <c r="L9" s="20">
        <f>+somfinbilsys!L10</f>
        <v>6230349.448503105</v>
      </c>
      <c r="M9" s="999">
        <f t="shared" ref="M9:M14" si="2">+L9/$L$22</f>
        <v>3.5413389848655476E-2</v>
      </c>
      <c r="N9" s="20">
        <f>+somfinbilsys!N10</f>
        <v>5061573.1035012864</v>
      </c>
      <c r="O9" s="999">
        <f t="shared" ref="O9:O14" si="3">+N9/$N$22</f>
        <v>2.967694983387623E-2</v>
      </c>
      <c r="P9" s="20">
        <f>+somfinbilsys!P10</f>
        <v>4341463.4628813984</v>
      </c>
      <c r="Q9" s="999">
        <f t="shared" ref="Q9:Q14" si="4">+P9/$P$22</f>
        <v>2.8192180796838138E-2</v>
      </c>
    </row>
    <row r="10" spans="1:21">
      <c r="A10" s="10" t="s">
        <v>257</v>
      </c>
      <c r="B10" s="20">
        <f>+somfinbilsys!B11</f>
        <v>53570133.591419749</v>
      </c>
      <c r="C10" s="999">
        <f t="shared" si="0"/>
        <v>0.27499966916672736</v>
      </c>
      <c r="D10" s="20">
        <f>+somfinbilsys!D11</f>
        <v>0</v>
      </c>
      <c r="E10" s="321">
        <v>0</v>
      </c>
      <c r="F10" s="20">
        <f>+somfinbilsys!F11</f>
        <v>0</v>
      </c>
      <c r="G10" s="321">
        <v>0</v>
      </c>
      <c r="H10" s="20">
        <f>+somfinbilsys!H11</f>
        <v>0</v>
      </c>
      <c r="I10" s="321">
        <v>0</v>
      </c>
      <c r="J10" s="20">
        <f>+somfinbilsys!J11</f>
        <v>55151419.034258656</v>
      </c>
      <c r="K10" s="999">
        <f t="shared" si="1"/>
        <v>0.28931634682037805</v>
      </c>
      <c r="L10" s="20">
        <f>+somfinbilsys!L11</f>
        <v>52101131.538851365</v>
      </c>
      <c r="M10" s="999">
        <f t="shared" si="2"/>
        <v>0.29614353063048787</v>
      </c>
      <c r="N10" s="20">
        <f>+somfinbilsys!N11</f>
        <v>54214409.589591987</v>
      </c>
      <c r="O10" s="999">
        <f t="shared" si="3"/>
        <v>0.31786922380921229</v>
      </c>
      <c r="P10" s="20">
        <f>+somfinbilsys!P11</f>
        <v>50750275.732252695</v>
      </c>
      <c r="Q10" s="999">
        <f t="shared" si="4"/>
        <v>0.32955729356373969</v>
      </c>
    </row>
    <row r="11" spans="1:21">
      <c r="A11" s="10" t="s">
        <v>258</v>
      </c>
      <c r="B11" s="20">
        <f>+somfinbilsys!B12</f>
        <v>4771613.8671415038</v>
      </c>
      <c r="C11" s="999">
        <f t="shared" si="0"/>
        <v>2.4494847163596657E-2</v>
      </c>
      <c r="D11" s="20">
        <f>+somfinbilsys!D12</f>
        <v>0</v>
      </c>
      <c r="E11" s="321">
        <v>0</v>
      </c>
      <c r="F11" s="20">
        <f>+somfinbilsys!F12</f>
        <v>0</v>
      </c>
      <c r="G11" s="321">
        <v>0</v>
      </c>
      <c r="H11" s="20">
        <f>+somfinbilsys!H12</f>
        <v>0</v>
      </c>
      <c r="I11" s="321">
        <v>0</v>
      </c>
      <c r="J11" s="20">
        <f>+somfinbilsys!J12</f>
        <v>7258935.9127571108</v>
      </c>
      <c r="K11" s="999">
        <f t="shared" si="1"/>
        <v>3.8079325189757804E-2</v>
      </c>
      <c r="L11" s="20">
        <f>+somfinbilsys!L12</f>
        <v>6223831.0801632218</v>
      </c>
      <c r="M11" s="999">
        <f t="shared" si="2"/>
        <v>3.5376339355564293E-2</v>
      </c>
      <c r="N11" s="20">
        <f>+somfinbilsys!N12</f>
        <v>8130941.4528140808</v>
      </c>
      <c r="O11" s="999">
        <f t="shared" si="3"/>
        <v>4.7673230567475265E-2</v>
      </c>
      <c r="P11" s="20">
        <f>+somfinbilsys!P12</f>
        <v>11555470.085419221</v>
      </c>
      <c r="Q11" s="999">
        <f t="shared" si="4"/>
        <v>7.503780801701819E-2</v>
      </c>
    </row>
    <row r="12" spans="1:21">
      <c r="A12" s="10" t="s">
        <v>259</v>
      </c>
      <c r="B12" s="20">
        <f>+somfinbilsys!B13</f>
        <v>1954192.8783900484</v>
      </c>
      <c r="C12" s="999">
        <f t="shared" si="0"/>
        <v>1.003175387136449E-2</v>
      </c>
      <c r="D12" s="20">
        <f>+somfinbilsys!D13</f>
        <v>0</v>
      </c>
      <c r="E12" s="321">
        <v>0</v>
      </c>
      <c r="F12" s="20">
        <f>+somfinbilsys!F13</f>
        <v>0</v>
      </c>
      <c r="G12" s="321">
        <v>0</v>
      </c>
      <c r="H12" s="20">
        <f>+somfinbilsys!H13</f>
        <v>0</v>
      </c>
      <c r="I12" s="321">
        <v>0</v>
      </c>
      <c r="J12" s="20">
        <f>+somfinbilsys!J13</f>
        <v>1671052.9671335642</v>
      </c>
      <c r="K12" s="999">
        <f t="shared" si="1"/>
        <v>8.7661015484319857E-3</v>
      </c>
      <c r="L12" s="20">
        <f>+somfinbilsys!L13</f>
        <v>1162866.482049311</v>
      </c>
      <c r="M12" s="999">
        <f t="shared" si="2"/>
        <v>6.6097486844242546E-3</v>
      </c>
      <c r="N12" s="20">
        <f>+somfinbilsys!N13</f>
        <v>1749377.0649429201</v>
      </c>
      <c r="O12" s="999">
        <f t="shared" si="3"/>
        <v>1.0256924939191779E-2</v>
      </c>
      <c r="P12" s="20">
        <f>+somfinbilsys!P13</f>
        <v>1779544.440548467</v>
      </c>
      <c r="Q12" s="999">
        <f t="shared" si="4"/>
        <v>1.1555835729791814E-2</v>
      </c>
    </row>
    <row r="13" spans="1:21">
      <c r="A13" s="10" t="s">
        <v>260</v>
      </c>
      <c r="B13" s="199">
        <f>+somfinbilsys!B14</f>
        <v>1075726.7206573209</v>
      </c>
      <c r="C13" s="1002">
        <f t="shared" si="0"/>
        <v>5.5221906771939352E-3</v>
      </c>
      <c r="D13" s="199">
        <f>+somfinbilsys!D14</f>
        <v>0</v>
      </c>
      <c r="E13" s="1537">
        <v>0</v>
      </c>
      <c r="F13" s="217">
        <f>+somfinbilsys!F14</f>
        <v>0</v>
      </c>
      <c r="G13" s="1537">
        <v>0</v>
      </c>
      <c r="H13" s="199">
        <f>+somfinbilsys!H14</f>
        <v>0</v>
      </c>
      <c r="I13" s="1537">
        <v>0</v>
      </c>
      <c r="J13" s="199">
        <f>+somfinbilsys!J14</f>
        <v>1245656.783688609</v>
      </c>
      <c r="K13" s="1002">
        <f t="shared" si="1"/>
        <v>6.5345348562100619E-3</v>
      </c>
      <c r="L13" s="199">
        <f>+somfinbilsys!L14</f>
        <v>1447962.6548141581</v>
      </c>
      <c r="M13" s="1002">
        <f t="shared" si="2"/>
        <v>8.2302391551324211E-3</v>
      </c>
      <c r="N13" s="199">
        <f>+somfinbilsys!N14</f>
        <v>2127818.473177874</v>
      </c>
      <c r="O13" s="1002">
        <f t="shared" si="3"/>
        <v>1.2475797700207774E-2</v>
      </c>
      <c r="P13" s="199">
        <f>+somfinbilsys!P14</f>
        <v>1535110.8189060059</v>
      </c>
      <c r="Q13" s="1002">
        <f t="shared" si="4"/>
        <v>9.9685560225945078E-3</v>
      </c>
    </row>
    <row r="14" spans="1:21" ht="15.6" customHeight="1">
      <c r="A14" s="10"/>
      <c r="B14" s="20">
        <f>SUM(B9:B13)</f>
        <v>71304220.414634466</v>
      </c>
      <c r="C14" s="999">
        <f t="shared" si="0"/>
        <v>0.36603673931021469</v>
      </c>
      <c r="D14" s="20">
        <f>SUM(D9:D13)</f>
        <v>0</v>
      </c>
      <c r="E14" s="321">
        <v>0</v>
      </c>
      <c r="F14" s="20">
        <f>SUM(F9:F13)</f>
        <v>0</v>
      </c>
      <c r="G14" s="321">
        <v>0</v>
      </c>
      <c r="H14" s="20">
        <f>SUM(H9:H13)</f>
        <v>0</v>
      </c>
      <c r="I14" s="321">
        <v>0</v>
      </c>
      <c r="J14" s="20">
        <f>SUM(J9:J13)</f>
        <v>73324350.037329078</v>
      </c>
      <c r="K14" s="999">
        <f t="shared" si="1"/>
        <v>0.38464890763012183</v>
      </c>
      <c r="L14" s="20">
        <f>SUM(L9:L13)</f>
        <v>67166141.204381168</v>
      </c>
      <c r="M14" s="999">
        <f t="shared" si="2"/>
        <v>0.3817732476742644</v>
      </c>
      <c r="N14" s="20">
        <f>SUM(N9:N13)</f>
        <v>71284119.684028164</v>
      </c>
      <c r="O14" s="999">
        <f t="shared" si="3"/>
        <v>0.41795212684996347</v>
      </c>
      <c r="P14" s="20">
        <f>SUM(P9:P13)</f>
        <v>69961864.5400078</v>
      </c>
      <c r="Q14" s="999">
        <f t="shared" si="4"/>
        <v>0.45431167412998247</v>
      </c>
    </row>
    <row r="15" spans="1:21" ht="7.9" customHeight="1">
      <c r="A15" s="10"/>
      <c r="C15" s="999" t="s">
        <v>0</v>
      </c>
      <c r="E15" s="321" t="s">
        <v>0</v>
      </c>
      <c r="G15" s="321" t="s">
        <v>0</v>
      </c>
      <c r="I15" s="321" t="s">
        <v>0</v>
      </c>
      <c r="K15" s="999" t="s">
        <v>0</v>
      </c>
      <c r="M15" s="999" t="s">
        <v>0</v>
      </c>
      <c r="O15" s="999" t="s">
        <v>0</v>
      </c>
      <c r="Q15" s="999" t="s">
        <v>0</v>
      </c>
    </row>
    <row r="16" spans="1:21" ht="15.6" customHeight="1">
      <c r="A16" s="10" t="s">
        <v>261</v>
      </c>
      <c r="B16" s="20">
        <f>+somfinbilsys!B17</f>
        <v>6608224</v>
      </c>
      <c r="C16" s="999">
        <f t="shared" ref="C16:C22" si="5">+B16/$B$22</f>
        <v>3.3922995743111146E-2</v>
      </c>
      <c r="D16" s="20">
        <f>+somfinbilsys!D17</f>
        <v>0</v>
      </c>
      <c r="E16" s="321">
        <v>0</v>
      </c>
      <c r="F16" s="20">
        <f>+somfinbilsys!F17</f>
        <v>0</v>
      </c>
      <c r="G16" s="321">
        <v>0</v>
      </c>
      <c r="H16" s="20">
        <f>+somfinbilsys!H17</f>
        <v>0</v>
      </c>
      <c r="I16" s="321">
        <v>0</v>
      </c>
      <c r="J16" s="20">
        <f>+somfinbilsys!J17</f>
        <v>4508555</v>
      </c>
      <c r="K16" s="999">
        <f t="shared" ref="K16:K22" si="6">+J16/$J$22</f>
        <v>2.3651225750483236E-2</v>
      </c>
      <c r="L16" s="20">
        <f>+somfinbilsys!L17</f>
        <v>5944985</v>
      </c>
      <c r="M16" s="999">
        <f t="shared" ref="M16:M22" si="7">+L16/$L$22</f>
        <v>3.3791374495051991E-2</v>
      </c>
      <c r="N16" s="20">
        <f>+somfinbilsys!N17</f>
        <v>6269459.7050000001</v>
      </c>
      <c r="O16" s="999">
        <f t="shared" ref="O16:O22" si="8">+N16/$N$22</f>
        <v>3.6759014904297171E-2</v>
      </c>
      <c r="P16" s="20">
        <f>+somfinbilsys!P17</f>
        <v>6327919.5</v>
      </c>
      <c r="Q16" s="999">
        <f t="shared" ref="Q16:Q22" si="9">+P16/$P$22</f>
        <v>4.1091639291013685E-2</v>
      </c>
    </row>
    <row r="17" spans="1:17" ht="15.6" customHeight="1">
      <c r="A17" s="10" t="s">
        <v>909</v>
      </c>
      <c r="B17" s="20">
        <f>+somfinbilsys!B18</f>
        <v>2875000</v>
      </c>
      <c r="C17" s="999">
        <f t="shared" si="5"/>
        <v>1.4758672339412911E-2</v>
      </c>
      <c r="D17" s="20">
        <f>+somfinbilsys!D18</f>
        <v>0</v>
      </c>
      <c r="E17" s="321">
        <v>0</v>
      </c>
      <c r="F17" s="20">
        <f>+somfinbilsys!F18</f>
        <v>0</v>
      </c>
      <c r="G17" s="321">
        <v>0</v>
      </c>
      <c r="H17" s="20">
        <f>+somfinbilsys!H18</f>
        <v>0</v>
      </c>
      <c r="I17" s="321">
        <v>0</v>
      </c>
      <c r="J17" s="20">
        <v>0</v>
      </c>
      <c r="K17" s="999">
        <v>0</v>
      </c>
      <c r="L17" s="20">
        <v>0</v>
      </c>
      <c r="M17" s="999">
        <v>0</v>
      </c>
      <c r="N17" s="20">
        <v>0</v>
      </c>
      <c r="O17" s="999">
        <v>0</v>
      </c>
      <c r="P17" s="20">
        <v>0</v>
      </c>
      <c r="Q17" s="999">
        <v>0</v>
      </c>
    </row>
    <row r="18" spans="1:17">
      <c r="A18" s="10" t="s">
        <v>262</v>
      </c>
      <c r="B18" s="20">
        <f>+somfinbilsys!B19</f>
        <v>31695053.010273736</v>
      </c>
      <c r="C18" s="999">
        <f t="shared" si="5"/>
        <v>0.16270500944659233</v>
      </c>
      <c r="D18" s="20">
        <f>+somfinbilsys!D19</f>
        <v>0</v>
      </c>
      <c r="E18" s="321">
        <v>0</v>
      </c>
      <c r="F18" s="20">
        <f>+somfinbilsys!F19</f>
        <v>0</v>
      </c>
      <c r="G18" s="321">
        <v>0</v>
      </c>
      <c r="H18" s="20">
        <f>+somfinbilsys!H19</f>
        <v>0</v>
      </c>
      <c r="I18" s="321">
        <v>0</v>
      </c>
      <c r="J18" s="20">
        <f>+somfinbilsys!J19</f>
        <v>32859964.59549759</v>
      </c>
      <c r="K18" s="999">
        <f t="shared" si="6"/>
        <v>0.17237860928856363</v>
      </c>
      <c r="L18" s="20">
        <f>+somfinbilsys!L19</f>
        <v>30551969.663286697</v>
      </c>
      <c r="M18" s="999">
        <f t="shared" si="7"/>
        <v>0.17365780543661394</v>
      </c>
      <c r="N18" s="20">
        <f>+somfinbilsys!N19</f>
        <v>30318723.156146772</v>
      </c>
      <c r="O18" s="999">
        <f t="shared" si="8"/>
        <v>0.17776434474684272</v>
      </c>
      <c r="P18" s="20">
        <f>+somfinbilsys!P19</f>
        <v>29666558.118282385</v>
      </c>
      <c r="Q18" s="999">
        <f t="shared" si="9"/>
        <v>0.19264586175635665</v>
      </c>
    </row>
    <row r="19" spans="1:17">
      <c r="A19" s="10" t="s">
        <v>263</v>
      </c>
      <c r="B19" s="20">
        <f>+somfinbilsys!B20</f>
        <v>69792588.755855486</v>
      </c>
      <c r="C19" s="999">
        <f t="shared" si="5"/>
        <v>0.3582768518841965</v>
      </c>
      <c r="D19" s="20">
        <f>+somfinbilsys!D20</f>
        <v>0</v>
      </c>
      <c r="E19" s="321">
        <v>0</v>
      </c>
      <c r="F19" s="20">
        <f>+somfinbilsys!F20</f>
        <v>0</v>
      </c>
      <c r="G19" s="321">
        <v>0</v>
      </c>
      <c r="H19" s="20">
        <f>+somfinbilsys!H20</f>
        <v>0</v>
      </c>
      <c r="I19" s="321">
        <v>0</v>
      </c>
      <c r="J19" s="20">
        <f>+somfinbilsys!J20</f>
        <v>68178247.386450782</v>
      </c>
      <c r="K19" s="999">
        <f t="shared" si="6"/>
        <v>0.35765319935306128</v>
      </c>
      <c r="L19" s="20">
        <f>+somfinbilsys!L20</f>
        <v>62165980.086414151</v>
      </c>
      <c r="M19" s="999">
        <f t="shared" si="7"/>
        <v>0.35335226479998944</v>
      </c>
      <c r="N19" s="20">
        <f>+somfinbilsys!N20</f>
        <v>51860165.975803487</v>
      </c>
      <c r="O19" s="999">
        <f t="shared" si="8"/>
        <v>0.30406585315853552</v>
      </c>
      <c r="P19" s="20">
        <f>+somfinbilsys!P20</f>
        <v>38697304.487296335</v>
      </c>
      <c r="Q19" s="999">
        <f t="shared" si="9"/>
        <v>0.25128886003156425</v>
      </c>
    </row>
    <row r="20" spans="1:17">
      <c r="A20" s="10" t="s">
        <v>264</v>
      </c>
      <c r="B20" s="20">
        <f>+somfinbilsys!B21</f>
        <v>6435815.63215</v>
      </c>
      <c r="C20" s="999">
        <f t="shared" si="5"/>
        <v>3.3037945791921194E-2</v>
      </c>
      <c r="D20" s="20">
        <f>+somfinbilsys!D21</f>
        <v>0</v>
      </c>
      <c r="E20" s="321">
        <v>0</v>
      </c>
      <c r="F20" s="20">
        <f>+somfinbilsys!F21</f>
        <v>0</v>
      </c>
      <c r="G20" s="321">
        <v>0</v>
      </c>
      <c r="H20" s="20">
        <f>+somfinbilsys!H21</f>
        <v>0</v>
      </c>
      <c r="I20" s="321">
        <v>0</v>
      </c>
      <c r="J20" s="20">
        <f>+somfinbilsys!J21</f>
        <v>6250547.100589999</v>
      </c>
      <c r="K20" s="999">
        <f t="shared" si="6"/>
        <v>3.278946370623903E-2</v>
      </c>
      <c r="L20" s="20">
        <f>+somfinbilsys!L21</f>
        <v>5415184.0619699992</v>
      </c>
      <c r="M20" s="999">
        <f t="shared" si="7"/>
        <v>3.0779978855735562E-2</v>
      </c>
      <c r="N20" s="20">
        <f>+somfinbilsys!N21</f>
        <v>4948839.4420800004</v>
      </c>
      <c r="O20" s="999">
        <f t="shared" si="8"/>
        <v>2.9015971291004958E-2</v>
      </c>
      <c r="P20" s="20">
        <f>+somfinbilsys!P21</f>
        <v>4365832.7358199991</v>
      </c>
      <c r="Q20" s="999">
        <f t="shared" si="9"/>
        <v>2.8350427654020384E-2</v>
      </c>
    </row>
    <row r="21" spans="1:17" ht="16.5" thickBot="1">
      <c r="A21" s="10" t="s">
        <v>265</v>
      </c>
      <c r="B21" s="97">
        <f>+somfinbilsys!B22</f>
        <v>6089818.3251936156</v>
      </c>
      <c r="C21" s="1003">
        <f t="shared" si="5"/>
        <v>3.126178548455126E-2</v>
      </c>
      <c r="D21" s="97">
        <f>+somfinbilsys!D22</f>
        <v>0</v>
      </c>
      <c r="E21" s="1538">
        <v>0</v>
      </c>
      <c r="F21" s="79">
        <f>+somfinbilsys!F22</f>
        <v>0</v>
      </c>
      <c r="G21" s="1538">
        <v>0</v>
      </c>
      <c r="H21" s="97">
        <f>+somfinbilsys!H22</f>
        <v>0</v>
      </c>
      <c r="I21" s="1538">
        <v>0</v>
      </c>
      <c r="J21" s="97">
        <f>+somfinbilsys!J22</f>
        <v>5505030.9852639418</v>
      </c>
      <c r="K21" s="1003">
        <f t="shared" si="6"/>
        <v>2.8878594271531041E-2</v>
      </c>
      <c r="L21" s="97">
        <f>+somfinbilsys!L22</f>
        <v>4687766.6871089544</v>
      </c>
      <c r="M21" s="1003">
        <f t="shared" si="7"/>
        <v>2.6645328738344656E-2</v>
      </c>
      <c r="N21" s="97">
        <f>+somfinbilsys!N22</f>
        <v>5874397.1156185735</v>
      </c>
      <c r="O21" s="1003">
        <f t="shared" si="8"/>
        <v>3.4442689049356198E-2</v>
      </c>
      <c r="P21" s="97">
        <f>+somfinbilsys!P22</f>
        <v>4975824.9963346524</v>
      </c>
      <c r="Q21" s="1003">
        <f t="shared" si="9"/>
        <v>3.2311537137062668E-2</v>
      </c>
    </row>
    <row r="22" spans="1:17">
      <c r="A22" s="10" t="s">
        <v>54</v>
      </c>
      <c r="B22" s="13">
        <f>SUM(B14:B21)</f>
        <v>194800720.1381073</v>
      </c>
      <c r="C22" s="1001">
        <f t="shared" si="5"/>
        <v>1</v>
      </c>
      <c r="D22" s="13">
        <f>SUM(D14:D21)</f>
        <v>0</v>
      </c>
      <c r="E22" s="55">
        <v>0</v>
      </c>
      <c r="F22" s="13">
        <f>SUM(F14:F21)</f>
        <v>0</v>
      </c>
      <c r="G22" s="1540">
        <v>0</v>
      </c>
      <c r="H22" s="13">
        <f>SUM(H14:H21)</f>
        <v>0</v>
      </c>
      <c r="I22" s="55">
        <v>0</v>
      </c>
      <c r="J22" s="13">
        <f>SUM(J14:J21)</f>
        <v>190626695.10513139</v>
      </c>
      <c r="K22" s="1001">
        <f t="shared" si="6"/>
        <v>1</v>
      </c>
      <c r="L22" s="13">
        <f>SUM(L14:L21)</f>
        <v>175932026.70316097</v>
      </c>
      <c r="M22" s="1001">
        <f t="shared" si="7"/>
        <v>1</v>
      </c>
      <c r="N22" s="13">
        <f>SUM(N14:N21)</f>
        <v>170555705.078677</v>
      </c>
      <c r="O22" s="1001">
        <f t="shared" si="8"/>
        <v>1</v>
      </c>
      <c r="P22" s="13">
        <f>SUM(P14:P21)</f>
        <v>153995304.37774116</v>
      </c>
      <c r="Q22" s="1001">
        <f t="shared" si="9"/>
        <v>1</v>
      </c>
    </row>
    <row r="23" spans="1:17" ht="15.6" customHeight="1">
      <c r="A23" s="10"/>
      <c r="C23" s="62" t="s">
        <v>0</v>
      </c>
      <c r="E23" s="321" t="s">
        <v>0</v>
      </c>
      <c r="G23" s="321" t="s">
        <v>0</v>
      </c>
      <c r="I23" s="321" t="s">
        <v>0</v>
      </c>
      <c r="K23" s="999" t="s">
        <v>0</v>
      </c>
      <c r="M23" s="999" t="s">
        <v>0</v>
      </c>
      <c r="O23" s="999" t="s">
        <v>0</v>
      </c>
      <c r="Q23" s="999" t="s">
        <v>0</v>
      </c>
    </row>
    <row r="24" spans="1:17">
      <c r="A24" s="86" t="s">
        <v>266</v>
      </c>
      <c r="C24" s="62" t="s">
        <v>0</v>
      </c>
      <c r="D24" s="12" t="s">
        <v>0</v>
      </c>
      <c r="E24" s="321" t="s">
        <v>0</v>
      </c>
      <c r="G24" s="321" t="s">
        <v>0</v>
      </c>
      <c r="I24" s="321" t="s">
        <v>0</v>
      </c>
      <c r="K24" s="999" t="s">
        <v>0</v>
      </c>
      <c r="M24" s="999" t="s">
        <v>0</v>
      </c>
      <c r="O24" s="999" t="s">
        <v>0</v>
      </c>
      <c r="Q24" s="999" t="s">
        <v>0</v>
      </c>
    </row>
    <row r="25" spans="1:17">
      <c r="A25" s="10" t="s">
        <v>267</v>
      </c>
      <c r="C25" s="62" t="s">
        <v>0</v>
      </c>
      <c r="E25" s="321" t="s">
        <v>0</v>
      </c>
      <c r="G25" s="321" t="s">
        <v>0</v>
      </c>
      <c r="I25" s="321" t="s">
        <v>0</v>
      </c>
      <c r="K25" s="999" t="s">
        <v>0</v>
      </c>
      <c r="M25" s="999" t="s">
        <v>0</v>
      </c>
      <c r="O25" s="999" t="s">
        <v>0</v>
      </c>
      <c r="Q25" s="999" t="s">
        <v>0</v>
      </c>
    </row>
    <row r="26" spans="1:17">
      <c r="A26" s="10" t="s">
        <v>268</v>
      </c>
      <c r="B26" s="20">
        <f>+somfinbilsys!B27</f>
        <v>74442958.889613301</v>
      </c>
      <c r="C26" s="999">
        <f>+B26/$B$22</f>
        <v>0.38214930025328292</v>
      </c>
      <c r="D26" s="20">
        <f>+somfinbilsys!D27</f>
        <v>0</v>
      </c>
      <c r="E26" s="321">
        <v>0</v>
      </c>
      <c r="F26" s="20">
        <f>+somfinbilsys!F27</f>
        <v>0</v>
      </c>
      <c r="G26" s="321">
        <v>0</v>
      </c>
      <c r="H26" s="20">
        <f>+somfinbilsys!H27</f>
        <v>0</v>
      </c>
      <c r="I26" s="321">
        <v>0</v>
      </c>
      <c r="J26" s="20">
        <f>+somfinbilsys!J27</f>
        <v>75847921.487021178</v>
      </c>
      <c r="K26" s="999">
        <f>+J26/$J$22</f>
        <v>0.39788719751549356</v>
      </c>
      <c r="L26" s="20">
        <f>+somfinbilsys!L27</f>
        <v>71460294.970017448</v>
      </c>
      <c r="M26" s="999">
        <f>+L26/$L$22</f>
        <v>0.40618127528643722</v>
      </c>
      <c r="N26" s="20">
        <f>+somfinbilsys!N27</f>
        <v>76669189.952210054</v>
      </c>
      <c r="O26" s="999">
        <f>+N26/$N$22</f>
        <v>0.44952580106800127</v>
      </c>
      <c r="P26" s="20">
        <f>+somfinbilsys!P27</f>
        <v>68461388.317154616</v>
      </c>
      <c r="Q26" s="999">
        <f>+P26/$P$22</f>
        <v>0.44456802493940317</v>
      </c>
    </row>
    <row r="27" spans="1:17">
      <c r="A27" s="10" t="s">
        <v>269</v>
      </c>
      <c r="B27" s="20">
        <f>+somfinbilsys!B28</f>
        <v>56283904.958394691</v>
      </c>
      <c r="C27" s="999">
        <f>+B27/$B$22</f>
        <v>0.2889306821786452</v>
      </c>
      <c r="D27" s="20">
        <f>+somfinbilsys!D28</f>
        <v>0</v>
      </c>
      <c r="E27" s="321">
        <v>0</v>
      </c>
      <c r="F27" s="20">
        <f>+somfinbilsys!F28</f>
        <v>0</v>
      </c>
      <c r="G27" s="321">
        <v>0</v>
      </c>
      <c r="H27" s="20">
        <f>+somfinbilsys!H28</f>
        <v>0</v>
      </c>
      <c r="I27" s="321">
        <v>0</v>
      </c>
      <c r="J27" s="20">
        <f>+somfinbilsys!J28</f>
        <v>55250784.618209891</v>
      </c>
      <c r="K27" s="999">
        <f>+J27/$J$22</f>
        <v>0.28983760426491612</v>
      </c>
      <c r="L27" s="20">
        <f>+somfinbilsys!L28</f>
        <v>52000430.117595628</v>
      </c>
      <c r="M27" s="999">
        <f>+L27/$L$22</f>
        <v>0.2955711424011086</v>
      </c>
      <c r="N27" s="20">
        <f>+somfinbilsys!N28</f>
        <v>50385399.997398451</v>
      </c>
      <c r="O27" s="999">
        <f>+N27/$N$22</f>
        <v>0.29541902438359224</v>
      </c>
      <c r="P27" s="20">
        <f>+somfinbilsys!P28</f>
        <v>47996856.918724276</v>
      </c>
      <c r="Q27" s="999">
        <f>+P27/$P$22</f>
        <v>0.31167740544212241</v>
      </c>
    </row>
    <row r="28" spans="1:17">
      <c r="A28" s="10" t="s">
        <v>270</v>
      </c>
      <c r="B28" s="199">
        <f>+somfinbilsys!B29</f>
        <v>27834231.97315377</v>
      </c>
      <c r="C28" s="1002">
        <f>+B28/$B$22</f>
        <v>0.1428856728733868</v>
      </c>
      <c r="D28" s="199">
        <f>+somfinbilsys!D29</f>
        <v>0</v>
      </c>
      <c r="E28" s="1537">
        <v>0</v>
      </c>
      <c r="F28" s="217">
        <f>+somfinbilsys!F29</f>
        <v>0</v>
      </c>
      <c r="G28" s="1537">
        <v>0</v>
      </c>
      <c r="H28" s="217">
        <f>+somfinbilsys!H29</f>
        <v>0</v>
      </c>
      <c r="I28" s="1537">
        <v>0</v>
      </c>
      <c r="J28" s="199">
        <f>+somfinbilsys!J29</f>
        <v>26450416.386426341</v>
      </c>
      <c r="K28" s="1002">
        <f>+J28/$J$22</f>
        <v>0.13875504882376957</v>
      </c>
      <c r="L28" s="199">
        <f>+somfinbilsys!L29</f>
        <v>22185221.178027451</v>
      </c>
      <c r="M28" s="1002">
        <f>+L28/$L$22</f>
        <v>0.1261010948021373</v>
      </c>
      <c r="N28" s="199">
        <f>+somfinbilsys!N29</f>
        <v>19783505.000297293</v>
      </c>
      <c r="O28" s="1002">
        <f>+N28/$N$22</f>
        <v>0.11599439016813423</v>
      </c>
      <c r="P28" s="199">
        <f>+somfinbilsys!P29</f>
        <v>19090750.8216477</v>
      </c>
      <c r="Q28" s="1002">
        <f>+P28/$P$22</f>
        <v>0.12396969439288386</v>
      </c>
    </row>
    <row r="29" spans="1:17">
      <c r="A29" s="10"/>
      <c r="B29" s="20">
        <f>SUM(B26:B28)</f>
        <v>158561095.82116175</v>
      </c>
      <c r="C29" s="999">
        <f>+B29/$B$22</f>
        <v>0.81396565530531484</v>
      </c>
      <c r="D29" s="20">
        <f>SUM(D26:D28)</f>
        <v>0</v>
      </c>
      <c r="E29" s="321">
        <v>0</v>
      </c>
      <c r="F29" s="20">
        <f>SUM(F26:F28)</f>
        <v>0</v>
      </c>
      <c r="G29" s="321">
        <v>0</v>
      </c>
      <c r="H29" s="20">
        <f>SUM(H26:H28)</f>
        <v>0</v>
      </c>
      <c r="I29" s="321">
        <v>0</v>
      </c>
      <c r="J29" s="20">
        <f>SUM(J26:J28)</f>
        <v>157549122.49165741</v>
      </c>
      <c r="K29" s="999">
        <f>+J29/$J$22</f>
        <v>0.82647985060417917</v>
      </c>
      <c r="L29" s="20">
        <f>SUM(L26:L28)</f>
        <v>145645946.26564053</v>
      </c>
      <c r="M29" s="999">
        <f>+L29/$L$22</f>
        <v>0.82785351248968309</v>
      </c>
      <c r="N29" s="20">
        <f>SUM(N26:N28)</f>
        <v>146838094.94990581</v>
      </c>
      <c r="O29" s="999">
        <f>+N29/$N$22</f>
        <v>0.86093921561972786</v>
      </c>
      <c r="P29" s="20">
        <f>SUM(P26:P28)</f>
        <v>135548996.05752659</v>
      </c>
      <c r="Q29" s="999">
        <f>+P29/$P$22</f>
        <v>0.88021512477440944</v>
      </c>
    </row>
    <row r="30" spans="1:17" ht="7.9" customHeight="1">
      <c r="A30" s="10"/>
      <c r="C30" s="999" t="s">
        <v>0</v>
      </c>
      <c r="E30" s="321" t="s">
        <v>0</v>
      </c>
      <c r="G30" s="321" t="s">
        <v>0</v>
      </c>
      <c r="I30" s="321" t="s">
        <v>0</v>
      </c>
      <c r="K30" s="999" t="s">
        <v>0</v>
      </c>
      <c r="M30" s="999" t="s">
        <v>0</v>
      </c>
      <c r="O30" s="999" t="s">
        <v>0</v>
      </c>
      <c r="Q30" s="999" t="s">
        <v>0</v>
      </c>
    </row>
    <row r="31" spans="1:17">
      <c r="A31" s="10" t="s">
        <v>271</v>
      </c>
      <c r="C31" s="999" t="s">
        <v>0</v>
      </c>
      <c r="E31" s="321" t="s">
        <v>0</v>
      </c>
      <c r="G31" s="321" t="s">
        <v>0</v>
      </c>
      <c r="I31" s="321" t="s">
        <v>0</v>
      </c>
      <c r="K31" s="999" t="s">
        <v>0</v>
      </c>
      <c r="M31" s="999" t="s">
        <v>0</v>
      </c>
      <c r="O31" s="999" t="s">
        <v>0</v>
      </c>
      <c r="Q31" s="999" t="s">
        <v>0</v>
      </c>
    </row>
    <row r="32" spans="1:17">
      <c r="A32" s="10" t="s">
        <v>272</v>
      </c>
      <c r="B32" s="20">
        <f>+somfinbilsys!B33</f>
        <v>300000</v>
      </c>
      <c r="C32" s="999">
        <f>+B32/$B$22</f>
        <v>1.5400353745474342E-3</v>
      </c>
      <c r="D32" s="20">
        <f>+somfinbilsys!D33</f>
        <v>0</v>
      </c>
      <c r="E32" s="321">
        <v>0</v>
      </c>
      <c r="F32" s="20">
        <f>+somfinbilsys!F33</f>
        <v>0</v>
      </c>
      <c r="G32" s="321">
        <v>0</v>
      </c>
      <c r="H32" s="20">
        <f>+somfinbilsys!H33</f>
        <v>0</v>
      </c>
      <c r="I32" s="321">
        <v>0</v>
      </c>
      <c r="J32" s="20">
        <f>+somfinbilsys!J33</f>
        <v>300000</v>
      </c>
      <c r="K32" s="999">
        <f>+J32/$J$22</f>
        <v>1.5737564974021546E-3</v>
      </c>
      <c r="L32" s="20">
        <f>+somfinbilsys!L33</f>
        <v>200000</v>
      </c>
      <c r="M32" s="999">
        <f>+L32/$L$22</f>
        <v>1.1368026831035569E-3</v>
      </c>
      <c r="N32" s="20">
        <f>+somfinbilsys!N33</f>
        <v>200000</v>
      </c>
      <c r="O32" s="999">
        <f>+N32/$N$22</f>
        <v>1.1726374084510419E-3</v>
      </c>
      <c r="P32" s="20">
        <f>+somfinbilsys!P33</f>
        <v>320000</v>
      </c>
      <c r="Q32" s="999">
        <f>+P32/$P$22</f>
        <v>2.0779854378875045E-3</v>
      </c>
    </row>
    <row r="33" spans="1:21">
      <c r="A33" s="10" t="s">
        <v>273</v>
      </c>
      <c r="B33" s="20">
        <f>+somfinbilsys!B34</f>
        <v>140243</v>
      </c>
      <c r="C33" s="999">
        <f>+B33/$B$22</f>
        <v>7.1993060344218611E-4</v>
      </c>
      <c r="D33" s="20">
        <f>+somfinbilsys!D34</f>
        <v>0</v>
      </c>
      <c r="E33" s="321">
        <v>0</v>
      </c>
      <c r="F33" s="20">
        <f>+somfinbilsys!F34</f>
        <v>0</v>
      </c>
      <c r="G33" s="321">
        <v>0</v>
      </c>
      <c r="H33" s="20">
        <f>+somfinbilsys!H34</f>
        <v>0</v>
      </c>
      <c r="I33" s="321">
        <v>0</v>
      </c>
      <c r="J33" s="20">
        <f>+somfinbilsys!J34</f>
        <v>0</v>
      </c>
      <c r="K33" s="999">
        <f>+J33/$J$22</f>
        <v>0</v>
      </c>
      <c r="L33" s="20">
        <f>+somfinbilsys!L34</f>
        <v>0</v>
      </c>
      <c r="M33" s="999">
        <f>+L33/$L$22</f>
        <v>0</v>
      </c>
      <c r="N33" s="20">
        <f>+somfinbilsys!N34</f>
        <v>0</v>
      </c>
      <c r="O33" s="999">
        <f>+N33/$N$22</f>
        <v>0</v>
      </c>
      <c r="P33" s="20">
        <f>+somfinbilsys!P34</f>
        <v>0</v>
      </c>
      <c r="Q33" s="999">
        <f>+P33/$P$22</f>
        <v>0</v>
      </c>
    </row>
    <row r="34" spans="1:21" ht="18">
      <c r="A34" s="10" t="s">
        <v>274</v>
      </c>
      <c r="B34" s="199">
        <f>+somfinbilsys!B35</f>
        <v>7093867.5411747862</v>
      </c>
      <c r="C34" s="1002">
        <f>+B34/$B$22</f>
        <v>3.641602318587666E-2</v>
      </c>
      <c r="D34" s="199">
        <f>+somfinbilsys!D35</f>
        <v>0</v>
      </c>
      <c r="E34" s="1537">
        <v>0</v>
      </c>
      <c r="F34" s="217">
        <f>+somfinbilsys!F35</f>
        <v>0</v>
      </c>
      <c r="G34" s="1537">
        <v>0</v>
      </c>
      <c r="H34" s="217">
        <f>+somfinbilsys!H35</f>
        <v>0</v>
      </c>
      <c r="I34" s="1537">
        <v>0</v>
      </c>
      <c r="J34" s="199">
        <f>+somfinbilsys!J35</f>
        <v>7042639.8704449097</v>
      </c>
      <c r="K34" s="1002">
        <f>+J34/$J$22</f>
        <v>3.6944667516587149E-2</v>
      </c>
      <c r="L34" s="199">
        <f>+somfinbilsys!L35</f>
        <v>5496750.8907671133</v>
      </c>
      <c r="M34" s="1002">
        <f>+L34/$L$22</f>
        <v>3.1243605804879601E-2</v>
      </c>
      <c r="N34" s="199">
        <f>+somfinbilsys!N35</f>
        <v>4830183.8255313663</v>
      </c>
      <c r="O34" s="1002">
        <f>+N34/$N$22</f>
        <v>2.8320271217566206E-2</v>
      </c>
      <c r="P34" s="199">
        <f>+somfinbilsys!P35</f>
        <v>3998103.1544518317</v>
      </c>
      <c r="Q34" s="1002">
        <f>+P34/$P$22</f>
        <v>2.5962500419134383E-2</v>
      </c>
      <c r="R34" s="14"/>
      <c r="S34" s="15"/>
      <c r="T34" s="15"/>
      <c r="U34" s="15"/>
    </row>
    <row r="35" spans="1:21">
      <c r="A35" s="10"/>
      <c r="B35" s="20">
        <f>SUM(B32:B34)</f>
        <v>7534110.5411747862</v>
      </c>
      <c r="C35" s="999">
        <f>+B35/$B$22</f>
        <v>3.8675989163866283E-2</v>
      </c>
      <c r="D35" s="20">
        <f>SUM(D32:D34)</f>
        <v>0</v>
      </c>
      <c r="E35" s="321">
        <v>0</v>
      </c>
      <c r="F35" s="20">
        <f>SUM(F32:F34)</f>
        <v>0</v>
      </c>
      <c r="G35" s="321">
        <v>0</v>
      </c>
      <c r="H35" s="20">
        <f>SUM(H32:H34)</f>
        <v>0</v>
      </c>
      <c r="I35" s="321">
        <v>0</v>
      </c>
      <c r="J35" s="20">
        <f>SUM(J32:J34)</f>
        <v>7342639.8704449097</v>
      </c>
      <c r="K35" s="999">
        <f>+J35/$J$22</f>
        <v>3.8518424013989298E-2</v>
      </c>
      <c r="L35" s="20">
        <f>SUM(L32:L34)</f>
        <v>5696750.8907671133</v>
      </c>
      <c r="M35" s="999">
        <f>+L35/$L$22</f>
        <v>3.238040848798316E-2</v>
      </c>
      <c r="N35" s="20">
        <f>SUM(N32:N34)</f>
        <v>5030183.8255313663</v>
      </c>
      <c r="O35" s="999">
        <f>+N35/$N$22</f>
        <v>2.9492908626017247E-2</v>
      </c>
      <c r="P35" s="20">
        <f>SUM(P32:P34)</f>
        <v>4318103.1544518322</v>
      </c>
      <c r="Q35" s="999">
        <f>+P35/$P$22</f>
        <v>2.8040485857021891E-2</v>
      </c>
    </row>
    <row r="36" spans="1:21" ht="7.15" customHeight="1">
      <c r="A36" s="10"/>
      <c r="C36" s="999" t="s">
        <v>0</v>
      </c>
      <c r="E36" s="321" t="s">
        <v>0</v>
      </c>
      <c r="G36" s="321" t="s">
        <v>0</v>
      </c>
      <c r="I36" s="321" t="s">
        <v>0</v>
      </c>
      <c r="K36" s="999" t="s">
        <v>0</v>
      </c>
      <c r="M36" s="999" t="s">
        <v>0</v>
      </c>
      <c r="O36" s="999" t="s">
        <v>0</v>
      </c>
      <c r="Q36" s="999" t="s">
        <v>0</v>
      </c>
    </row>
    <row r="37" spans="1:21">
      <c r="A37" s="10" t="s">
        <v>275</v>
      </c>
      <c r="C37" s="999" t="s">
        <v>0</v>
      </c>
      <c r="E37" s="321" t="s">
        <v>0</v>
      </c>
      <c r="G37" s="321" t="s">
        <v>0</v>
      </c>
      <c r="I37" s="321" t="s">
        <v>0</v>
      </c>
      <c r="K37" s="999" t="s">
        <v>0</v>
      </c>
      <c r="M37" s="999" t="s">
        <v>0</v>
      </c>
      <c r="O37" s="999" t="s">
        <v>0</v>
      </c>
      <c r="Q37" s="999" t="s">
        <v>0</v>
      </c>
    </row>
    <row r="38" spans="1:21">
      <c r="A38" s="10" t="s">
        <v>272</v>
      </c>
      <c r="B38" s="20">
        <f>+somfinbilsys!B39</f>
        <v>1065132.5</v>
      </c>
      <c r="C38" s="999">
        <f>+B38/$B$22</f>
        <v>5.4678057619338164E-3</v>
      </c>
      <c r="D38" s="20">
        <f>+somfinbilsys!D39</f>
        <v>0</v>
      </c>
      <c r="E38" s="321">
        <v>0</v>
      </c>
      <c r="F38" s="20">
        <f>+somfinbilsys!F39</f>
        <v>0</v>
      </c>
      <c r="G38" s="321">
        <v>0</v>
      </c>
      <c r="H38" s="20">
        <f>+somfinbilsys!H39</f>
        <v>0</v>
      </c>
      <c r="I38" s="321">
        <v>0</v>
      </c>
      <c r="J38" s="20">
        <f>+somfinbilsys!J39</f>
        <v>1667510</v>
      </c>
      <c r="K38" s="999">
        <f>+J38/$J$22</f>
        <v>8.7475156566102219E-3</v>
      </c>
      <c r="L38" s="20">
        <f>+somfinbilsys!L39</f>
        <v>1727020</v>
      </c>
      <c r="M38" s="999">
        <f>+L38/$L$22</f>
        <v>9.8164048488675239E-3</v>
      </c>
      <c r="N38" s="20">
        <f>+somfinbilsys!N39</f>
        <v>1181530</v>
      </c>
      <c r="O38" s="999">
        <f>+N38/$N$22</f>
        <v>6.9275313860357977E-3</v>
      </c>
      <c r="P38" s="20">
        <f>+somfinbilsys!P39</f>
        <v>403000</v>
      </c>
      <c r="Q38" s="999">
        <f>+P38/$P$22</f>
        <v>2.6169629108395761E-3</v>
      </c>
    </row>
    <row r="39" spans="1:21">
      <c r="A39" s="10" t="s">
        <v>276</v>
      </c>
      <c r="B39" s="20">
        <f>+somfinbilsys!B40</f>
        <v>3075243.5976900002</v>
      </c>
      <c r="C39" s="999">
        <f>+B39/$B$22</f>
        <v>1.5786613085977064E-2</v>
      </c>
      <c r="D39" s="20">
        <f>+somfinbilsys!D40</f>
        <v>0</v>
      </c>
      <c r="E39" s="321">
        <v>0</v>
      </c>
      <c r="F39" s="20">
        <f>+somfinbilsys!F40</f>
        <v>0</v>
      </c>
      <c r="G39" s="321">
        <v>0</v>
      </c>
      <c r="H39" s="20">
        <f>+somfinbilsys!H40</f>
        <v>0</v>
      </c>
      <c r="I39" s="321">
        <v>0</v>
      </c>
      <c r="J39" s="20">
        <f>+somfinbilsys!J40</f>
        <v>4243652.9991299994</v>
      </c>
      <c r="K39" s="999">
        <f>+J39/$J$22</f>
        <v>2.2261588267003255E-2</v>
      </c>
      <c r="L39" s="20">
        <f>+somfinbilsys!L40</f>
        <v>1782451.2336800001</v>
      </c>
      <c r="M39" s="999">
        <f>+L39/$L$22</f>
        <v>1.0131476724743346E-2</v>
      </c>
      <c r="N39" s="20">
        <f>+somfinbilsys!N40</f>
        <v>634833</v>
      </c>
      <c r="O39" s="999">
        <f>+N39/$N$22</f>
        <v>3.7221446195960014E-3</v>
      </c>
      <c r="P39" s="20">
        <f>+somfinbilsys!P40</f>
        <v>-4.5780000000000001E-2</v>
      </c>
      <c r="Q39" s="999">
        <f>+P39/$P$22</f>
        <v>-2.9728179170778111E-10</v>
      </c>
    </row>
    <row r="40" spans="1:21">
      <c r="A40" s="10" t="s">
        <v>274</v>
      </c>
      <c r="B40" s="199">
        <f>+somfinbilsys!B41</f>
        <v>4608097.856222962</v>
      </c>
      <c r="C40" s="1002">
        <f>+B40/$B$22</f>
        <v>2.3655445693198527E-2</v>
      </c>
      <c r="D40" s="199">
        <f>+somfinbilsys!D41</f>
        <v>0</v>
      </c>
      <c r="E40" s="1537">
        <v>0</v>
      </c>
      <c r="F40" s="217">
        <f>+somfinbilsys!F41</f>
        <v>0</v>
      </c>
      <c r="G40" s="1537">
        <v>0</v>
      </c>
      <c r="H40" s="217">
        <f>+somfinbilsys!H41</f>
        <v>0</v>
      </c>
      <c r="I40" s="1537">
        <v>0</v>
      </c>
      <c r="J40" s="199">
        <f>+somfinbilsys!J41</f>
        <v>4579271.0364022525</v>
      </c>
      <c r="K40" s="1002">
        <f>+J40/$J$22</f>
        <v>2.402219182301181E-2</v>
      </c>
      <c r="L40" s="199">
        <f>+somfinbilsys!L41</f>
        <v>3897795.4342424003</v>
      </c>
      <c r="M40" s="1002">
        <f>+L40/$L$22</f>
        <v>2.2155121539177772E-2</v>
      </c>
      <c r="N40" s="199">
        <f>+somfinbilsys!N41</f>
        <v>2956375.3628060315</v>
      </c>
      <c r="O40" s="1002">
        <f>+N40/$N$22</f>
        <v>1.7333781719246866E-2</v>
      </c>
      <c r="P40" s="199">
        <f>+somfinbilsys!P41</f>
        <v>1939254.4562219139</v>
      </c>
      <c r="Q40" s="1002">
        <f>+P40/$P$22</f>
        <v>1.2592945376211213E-2</v>
      </c>
    </row>
    <row r="41" spans="1:21">
      <c r="A41" s="10"/>
      <c r="B41" s="20">
        <f>SUM(B38:B40)</f>
        <v>8748473.9539129622</v>
      </c>
      <c r="C41" s="999">
        <f>+B41/$B$22</f>
        <v>4.4909864541109408E-2</v>
      </c>
      <c r="D41" s="20">
        <f>SUM(D38:D40)</f>
        <v>0</v>
      </c>
      <c r="E41" s="321">
        <v>0</v>
      </c>
      <c r="F41" s="20">
        <f>SUM(F38:F40)</f>
        <v>0</v>
      </c>
      <c r="G41" s="321">
        <v>0</v>
      </c>
      <c r="H41" s="20">
        <f>SUM(H38:H40)</f>
        <v>0</v>
      </c>
      <c r="I41" s="321">
        <v>0</v>
      </c>
      <c r="J41" s="20">
        <f>SUM(J38:J40)</f>
        <v>10490434.035532251</v>
      </c>
      <c r="K41" s="999">
        <f>+J41/$J$22</f>
        <v>5.5031295746625283E-2</v>
      </c>
      <c r="L41" s="20">
        <f>SUM(L38:L40)</f>
        <v>7407266.6679223999</v>
      </c>
      <c r="M41" s="999">
        <f>+L41/$L$22</f>
        <v>4.2103003112788639E-2</v>
      </c>
      <c r="N41" s="20">
        <f>SUM(N38:N40)</f>
        <v>4772738.3628060315</v>
      </c>
      <c r="O41" s="999">
        <f>+N41/$N$22</f>
        <v>2.7983457724878667E-2</v>
      </c>
      <c r="P41" s="20">
        <f>SUM(P38:P40)</f>
        <v>2342254.4104419141</v>
      </c>
      <c r="Q41" s="999">
        <f>+P41/$P$22</f>
        <v>1.5209907989768999E-2</v>
      </c>
    </row>
    <row r="42" spans="1:21" ht="8.4499999999999993" customHeight="1">
      <c r="A42" s="10"/>
      <c r="C42" s="999" t="s">
        <v>0</v>
      </c>
      <c r="E42" s="321" t="s">
        <v>0</v>
      </c>
      <c r="G42" s="321" t="s">
        <v>0</v>
      </c>
      <c r="I42" s="321" t="s">
        <v>0</v>
      </c>
      <c r="K42" s="999" t="s">
        <v>0</v>
      </c>
      <c r="M42" s="999" t="s">
        <v>0</v>
      </c>
      <c r="O42" s="999" t="s">
        <v>0</v>
      </c>
      <c r="Q42" s="999" t="s">
        <v>0</v>
      </c>
    </row>
    <row r="43" spans="1:21" ht="18">
      <c r="A43" s="10" t="s">
        <v>277</v>
      </c>
      <c r="B43" s="199">
        <f>+somfinbilsys!B44</f>
        <v>4445986.2805498475</v>
      </c>
      <c r="C43" s="1002">
        <f>+B43/$B$22</f>
        <v>2.2823253822664463E-2</v>
      </c>
      <c r="D43" s="199">
        <f>+somfinbilsys!D44</f>
        <v>0</v>
      </c>
      <c r="E43" s="1537">
        <v>0</v>
      </c>
      <c r="F43" s="217">
        <f>+somfinbilsys!F44</f>
        <v>0</v>
      </c>
      <c r="G43" s="1537">
        <v>0</v>
      </c>
      <c r="H43" s="217">
        <f>+somfinbilsys!H44</f>
        <v>0</v>
      </c>
      <c r="I43" s="1537">
        <v>0</v>
      </c>
      <c r="J43" s="199">
        <f>+somfinbilsys!J44</f>
        <v>4369013.0153535791</v>
      </c>
      <c r="K43" s="1002">
        <f>+J43/$J$22</f>
        <v>2.2919208733824248E-2</v>
      </c>
      <c r="L43" s="199">
        <f>+somfinbilsys!L44</f>
        <v>4118149.3355505499</v>
      </c>
      <c r="M43" s="1002">
        <f>+L43/$L$22</f>
        <v>2.3407616070374976E-2</v>
      </c>
      <c r="N43" s="199">
        <f>+somfinbilsys!N44</f>
        <v>2997481.320470138</v>
      </c>
      <c r="O43" s="1002">
        <f>+N43/$N$22</f>
        <v>1.7574793637582548E-2</v>
      </c>
      <c r="P43" s="199">
        <f>+somfinbilsys!P44</f>
        <v>2281516.3082569302</v>
      </c>
      <c r="Q43" s="1002">
        <f>+P43/$P$22</f>
        <v>1.4815492702689875E-2</v>
      </c>
      <c r="R43" s="14"/>
    </row>
    <row r="44" spans="1:21">
      <c r="A44" s="10"/>
      <c r="B44" s="20">
        <f>+B29+B35+B41+B43</f>
        <v>179289666.59679937</v>
      </c>
      <c r="C44" s="999">
        <f>+B44/$B$22</f>
        <v>0.92037476283295516</v>
      </c>
      <c r="D44" s="20">
        <f>+D29+D35+D41+D43</f>
        <v>0</v>
      </c>
      <c r="E44" s="321">
        <v>0</v>
      </c>
      <c r="F44" s="20">
        <f>+F29+F35+F41+F43</f>
        <v>0</v>
      </c>
      <c r="G44" s="321">
        <v>0</v>
      </c>
      <c r="H44" s="20">
        <f>+H29+H35+H41+H43</f>
        <v>0</v>
      </c>
      <c r="I44" s="321">
        <v>0</v>
      </c>
      <c r="J44" s="20">
        <f>+J29+J35+J41+J43</f>
        <v>179751209.41298816</v>
      </c>
      <c r="K44" s="999">
        <f>+J44/$J$22</f>
        <v>0.94294877909861807</v>
      </c>
      <c r="L44" s="20">
        <f>+L29+L35+L41+L43</f>
        <v>162868113.15988061</v>
      </c>
      <c r="M44" s="999">
        <f>+L44/$L$22</f>
        <v>0.92574454016082997</v>
      </c>
      <c r="N44" s="20">
        <f>+N29+N35+N41+N43</f>
        <v>159638498.45871332</v>
      </c>
      <c r="O44" s="999">
        <f>+N44/$N$22</f>
        <v>0.93599037560820619</v>
      </c>
      <c r="P44" s="20">
        <f>+P29+P35+P41+P43</f>
        <v>144490869.93067726</v>
      </c>
      <c r="Q44" s="999">
        <f>+P44/$P$22</f>
        <v>0.93828101132389019</v>
      </c>
    </row>
    <row r="45" spans="1:21" ht="15.6" customHeight="1">
      <c r="A45" s="10"/>
      <c r="C45" s="999" t="s">
        <v>0</v>
      </c>
      <c r="E45" s="321" t="s">
        <v>0</v>
      </c>
      <c r="G45" s="321" t="s">
        <v>0</v>
      </c>
      <c r="I45" s="321" t="s">
        <v>0</v>
      </c>
      <c r="K45" s="999" t="s">
        <v>0</v>
      </c>
      <c r="M45" s="999" t="s">
        <v>0</v>
      </c>
      <c r="O45" s="999" t="s">
        <v>0</v>
      </c>
      <c r="Q45" s="999" t="s">
        <v>0</v>
      </c>
    </row>
    <row r="46" spans="1:21">
      <c r="A46" s="86" t="s">
        <v>278</v>
      </c>
      <c r="C46" s="999" t="s">
        <v>0</v>
      </c>
      <c r="E46" s="321" t="s">
        <v>0</v>
      </c>
      <c r="G46" s="321" t="s">
        <v>0</v>
      </c>
      <c r="I46" s="321" t="s">
        <v>0</v>
      </c>
      <c r="K46" s="999" t="s">
        <v>0</v>
      </c>
      <c r="M46" s="999" t="s">
        <v>0</v>
      </c>
      <c r="O46" s="999" t="s">
        <v>0</v>
      </c>
      <c r="Q46" s="999" t="s">
        <v>0</v>
      </c>
    </row>
    <row r="47" spans="1:21">
      <c r="A47" s="10" t="s">
        <v>279</v>
      </c>
      <c r="B47" s="20">
        <f>+somfinbilsys!B48</f>
        <v>6024513</v>
      </c>
      <c r="C47" s="999">
        <f t="shared" ref="C47:C52" si="10">+B47/$B$22</f>
        <v>3.0926543781402957E-2</v>
      </c>
      <c r="D47" s="20">
        <f>+somfinbilsys!D48</f>
        <v>0</v>
      </c>
      <c r="E47" s="321">
        <v>0</v>
      </c>
      <c r="F47" s="20">
        <f>+somfinbilsys!F48</f>
        <v>0</v>
      </c>
      <c r="G47" s="321">
        <v>0</v>
      </c>
      <c r="H47" s="20">
        <f>+somfinbilsys!H48</f>
        <v>0</v>
      </c>
      <c r="I47" s="321">
        <v>0</v>
      </c>
      <c r="J47" s="20">
        <f>+somfinbilsys!J48</f>
        <v>6024565</v>
      </c>
      <c r="K47" s="999">
        <f>+J47/$J$22</f>
        <v>3.1603994375905373E-2</v>
      </c>
      <c r="L47" s="20">
        <f>+somfinbilsys!L48</f>
        <v>5876702</v>
      </c>
      <c r="M47" s="999">
        <f>+L47/$L$22</f>
        <v>3.3403253007000193E-2</v>
      </c>
      <c r="N47" s="20">
        <f>+somfinbilsys!N48</f>
        <v>4116904.375</v>
      </c>
      <c r="O47" s="999">
        <f>+N47/$N$22</f>
        <v>2.413818038570378E-2</v>
      </c>
      <c r="P47" s="20">
        <f>+somfinbilsys!P48</f>
        <v>4023411.375</v>
      </c>
      <c r="Q47" s="999">
        <f>+P47/$P$22</f>
        <v>2.6126844524627942E-2</v>
      </c>
    </row>
    <row r="48" spans="1:21">
      <c r="A48" s="10" t="s">
        <v>280</v>
      </c>
      <c r="B48" s="20">
        <f>+somfinbilsys!B49</f>
        <v>3053147.8252200005</v>
      </c>
      <c r="C48" s="999">
        <f t="shared" si="10"/>
        <v>1.5673185515204559E-2</v>
      </c>
      <c r="D48" s="20">
        <f>+somfinbilsys!D49</f>
        <v>0</v>
      </c>
      <c r="E48" s="321">
        <v>0</v>
      </c>
      <c r="F48" s="20">
        <f>+somfinbilsys!F49</f>
        <v>0</v>
      </c>
      <c r="G48" s="321">
        <v>0</v>
      </c>
      <c r="H48" s="20">
        <f>+somfinbilsys!H49</f>
        <v>0</v>
      </c>
      <c r="I48" s="321">
        <v>0</v>
      </c>
      <c r="J48" s="20">
        <f>+somfinbilsys!J49</f>
        <v>2894460.6359999999</v>
      </c>
      <c r="K48" s="999">
        <f>+J48/$J$22</f>
        <v>1.5183920774599241E-2</v>
      </c>
      <c r="L48" s="20">
        <f>+somfinbilsys!L49</f>
        <v>2441494.6931500002</v>
      </c>
      <c r="M48" s="999">
        <f>+L48/$L$22</f>
        <v>1.3877488589780078E-2</v>
      </c>
      <c r="N48" s="20">
        <f>+somfinbilsys!N49</f>
        <v>1973439.6512400003</v>
      </c>
      <c r="O48" s="999">
        <f>+N48/$N$22</f>
        <v>1.1570645791823009E-2</v>
      </c>
      <c r="P48" s="20">
        <f>+somfinbilsys!P49</f>
        <v>1709138.4460900002</v>
      </c>
      <c r="Q48" s="999">
        <f>+P48/$P$22</f>
        <v>1.1098640007214682E-2</v>
      </c>
    </row>
    <row r="49" spans="1:21">
      <c r="A49" s="10" t="s">
        <v>290</v>
      </c>
      <c r="B49" s="20">
        <f>+somfinbilsys!B50</f>
        <v>208035.65532000002</v>
      </c>
      <c r="C49" s="999">
        <f t="shared" si="10"/>
        <v>1.0679408945331907E-3</v>
      </c>
      <c r="D49" s="20">
        <f>+somfinbilsys!D50</f>
        <v>0</v>
      </c>
      <c r="E49" s="321">
        <v>0</v>
      </c>
      <c r="F49" s="20">
        <f>+somfinbilsys!F50</f>
        <v>0</v>
      </c>
      <c r="G49" s="321">
        <v>0</v>
      </c>
      <c r="H49" s="20">
        <f>+somfinbilsys!H50</f>
        <v>0</v>
      </c>
      <c r="I49" s="321">
        <v>0</v>
      </c>
      <c r="J49" s="20">
        <f>+somfinbilsys!J50</f>
        <v>208035.65516999998</v>
      </c>
      <c r="K49" s="999">
        <v>0</v>
      </c>
      <c r="L49" s="20">
        <f>+somfinbilsys!L50</f>
        <v>224511.86550000001</v>
      </c>
      <c r="M49" s="999">
        <v>0</v>
      </c>
      <c r="N49" s="20">
        <f>+somfinbilsys!N50</f>
        <v>219512.17865000002</v>
      </c>
      <c r="O49" s="999">
        <v>0</v>
      </c>
      <c r="P49" s="20">
        <f>+somfinbilsys!P50</f>
        <v>219512.17865000002</v>
      </c>
      <c r="Q49" s="999">
        <v>0</v>
      </c>
    </row>
    <row r="50" spans="1:21" ht="18">
      <c r="A50" s="10" t="s">
        <v>282</v>
      </c>
      <c r="B50" s="199">
        <f>+somfinbilsys!B51</f>
        <v>6225357.0574500002</v>
      </c>
      <c r="C50" s="1002">
        <f t="shared" si="10"/>
        <v>3.1957566958871746E-2</v>
      </c>
      <c r="D50" s="199">
        <f>+somfinbilsys!D51</f>
        <v>0</v>
      </c>
      <c r="E50" s="321">
        <v>0</v>
      </c>
      <c r="F50" s="217">
        <f>+somfinbilsys!F51</f>
        <v>0</v>
      </c>
      <c r="G50" s="321">
        <v>0</v>
      </c>
      <c r="H50" s="217">
        <f>+somfinbilsys!H51</f>
        <v>0</v>
      </c>
      <c r="I50" s="321">
        <v>0</v>
      </c>
      <c r="J50" s="199">
        <f>+somfinbilsys!J51</f>
        <v>5623424.3530599987</v>
      </c>
      <c r="K50" s="1002">
        <f>+J50/$J$22</f>
        <v>2.9499668710925599E-2</v>
      </c>
      <c r="L50" s="199">
        <f>+somfinbilsys!L51</f>
        <v>4521205.0817600004</v>
      </c>
      <c r="M50" s="1002">
        <f>+L50/$L$22</f>
        <v>2.5698590339031022E-2</v>
      </c>
      <c r="N50" s="199">
        <f>+somfinbilsys!N51</f>
        <v>4607350.4205900012</v>
      </c>
      <c r="O50" s="1002">
        <f>+N50/$N$22</f>
        <v>2.7013757285132386E-2</v>
      </c>
      <c r="P50" s="199">
        <f>+somfinbilsys!P51</f>
        <v>3552372.4422200006</v>
      </c>
      <c r="Q50" s="1002">
        <f>+P50/$P$22</f>
        <v>2.3068056890268848E-2</v>
      </c>
      <c r="R50" s="14"/>
      <c r="S50" s="15"/>
      <c r="T50" s="15"/>
      <c r="U50" s="15"/>
    </row>
    <row r="51" spans="1:21" ht="16.5" thickBot="1">
      <c r="A51" s="10" t="s">
        <v>54</v>
      </c>
      <c r="B51" s="79">
        <f>SUM(B47:B50)</f>
        <v>15511053.53799</v>
      </c>
      <c r="C51" s="1003">
        <f t="shared" si="10"/>
        <v>7.9625237150012448E-2</v>
      </c>
      <c r="D51" s="79">
        <f>SUM(D47:D50)</f>
        <v>0</v>
      </c>
      <c r="E51" s="1539">
        <v>0</v>
      </c>
      <c r="F51" s="79">
        <f>SUM(F47:F50)</f>
        <v>0</v>
      </c>
      <c r="G51" s="1539">
        <v>0</v>
      </c>
      <c r="H51" s="79">
        <f>SUM(H47:H50)</f>
        <v>0</v>
      </c>
      <c r="I51" s="1539">
        <v>0</v>
      </c>
      <c r="J51" s="79">
        <f>SUM(J47:J50)</f>
        <v>14750485.644229997</v>
      </c>
      <c r="K51" s="1003">
        <f>+J51/$J$22</f>
        <v>7.737890874148054E-2</v>
      </c>
      <c r="L51" s="79">
        <f>SUM(L47:L50)</f>
        <v>13063913.64041</v>
      </c>
      <c r="M51" s="1003">
        <f>+L51/$L$22</f>
        <v>7.4255460391256217E-2</v>
      </c>
      <c r="N51" s="79">
        <f>SUM(N47:N50)</f>
        <v>10917206.625480002</v>
      </c>
      <c r="O51" s="1003">
        <f>+N51/$N$22</f>
        <v>6.4009624424137074E-2</v>
      </c>
      <c r="P51" s="79">
        <f>SUM(P47:P50)</f>
        <v>9504434.4419599995</v>
      </c>
      <c r="Q51" s="1003">
        <f>+P51/$P$22</f>
        <v>6.1718988642966655E-2</v>
      </c>
    </row>
    <row r="52" spans="1:21">
      <c r="A52" s="10" t="s">
        <v>0</v>
      </c>
      <c r="B52" s="13">
        <f>(+B29+B35+B41+B43+B51)</f>
        <v>194800720.13478938</v>
      </c>
      <c r="C52" s="1001">
        <f t="shared" si="10"/>
        <v>0.99999999998296762</v>
      </c>
      <c r="D52" s="13">
        <f>(+D29+D35+D41+D43+D51)</f>
        <v>0</v>
      </c>
      <c r="E52" s="55">
        <v>0</v>
      </c>
      <c r="F52" s="13">
        <f>+F29+F35+F41+F43+F51</f>
        <v>0</v>
      </c>
      <c r="G52" s="55">
        <v>0</v>
      </c>
      <c r="H52" s="13">
        <f>+H29+H35+H41+H43+H51</f>
        <v>0</v>
      </c>
      <c r="I52" s="55">
        <v>0</v>
      </c>
      <c r="J52" s="13">
        <f>+J29+J35+J41+J43+J51</f>
        <v>194501695.05721816</v>
      </c>
      <c r="K52" s="1001">
        <f>+J52/$J$22</f>
        <v>1.0203276878400986</v>
      </c>
      <c r="L52" s="13">
        <f>+L29+L35+L41+L43+L51</f>
        <v>175932026.80029061</v>
      </c>
      <c r="M52" s="1001">
        <f>+L52/$L$22</f>
        <v>1.0000000005520862</v>
      </c>
      <c r="N52" s="13">
        <f>+N29+N35+N41+N43+N51</f>
        <v>170555705.08419332</v>
      </c>
      <c r="O52" s="1001">
        <f>+N52/$N$22</f>
        <v>1.0000000000323432</v>
      </c>
      <c r="P52" s="13">
        <f>+P29+P35+P41+P43+P51</f>
        <v>153995304.37263727</v>
      </c>
      <c r="Q52" s="1001">
        <f>+P52/$P$22</f>
        <v>0.99999999996685685</v>
      </c>
    </row>
    <row r="53" spans="1:21">
      <c r="G53" s="655" t="s">
        <v>0</v>
      </c>
    </row>
    <row r="55" spans="1:21">
      <c r="B55"/>
      <c r="C55"/>
      <c r="D55"/>
      <c r="E55"/>
      <c r="F55"/>
      <c r="G55"/>
      <c r="H55"/>
      <c r="I55"/>
      <c r="J55"/>
      <c r="K55"/>
      <c r="L55"/>
      <c r="M55"/>
      <c r="N55"/>
      <c r="O55"/>
      <c r="P55"/>
      <c r="Q55"/>
      <c r="R55"/>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row r="157" spans="2:18">
      <c r="B157"/>
      <c r="C157"/>
      <c r="D157"/>
      <c r="E157"/>
      <c r="F157"/>
      <c r="G157"/>
      <c r="H157"/>
      <c r="I157"/>
      <c r="J157"/>
      <c r="K157"/>
      <c r="L157"/>
      <c r="M157"/>
      <c r="N157"/>
      <c r="O157"/>
      <c r="P157"/>
      <c r="Q157"/>
      <c r="R157"/>
    </row>
  </sheetData>
  <phoneticPr fontId="0" type="noConversion"/>
  <pageMargins left="0.34" right="0.23" top="0.84" bottom="0.85" header="0.5" footer="0.5"/>
  <pageSetup scale="51" orientation="landscape" r:id="rId1"/>
  <headerFooter alignWithMargins="0">
    <oddFooter>&amp;R&amp;16&amp;P</oddFooter>
  </headerFooter>
</worksheet>
</file>

<file path=xl/worksheets/sheet35.xml><?xml version="1.0" encoding="utf-8"?>
<worksheet xmlns="http://schemas.openxmlformats.org/spreadsheetml/2006/main" xmlns:r="http://schemas.openxmlformats.org/officeDocument/2006/relationships">
  <sheetPr>
    <pageSetUpPr fitToPage="1"/>
  </sheetPr>
  <dimension ref="A1:O172"/>
  <sheetViews>
    <sheetView topLeftCell="A6" workbookViewId="0">
      <pane xSplit="1" ySplit="3" topLeftCell="B9"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3.25" customWidth="1"/>
    <col min="2" max="2" width="18.625" style="20" customWidth="1"/>
    <col min="3" max="3" width="15.75" style="21" customWidth="1"/>
    <col min="4" max="4" width="15.75" style="20" customWidth="1"/>
    <col min="5" max="5" width="14.5" style="21" customWidth="1"/>
    <col min="6" max="6" width="8.125" style="20" customWidth="1"/>
    <col min="7" max="7" width="7.75" style="21" customWidth="1"/>
    <col min="8" max="8" width="18.5" style="20" customWidth="1"/>
    <col min="9" max="9" width="15.75" style="20" customWidth="1"/>
    <col min="10" max="10" width="15.75" style="21" customWidth="1"/>
    <col min="11" max="11" width="14.5" style="20" customWidth="1"/>
    <col min="12" max="12" width="15.75" style="20" customWidth="1"/>
    <col min="13" max="15" width="15.75" customWidth="1"/>
  </cols>
  <sheetData>
    <row r="1" spans="1:15">
      <c r="A1" s="111" t="s">
        <v>192</v>
      </c>
      <c r="B1" s="42"/>
      <c r="C1" s="43"/>
      <c r="D1" s="42"/>
      <c r="E1" s="43"/>
      <c r="F1" s="42"/>
      <c r="G1" s="43"/>
      <c r="H1" s="42"/>
      <c r="I1" s="42"/>
      <c r="J1" s="43"/>
      <c r="K1" s="42"/>
    </row>
    <row r="2" spans="1:15">
      <c r="A2" s="111" t="s">
        <v>193</v>
      </c>
      <c r="B2" s="42"/>
      <c r="C2" s="43"/>
      <c r="D2" s="42"/>
      <c r="E2" s="43"/>
      <c r="F2" s="42"/>
      <c r="G2" s="43"/>
      <c r="H2" s="42"/>
      <c r="I2" s="42"/>
      <c r="J2" s="43"/>
      <c r="K2" s="42"/>
    </row>
    <row r="3" spans="1:15">
      <c r="A3" s="111" t="s">
        <v>291</v>
      </c>
      <c r="B3" s="42"/>
      <c r="C3" s="43"/>
      <c r="D3" s="42"/>
      <c r="E3" s="43"/>
      <c r="F3" s="42"/>
      <c r="G3" s="43"/>
      <c r="H3" s="42"/>
      <c r="I3" s="42"/>
      <c r="J3" s="43"/>
      <c r="K3" s="42"/>
    </row>
    <row r="4" spans="1:15">
      <c r="A4" s="111" t="s">
        <v>292</v>
      </c>
      <c r="B4" s="42"/>
      <c r="C4" s="43"/>
      <c r="D4" s="42"/>
      <c r="E4" s="43"/>
      <c r="F4" s="42"/>
      <c r="G4" s="43"/>
      <c r="H4" s="42"/>
      <c r="I4" s="42"/>
      <c r="J4" s="43"/>
      <c r="K4" s="42"/>
    </row>
    <row r="5" spans="1:15">
      <c r="A5" s="111" t="s">
        <v>198</v>
      </c>
      <c r="B5" s="42"/>
      <c r="C5" s="43"/>
      <c r="D5" s="42"/>
      <c r="E5" s="43"/>
      <c r="F5" s="42"/>
      <c r="G5" s="43"/>
      <c r="H5" s="42"/>
      <c r="I5" s="42"/>
      <c r="J5" s="43"/>
      <c r="K5" s="42"/>
    </row>
    <row r="6" spans="1:15">
      <c r="B6" s="215" t="s">
        <v>0</v>
      </c>
      <c r="C6" s="193"/>
      <c r="D6" s="194"/>
    </row>
    <row r="7" spans="1:15" ht="16.5" thickBot="1">
      <c r="B7" s="367" t="s">
        <v>981</v>
      </c>
      <c r="C7" s="43"/>
      <c r="D7" s="42"/>
      <c r="E7" s="43"/>
      <c r="H7" s="367" t="s">
        <v>944</v>
      </c>
      <c r="I7" s="193"/>
      <c r="J7" s="194"/>
      <c r="K7" s="42"/>
    </row>
    <row r="8" spans="1:15" ht="16.5" thickTop="1">
      <c r="A8" s="86" t="s">
        <v>244</v>
      </c>
      <c r="B8" s="348" t="s">
        <v>293</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c r="C9" s="122"/>
      <c r="D9" s="322"/>
      <c r="E9" s="328" t="s">
        <v>0</v>
      </c>
      <c r="H9" s="128"/>
      <c r="I9" s="81"/>
      <c r="J9" s="326" t="s">
        <v>0</v>
      </c>
      <c r="K9" s="328" t="s">
        <v>0</v>
      </c>
    </row>
    <row r="10" spans="1:15">
      <c r="A10" s="10" t="s">
        <v>256</v>
      </c>
      <c r="B10" s="124">
        <f>+'bilsysbandéc. 14$'!N10</f>
        <v>5841221.2402258515</v>
      </c>
      <c r="C10" s="91">
        <f>+'bilsysbandéc, 14gdes '!N10</f>
        <v>4091332.1168</v>
      </c>
      <c r="D10" s="323">
        <f t="shared" ref="D10:D15" si="0">SUM(B10:C10)</f>
        <v>9932553.3570258506</v>
      </c>
      <c r="E10" s="1004">
        <f t="shared" ref="E10:E15" si="1">+B10/D10</f>
        <v>0.58808858409947817</v>
      </c>
      <c r="F10" s="87" t="s">
        <v>0</v>
      </c>
      <c r="G10" s="98" t="s">
        <v>0</v>
      </c>
      <c r="H10" s="124">
        <f>+'unibkgdes&amp;$'!H10+'sgbelgdes&amp;$'!H10+'sogebkgdes&amp;$  '!H10+'scotiagdes&amp;$'!H10+'cbnagdes&amp;$'!H10+'capitalbkgdes&amp;$'!H10+'buhgdes&amp;$'!H10+'bphgdes&amp;$'!H10+'bncgdes&amp;$ '!H10</f>
        <v>4668040.6078411397</v>
      </c>
      <c r="I10" s="91">
        <f>+'unibkgdes&amp;$'!I10+'sgbelgdes&amp;$'!I10+'sogebkgdes&amp;$  '!I10+'scotiagdes&amp;$'!I10+'cbnagdes&amp;$'!I10+'capitalbkgdes&amp;$'!I10+'buhgdes&amp;$'!I10+'bphgdes&amp;$'!I10+'bncgdes&amp;$ '!I10</f>
        <v>3329244.73165</v>
      </c>
      <c r="J10" s="323">
        <f t="shared" ref="J10:J15" si="2">SUM(H10:I10)</f>
        <v>7997285.3394911401</v>
      </c>
      <c r="K10" s="1004">
        <f t="shared" ref="K10:K15" si="3">+H10/J10</f>
        <v>0.58370314546487878</v>
      </c>
    </row>
    <row r="11" spans="1:15">
      <c r="A11" s="10" t="s">
        <v>257</v>
      </c>
      <c r="B11" s="124">
        <f>+'bilsysbandéc. 14$'!N11</f>
        <v>33172527.071439747</v>
      </c>
      <c r="C11" s="91">
        <f>+'bilsysbandéc, 14gdes '!N11</f>
        <v>20397606.519979998</v>
      </c>
      <c r="D11" s="323">
        <f t="shared" si="0"/>
        <v>53570133.591419742</v>
      </c>
      <c r="E11" s="1004">
        <f t="shared" si="1"/>
        <v>0.61923547408798973</v>
      </c>
      <c r="F11" s="87" t="s">
        <v>0</v>
      </c>
      <c r="G11" s="98" t="s">
        <v>0</v>
      </c>
      <c r="H11" s="124">
        <f>+'unibkgdes&amp;$'!H11+'sgbelgdes&amp;$'!H11+'sogebkgdes&amp;$  '!H11+'scotiagdes&amp;$'!H11+'cbnagdes&amp;$'!H11+'capitalbkgdes&amp;$'!H11+'buhgdes&amp;$'!H11+'bphgdes&amp;$'!H11+'bncgdes&amp;$ '!H11</f>
        <v>33506098.843278654</v>
      </c>
      <c r="I11" s="91">
        <f>+'unibkgdes&amp;$'!I11+'sgbelgdes&amp;$'!I11+'sogebkgdes&amp;$  '!I11+'scotiagdes&amp;$'!I11+'cbnagdes&amp;$'!I11+'capitalbkgdes&amp;$'!I11+'buhgdes&amp;$'!I11+'bphgdes&amp;$'!I11+'bncgdes&amp;$ '!I11</f>
        <v>21645320.190979999</v>
      </c>
      <c r="J11" s="323">
        <f t="shared" si="2"/>
        <v>55151419.034258649</v>
      </c>
      <c r="K11" s="1004">
        <f t="shared" si="3"/>
        <v>0.60752922463274284</v>
      </c>
    </row>
    <row r="12" spans="1:15">
      <c r="A12" s="10" t="s">
        <v>258</v>
      </c>
      <c r="B12" s="124">
        <f>+'bilsysbandéc. 14$'!N12</f>
        <v>4771613.8671415038</v>
      </c>
      <c r="C12" s="91">
        <f>+'bilsysbandéc, 14gdes '!N12</f>
        <v>0</v>
      </c>
      <c r="D12" s="323">
        <f t="shared" si="0"/>
        <v>4771613.8671415038</v>
      </c>
      <c r="E12" s="1004">
        <f t="shared" si="1"/>
        <v>1</v>
      </c>
      <c r="F12" s="87" t="s">
        <v>0</v>
      </c>
      <c r="G12" s="98" t="s">
        <v>0</v>
      </c>
      <c r="H12" s="124">
        <f>+'unibkgdes&amp;$'!H12+'sgbelgdes&amp;$'!H12+'sogebkgdes&amp;$  '!H12+'scotiagdes&amp;$'!H12+'cbnagdes&amp;$'!H12+'capitalbkgdes&amp;$'!H12+'buhgdes&amp;$'!H12+'bphgdes&amp;$'!H12+'bncgdes&amp;$ '!H12</f>
        <v>7258935.9127571099</v>
      </c>
      <c r="I12" s="91">
        <f>+'unibkgdes&amp;$'!I12+'sgbelgdes&amp;$'!I12+'sogebkgdes&amp;$  '!I12+'scotiagdes&amp;$'!I12+'cbnagdes&amp;$'!I12+'capitalbkgdes&amp;$'!I12+'buhgdes&amp;$'!I12+'bphgdes&amp;$'!I12+'bncgdes&amp;$ '!I12</f>
        <v>0</v>
      </c>
      <c r="J12" s="323">
        <f t="shared" si="2"/>
        <v>7258935.9127571099</v>
      </c>
      <c r="K12" s="1004">
        <f t="shared" si="3"/>
        <v>1</v>
      </c>
    </row>
    <row r="13" spans="1:15">
      <c r="A13" s="10" t="s">
        <v>259</v>
      </c>
      <c r="B13" s="124">
        <f>+'bilsysbandéc. 14$'!N13</f>
        <v>1481646.9552500481</v>
      </c>
      <c r="C13" s="91">
        <f>+'bilsysbandéc, 14gdes '!N13</f>
        <v>472545.9231400002</v>
      </c>
      <c r="D13" s="323">
        <f t="shared" si="0"/>
        <v>1954192.8783900482</v>
      </c>
      <c r="E13" s="1004">
        <f t="shared" si="1"/>
        <v>0.75818869858470439</v>
      </c>
      <c r="F13" s="87" t="s">
        <v>0</v>
      </c>
      <c r="G13" s="98" t="s">
        <v>0</v>
      </c>
      <c r="H13" s="124">
        <f>+'unibkgdes&amp;$'!H13+'sgbelgdes&amp;$'!H13+'sogebkgdes&amp;$  '!H13+'scotiagdes&amp;$'!H13+'cbnagdes&amp;$'!H13+'capitalbkgdes&amp;$'!H13+'buhgdes&amp;$'!H13+'bphgdes&amp;$'!H13+'bncgdes&amp;$ '!H13</f>
        <v>1265176.151593565</v>
      </c>
      <c r="I13" s="91">
        <f>+'unibkgdes&amp;$'!I13+'sgbelgdes&amp;$'!I13+'sogebkgdes&amp;$  '!I13+'scotiagdes&amp;$'!I13+'cbnagdes&amp;$'!I13+'capitalbkgdes&amp;$'!I13+'buhgdes&amp;$'!I13+'bphgdes&amp;$'!I13+'bncgdes&amp;$ '!I13</f>
        <v>405876.8155399994</v>
      </c>
      <c r="J13" s="323">
        <f t="shared" si="2"/>
        <v>1671052.9671335644</v>
      </c>
      <c r="K13" s="1004">
        <f t="shared" si="3"/>
        <v>0.75711313553620085</v>
      </c>
    </row>
    <row r="14" spans="1:15">
      <c r="A14" s="10" t="s">
        <v>260</v>
      </c>
      <c r="B14" s="507">
        <f>+'bilsysbandéc. 14$'!N14</f>
        <v>334288.69578732096</v>
      </c>
      <c r="C14" s="199">
        <f>+'bilsysbandéc, 14gdes '!N14</f>
        <v>741438.02486999996</v>
      </c>
      <c r="D14" s="512">
        <f t="shared" si="0"/>
        <v>1075726.7206573209</v>
      </c>
      <c r="E14" s="1004">
        <f t="shared" si="1"/>
        <v>0.31075615150942282</v>
      </c>
      <c r="F14" s="87" t="s">
        <v>0</v>
      </c>
      <c r="G14" s="98" t="s">
        <v>0</v>
      </c>
      <c r="H14" s="507">
        <f>+'unibkgdes&amp;$'!H14+'sgbelgdes&amp;$'!H14+'sogebkgdes&amp;$  '!H14+'scotiagdes&amp;$'!H14+'cbnagdes&amp;$'!H14+'capitalbkgdes&amp;$'!H14+'buhgdes&amp;$'!H14+'bphgdes&amp;$'!H14+'bncgdes&amp;$ '!H14</f>
        <v>593457.00110860902</v>
      </c>
      <c r="I14" s="199">
        <f>+'unibkgdes&amp;$'!I14+'sgbelgdes&amp;$'!I14+'sogebkgdes&amp;$  '!I14+'scotiagdes&amp;$'!I14+'cbnagdes&amp;$'!I14+'capitalbkgdes&amp;$'!I14+'buhgdes&amp;$'!I14+'bphgdes&amp;$'!I14+'bncgdes&amp;$ '!I14</f>
        <v>652199.78257999988</v>
      </c>
      <c r="J14" s="512">
        <f t="shared" si="2"/>
        <v>1245656.783688609</v>
      </c>
      <c r="K14" s="1004">
        <f t="shared" si="3"/>
        <v>0.47642096031563236</v>
      </c>
    </row>
    <row r="15" spans="1:15" ht="15.6" customHeight="1">
      <c r="A15" s="10"/>
      <c r="B15" s="124">
        <f>SUM(B10:B14)</f>
        <v>45601297.82984446</v>
      </c>
      <c r="C15" s="91">
        <f>SUM(C10:C14)</f>
        <v>25702922.584789999</v>
      </c>
      <c r="D15" s="323">
        <f t="shared" si="0"/>
        <v>71304220.414634466</v>
      </c>
      <c r="E15" s="1004">
        <f t="shared" si="1"/>
        <v>0.63953153915255845</v>
      </c>
      <c r="F15" s="87" t="s">
        <v>0</v>
      </c>
      <c r="G15" s="98" t="s">
        <v>0</v>
      </c>
      <c r="H15" s="124">
        <f>SUM(H10:H14)</f>
        <v>47291708.516579084</v>
      </c>
      <c r="I15" s="91">
        <f>SUM(I10:I14)</f>
        <v>26032641.520749997</v>
      </c>
      <c r="J15" s="323">
        <f t="shared" si="2"/>
        <v>73324350.037329078</v>
      </c>
      <c r="K15" s="1004">
        <f t="shared" si="3"/>
        <v>0.64496594231661242</v>
      </c>
    </row>
    <row r="16" spans="1:15" ht="7.9" customHeight="1">
      <c r="A16" s="10"/>
      <c r="B16" s="124"/>
      <c r="C16" s="92" t="s">
        <v>0</v>
      </c>
      <c r="D16" s="323"/>
      <c r="E16" s="1004" t="s">
        <v>0</v>
      </c>
      <c r="F16" s="87"/>
      <c r="G16" s="98" t="s">
        <v>0</v>
      </c>
      <c r="H16" s="124"/>
      <c r="I16" s="91"/>
      <c r="J16" s="327" t="s">
        <v>0</v>
      </c>
      <c r="K16" s="1004" t="s">
        <v>0</v>
      </c>
    </row>
    <row r="17" spans="1:11" ht="15.6" customHeight="1">
      <c r="A17" s="10" t="s">
        <v>261</v>
      </c>
      <c r="B17" s="124">
        <f>+'bilsysbandéc. 14$'!N17</f>
        <v>0</v>
      </c>
      <c r="C17" s="91">
        <f>+'bilsysbandéc, 14gdes '!N17</f>
        <v>6608224</v>
      </c>
      <c r="D17" s="323">
        <f t="shared" ref="D17:D23" si="4">SUM(B17:C17)</f>
        <v>6608224</v>
      </c>
      <c r="E17" s="1005">
        <f t="shared" ref="E17:E23" si="5">+B17/D17</f>
        <v>0</v>
      </c>
      <c r="F17"/>
      <c r="G17"/>
      <c r="H17" s="124">
        <f>+'unibkgdes&amp;$'!H17+'sgbelgdes&amp;$'!H17+'sogebkgdes&amp;$  '!H17+'scotiagdes&amp;$'!H17+'cbnagdes&amp;$'!H17+'capitalbkgdes&amp;$'!H17+'buhgdes&amp;$'!H17+'bphgdes&amp;$'!H17+'bncgdes&amp;$ '!H17</f>
        <v>0</v>
      </c>
      <c r="I17" s="91">
        <f>+'unibkgdes&amp;$'!I17+'sgbelgdes&amp;$'!I17+'sogebkgdes&amp;$  '!I17+'scotiagdes&amp;$'!I17+'cbnagdes&amp;$'!I17+'capitalbkgdes&amp;$'!I17+'buhgdes&amp;$'!I17+'bphgdes&amp;$'!I17+'bncgdes&amp;$ '!I17</f>
        <v>4508555</v>
      </c>
      <c r="J17" s="323">
        <f t="shared" ref="J17:J23" si="6">SUM(H17:I17)</f>
        <v>4508555</v>
      </c>
      <c r="K17" s="1005">
        <f t="shared" ref="K17:K23" si="7">+H17/J17</f>
        <v>0</v>
      </c>
    </row>
    <row r="18" spans="1:11" ht="15.6" customHeight="1">
      <c r="A18" s="10" t="s">
        <v>909</v>
      </c>
      <c r="B18" s="124">
        <f>+'bilsysbandéc. 14$'!N18</f>
        <v>0</v>
      </c>
      <c r="C18" s="91">
        <f>+'bilsysbandéc, 14gdes '!N18</f>
        <v>2875000</v>
      </c>
      <c r="D18" s="323">
        <f t="shared" si="4"/>
        <v>2875000</v>
      </c>
      <c r="E18" s="1005">
        <f t="shared" si="5"/>
        <v>0</v>
      </c>
      <c r="F18"/>
      <c r="G18"/>
      <c r="H18" s="124">
        <v>0</v>
      </c>
      <c r="I18" s="91">
        <f>+'unibkgdes&amp;$'!I18+'sgbelgdes&amp;$'!I18+'sogebkgdes&amp;$  '!I18+'scotiagdes&amp;$'!I18+'cbnagdes&amp;$'!I18+'capitalbkgdes&amp;$'!I18+'buhgdes&amp;$'!I18+'bphgdes&amp;$'!I18+'bncgdes&amp;$ '!I18</f>
        <v>3875000</v>
      </c>
      <c r="J18" s="323">
        <f t="shared" si="6"/>
        <v>3875000</v>
      </c>
      <c r="K18" s="1005">
        <v>0</v>
      </c>
    </row>
    <row r="19" spans="1:11">
      <c r="A19" s="10" t="s">
        <v>262</v>
      </c>
      <c r="B19" s="124">
        <f>+'bilsysbandéc. 14$'!N19</f>
        <v>17867592.253783733</v>
      </c>
      <c r="C19" s="91">
        <f>+'bilsysbandéc, 14gdes '!N19</f>
        <v>13827460.756490001</v>
      </c>
      <c r="D19" s="323">
        <f t="shared" si="4"/>
        <v>31695053.010273732</v>
      </c>
      <c r="E19" s="1004">
        <f t="shared" si="5"/>
        <v>0.56373441773364685</v>
      </c>
      <c r="F19"/>
      <c r="G19"/>
      <c r="H19" s="124">
        <f>+'unibkgdes&amp;$'!H19+'sgbelgdes&amp;$'!H19+'sogebkgdes&amp;$  '!H19+'scotiagdes&amp;$'!H19+'cbnagdes&amp;$'!H19+'capitalbkgdes&amp;$'!H19+'buhgdes&amp;$'!H19+'bphgdes&amp;$'!H19+'bncgdes&amp;$ '!H19</f>
        <v>18692650.015157588</v>
      </c>
      <c r="I19" s="91">
        <f>+'unibkgdes&amp;$'!I19+'sgbelgdes&amp;$'!I19+'sogebkgdes&amp;$  '!I19+'scotiagdes&amp;$'!I19+'cbnagdes&amp;$'!I19+'capitalbkgdes&amp;$'!I19+'buhgdes&amp;$'!I19+'bphgdes&amp;$'!I19+'bncgdes&amp;$ '!I19</f>
        <v>14167314.58034</v>
      </c>
      <c r="J19" s="323">
        <f t="shared" si="6"/>
        <v>32859964.595497586</v>
      </c>
      <c r="K19" s="1004">
        <f t="shared" si="7"/>
        <v>0.5688578866490569</v>
      </c>
    </row>
    <row r="20" spans="1:11">
      <c r="A20" s="10" t="s">
        <v>298</v>
      </c>
      <c r="B20" s="124">
        <f>+'bilsysbandéc. 14$'!N20</f>
        <v>37061100.957115494</v>
      </c>
      <c r="C20" s="91">
        <f>+'bilsysbandéc, 14gdes '!N20</f>
        <v>32731487.79874</v>
      </c>
      <c r="D20" s="323">
        <f t="shared" si="4"/>
        <v>69792588.755855501</v>
      </c>
      <c r="E20" s="1004">
        <f t="shared" si="5"/>
        <v>0.53101771431291289</v>
      </c>
      <c r="F20"/>
      <c r="G20"/>
      <c r="H20" s="124">
        <f>+'unibkgdes&amp;$'!H20+'sgbelgdes&amp;$'!H20+'sogebkgdes&amp;$  '!H20+'scotiagdes&amp;$'!H20+'cbnagdes&amp;$'!H20+'capitalbkgdes&amp;$'!H20+'buhgdes&amp;$'!H20+'bphgdes&amp;$'!H20+'bncgdes&amp;$ '!H20</f>
        <v>35713596.373290792</v>
      </c>
      <c r="I20" s="91">
        <f>+'unibkgdes&amp;$'!I20+'sgbelgdes&amp;$'!I20+'sogebkgdes&amp;$  '!I20+'scotiagdes&amp;$'!I20+'cbnagdes&amp;$'!I20+'capitalbkgdes&amp;$'!I20+'buhgdes&amp;$'!I20+'bphgdes&amp;$'!I20+'bncgdes&amp;$ '!I20</f>
        <v>32464651.013159998</v>
      </c>
      <c r="J20" s="323">
        <f t="shared" si="6"/>
        <v>68178247.386450797</v>
      </c>
      <c r="K20" s="1004">
        <f t="shared" si="7"/>
        <v>0.52382684715929251</v>
      </c>
    </row>
    <row r="21" spans="1:11">
      <c r="A21" s="10" t="s">
        <v>264</v>
      </c>
      <c r="B21" s="124">
        <f>+'bilsysbandéc. 14$'!N21</f>
        <v>0</v>
      </c>
      <c r="C21" s="91">
        <f>+'bilsysbandéc, 14gdes '!N21</f>
        <v>6435815.63215</v>
      </c>
      <c r="D21" s="323">
        <f t="shared" si="4"/>
        <v>6435815.63215</v>
      </c>
      <c r="E21" s="1005">
        <f t="shared" si="5"/>
        <v>0</v>
      </c>
      <c r="F21"/>
      <c r="G21"/>
      <c r="H21" s="124">
        <f>+'unibkgdes&amp;$'!H21+'sgbelgdes&amp;$'!H21+'sogebkgdes&amp;$  '!H21+'scotiagdes&amp;$'!H21+'cbnagdes&amp;$'!H21+'capitalbkgdes&amp;$'!H21+'buhgdes&amp;$'!H21+'bphgdes&amp;$'!H21+'bncgdes&amp;$ '!H21</f>
        <v>0</v>
      </c>
      <c r="I21" s="91">
        <f>+'unibkgdes&amp;$'!I21+'sgbelgdes&amp;$'!I21+'sogebkgdes&amp;$  '!I21+'scotiagdes&amp;$'!I21+'cbnagdes&amp;$'!I21+'capitalbkgdes&amp;$'!I21+'buhgdes&amp;$'!I21+'bphgdes&amp;$'!I21+'bncgdes&amp;$ '!I21</f>
        <v>6250547.100589999</v>
      </c>
      <c r="J21" s="323">
        <f t="shared" si="6"/>
        <v>6250547.100589999</v>
      </c>
      <c r="K21" s="1005">
        <f t="shared" si="7"/>
        <v>0</v>
      </c>
    </row>
    <row r="22" spans="1:11">
      <c r="A22" s="10" t="s">
        <v>265</v>
      </c>
      <c r="B22" s="507">
        <f>+'bilsysbandéc. 14$'!N22</f>
        <v>1112775.3020736161</v>
      </c>
      <c r="C22" s="199">
        <f>+'bilsysbandéc, 14gdes '!N22</f>
        <v>4977043.02312</v>
      </c>
      <c r="D22" s="512">
        <f t="shared" si="4"/>
        <v>6089818.3251936156</v>
      </c>
      <c r="E22" s="1004">
        <f t="shared" si="5"/>
        <v>0.18272717553330908</v>
      </c>
      <c r="F22"/>
      <c r="G22"/>
      <c r="H22" s="507">
        <f>+'unibkgdes&amp;$'!H22+'sgbelgdes&amp;$'!H22+'sogebkgdes&amp;$  '!H22+'scotiagdes&amp;$'!H22+'cbnagdes&amp;$'!H22+'capitalbkgdes&amp;$'!H22+'buhgdes&amp;$'!H22+'bphgdes&amp;$'!H22+'bncgdes&amp;$ '!H22</f>
        <v>948411.54786394199</v>
      </c>
      <c r="I22" s="199">
        <f>+'unibkgdes&amp;$'!I22+'sgbelgdes&amp;$'!I22+'sogebkgdes&amp;$  '!I22+'scotiagdes&amp;$'!I22+'cbnagdes&amp;$'!I22+'capitalbkgdes&amp;$'!I22+'buhgdes&amp;$'!I22+'bphgdes&amp;$'!I22+'bncgdes&amp;$ '!I22</f>
        <v>4556619.4374000002</v>
      </c>
      <c r="J22" s="512">
        <f t="shared" si="6"/>
        <v>5505030.9852639418</v>
      </c>
      <c r="K22" s="1004">
        <f t="shared" si="7"/>
        <v>0.17228087369583986</v>
      </c>
    </row>
    <row r="23" spans="1:11">
      <c r="A23" s="10" t="s">
        <v>54</v>
      </c>
      <c r="B23" s="125">
        <f>SUM(B15:B22)</f>
        <v>101642766.34281729</v>
      </c>
      <c r="C23" s="94">
        <f>SUM(C15:C22)</f>
        <v>93157953.795289993</v>
      </c>
      <c r="D23" s="324">
        <f t="shared" si="4"/>
        <v>194800720.1381073</v>
      </c>
      <c r="E23" s="1006">
        <f t="shared" si="5"/>
        <v>0.52177818578265989</v>
      </c>
      <c r="F23"/>
      <c r="G23"/>
      <c r="H23" s="125">
        <f>SUM(H15:H22)</f>
        <v>102646366.45289141</v>
      </c>
      <c r="I23" s="94">
        <f>SUM(I15:I22)</f>
        <v>91855328.652240008</v>
      </c>
      <c r="J23" s="324">
        <f t="shared" si="6"/>
        <v>194501695.10513142</v>
      </c>
      <c r="K23" s="1006">
        <f t="shared" si="7"/>
        <v>0.5277402153097398</v>
      </c>
    </row>
    <row r="24" spans="1:11" ht="7.9" customHeight="1">
      <c r="A24" s="10"/>
      <c r="B24" s="124"/>
      <c r="C24" s="92" t="s">
        <v>0</v>
      </c>
      <c r="D24" s="323"/>
      <c r="E24" s="1004" t="s">
        <v>0</v>
      </c>
      <c r="F24"/>
      <c r="G24"/>
      <c r="H24" s="121"/>
      <c r="I24" s="91"/>
      <c r="J24" s="327" t="s">
        <v>0</v>
      </c>
      <c r="K24" s="1004" t="s">
        <v>0</v>
      </c>
    </row>
    <row r="25" spans="1:11">
      <c r="A25" s="86" t="s">
        <v>266</v>
      </c>
      <c r="B25" s="124"/>
      <c r="C25" s="92" t="s">
        <v>0</v>
      </c>
      <c r="D25" s="323"/>
      <c r="E25" s="1004" t="s">
        <v>0</v>
      </c>
      <c r="F25"/>
      <c r="G25"/>
      <c r="H25" s="121"/>
      <c r="I25" s="91"/>
      <c r="J25" s="327" t="s">
        <v>0</v>
      </c>
      <c r="K25" s="1004" t="s">
        <v>0</v>
      </c>
    </row>
    <row r="26" spans="1:11">
      <c r="A26" s="10" t="s">
        <v>267</v>
      </c>
      <c r="B26" s="124"/>
      <c r="C26" s="92" t="s">
        <v>0</v>
      </c>
      <c r="D26" s="323"/>
      <c r="E26" s="1004" t="s">
        <v>0</v>
      </c>
      <c r="F26"/>
      <c r="G26"/>
      <c r="H26" s="121"/>
      <c r="I26" s="91"/>
      <c r="J26" s="327" t="s">
        <v>0</v>
      </c>
      <c r="K26" s="1004" t="s">
        <v>0</v>
      </c>
    </row>
    <row r="27" spans="1:11">
      <c r="A27" s="10" t="s">
        <v>268</v>
      </c>
      <c r="B27" s="124">
        <f>+'bilsysbandéc. 14$'!N27</f>
        <v>41125195.958253294</v>
      </c>
      <c r="C27" s="91">
        <f>+'bilsysbandéc, 14gdes '!N27</f>
        <v>33317762.931359999</v>
      </c>
      <c r="D27" s="323">
        <f>SUM(B27:C27)</f>
        <v>74442958.889613301</v>
      </c>
      <c r="E27" s="1004">
        <f>+B27/D27</f>
        <v>0.55243902944850987</v>
      </c>
      <c r="F27"/>
      <c r="G27"/>
      <c r="H27" s="124">
        <f>+'unibkgdes&amp;$'!H27+'sgbelgdes&amp;$'!H27+'sogebkgdes&amp;$  '!H27+'scotiagdes&amp;$'!H27+'cbnagdes&amp;$'!H27+'capitalbkgdes&amp;$'!H27+'buhgdes&amp;$'!H27+'bphgdes&amp;$'!H27+'bncgdes&amp;$ '!H27</f>
        <v>44126455.17364119</v>
      </c>
      <c r="I27" s="91">
        <f>+'unibkgdes&amp;$'!I27+'sgbelgdes&amp;$'!I27+'sogebkgdes&amp;$  '!I27+'scotiagdes&amp;$'!I27+'cbnagdes&amp;$'!I27+'capitalbkgdes&amp;$'!I27+'buhgdes&amp;$'!I27+'bphgdes&amp;$'!I27+'bncgdes&amp;$ '!I27</f>
        <v>31721466.313379996</v>
      </c>
      <c r="J27" s="323">
        <f>SUM(H27:I27)</f>
        <v>75847921.487021178</v>
      </c>
      <c r="K27" s="1004">
        <f>+H27/J27</f>
        <v>0.58177540410506767</v>
      </c>
    </row>
    <row r="28" spans="1:11">
      <c r="A28" s="10" t="s">
        <v>269</v>
      </c>
      <c r="B28" s="124">
        <f>+'bilsysbandéc. 14$'!N28</f>
        <v>30573540.956944697</v>
      </c>
      <c r="C28" s="91">
        <f>+'bilsysbandéc, 14gdes '!N28</f>
        <v>25710364.001449998</v>
      </c>
      <c r="D28" s="323">
        <f>SUM(B28:C28)</f>
        <v>56283904.958394691</v>
      </c>
      <c r="E28" s="1004">
        <f>+B28/D28</f>
        <v>0.54320219927072921</v>
      </c>
      <c r="F28"/>
      <c r="G28"/>
      <c r="H28" s="124">
        <f>+'unibkgdes&amp;$'!H28+'sgbelgdes&amp;$'!H28+'sogebkgdes&amp;$  '!H28+'scotiagdes&amp;$'!H28+'cbnagdes&amp;$'!H28+'capitalbkgdes&amp;$'!H28+'buhgdes&amp;$'!H28+'bphgdes&amp;$'!H28+'bncgdes&amp;$ '!H28</f>
        <v>29664631.158489905</v>
      </c>
      <c r="I28" s="91">
        <f>+'unibkgdes&amp;$'!I28+'sgbelgdes&amp;$'!I28+'sogebkgdes&amp;$  '!I28+'scotiagdes&amp;$'!I28+'cbnagdes&amp;$'!I28+'capitalbkgdes&amp;$'!I28+'buhgdes&amp;$'!I28+'bphgdes&amp;$'!I28+'bncgdes&amp;$ '!I28</f>
        <v>25586153.459720001</v>
      </c>
      <c r="J28" s="323">
        <f>SUM(H28:I28)</f>
        <v>55250784.618209906</v>
      </c>
      <c r="K28" s="1004">
        <f>+H28/J28</f>
        <v>0.53690877629116684</v>
      </c>
    </row>
    <row r="29" spans="1:11">
      <c r="A29" s="10" t="s">
        <v>270</v>
      </c>
      <c r="B29" s="507">
        <f>+'bilsysbandéc. 14$'!N29</f>
        <v>17950032.113373768</v>
      </c>
      <c r="C29" s="199">
        <f>+'bilsysbandéc, 14gdes '!N29</f>
        <v>9884199.8597800005</v>
      </c>
      <c r="D29" s="512">
        <f>SUM(B29:C29)</f>
        <v>27834231.97315377</v>
      </c>
      <c r="E29" s="1004">
        <f>+B29/D29</f>
        <v>0.64489051218250415</v>
      </c>
      <c r="F29"/>
      <c r="G29"/>
      <c r="H29" s="507">
        <f>+'unibkgdes&amp;$'!H29+'sgbelgdes&amp;$'!H29+'sogebkgdes&amp;$  '!H29+'scotiagdes&amp;$'!H29+'cbnagdes&amp;$'!H29+'capitalbkgdes&amp;$'!H29+'buhgdes&amp;$'!H29+'bphgdes&amp;$'!H29+'bncgdes&amp;$ '!H29</f>
        <v>16557860.899486342</v>
      </c>
      <c r="I29" s="199">
        <f>+'unibkgdes&amp;$'!I29+'sgbelgdes&amp;$'!I29+'sogebkgdes&amp;$  '!I29+'scotiagdes&amp;$'!I29+'cbnagdes&amp;$'!I29+'capitalbkgdes&amp;$'!I29+'buhgdes&amp;$'!I29+'bphgdes&amp;$'!I29+'bncgdes&amp;$ '!I29</f>
        <v>9892555.4870100003</v>
      </c>
      <c r="J29" s="512">
        <f>SUM(H29:I29)</f>
        <v>26450416.386496343</v>
      </c>
      <c r="K29" s="1004">
        <f>+H29/J29</f>
        <v>0.62599622847296954</v>
      </c>
    </row>
    <row r="30" spans="1:11">
      <c r="A30" s="10"/>
      <c r="B30" s="124">
        <f>SUM(B27:B29)</f>
        <v>89648769.02857177</v>
      </c>
      <c r="C30" s="91">
        <f>SUM(C27:C29)</f>
        <v>68912326.792589992</v>
      </c>
      <c r="D30" s="323">
        <f>SUM(B30:C30)</f>
        <v>158561095.82116175</v>
      </c>
      <c r="E30" s="1004">
        <f>+B30/D30</f>
        <v>0.56538943909472617</v>
      </c>
      <c r="F30"/>
      <c r="G30"/>
      <c r="H30" s="124">
        <f>SUM(H27:H29)</f>
        <v>90348947.231617436</v>
      </c>
      <c r="I30" s="91">
        <f>SUM(I27:I29)</f>
        <v>67200175.260109991</v>
      </c>
      <c r="J30" s="323">
        <f>SUM(H30:I30)</f>
        <v>157549122.49172741</v>
      </c>
      <c r="K30" s="1004">
        <f>+H30/J30</f>
        <v>0.57346525199695397</v>
      </c>
    </row>
    <row r="31" spans="1:11" ht="7.9" customHeight="1">
      <c r="A31" s="10"/>
      <c r="B31" s="124"/>
      <c r="C31" s="92" t="s">
        <v>0</v>
      </c>
      <c r="D31" s="323"/>
      <c r="E31" s="1004" t="s">
        <v>0</v>
      </c>
      <c r="F31"/>
      <c r="G31"/>
      <c r="H31" s="121"/>
      <c r="I31" s="91"/>
      <c r="J31" s="327" t="s">
        <v>0</v>
      </c>
      <c r="K31" s="1004" t="s">
        <v>0</v>
      </c>
    </row>
    <row r="32" spans="1:11">
      <c r="A32" s="10" t="s">
        <v>271</v>
      </c>
      <c r="B32" s="124"/>
      <c r="C32" s="92" t="s">
        <v>0</v>
      </c>
      <c r="D32" s="323"/>
      <c r="E32" s="1004" t="s">
        <v>0</v>
      </c>
      <c r="F32"/>
      <c r="G32"/>
      <c r="H32" s="121"/>
      <c r="I32" s="91"/>
      <c r="J32" s="327" t="s">
        <v>0</v>
      </c>
      <c r="K32" s="1004" t="s">
        <v>0</v>
      </c>
    </row>
    <row r="33" spans="1:15">
      <c r="A33" s="10" t="s">
        <v>272</v>
      </c>
      <c r="B33" s="124">
        <f>+'bilsysbandéc. 14$'!N33</f>
        <v>0</v>
      </c>
      <c r="C33" s="91">
        <f>+'bilsysbandéc, 14gdes '!N33</f>
        <v>300000</v>
      </c>
      <c r="D33" s="323">
        <f>SUM(B33:C33)</f>
        <v>300000</v>
      </c>
      <c r="E33" s="1005">
        <v>0</v>
      </c>
      <c r="F33"/>
      <c r="G33"/>
      <c r="H33" s="124">
        <f>+'unibkgdes&amp;$'!H33+'sgbelgdes&amp;$'!H33+'sogebkgdes&amp;$  '!H33+'scotiagdes&amp;$'!H33+'cbnagdes&amp;$'!H33+'capitalbkgdes&amp;$'!H33+'buhgdes&amp;$'!H33+'bphgdes&amp;$'!H33+'bncgdes&amp;$ '!H33</f>
        <v>0</v>
      </c>
      <c r="I33" s="91">
        <f>+'unibkgdes&amp;$'!I33+'sgbelgdes&amp;$'!I33+'sogebkgdes&amp;$  '!I33+'scotiagdes&amp;$'!I33+'cbnagdes&amp;$'!I33+'capitalbkgdes&amp;$'!I33+'buhgdes&amp;$'!I33+'bphgdes&amp;$'!I33+'bncgdes&amp;$ '!I33</f>
        <v>300000</v>
      </c>
      <c r="J33" s="323">
        <f>SUM(H33:I33)</f>
        <v>300000</v>
      </c>
      <c r="K33" s="1005">
        <v>0</v>
      </c>
    </row>
    <row r="34" spans="1:15">
      <c r="A34" s="10" t="s">
        <v>273</v>
      </c>
      <c r="B34" s="124">
        <f>+'bilsysbandéc. 14$'!N34</f>
        <v>140243</v>
      </c>
      <c r="C34" s="91">
        <f>+'bilsysbandéc, 14gdes '!N34</f>
        <v>0</v>
      </c>
      <c r="D34" s="323">
        <f>SUM(B34:C34)</f>
        <v>140243</v>
      </c>
      <c r="E34" s="1004">
        <f>+B34/D34</f>
        <v>1</v>
      </c>
      <c r="F34"/>
      <c r="G34"/>
      <c r="H34" s="124">
        <f>+'unibkgdes&amp;$'!H34+'sgbelgdes&amp;$'!H34+'sogebkgdes&amp;$  '!H34+'scotiagdes&amp;$'!H34+'cbnagdes&amp;$'!H34+'capitalbkgdes&amp;$'!H34+'buhgdes&amp;$'!H34+'bphgdes&amp;$'!H34+'bncgdes&amp;$ '!H34</f>
        <v>0</v>
      </c>
      <c r="I34" s="91">
        <f>+'unibkgdes&amp;$'!I34+'sgbelgdes&amp;$'!I34+'sogebkgdes&amp;$  '!I34+'scotiagdes&amp;$'!I34+'cbnagdes&amp;$'!I34+'capitalbkgdes&amp;$'!I34+'buhgdes&amp;$'!I34+'bphgdes&amp;$'!I34+'bncgdes&amp;$ '!I34</f>
        <v>0</v>
      </c>
      <c r="J34" s="323">
        <f>SUM(H34:I34)</f>
        <v>0</v>
      </c>
      <c r="K34" s="1005">
        <v>0</v>
      </c>
    </row>
    <row r="35" spans="1:15" ht="18">
      <c r="A35" s="10" t="s">
        <v>274</v>
      </c>
      <c r="B35" s="507">
        <f>+'bilsysbandéc. 14$'!N35</f>
        <v>2931135.5984247853</v>
      </c>
      <c r="C35" s="199">
        <f>+'bilsysbandéc, 14gdes '!N35</f>
        <v>4162731.9427499995</v>
      </c>
      <c r="D35" s="512">
        <f>SUM(B35:C35)</f>
        <v>7093867.5411747843</v>
      </c>
      <c r="E35" s="1004">
        <f>+B35/D35</f>
        <v>0.41319288546221894</v>
      </c>
      <c r="F35"/>
      <c r="G35"/>
      <c r="H35" s="507">
        <f>+'unibkgdes&amp;$'!H35+'sgbelgdes&amp;$'!H35+'sogebkgdes&amp;$  '!H35+'scotiagdes&amp;$'!H35+'cbnagdes&amp;$'!H35+'capitalbkgdes&amp;$'!H35+'buhgdes&amp;$'!H35+'bphgdes&amp;$'!H35+'bncgdes&amp;$ '!H35</f>
        <v>2904315.2260849085</v>
      </c>
      <c r="I35" s="199">
        <f>+'unibkgdes&amp;$'!I35+'sgbelgdes&amp;$'!I35+'sogebkgdes&amp;$  '!I35+'scotiagdes&amp;$'!I35+'cbnagdes&amp;$'!I35+'capitalbkgdes&amp;$'!I35+'buhgdes&amp;$'!I35+'bphgdes&amp;$'!I35+'bncgdes&amp;$ '!I35</f>
        <v>4138324.6443600003</v>
      </c>
      <c r="J35" s="512">
        <f>SUM(H35:I35)</f>
        <v>7042639.8704449087</v>
      </c>
      <c r="K35" s="1004">
        <f>+H35/J35</f>
        <v>0.4123901377199673</v>
      </c>
      <c r="L35" s="14"/>
      <c r="M35" s="15"/>
      <c r="N35" s="15"/>
      <c r="O35" s="15"/>
    </row>
    <row r="36" spans="1:15">
      <c r="A36" s="10"/>
      <c r="B36" s="124">
        <f>SUM(B33:B35)</f>
        <v>3071378.5984247853</v>
      </c>
      <c r="C36" s="91">
        <f>SUM(C33:C35)</f>
        <v>4462731.9427499995</v>
      </c>
      <c r="D36" s="323">
        <f>SUM(B36:C36)</f>
        <v>7534110.5411747843</v>
      </c>
      <c r="E36" s="1004">
        <f>+B36/D36</f>
        <v>0.40766306541951391</v>
      </c>
      <c r="F36"/>
      <c r="G36"/>
      <c r="H36" s="124">
        <f>SUM(H33:H35)</f>
        <v>2904315.2260849085</v>
      </c>
      <c r="I36" s="91">
        <f>SUM(I33:I35)</f>
        <v>4438324.6443600003</v>
      </c>
      <c r="J36" s="323">
        <f>SUM(H36:I36)</f>
        <v>7342639.8704449087</v>
      </c>
      <c r="K36" s="1004">
        <f>+H36/J36</f>
        <v>0.39554101485695348</v>
      </c>
    </row>
    <row r="37" spans="1:15" ht="7.15" customHeight="1">
      <c r="A37" s="10"/>
      <c r="B37" s="124"/>
      <c r="C37" s="92" t="s">
        <v>0</v>
      </c>
      <c r="D37" s="323"/>
      <c r="E37" s="1004" t="s">
        <v>54</v>
      </c>
      <c r="F37"/>
      <c r="G37"/>
      <c r="H37" s="130"/>
      <c r="I37" s="91"/>
      <c r="J37" s="327" t="s">
        <v>0</v>
      </c>
      <c r="K37" s="1004" t="s">
        <v>54</v>
      </c>
    </row>
    <row r="38" spans="1:15">
      <c r="A38" s="10" t="s">
        <v>275</v>
      </c>
      <c r="B38" s="124"/>
      <c r="C38" s="92" t="s">
        <v>0</v>
      </c>
      <c r="D38" s="323"/>
      <c r="E38" s="1004" t="s">
        <v>0</v>
      </c>
      <c r="F38"/>
      <c r="G38"/>
      <c r="H38" s="130"/>
      <c r="I38" s="91"/>
      <c r="J38" s="327" t="s">
        <v>0</v>
      </c>
      <c r="K38" s="1004" t="s">
        <v>0</v>
      </c>
    </row>
    <row r="39" spans="1:15">
      <c r="A39" s="10" t="s">
        <v>272</v>
      </c>
      <c r="B39" s="124">
        <f>+'bilsysbandéc. 14$'!N39</f>
        <v>0</v>
      </c>
      <c r="C39" s="91">
        <f>+'bilsysbandéc, 14gdes '!N39</f>
        <v>1065132.5</v>
      </c>
      <c r="D39" s="323">
        <f>SUM(B39:C39)</f>
        <v>1065132.5</v>
      </c>
      <c r="E39" s="1005">
        <v>0</v>
      </c>
      <c r="F39"/>
      <c r="G39"/>
      <c r="H39" s="124">
        <f>+'unibkgdes&amp;$'!H39+'sgbelgdes&amp;$'!H39+'sogebkgdes&amp;$  '!H39+'scotiagdes&amp;$'!H39+'cbnagdes&amp;$'!H39+'capitalbkgdes&amp;$'!H39+'buhgdes&amp;$'!H39+'bphgdes&amp;$'!H39+'bncgdes&amp;$ '!H39</f>
        <v>0</v>
      </c>
      <c r="I39" s="91">
        <f>+'unibkgdes&amp;$'!I39+'sgbelgdes&amp;$'!I39+'sogebkgdes&amp;$  '!I39+'scotiagdes&amp;$'!I39+'cbnagdes&amp;$'!I39+'capitalbkgdes&amp;$'!I39+'buhgdes&amp;$'!I39+'bphgdes&amp;$'!I39+'bncgdes&amp;$ '!I39</f>
        <v>1667510</v>
      </c>
      <c r="J39" s="323">
        <f>SUM(H39:I39)</f>
        <v>1667510</v>
      </c>
      <c r="K39" s="1005">
        <f>+H39/J39</f>
        <v>0</v>
      </c>
    </row>
    <row r="40" spans="1:15">
      <c r="A40" s="10" t="s">
        <v>276</v>
      </c>
      <c r="B40" s="124">
        <f>+'bilsysbandéc. 14$'!N40</f>
        <v>3075243.5976900002</v>
      </c>
      <c r="C40" s="91">
        <f>+'bilsysbandéc, 14gdes '!N40</f>
        <v>0</v>
      </c>
      <c r="D40" s="323">
        <f>SUM(B40:C40)</f>
        <v>3075243.5976900002</v>
      </c>
      <c r="E40" s="1004">
        <f>+B40/D40</f>
        <v>1</v>
      </c>
      <c r="F40"/>
      <c r="G40"/>
      <c r="H40" s="124">
        <f>+'unibkgdes&amp;$'!H40+'sgbelgdes&amp;$'!H40+'sogebkgdes&amp;$  '!H40+'scotiagdes&amp;$'!H40+'cbnagdes&amp;$'!H40+'capitalbkgdes&amp;$'!H40+'buhgdes&amp;$'!H40+'bphgdes&amp;$'!H40+'bncgdes&amp;$ '!H40</f>
        <v>4243652.9991299994</v>
      </c>
      <c r="I40" s="91">
        <f>+'unibkgdes&amp;$'!I40+'sgbelgdes&amp;$'!I40+'sogebkgdes&amp;$  '!I40+'scotiagdes&amp;$'!I40+'cbnagdes&amp;$'!I40+'capitalbkgdes&amp;$'!I40+'buhgdes&amp;$'!I40+'bphgdes&amp;$'!I40+'bncgdes&amp;$ '!I40</f>
        <v>0</v>
      </c>
      <c r="J40" s="323">
        <f>SUM(H40:I40)</f>
        <v>4243652.9991299994</v>
      </c>
      <c r="K40" s="1004">
        <f>+H40/J40</f>
        <v>1</v>
      </c>
    </row>
    <row r="41" spans="1:15">
      <c r="A41" s="10" t="s">
        <v>274</v>
      </c>
      <c r="B41" s="124">
        <f>+'bilsysbandéc. 14$'!N41</f>
        <v>2883223.1005529612</v>
      </c>
      <c r="C41" s="199">
        <f>+'bilsysbandéc, 14gdes '!N41</f>
        <v>1724874.7556699999</v>
      </c>
      <c r="D41" s="512">
        <f>SUM(B41:C41)</f>
        <v>4608097.8562229611</v>
      </c>
      <c r="E41" s="1004">
        <f>+B41/D41</f>
        <v>0.62568617041396823</v>
      </c>
      <c r="F41"/>
      <c r="G41"/>
      <c r="H41" s="507">
        <f>+'unibkgdes&amp;$'!H41+'sgbelgdes&amp;$'!H41+'sogebkgdes&amp;$  '!H41+'scotiagdes&amp;$'!H41+'cbnagdes&amp;$'!H41+'capitalbkgdes&amp;$'!H41+'buhgdes&amp;$'!H41+'bphgdes&amp;$'!H41+'bncgdes&amp;$ '!H41</f>
        <v>2799002.7503522513</v>
      </c>
      <c r="I41" s="199">
        <f>+'unibkgdes&amp;$'!I41+'sgbelgdes&amp;$'!I41+'sogebkgdes&amp;$  '!I41+'scotiagdes&amp;$'!I41+'cbnagdes&amp;$'!I41+'capitalbkgdes&amp;$'!I41+'buhgdes&amp;$'!I41+'bphgdes&amp;$'!I41+'bncgdes&amp;$ '!I41</f>
        <v>1780268.2860500002</v>
      </c>
      <c r="J41" s="512">
        <f>SUM(H41:I41)</f>
        <v>4579271.0364022516</v>
      </c>
      <c r="K41" s="1004">
        <f>+H41/J41</f>
        <v>0.611233257018854</v>
      </c>
    </row>
    <row r="42" spans="1:15">
      <c r="A42" s="10"/>
      <c r="B42" s="590">
        <f>SUM(B39:B41)</f>
        <v>5958466.6982429614</v>
      </c>
      <c r="C42" s="91">
        <f>SUM(C39:C41)</f>
        <v>2790007.2556699999</v>
      </c>
      <c r="D42" s="323">
        <f>SUM(B42:C42)</f>
        <v>8748473.9539129622</v>
      </c>
      <c r="E42" s="1004">
        <f>+B42/D42</f>
        <v>0.68108640771318707</v>
      </c>
      <c r="F42"/>
      <c r="G42"/>
      <c r="H42" s="124">
        <f>SUM(H39:H41)</f>
        <v>7042655.7494822508</v>
      </c>
      <c r="I42" s="91">
        <f>SUM(I39:I41)</f>
        <v>3447778.2860500002</v>
      </c>
      <c r="J42" s="323">
        <f>SUM(H42:I42)</f>
        <v>10490434.035532251</v>
      </c>
      <c r="K42" s="1004">
        <f>+H42/J42</f>
        <v>0.67134074010932276</v>
      </c>
    </row>
    <row r="43" spans="1:15" ht="8.4499999999999993" customHeight="1">
      <c r="A43" s="10"/>
      <c r="B43" s="124"/>
      <c r="C43" s="92" t="s">
        <v>0</v>
      </c>
      <c r="D43" s="323"/>
      <c r="E43" s="1004" t="s">
        <v>0</v>
      </c>
      <c r="F43"/>
      <c r="G43"/>
      <c r="H43" s="130"/>
      <c r="I43" s="91"/>
      <c r="J43" s="327" t="s">
        <v>0</v>
      </c>
      <c r="K43" s="1004" t="s">
        <v>0</v>
      </c>
    </row>
    <row r="44" spans="1:15" ht="18">
      <c r="A44" s="10" t="s">
        <v>277</v>
      </c>
      <c r="B44" s="507">
        <f>+'bilsysbandéc. 14$'!N44</f>
        <v>2218741.5005498473</v>
      </c>
      <c r="C44" s="199">
        <f>+'bilsysbandéc, 14gdes '!N44</f>
        <v>2227244.7799999998</v>
      </c>
      <c r="D44" s="512">
        <f>SUM(B44:C44)</f>
        <v>4445986.2805498466</v>
      </c>
      <c r="E44" s="1004">
        <f>+B44/D44</f>
        <v>0.49904371281043397</v>
      </c>
      <c r="F44"/>
      <c r="G44"/>
      <c r="H44" s="507">
        <f>+'unibkgdes&amp;$'!H44+'sgbelgdes&amp;$'!H44+'sogebkgdes&amp;$  '!H44+'scotiagdes&amp;$'!H44+'cbnagdes&amp;$'!H44+'capitalbkgdes&amp;$'!H44+'buhgdes&amp;$'!H44+'bphgdes&amp;$'!H44+'bncgdes&amp;$ '!H44</f>
        <v>2061585.897893579</v>
      </c>
      <c r="I44" s="199">
        <f>+'unibkgdes&amp;$'!I44+'sgbelgdes&amp;$'!I44+'sogebkgdes&amp;$  '!I44+'scotiagdes&amp;$'!I44+'cbnagdes&amp;$'!I44+'capitalbkgdes&amp;$'!I44+'buhgdes&amp;$'!I44+'bphgdes&amp;$'!I44+'bncgdes&amp;$ '!I44</f>
        <v>2307427.1174599999</v>
      </c>
      <c r="J44" s="512">
        <f>SUM(H44:I44)</f>
        <v>4369013.0153535791</v>
      </c>
      <c r="K44" s="1004">
        <f>+H44/J44</f>
        <v>0.47186535967019483</v>
      </c>
      <c r="L44" s="14"/>
    </row>
    <row r="45" spans="1:15">
      <c r="A45" s="10"/>
      <c r="B45" s="124">
        <f>+B30+B36+B42+B44</f>
        <v>100897355.82578938</v>
      </c>
      <c r="C45" s="91">
        <f>+C30+C36+C42+C44</f>
        <v>78392310.771009997</v>
      </c>
      <c r="D45" s="323">
        <f>+D30+D36+D42+D44</f>
        <v>179289666.59679934</v>
      </c>
      <c r="E45" s="1004">
        <f>+B45/D45</f>
        <v>0.56276169029136103</v>
      </c>
      <c r="F45"/>
      <c r="G45"/>
      <c r="H45" s="124">
        <f>+H30+H36+H42+H44</f>
        <v>102357504.10507816</v>
      </c>
      <c r="I45" s="91">
        <f>+I30+I36+I42+I44</f>
        <v>77393705.307980001</v>
      </c>
      <c r="J45" s="91">
        <f>+J30+J36+J42+J44</f>
        <v>179751209.41305813</v>
      </c>
      <c r="K45" s="1008">
        <f>+H45/J45</f>
        <v>0.56943986323822948</v>
      </c>
    </row>
    <row r="46" spans="1:15" ht="8.4499999999999993" customHeight="1">
      <c r="A46" s="10"/>
      <c r="B46" s="124"/>
      <c r="C46" s="92" t="s">
        <v>0</v>
      </c>
      <c r="D46" s="323"/>
      <c r="E46" s="1004" t="s">
        <v>0</v>
      </c>
      <c r="F46"/>
      <c r="G46"/>
      <c r="H46" s="130"/>
      <c r="I46" s="91"/>
      <c r="J46" s="327" t="s">
        <v>0</v>
      </c>
      <c r="K46" s="1004" t="s">
        <v>0</v>
      </c>
    </row>
    <row r="47" spans="1:15">
      <c r="A47" s="86" t="s">
        <v>278</v>
      </c>
      <c r="B47" s="124"/>
      <c r="C47" s="92" t="s">
        <v>0</v>
      </c>
      <c r="D47" s="323"/>
      <c r="E47" s="1004" t="s">
        <v>0</v>
      </c>
      <c r="F47"/>
      <c r="G47"/>
      <c r="H47" s="130"/>
      <c r="I47" s="91"/>
      <c r="J47" s="327" t="s">
        <v>0</v>
      </c>
      <c r="K47" s="1004" t="s">
        <v>0</v>
      </c>
    </row>
    <row r="48" spans="1:15">
      <c r="A48" s="10" t="s">
        <v>279</v>
      </c>
      <c r="B48" s="124">
        <f>+'bilsysbandéc. 14$'!N48</f>
        <v>0</v>
      </c>
      <c r="C48" s="91">
        <f>+'bilsysbandéc, 14gdes '!N48</f>
        <v>6024513</v>
      </c>
      <c r="D48" s="323">
        <f>SUM(B48:C48)</f>
        <v>6024513</v>
      </c>
      <c r="E48" s="1005">
        <f>+B48/D48</f>
        <v>0</v>
      </c>
      <c r="F48"/>
      <c r="G48"/>
      <c r="H48" s="124">
        <f>+'unibkgdes&amp;$'!H48+'sgbelgdes&amp;$'!H48+'sogebkgdes&amp;$  '!H48+'scotiagdes&amp;$'!H48+'cbnagdes&amp;$'!H48+'capitalbkgdes&amp;$'!H48+'buhgdes&amp;$'!H48+'bphgdes&amp;$'!H48+'bncgdes&amp;$ '!H48</f>
        <v>0</v>
      </c>
      <c r="I48" s="91">
        <f>+'unibkgdes&amp;$'!I48+'sgbelgdes&amp;$'!I48+'sogebkgdes&amp;$  '!I48+'scotiagdes&amp;$'!I48+'cbnagdes&amp;$'!I48+'capitalbkgdes&amp;$'!I48+'buhgdes&amp;$'!I48+'bphgdes&amp;$'!I48+'bncgdes&amp;$ '!I48</f>
        <v>6024565</v>
      </c>
      <c r="J48" s="323">
        <f>SUM(H48:I48)</f>
        <v>6024565</v>
      </c>
      <c r="K48" s="1005">
        <f>+H48/J48</f>
        <v>0</v>
      </c>
    </row>
    <row r="49" spans="1:15">
      <c r="A49" s="10" t="s">
        <v>280</v>
      </c>
      <c r="B49" s="124">
        <f>+'bilsysbandéc. 14$'!N49</f>
        <v>0</v>
      </c>
      <c r="C49" s="91">
        <f>+'bilsysbandéc, 14gdes '!N49</f>
        <v>3053147.82522</v>
      </c>
      <c r="D49" s="323">
        <f>SUM(B49:C49)</f>
        <v>3053147.82522</v>
      </c>
      <c r="E49" s="1005">
        <f>+B49/D49</f>
        <v>0</v>
      </c>
      <c r="F49"/>
      <c r="G49"/>
      <c r="H49" s="124">
        <f>+'unibkgdes&amp;$'!H49+'sgbelgdes&amp;$'!H49+'sogebkgdes&amp;$  '!H49+'scotiagdes&amp;$'!H49+'cbnagdes&amp;$'!H49+'capitalbkgdes&amp;$'!H49+'buhgdes&amp;$'!H49+'bphgdes&amp;$'!H49+'bncgdes&amp;$ '!H49</f>
        <v>0</v>
      </c>
      <c r="I49" s="91">
        <f>+'unibkgdes&amp;$'!I49+'sgbelgdes&amp;$'!I49+'sogebkgdes&amp;$  '!I49+'scotiagdes&amp;$'!I49+'cbnagdes&amp;$'!I49+'capitalbkgdes&amp;$'!I49+'buhgdes&amp;$'!I49+'bphgdes&amp;$'!I49+'bncgdes&amp;$ '!I49</f>
        <v>2894460.56794</v>
      </c>
      <c r="J49" s="323">
        <f>SUM(H49:I49)</f>
        <v>2894460.56794</v>
      </c>
      <c r="K49" s="1005">
        <f>+H49/J49</f>
        <v>0</v>
      </c>
    </row>
    <row r="50" spans="1:15">
      <c r="A50" s="10" t="s">
        <v>290</v>
      </c>
      <c r="B50" s="124">
        <f>+'bilsysbandéc. 14$'!N50</f>
        <v>0</v>
      </c>
      <c r="C50" s="91">
        <f>+'bilsysbandéc, 14gdes '!N50</f>
        <v>208035.65532000002</v>
      </c>
      <c r="D50" s="323">
        <f>SUM(B50:C50)</f>
        <v>208035.65532000002</v>
      </c>
      <c r="E50" s="1005">
        <f>+B50/D50</f>
        <v>0</v>
      </c>
      <c r="F50"/>
      <c r="G50"/>
      <c r="H50" s="124">
        <f>+'unibkgdes&amp;$'!H50+'sgbelgdes&amp;$'!H50+'sogebkgdes&amp;$  '!H50+'scotiagdes&amp;$'!H50+'cbnagdes&amp;$'!H50+'capitalbkgdes&amp;$'!H50+'buhgdes&amp;$'!H50+'bphgdes&amp;$'!H50+'bncgdes&amp;$ '!H50</f>
        <v>0</v>
      </c>
      <c r="I50" s="91">
        <f>+'unibkgdes&amp;$'!I50+'sgbelgdes&amp;$'!I50+'sogebkgdes&amp;$  '!I50+'scotiagdes&amp;$'!I50+'cbnagdes&amp;$'!I50+'capitalbkgdes&amp;$'!I50+'buhgdes&amp;$'!I50+'bphgdes&amp;$'!I50+'bncgdes&amp;$ '!I50</f>
        <v>208035.65516999998</v>
      </c>
      <c r="J50" s="323">
        <f>SUM(H50:I50)</f>
        <v>208035.65516999998</v>
      </c>
      <c r="K50" s="1005">
        <v>0</v>
      </c>
    </row>
    <row r="51" spans="1:15" ht="18">
      <c r="A51" s="10" t="s">
        <v>282</v>
      </c>
      <c r="B51" s="507">
        <f>+'bilsysbandéc. 14$'!N51</f>
        <v>0</v>
      </c>
      <c r="C51" s="199">
        <f>+'bilsysbandéc, 14gdes '!N51</f>
        <v>6225357.0574499993</v>
      </c>
      <c r="D51" s="512">
        <f>SUM(B51:C51)</f>
        <v>6225357.0574499993</v>
      </c>
      <c r="E51" s="1005">
        <v>0</v>
      </c>
      <c r="F51"/>
      <c r="G51"/>
      <c r="H51" s="507">
        <f>+'unibkgdes&amp;$'!H51+'sgbelgdes&amp;$'!H51+'sogebkgdes&amp;$  '!H51+'scotiagdes&amp;$'!H51+'cbnagdes&amp;$'!H51+'capitalbkgdes&amp;$'!H51+'buhgdes&amp;$'!H51+'bphgdes&amp;$'!H51+'bncgdes&amp;$ '!H51</f>
        <v>0</v>
      </c>
      <c r="I51" s="199">
        <f>+'unibkgdes&amp;$'!I51+'sgbelgdes&amp;$'!I51+'sogebkgdes&amp;$  '!I51+'scotiagdes&amp;$'!I51+'cbnagdes&amp;$'!I51+'capitalbkgdes&amp;$'!I51+'buhgdes&amp;$'!I51+'bphgdes&amp;$'!I51+'bncgdes&amp;$ '!I51</f>
        <v>5623424.3861299995</v>
      </c>
      <c r="J51" s="512">
        <f>SUM(H51:I51)</f>
        <v>5623424.3861299995</v>
      </c>
      <c r="K51" s="1005">
        <v>0</v>
      </c>
      <c r="L51" s="14"/>
      <c r="M51" s="15"/>
      <c r="N51" s="15"/>
      <c r="O51" s="15"/>
    </row>
    <row r="52" spans="1:15">
      <c r="A52" s="10" t="s">
        <v>54</v>
      </c>
      <c r="B52" s="124">
        <f>SUM(B48:B51)</f>
        <v>0</v>
      </c>
      <c r="C52" s="91">
        <f>SUM(C48:C51)</f>
        <v>15511053.53799</v>
      </c>
      <c r="D52" s="323">
        <f>SUM(B52:C52)</f>
        <v>15511053.53799</v>
      </c>
      <c r="E52" s="1005">
        <v>0</v>
      </c>
      <c r="F52"/>
      <c r="G52"/>
      <c r="H52" s="124">
        <f>SUM(H48:H51)</f>
        <v>0</v>
      </c>
      <c r="I52" s="91">
        <f>SUM(I48:I51)</f>
        <v>14750485.609239999</v>
      </c>
      <c r="J52" s="323">
        <f>SUM(H52:I52)</f>
        <v>14750485.609239999</v>
      </c>
      <c r="K52" s="1005">
        <v>0</v>
      </c>
    </row>
    <row r="53" spans="1:15">
      <c r="A53" s="10" t="s">
        <v>0</v>
      </c>
      <c r="B53" s="124"/>
      <c r="C53" s="92" t="s">
        <v>0</v>
      </c>
      <c r="D53" s="323"/>
      <c r="E53" s="1004" t="s">
        <v>0</v>
      </c>
      <c r="F53"/>
      <c r="G53"/>
      <c r="H53" s="130"/>
      <c r="I53" s="91"/>
      <c r="J53" s="327" t="s">
        <v>0</v>
      </c>
      <c r="K53" s="1004" t="s">
        <v>0</v>
      </c>
    </row>
    <row r="54" spans="1:15" ht="16.5" thickBot="1">
      <c r="A54" s="10" t="s">
        <v>0</v>
      </c>
      <c r="B54" s="126">
        <f>+B30+B36+B42+B44+B52</f>
        <v>100897355.82578938</v>
      </c>
      <c r="C54" s="127">
        <f>+C30+C36+C42+C44+C52</f>
        <v>93903364.309</v>
      </c>
      <c r="D54" s="325">
        <f>SUM(B54:C54)</f>
        <v>194800720.13478938</v>
      </c>
      <c r="E54" s="1007">
        <f>+B54/D54</f>
        <v>0.51795165724220626</v>
      </c>
      <c r="F54"/>
      <c r="G54"/>
      <c r="H54" s="126">
        <f>+H30+H36+H42+H44+H52</f>
        <v>102357504.10507816</v>
      </c>
      <c r="I54" s="127">
        <f>+I30+I36+I42+I44+I52</f>
        <v>92144190.917219996</v>
      </c>
      <c r="J54" s="325">
        <f>SUM(H54:I54)</f>
        <v>194501695.02229816</v>
      </c>
      <c r="K54" s="1007">
        <f>+H54/J54</f>
        <v>0.5262550750179511</v>
      </c>
    </row>
    <row r="55" spans="1:15" ht="16.5" thickTop="1">
      <c r="A55" s="10"/>
      <c r="B55" s="94"/>
      <c r="C55" s="94"/>
      <c r="D55" s="339"/>
      <c r="E55" s="237"/>
      <c r="F55"/>
      <c r="G55"/>
      <c r="H55" s="94"/>
      <c r="I55" s="94"/>
      <c r="J55" s="339"/>
      <c r="K55" s="237"/>
    </row>
    <row r="56" spans="1:15">
      <c r="A56" s="10"/>
      <c r="B56" s="1051" t="str">
        <f>+'bncgdes&amp;$ '!B56</f>
        <v xml:space="preserve">* converties au taux de 46,7477 Gdes </v>
      </c>
      <c r="C56" s="401"/>
      <c r="D56" s="90"/>
      <c r="E56"/>
      <c r="F56"/>
      <c r="G56"/>
      <c r="H56" s="1051" t="str">
        <f>+'bncgdes&amp;$ '!H56</f>
        <v xml:space="preserve">* converties au taux de 45,5577 Gdes </v>
      </c>
      <c r="I56" s="90"/>
      <c r="J56"/>
    </row>
    <row r="57" spans="1:15">
      <c r="B57" s="13" t="s">
        <v>0</v>
      </c>
      <c r="C57" s="48"/>
      <c r="E57"/>
      <c r="F57"/>
      <c r="G57"/>
      <c r="H57" s="13" t="s">
        <v>0</v>
      </c>
      <c r="J57" s="48"/>
    </row>
    <row r="58" spans="1:15">
      <c r="B58"/>
      <c r="C58"/>
      <c r="D58"/>
      <c r="E58"/>
      <c r="F58"/>
      <c r="G58"/>
      <c r="H58"/>
      <c r="I58"/>
      <c r="J58"/>
      <c r="K58"/>
    </row>
    <row r="59" spans="1:15">
      <c r="B59"/>
      <c r="C59" t="s">
        <v>0</v>
      </c>
      <c r="D59"/>
      <c r="E59"/>
      <c r="F59"/>
      <c r="G59"/>
      <c r="H59"/>
      <c r="I59"/>
      <c r="J59"/>
      <c r="K59"/>
    </row>
    <row r="60" spans="1:15">
      <c r="B60"/>
      <c r="C60"/>
      <c r="D60"/>
      <c r="E60"/>
      <c r="F60"/>
      <c r="G60"/>
      <c r="H60"/>
      <c r="I60"/>
      <c r="J60"/>
      <c r="K60"/>
    </row>
    <row r="61" spans="1:15">
      <c r="B61"/>
      <c r="C61"/>
      <c r="D61"/>
      <c r="E61"/>
      <c r="F61"/>
      <c r="G61"/>
      <c r="H61"/>
      <c r="I61"/>
      <c r="J61"/>
      <c r="K61"/>
    </row>
    <row r="62" spans="1:15">
      <c r="B62"/>
      <c r="C62"/>
      <c r="D62"/>
      <c r="E62"/>
      <c r="F62"/>
      <c r="G62"/>
      <c r="H62"/>
      <c r="I62"/>
      <c r="J62"/>
      <c r="K62"/>
    </row>
    <row r="63" spans="1:15">
      <c r="B63"/>
      <c r="C63"/>
      <c r="D63"/>
      <c r="E63"/>
      <c r="F63"/>
      <c r="G63"/>
      <c r="H63"/>
      <c r="I63"/>
      <c r="J63"/>
      <c r="K63"/>
    </row>
    <row r="64" spans="1:15">
      <c r="B64"/>
      <c r="C64"/>
      <c r="D64"/>
      <c r="E64"/>
      <c r="F64"/>
      <c r="G64"/>
      <c r="H64"/>
      <c r="I64"/>
      <c r="J64"/>
      <c r="K64"/>
    </row>
    <row r="65" spans="2:12">
      <c r="B65"/>
      <c r="C65"/>
      <c r="D65"/>
      <c r="E65"/>
      <c r="F65"/>
      <c r="G65"/>
      <c r="H65"/>
      <c r="I65"/>
      <c r="J65"/>
      <c r="K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5" right="0.31" top="0.48" bottom="0.52" header="0.28999999999999998" footer="0.28999999999999998"/>
  <pageSetup scale="65" orientation="landscape" r:id="rId1"/>
  <headerFooter alignWithMargins="0">
    <oddFooter>&amp;R&amp;P</oddFooter>
  </headerFooter>
</worksheet>
</file>

<file path=xl/worksheets/sheet36.xml><?xml version="1.0" encoding="utf-8"?>
<worksheet xmlns="http://schemas.openxmlformats.org/spreadsheetml/2006/main" xmlns:r="http://schemas.openxmlformats.org/officeDocument/2006/relationships">
  <sheetPr>
    <pageSetUpPr fitToPage="1"/>
  </sheetPr>
  <dimension ref="A1:V122"/>
  <sheetViews>
    <sheetView workbookViewId="0">
      <selection activeCell="B6" sqref="B6"/>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9" style="33"/>
    <col min="6" max="6" width="15.75" style="33" customWidth="1"/>
    <col min="7" max="7" width="9" style="33"/>
    <col min="8" max="8" width="15.75" style="33" customWidth="1"/>
    <col min="9" max="9" width="6.375" style="48" customWidth="1"/>
    <col min="10" max="10" width="15.75" style="33" customWidth="1"/>
    <col min="11" max="11" width="8.75" style="33" customWidth="1"/>
    <col min="12" max="12" width="15.75" style="33" customWidth="1"/>
    <col min="13" max="13" width="9" style="33"/>
    <col min="14" max="14" width="15.75" style="33" customWidth="1"/>
    <col min="15" max="15" width="9" style="33"/>
    <col min="16" max="16" width="15.75" style="33" customWidth="1"/>
    <col min="17" max="17" width="9" style="33"/>
    <col min="18" max="18" width="15.75" style="33" customWidth="1"/>
    <col min="19" max="19" width="9" style="33"/>
    <col min="20" max="20" width="15.875" style="33" customWidth="1"/>
    <col min="21" max="21" width="14.25" style="33" customWidth="1"/>
  </cols>
  <sheetData>
    <row r="1" spans="1:22">
      <c r="A1" s="133" t="s">
        <v>0</v>
      </c>
      <c r="B1" s="28" t="s">
        <v>993</v>
      </c>
      <c r="D1" s="28" t="s">
        <v>896</v>
      </c>
      <c r="F1" s="28" t="s">
        <v>994</v>
      </c>
      <c r="G1"/>
      <c r="H1" s="28" t="s">
        <v>897</v>
      </c>
      <c r="J1" s="28" t="s">
        <v>995</v>
      </c>
      <c r="L1" s="28" t="s">
        <v>898</v>
      </c>
      <c r="N1" s="28" t="s">
        <v>996</v>
      </c>
      <c r="P1" s="28" t="s">
        <v>899</v>
      </c>
      <c r="R1" s="28" t="s">
        <v>997</v>
      </c>
      <c r="T1" s="28" t="s">
        <v>900</v>
      </c>
    </row>
    <row r="2" spans="1:22">
      <c r="A2" s="111" t="s">
        <v>192</v>
      </c>
      <c r="B2" s="45"/>
      <c r="C2" s="45"/>
      <c r="D2" s="45"/>
      <c r="E2" s="45"/>
      <c r="F2" s="45"/>
      <c r="G2" s="45"/>
      <c r="H2" s="45"/>
      <c r="I2" s="721"/>
      <c r="J2" s="45"/>
      <c r="K2" s="45"/>
      <c r="L2" s="45"/>
      <c r="M2" s="45"/>
      <c r="N2" s="45"/>
      <c r="O2" s="45"/>
      <c r="P2" s="45"/>
      <c r="Q2" s="45"/>
      <c r="R2" s="45"/>
      <c r="S2" s="45"/>
      <c r="T2" s="45"/>
    </row>
    <row r="3" spans="1:22" ht="15" customHeight="1">
      <c r="A3" s="111" t="s">
        <v>193</v>
      </c>
      <c r="B3" s="45"/>
      <c r="C3" s="45"/>
      <c r="D3" s="45"/>
      <c r="E3" s="45"/>
      <c r="F3" s="45"/>
      <c r="G3" s="45"/>
      <c r="H3" s="45"/>
      <c r="I3" s="721"/>
      <c r="J3" s="45"/>
      <c r="K3" s="45"/>
      <c r="L3" s="45"/>
      <c r="M3" s="45"/>
      <c r="N3" s="45"/>
      <c r="O3" s="45"/>
      <c r="P3" s="45"/>
      <c r="Q3" s="45"/>
      <c r="R3" s="45"/>
      <c r="S3" s="45"/>
      <c r="T3" s="45"/>
    </row>
    <row r="4" spans="1:22">
      <c r="A4" s="111" t="s">
        <v>299</v>
      </c>
      <c r="B4" s="45"/>
      <c r="C4" s="45"/>
      <c r="D4" s="45"/>
      <c r="E4" s="45"/>
      <c r="F4" s="45"/>
      <c r="G4" s="45"/>
      <c r="H4" s="45"/>
      <c r="I4" s="721"/>
      <c r="J4" s="45"/>
      <c r="K4" s="45"/>
      <c r="L4" s="45"/>
      <c r="M4" s="45"/>
      <c r="N4" s="45"/>
      <c r="O4" s="45"/>
      <c r="P4" s="45"/>
      <c r="Q4" s="45"/>
      <c r="R4" s="45"/>
      <c r="S4" s="45"/>
      <c r="T4" s="45"/>
    </row>
    <row r="5" spans="1:22">
      <c r="A5" s="111" t="s">
        <v>198</v>
      </c>
      <c r="B5" s="45"/>
      <c r="C5" s="45"/>
      <c r="D5" s="45"/>
      <c r="E5" s="45"/>
      <c r="F5" s="45"/>
      <c r="G5" s="45"/>
      <c r="H5" s="45"/>
      <c r="I5" s="721"/>
      <c r="J5" s="45"/>
      <c r="K5" s="45"/>
      <c r="L5" s="45"/>
      <c r="M5" s="45"/>
      <c r="N5" s="45"/>
      <c r="O5" s="45"/>
      <c r="P5" s="45"/>
      <c r="Q5" s="45"/>
      <c r="R5" s="45"/>
      <c r="S5" s="45"/>
      <c r="T5" s="45"/>
    </row>
    <row r="6" spans="1:22" ht="16.5" thickBot="1">
      <c r="A6" t="s">
        <v>0</v>
      </c>
      <c r="B6" s="111">
        <v>2015</v>
      </c>
      <c r="C6" s="193"/>
      <c r="D6" s="194"/>
      <c r="E6" s="193"/>
      <c r="F6" s="194"/>
      <c r="G6" s="193"/>
      <c r="H6" s="194"/>
      <c r="J6" s="219" t="s">
        <v>890</v>
      </c>
      <c r="K6" s="195"/>
      <c r="L6" s="196"/>
      <c r="M6" s="195"/>
      <c r="N6" s="196"/>
      <c r="O6" s="195"/>
      <c r="P6" s="196"/>
    </row>
    <row r="7" spans="1:22" ht="16.5" thickBot="1">
      <c r="B7" s="214" t="s">
        <v>204</v>
      </c>
      <c r="C7" s="214" t="s">
        <v>196</v>
      </c>
      <c r="D7" s="214" t="s">
        <v>205</v>
      </c>
      <c r="E7" s="214" t="s">
        <v>196</v>
      </c>
      <c r="F7" s="214" t="s">
        <v>206</v>
      </c>
      <c r="G7" s="214" t="s">
        <v>196</v>
      </c>
      <c r="H7" s="214" t="s">
        <v>207</v>
      </c>
      <c r="I7" s="55"/>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24" t="s">
        <v>0</v>
      </c>
      <c r="E9" s="35" t="s">
        <v>0</v>
      </c>
      <c r="F9" s="24" t="s">
        <v>0</v>
      </c>
      <c r="G9" s="35" t="s">
        <v>0</v>
      </c>
      <c r="H9" s="23" t="s">
        <v>0</v>
      </c>
      <c r="I9" s="49" t="s">
        <v>0</v>
      </c>
      <c r="J9" s="24" t="s">
        <v>0</v>
      </c>
      <c r="K9" s="52" t="s">
        <v>0</v>
      </c>
      <c r="L9" s="24" t="s">
        <v>0</v>
      </c>
      <c r="M9" s="52" t="s">
        <v>0</v>
      </c>
      <c r="N9" s="24" t="s">
        <v>0</v>
      </c>
      <c r="O9" s="52" t="s">
        <v>0</v>
      </c>
      <c r="P9" s="24" t="s">
        <v>0</v>
      </c>
      <c r="Q9" s="35" t="s">
        <v>0</v>
      </c>
    </row>
    <row r="10" spans="1:22">
      <c r="A10" t="s">
        <v>302</v>
      </c>
      <c r="B10" s="20">
        <f>+B50</f>
        <v>1477519.7090699999</v>
      </c>
      <c r="C10" s="48">
        <v>0</v>
      </c>
      <c r="D10" s="20">
        <f>+F50</f>
        <v>0</v>
      </c>
      <c r="E10" s="48">
        <v>0</v>
      </c>
      <c r="F10" s="20">
        <f>+J50</f>
        <v>0</v>
      </c>
      <c r="G10" s="48">
        <v>0</v>
      </c>
      <c r="H10" s="20">
        <f>+N50</f>
        <v>0</v>
      </c>
      <c r="J10" s="20">
        <f>+D50</f>
        <v>1239658.9879799997</v>
      </c>
      <c r="K10" s="51">
        <f t="shared" ref="K10:K15" si="0">+(-J10+L10)/ABS(J10)</f>
        <v>-8.3174364643627367E-3</v>
      </c>
      <c r="L10" s="20">
        <f>+H50</f>
        <v>1229348.2031099999</v>
      </c>
      <c r="M10" s="51">
        <f t="shared" ref="M10:M15" si="1">+(-L10+N10)/ABS(L10)</f>
        <v>0.15380837214522003</v>
      </c>
      <c r="N10" s="20">
        <f>+L50</f>
        <v>1418432.2490300003</v>
      </c>
      <c r="O10" s="51">
        <f t="shared" ref="O10:O15" si="2">+(-N10+P10)/ABS(N10)</f>
        <v>-1.1511551060099297E-2</v>
      </c>
      <c r="P10" s="20">
        <f>+P50</f>
        <v>1402103.89377</v>
      </c>
    </row>
    <row r="11" spans="1:22">
      <c r="A11" t="s">
        <v>303</v>
      </c>
      <c r="B11" s="20">
        <f>+B51</f>
        <v>92337.638779999994</v>
      </c>
      <c r="C11" s="48">
        <v>0</v>
      </c>
      <c r="D11" s="20">
        <f>+F51</f>
        <v>0</v>
      </c>
      <c r="E11" s="48">
        <v>0</v>
      </c>
      <c r="F11" s="20">
        <f>+J51</f>
        <v>0</v>
      </c>
      <c r="G11" s="48">
        <v>0</v>
      </c>
      <c r="H11" s="20">
        <f>+N51</f>
        <v>0</v>
      </c>
      <c r="J11" s="20">
        <f>+D51</f>
        <v>49269.223940000003</v>
      </c>
      <c r="K11" s="51">
        <f t="shared" si="0"/>
        <v>-0.28973223177584317</v>
      </c>
      <c r="L11" s="20">
        <f>+H51</f>
        <v>34994.34173</v>
      </c>
      <c r="M11" s="51">
        <f t="shared" si="1"/>
        <v>-0.34180628177799993</v>
      </c>
      <c r="N11" s="20">
        <f>+L51</f>
        <v>23033.055899999999</v>
      </c>
      <c r="O11" s="51">
        <f t="shared" si="2"/>
        <v>1.0507478905567194</v>
      </c>
      <c r="P11" s="20">
        <f>+P51</f>
        <v>47234.9908</v>
      </c>
    </row>
    <row r="12" spans="1:22">
      <c r="A12" t="s">
        <v>304</v>
      </c>
      <c r="B12" s="199">
        <f>+B52</f>
        <v>192171.182785432</v>
      </c>
      <c r="C12" s="48">
        <v>0</v>
      </c>
      <c r="D12" s="199">
        <f>+F52</f>
        <v>0</v>
      </c>
      <c r="E12" s="48">
        <v>0</v>
      </c>
      <c r="F12" s="199">
        <f>+J52</f>
        <v>0</v>
      </c>
      <c r="G12" s="48">
        <v>0</v>
      </c>
      <c r="H12" s="199">
        <f>+N52</f>
        <v>0</v>
      </c>
      <c r="J12" s="199">
        <f>+D52</f>
        <v>128515.0286034</v>
      </c>
      <c r="K12" s="51">
        <f t="shared" si="0"/>
        <v>-2.2829821143940405E-2</v>
      </c>
      <c r="L12" s="199">
        <f>+H52</f>
        <v>125581.05348607599</v>
      </c>
      <c r="M12" s="51">
        <f t="shared" si="1"/>
        <v>0.3378154075249874</v>
      </c>
      <c r="N12" s="199">
        <f>+L52</f>
        <v>168004.268246892</v>
      </c>
      <c r="O12" s="51">
        <f t="shared" si="2"/>
        <v>0.20452695366449197</v>
      </c>
      <c r="P12" s="199">
        <f>+P52</f>
        <v>202365.66943406095</v>
      </c>
    </row>
    <row r="13" spans="1:22">
      <c r="B13" s="20">
        <f>SUM(B10:B12)</f>
        <v>1762028.5306354319</v>
      </c>
      <c r="C13" s="48">
        <v>0</v>
      </c>
      <c r="D13" s="20">
        <f>SUM(D10:D12)</f>
        <v>0</v>
      </c>
      <c r="E13" s="48">
        <v>0</v>
      </c>
      <c r="F13" s="20">
        <f>SUM(F10:F12)</f>
        <v>0</v>
      </c>
      <c r="G13" s="48">
        <v>0</v>
      </c>
      <c r="H13" s="20">
        <f>SUM(H10:H12)</f>
        <v>0</v>
      </c>
      <c r="J13" s="20">
        <f>SUM(J10:J12)</f>
        <v>1417443.2405233998</v>
      </c>
      <c r="K13" s="51">
        <f t="shared" si="0"/>
        <v>-1.9414987077127802E-2</v>
      </c>
      <c r="L13" s="20">
        <f>SUM(L10:L12)</f>
        <v>1389923.5983260758</v>
      </c>
      <c r="M13" s="51">
        <f t="shared" si="1"/>
        <v>0.15795542655382053</v>
      </c>
      <c r="N13" s="20">
        <f>SUM(N10:N12)</f>
        <v>1609469.5731768922</v>
      </c>
      <c r="O13" s="51">
        <f t="shared" si="2"/>
        <v>2.6241552826501844E-2</v>
      </c>
      <c r="P13" s="20">
        <f>SUM(P10:P12)</f>
        <v>1651704.554004061</v>
      </c>
    </row>
    <row r="14" spans="1:22">
      <c r="A14" t="s">
        <v>305</v>
      </c>
      <c r="B14" s="217">
        <f>+B54</f>
        <v>218079.74239999999</v>
      </c>
      <c r="C14" s="48">
        <v>0</v>
      </c>
      <c r="D14" s="217">
        <f>+F54</f>
        <v>0</v>
      </c>
      <c r="E14" s="48">
        <v>0</v>
      </c>
      <c r="F14" s="217">
        <f>+J54</f>
        <v>0</v>
      </c>
      <c r="G14" s="48">
        <v>0</v>
      </c>
      <c r="H14" s="217">
        <f>+N54</f>
        <v>0</v>
      </c>
      <c r="J14" s="217">
        <f>+D54</f>
        <v>122849.15488999999</v>
      </c>
      <c r="K14" s="51">
        <f t="shared" si="0"/>
        <v>8.1607537056130483E-2</v>
      </c>
      <c r="L14" s="217">
        <f>+H54</f>
        <v>132874.57184999998</v>
      </c>
      <c r="M14" s="51">
        <f t="shared" si="1"/>
        <v>0.46823155750398016</v>
      </c>
      <c r="N14" s="217">
        <f>+L54</f>
        <v>195090.63957999999</v>
      </c>
      <c r="O14" s="51">
        <f t="shared" si="2"/>
        <v>9.167291941070399E-2</v>
      </c>
      <c r="P14" s="217">
        <f>+P54</f>
        <v>212975.16806000003</v>
      </c>
    </row>
    <row r="15" spans="1:22">
      <c r="B15" s="20">
        <f>+B13-B14</f>
        <v>1543948.788235432</v>
      </c>
      <c r="C15" s="48">
        <v>0</v>
      </c>
      <c r="D15" s="20">
        <f>+D13-D14</f>
        <v>0</v>
      </c>
      <c r="E15" s="48">
        <v>0</v>
      </c>
      <c r="F15" s="20">
        <f>+F13-F14</f>
        <v>0</v>
      </c>
      <c r="G15" s="48">
        <v>0</v>
      </c>
      <c r="H15" s="20">
        <f>+H13-H14</f>
        <v>0</v>
      </c>
      <c r="J15" s="20">
        <f>+J13-J14</f>
        <v>1294594.0856333999</v>
      </c>
      <c r="K15" s="51">
        <f t="shared" si="0"/>
        <v>-2.9001414091085184E-2</v>
      </c>
      <c r="L15" s="20">
        <f>+L13-L14</f>
        <v>1257049.0264760759</v>
      </c>
      <c r="M15" s="51">
        <f t="shared" si="1"/>
        <v>0.12515813131160378</v>
      </c>
      <c r="N15" s="20">
        <f>+N13-N14</f>
        <v>1414378.9335968923</v>
      </c>
      <c r="O15" s="51">
        <f t="shared" si="2"/>
        <v>1.7216356783003914E-2</v>
      </c>
      <c r="P15" s="20">
        <f>+P13-P14</f>
        <v>1438729.385944061</v>
      </c>
    </row>
    <row r="16" spans="1:22" ht="9" customHeight="1">
      <c r="B16" s="20"/>
      <c r="C16" s="49" t="s">
        <v>0</v>
      </c>
      <c r="D16" s="20"/>
      <c r="E16" s="49" t="s">
        <v>0</v>
      </c>
      <c r="F16" s="20"/>
      <c r="G16" s="49" t="s">
        <v>0</v>
      </c>
      <c r="H16" s="20"/>
      <c r="J16" s="20"/>
      <c r="K16" s="51"/>
      <c r="L16" s="20"/>
      <c r="M16" s="51"/>
      <c r="N16" s="20"/>
      <c r="O16" s="51"/>
      <c r="P16" s="20"/>
    </row>
    <row r="17" spans="1:16">
      <c r="A17" t="s">
        <v>306</v>
      </c>
      <c r="B17" s="20"/>
      <c r="C17" s="49" t="s">
        <v>0</v>
      </c>
      <c r="D17" s="20"/>
      <c r="E17" s="49" t="s">
        <v>0</v>
      </c>
      <c r="F17" s="20"/>
      <c r="G17" s="49" t="s">
        <v>0</v>
      </c>
      <c r="H17" s="20"/>
      <c r="J17" s="20"/>
      <c r="K17" s="51"/>
      <c r="L17" s="20"/>
      <c r="M17" s="51"/>
      <c r="N17" s="20"/>
      <c r="O17" s="52" t="s">
        <v>0</v>
      </c>
      <c r="P17" s="20"/>
    </row>
    <row r="18" spans="1:16">
      <c r="A18" t="s">
        <v>307</v>
      </c>
      <c r="B18" s="20">
        <f>+B58</f>
        <v>697013.59956999996</v>
      </c>
      <c r="C18" s="48">
        <v>0</v>
      </c>
      <c r="D18" s="20">
        <f>+F58</f>
        <v>0</v>
      </c>
      <c r="E18" s="48">
        <v>0</v>
      </c>
      <c r="F18" s="20">
        <f>+J58</f>
        <v>0</v>
      </c>
      <c r="G18" s="48">
        <v>0</v>
      </c>
      <c r="H18" s="20">
        <f>+N58</f>
        <v>0</v>
      </c>
      <c r="J18" s="20">
        <f>+D58</f>
        <v>611777.91166999994</v>
      </c>
      <c r="K18" s="51">
        <f>+(-J18+L18)/ABS(J18)</f>
        <v>0.15878637225529574</v>
      </c>
      <c r="L18" s="20">
        <f>+H58</f>
        <v>708919.90688999998</v>
      </c>
      <c r="M18" s="51">
        <f>+(-L18+N18)/ABS(L18)</f>
        <v>6.2587774188269094E-2</v>
      </c>
      <c r="N18" s="20">
        <f>+L58</f>
        <v>753289.62594000006</v>
      </c>
      <c r="O18" s="51">
        <f>+(-N18+P18)/ABS(N18)</f>
        <v>0.19199631204202958</v>
      </c>
      <c r="P18" s="20">
        <f>+P58</f>
        <v>897918.45602000004</v>
      </c>
    </row>
    <row r="19" spans="1:16">
      <c r="A19" t="s">
        <v>308</v>
      </c>
      <c r="B19" s="20">
        <f>+B59</f>
        <v>249143.51832999999</v>
      </c>
      <c r="C19" s="48">
        <v>0</v>
      </c>
      <c r="D19" s="20">
        <f>+F59</f>
        <v>0</v>
      </c>
      <c r="E19" s="48">
        <v>0</v>
      </c>
      <c r="F19" s="20">
        <f>+J59</f>
        <v>0</v>
      </c>
      <c r="G19" s="48">
        <v>0</v>
      </c>
      <c r="H19" s="20">
        <f>+N59</f>
        <v>0</v>
      </c>
      <c r="J19" s="20">
        <f>+D59</f>
        <v>213228.45324999999</v>
      </c>
      <c r="K19" s="51">
        <f>+(-J19+L19)/ABS(J19)</f>
        <v>6.4369020132166679E-2</v>
      </c>
      <c r="L19" s="20">
        <f>+H59</f>
        <v>226953.75985</v>
      </c>
      <c r="M19" s="51">
        <f>+(-L19+N19)/ABS(L19)</f>
        <v>4.5404717052542891E-2</v>
      </c>
      <c r="N19" s="20">
        <f>+L59</f>
        <v>237258.53110000002</v>
      </c>
      <c r="O19" s="51">
        <f>+(-N19+P19)/ABS(N19)</f>
        <v>1.0444792389594929E-3</v>
      </c>
      <c r="P19" s="20">
        <f>+P59</f>
        <v>237506.34271</v>
      </c>
    </row>
    <row r="20" spans="1:16">
      <c r="A20" t="s">
        <v>274</v>
      </c>
      <c r="B20" s="217">
        <f>+B60</f>
        <v>320178.69922000001</v>
      </c>
      <c r="C20" s="48">
        <v>0</v>
      </c>
      <c r="D20" s="217">
        <f>+F60</f>
        <v>0</v>
      </c>
      <c r="E20" s="48">
        <v>0</v>
      </c>
      <c r="F20" s="217">
        <f>+J60</f>
        <v>0</v>
      </c>
      <c r="G20" s="48">
        <v>0</v>
      </c>
      <c r="H20" s="217">
        <f>+N60</f>
        <v>0</v>
      </c>
      <c r="J20" s="217">
        <f>+D60</f>
        <v>267215.71745414397</v>
      </c>
      <c r="K20" s="51">
        <f>+(-J20+L20)/ABS(J20)</f>
        <v>0.28972022255763247</v>
      </c>
      <c r="L20" s="217">
        <f>+H60</f>
        <v>344633.514585856</v>
      </c>
      <c r="M20" s="51">
        <f>+(-L20+N20)/ABS(L20)</f>
        <v>0.4466745918025225</v>
      </c>
      <c r="N20" s="217">
        <f>+L60</f>
        <v>498572.54903496191</v>
      </c>
      <c r="O20" s="51">
        <f>+(-N20+P20)/ABS(N20)</f>
        <v>-0.14286183364794341</v>
      </c>
      <c r="P20" s="217">
        <f>+P60</f>
        <v>427345.56047329807</v>
      </c>
    </row>
    <row r="21" spans="1:16">
      <c r="B21" s="20">
        <f>SUM(B18:B20)</f>
        <v>1266335.81712</v>
      </c>
      <c r="C21" s="48">
        <v>0</v>
      </c>
      <c r="D21" s="20">
        <f>SUM(D18:D20)</f>
        <v>0</v>
      </c>
      <c r="E21" s="48">
        <v>0</v>
      </c>
      <c r="F21" s="20">
        <f>SUM(F18:F20)</f>
        <v>0</v>
      </c>
      <c r="G21" s="48">
        <v>0</v>
      </c>
      <c r="H21" s="20">
        <f>SUM(H18:H20)</f>
        <v>0</v>
      </c>
      <c r="J21" s="20">
        <f>SUM(J18:J20)</f>
        <v>1092222.0823741439</v>
      </c>
      <c r="K21" s="51">
        <f>+(-J21+L21)/ABS(J21)</f>
        <v>0.17238719303535802</v>
      </c>
      <c r="L21" s="20">
        <f>SUM(L18:L20)</f>
        <v>1280507.1813258561</v>
      </c>
      <c r="M21" s="51">
        <f>+(-L21+N21)/ABS(L21)</f>
        <v>0.16291476361194965</v>
      </c>
      <c r="N21" s="20">
        <f>+L61</f>
        <v>1489120.7060749619</v>
      </c>
      <c r="O21" s="51">
        <f>+(-N21+P21)/ABS(N21)</f>
        <v>4.9458484344403898E-2</v>
      </c>
      <c r="P21" s="20">
        <f>SUM(P18:P20)</f>
        <v>1562770.3592032981</v>
      </c>
    </row>
    <row r="22" spans="1:16">
      <c r="B22" s="217"/>
      <c r="C22" s="49" t="s">
        <v>0</v>
      </c>
      <c r="D22" s="217"/>
      <c r="E22" s="49" t="s">
        <v>0</v>
      </c>
      <c r="F22" s="217"/>
      <c r="G22" s="49" t="s">
        <v>0</v>
      </c>
      <c r="H22" s="217"/>
      <c r="J22" s="217"/>
      <c r="K22" s="51"/>
      <c r="L22" s="217"/>
      <c r="M22" s="51"/>
      <c r="N22" s="217"/>
      <c r="O22" s="51"/>
      <c r="P22" s="217"/>
    </row>
    <row r="23" spans="1:16">
      <c r="A23" t="s">
        <v>309</v>
      </c>
      <c r="B23" s="20">
        <f>+B15+B21</f>
        <v>2810284.6053554323</v>
      </c>
      <c r="C23" s="48">
        <v>0</v>
      </c>
      <c r="D23" s="20">
        <f>+D15+D21</f>
        <v>0</v>
      </c>
      <c r="E23" s="48">
        <v>0</v>
      </c>
      <c r="F23" s="20">
        <f>+F15+F21</f>
        <v>0</v>
      </c>
      <c r="G23" s="48">
        <v>0</v>
      </c>
      <c r="H23" s="20">
        <f>+H15+H21</f>
        <v>0</v>
      </c>
      <c r="J23" s="20">
        <f>+J15+J21</f>
        <v>2386816.1680075438</v>
      </c>
      <c r="K23" s="51">
        <f>+(-J23+L23)/ABS(J23)</f>
        <v>6.3155278489764197E-2</v>
      </c>
      <c r="L23" s="20">
        <f>+L15+L21</f>
        <v>2537556.207801932</v>
      </c>
      <c r="M23" s="51">
        <f>+(-L23+N23)/ABS(L23)</f>
        <v>0.14421096594621158</v>
      </c>
      <c r="N23" s="20">
        <f>+N15+N21</f>
        <v>2903499.6396718542</v>
      </c>
      <c r="O23" s="51">
        <f>+(-N23+P23)/ABS(N23)</f>
        <v>3.3752408347665783E-2</v>
      </c>
      <c r="P23" s="20">
        <f>+P15+P21</f>
        <v>3001499.7451473591</v>
      </c>
    </row>
    <row r="24" spans="1:16">
      <c r="B24" s="20"/>
      <c r="C24" s="49" t="s">
        <v>0</v>
      </c>
      <c r="D24" s="20"/>
      <c r="E24" s="49" t="s">
        <v>0</v>
      </c>
      <c r="F24" s="20"/>
      <c r="G24" s="49" t="s">
        <v>0</v>
      </c>
      <c r="H24" s="20"/>
      <c r="J24" s="20"/>
      <c r="K24" s="51"/>
      <c r="L24" s="20"/>
      <c r="M24" s="51"/>
      <c r="N24" s="20"/>
      <c r="O24" s="51"/>
      <c r="P24" s="20"/>
    </row>
    <row r="25" spans="1:16">
      <c r="A25" t="s">
        <v>310</v>
      </c>
      <c r="B25" s="20">
        <f>+B65</f>
        <v>144566.41715000002</v>
      </c>
      <c r="C25" s="48">
        <v>0</v>
      </c>
      <c r="D25" s="20">
        <f>+F65</f>
        <v>0</v>
      </c>
      <c r="E25" s="48">
        <v>0</v>
      </c>
      <c r="F25" s="20">
        <f>+J65</f>
        <v>0</v>
      </c>
      <c r="G25" s="48">
        <v>0</v>
      </c>
      <c r="H25" s="20">
        <f>+N65</f>
        <v>0</v>
      </c>
      <c r="J25" s="20">
        <f>+D65</f>
        <v>120190.17871000001</v>
      </c>
      <c r="K25" s="51">
        <f>+(-J25+L25)/ABS(J25)</f>
        <v>0.39159143405187463</v>
      </c>
      <c r="L25" s="20">
        <f>+H65</f>
        <v>167255.62315</v>
      </c>
      <c r="M25" s="51">
        <f>+(-L25+N25)/ABS(L25)</f>
        <v>-9.1570371575874707E-2</v>
      </c>
      <c r="N25" s="20">
        <f>+L65</f>
        <v>151939.96359000003</v>
      </c>
      <c r="O25" s="51">
        <f>+(-N25+P25)/ABS(N25)</f>
        <v>0.32229093862454289</v>
      </c>
      <c r="P25" s="20">
        <f>+P65</f>
        <v>200908.83707000001</v>
      </c>
    </row>
    <row r="26" spans="1:16">
      <c r="B26" s="20"/>
      <c r="C26" s="49" t="s">
        <v>0</v>
      </c>
      <c r="D26" s="20"/>
      <c r="E26" s="49" t="s">
        <v>0</v>
      </c>
      <c r="F26" s="20"/>
      <c r="G26" s="49" t="s">
        <v>0</v>
      </c>
      <c r="H26" s="139"/>
      <c r="J26" s="20"/>
      <c r="K26" s="51"/>
      <c r="L26" s="20"/>
      <c r="M26" s="51"/>
      <c r="N26" s="20"/>
      <c r="O26" s="51"/>
      <c r="P26" s="20"/>
    </row>
    <row r="27" spans="1:16">
      <c r="A27" t="s">
        <v>311</v>
      </c>
      <c r="B27" s="217"/>
      <c r="C27" s="49" t="s">
        <v>0</v>
      </c>
      <c r="D27" s="217"/>
      <c r="E27" s="49" t="s">
        <v>0</v>
      </c>
      <c r="F27" s="217"/>
      <c r="G27" s="49" t="s">
        <v>0</v>
      </c>
      <c r="H27" s="217"/>
      <c r="J27" s="217"/>
      <c r="K27" s="51"/>
      <c r="L27" s="217"/>
      <c r="M27" s="51"/>
      <c r="N27" s="217"/>
      <c r="O27" s="51"/>
      <c r="P27" s="217"/>
    </row>
    <row r="28" spans="1:16">
      <c r="A28" t="s">
        <v>312</v>
      </c>
      <c r="B28" s="20">
        <f>+B23-B25</f>
        <v>2665718.1882054321</v>
      </c>
      <c r="C28" s="48">
        <v>0</v>
      </c>
      <c r="D28" s="20">
        <f>+D23-D25</f>
        <v>0</v>
      </c>
      <c r="E28" s="48">
        <v>0</v>
      </c>
      <c r="F28" s="20">
        <f>+F23-F25</f>
        <v>0</v>
      </c>
      <c r="G28" s="48">
        <v>0</v>
      </c>
      <c r="H28" s="20">
        <f>+H23-H25</f>
        <v>0</v>
      </c>
      <c r="J28" s="20">
        <f>+J23-J25</f>
        <v>2266625.9892975437</v>
      </c>
      <c r="K28" s="51">
        <f>+(-J28+L28)/ABS(J28)</f>
        <v>4.5739612906546857E-2</v>
      </c>
      <c r="L28" s="20">
        <f>+L23-L25</f>
        <v>2370300.5846519321</v>
      </c>
      <c r="M28" s="51">
        <f>+(-L28+N28)/ABS(L28)</f>
        <v>0.16084841471104325</v>
      </c>
      <c r="N28" s="20">
        <f>+N23-N25</f>
        <v>2751559.6760818544</v>
      </c>
      <c r="O28" s="51">
        <f>+(-N28+P28)/ABS(N28)</f>
        <v>1.7819432528290262E-2</v>
      </c>
      <c r="P28" s="20">
        <f>+P23-P25</f>
        <v>2800590.9080773592</v>
      </c>
    </row>
    <row r="29" spans="1:16">
      <c r="B29" s="20"/>
      <c r="C29" s="49" t="s">
        <v>0</v>
      </c>
      <c r="D29" s="20"/>
      <c r="E29" s="49" t="s">
        <v>0</v>
      </c>
      <c r="F29" s="20"/>
      <c r="G29" s="49" t="s">
        <v>0</v>
      </c>
      <c r="H29" s="20"/>
      <c r="J29" s="20"/>
      <c r="K29" s="51"/>
      <c r="L29" s="20"/>
      <c r="M29" s="51"/>
      <c r="N29" s="20"/>
      <c r="O29" s="51"/>
      <c r="P29" s="20"/>
    </row>
    <row r="30" spans="1:16">
      <c r="A30" t="s">
        <v>313</v>
      </c>
      <c r="B30" s="20"/>
      <c r="C30" s="49" t="s">
        <v>0</v>
      </c>
      <c r="D30" s="20"/>
      <c r="E30" s="49" t="s">
        <v>0</v>
      </c>
      <c r="F30" s="20"/>
      <c r="G30" s="49" t="s">
        <v>0</v>
      </c>
      <c r="H30" s="20"/>
      <c r="J30" s="20"/>
      <c r="K30" s="51"/>
      <c r="L30" s="20"/>
      <c r="M30" s="51"/>
      <c r="N30" s="20"/>
      <c r="O30" s="51"/>
      <c r="P30" s="20"/>
    </row>
    <row r="31" spans="1:16">
      <c r="A31" t="s">
        <v>314</v>
      </c>
      <c r="B31" s="20">
        <f>+B71</f>
        <v>781687.58527000004</v>
      </c>
      <c r="C31" s="48">
        <v>0</v>
      </c>
      <c r="D31" s="20">
        <f>+F71</f>
        <v>0</v>
      </c>
      <c r="E31" s="48">
        <v>0</v>
      </c>
      <c r="F31" s="20">
        <f>+J71</f>
        <v>0</v>
      </c>
      <c r="G31" s="48">
        <v>0</v>
      </c>
      <c r="H31" s="20">
        <f>+N71</f>
        <v>0</v>
      </c>
      <c r="J31" s="20">
        <f>+D71</f>
        <v>708864.67883000011</v>
      </c>
      <c r="K31" s="51">
        <f>+(-J31+L31)/ABS(J31)</f>
        <v>3.2696722015060936E-2</v>
      </c>
      <c r="L31" s="20">
        <f>+H71</f>
        <v>732042.23018000007</v>
      </c>
      <c r="M31" s="51">
        <f>+(-L31+N31)/ABS(L31)</f>
        <v>4.9211535666654004E-2</v>
      </c>
      <c r="N31" s="20">
        <f>+L71</f>
        <v>768067.15250000008</v>
      </c>
      <c r="O31" s="51">
        <f>+(-N31+P31)/ABS(N31)</f>
        <v>9.5404530868802948E-2</v>
      </c>
      <c r="P31" s="20">
        <f>+P71</f>
        <v>841344.23885999992</v>
      </c>
    </row>
    <row r="32" spans="1:16">
      <c r="A32" t="s">
        <v>315</v>
      </c>
      <c r="B32" s="20">
        <f>+B72</f>
        <v>125381.45367</v>
      </c>
      <c r="C32" s="48">
        <v>0</v>
      </c>
      <c r="D32" s="20">
        <f>+F72</f>
        <v>0</v>
      </c>
      <c r="E32" s="48">
        <v>0</v>
      </c>
      <c r="F32" s="20">
        <f>+J72</f>
        <v>0</v>
      </c>
      <c r="G32" s="48">
        <v>0</v>
      </c>
      <c r="H32" s="20">
        <f>+N72</f>
        <v>0</v>
      </c>
      <c r="J32" s="20">
        <f>+D72</f>
        <v>114892.04626999999</v>
      </c>
      <c r="K32" s="51">
        <f>+(-J32+L32)/ABS(J32)</f>
        <v>-2.6988108118292872E-2</v>
      </c>
      <c r="L32" s="20">
        <f>+H72</f>
        <v>111791.32730333332</v>
      </c>
      <c r="M32" s="51">
        <f>+(-L32+N32)/ABS(L32)</f>
        <v>4.9153943833436277E-2</v>
      </c>
      <c r="N32" s="20">
        <f>+L72</f>
        <v>117286.31192666666</v>
      </c>
      <c r="O32" s="51">
        <f>+(-N32+P32)/ABS(N32)</f>
        <v>4.21220509211876E-2</v>
      </c>
      <c r="P32" s="20">
        <f>+P72</f>
        <v>122226.65193000001</v>
      </c>
    </row>
    <row r="33" spans="1:22">
      <c r="A33" t="s">
        <v>316</v>
      </c>
      <c r="B33" s="20">
        <f>+B73</f>
        <v>145314.02080999999</v>
      </c>
      <c r="C33" s="48">
        <v>0</v>
      </c>
      <c r="D33" s="20">
        <f>+F73</f>
        <v>0</v>
      </c>
      <c r="E33" s="48">
        <v>0</v>
      </c>
      <c r="F33" s="20">
        <f>+J73</f>
        <v>0</v>
      </c>
      <c r="G33" s="48">
        <v>0</v>
      </c>
      <c r="H33" s="20">
        <f>+N73</f>
        <v>0</v>
      </c>
      <c r="J33" s="20">
        <f>+D73</f>
        <v>118932.69433</v>
      </c>
      <c r="K33" s="51">
        <f>+(-J33+L33)/ABS(J33)</f>
        <v>8.1587503374607073E-2</v>
      </c>
      <c r="L33" s="20">
        <f>+H73</f>
        <v>128636.11592999999</v>
      </c>
      <c r="M33" s="51">
        <f>+(-L33+N33)/ABS(L33)</f>
        <v>6.3137914445135654E-2</v>
      </c>
      <c r="N33" s="20">
        <f>+L73</f>
        <v>136757.93201214288</v>
      </c>
      <c r="O33" s="51">
        <f>+(-N33+P33)/ABS(N33)</f>
        <v>2.4897962886803029E-2</v>
      </c>
      <c r="P33" s="20">
        <f>+P73</f>
        <v>140162.92592785714</v>
      </c>
    </row>
    <row r="34" spans="1:22">
      <c r="A34" t="s">
        <v>317</v>
      </c>
      <c r="B34" s="217">
        <f>+B74</f>
        <v>747984.06032999989</v>
      </c>
      <c r="C34" s="48">
        <v>0</v>
      </c>
      <c r="D34" s="217">
        <f>+F74</f>
        <v>0</v>
      </c>
      <c r="E34" s="48">
        <v>0</v>
      </c>
      <c r="F34" s="217">
        <f>+J74</f>
        <v>0</v>
      </c>
      <c r="G34" s="48">
        <v>0</v>
      </c>
      <c r="H34" s="217">
        <f>+N74</f>
        <v>0</v>
      </c>
      <c r="J34" s="217">
        <f>+D74</f>
        <v>655781.06602999999</v>
      </c>
      <c r="K34" s="51">
        <f>+(-J34+L34)/ABS(J34)</f>
        <v>6.7408875357227685E-2</v>
      </c>
      <c r="L34" s="217">
        <f>+H74</f>
        <v>699986.53017164615</v>
      </c>
      <c r="M34" s="51">
        <f>+(-L34+N34)/ABS(L34)</f>
        <v>2.2691719343246458E-2</v>
      </c>
      <c r="N34" s="217">
        <f>+L74</f>
        <v>715870.42805835407</v>
      </c>
      <c r="O34" s="51">
        <f>+(-N34+P34)/ABS(N34)</f>
        <v>0.20779059740615596</v>
      </c>
      <c r="P34" s="217">
        <f>+P74</f>
        <v>864621.57197000005</v>
      </c>
    </row>
    <row r="35" spans="1:22">
      <c r="B35" s="20">
        <f>SUM(B31:B34)</f>
        <v>1800367.1200799998</v>
      </c>
      <c r="C35" s="48">
        <v>0</v>
      </c>
      <c r="D35" s="20">
        <f>SUM(D31:D34)</f>
        <v>0</v>
      </c>
      <c r="E35" s="48">
        <v>0</v>
      </c>
      <c r="F35" s="20">
        <f>SUM(F31:F34)</f>
        <v>0</v>
      </c>
      <c r="G35" s="48">
        <v>0</v>
      </c>
      <c r="H35" s="20">
        <f>SUM(H31:H34)</f>
        <v>0</v>
      </c>
      <c r="J35" s="20">
        <f>SUM(J31:J34)</f>
        <v>1598470.4854600001</v>
      </c>
      <c r="K35" s="51">
        <f>+(-J35+L35)/ABS(J35)</f>
        <v>4.6285320121934037E-2</v>
      </c>
      <c r="L35" s="20">
        <f>SUM(L31:L34)</f>
        <v>1672456.2035849795</v>
      </c>
      <c r="M35" s="51">
        <f>+(-L35+N35)/ABS(L35)</f>
        <v>3.9179274633157714E-2</v>
      </c>
      <c r="N35" s="20">
        <f>SUM(N31:N34)</f>
        <v>1737981.8244971638</v>
      </c>
      <c r="O35" s="51">
        <f>+(-N35+P35)/ABS(N35)</f>
        <v>0.13255234372623276</v>
      </c>
      <c r="P35" s="20">
        <f>SUM(P31:P34)</f>
        <v>1968355.388687857</v>
      </c>
    </row>
    <row r="36" spans="1:22">
      <c r="B36" s="217"/>
      <c r="C36" s="48"/>
      <c r="D36" s="217"/>
      <c r="E36" s="48"/>
      <c r="F36" s="217"/>
      <c r="G36" s="48"/>
      <c r="H36" s="217"/>
      <c r="J36" s="217"/>
      <c r="K36" s="51"/>
      <c r="L36" s="217"/>
      <c r="M36" s="51"/>
      <c r="N36" s="217"/>
      <c r="O36" s="51"/>
      <c r="P36" s="217"/>
    </row>
    <row r="37" spans="1:22">
      <c r="A37" t="s">
        <v>318</v>
      </c>
      <c r="B37" s="20">
        <f>+B28-B35</f>
        <v>865351.06812543236</v>
      </c>
      <c r="C37" s="48">
        <v>0</v>
      </c>
      <c r="D37" s="20">
        <f>+D28-D35</f>
        <v>0</v>
      </c>
      <c r="E37" s="48">
        <v>0</v>
      </c>
      <c r="F37" s="20">
        <f>+F28-F35</f>
        <v>0</v>
      </c>
      <c r="G37" s="48">
        <v>0</v>
      </c>
      <c r="H37" s="20">
        <f>+H28-H35</f>
        <v>0</v>
      </c>
      <c r="J37" s="20">
        <f>+J28-J35</f>
        <v>668155.50383754354</v>
      </c>
      <c r="K37" s="51">
        <f>+(-J37+L37)/ABS(J37)</f>
        <v>4.4434083172092922E-2</v>
      </c>
      <c r="L37" s="20">
        <f>+L28-L35</f>
        <v>697844.3810669526</v>
      </c>
      <c r="M37" s="51">
        <f>+(-L37+N37)/ABS(L37)</f>
        <v>0.45244108727364807</v>
      </c>
      <c r="N37" s="20">
        <f>+N28-N35</f>
        <v>1013577.8515846906</v>
      </c>
      <c r="O37" s="51">
        <f>+(-N37+P37)/ABS(N37)</f>
        <v>-0.17891307698926778</v>
      </c>
      <c r="P37" s="20">
        <f>+P28-P35</f>
        <v>832235.51938950224</v>
      </c>
    </row>
    <row r="38" spans="1:22">
      <c r="B38" s="20"/>
      <c r="C38" s="49" t="s">
        <v>0</v>
      </c>
      <c r="D38" s="20"/>
      <c r="E38" s="49" t="s">
        <v>0</v>
      </c>
      <c r="F38" s="20"/>
      <c r="G38" s="49" t="s">
        <v>0</v>
      </c>
      <c r="H38" s="20"/>
      <c r="J38" s="20"/>
      <c r="K38" s="51"/>
      <c r="L38" s="20"/>
      <c r="M38" s="51"/>
      <c r="N38" s="20"/>
      <c r="O38" s="51"/>
      <c r="P38" s="20"/>
    </row>
    <row r="39" spans="1:22">
      <c r="A39" t="s">
        <v>319</v>
      </c>
      <c r="B39" s="20">
        <f>+B79</f>
        <v>112823.99364999999</v>
      </c>
      <c r="C39" s="48">
        <v>0</v>
      </c>
      <c r="D39" s="20">
        <f>+F79</f>
        <v>0</v>
      </c>
      <c r="E39" s="48">
        <v>0</v>
      </c>
      <c r="F39" s="20">
        <f>+J79</f>
        <v>0</v>
      </c>
      <c r="G39" s="48">
        <v>0</v>
      </c>
      <c r="H39" s="20">
        <f>+N79</f>
        <v>0</v>
      </c>
      <c r="J39" s="20">
        <f>+D79</f>
        <v>84567.38321</v>
      </c>
      <c r="K39" s="51">
        <f>+(-J39+L39)/ABS(J39)</f>
        <v>-0.34476171312526066</v>
      </c>
      <c r="L39" s="20">
        <f>+H79</f>
        <v>55411.787299999996</v>
      </c>
      <c r="M39" s="51">
        <f>+(-L39+N39)/ABS(L39)</f>
        <v>1.3597051050183326</v>
      </c>
      <c r="N39" s="20">
        <f>+L79</f>
        <v>130755.47737000001</v>
      </c>
      <c r="O39" s="51">
        <f>+(-N39+P39)/ABS(N39)</f>
        <v>-0.31898195875937707</v>
      </c>
      <c r="P39" s="20">
        <f>+P79</f>
        <v>89046.839080000005</v>
      </c>
    </row>
    <row r="40" spans="1:22" ht="16.5" thickBot="1">
      <c r="A40" t="s">
        <v>0</v>
      </c>
      <c r="B40" s="79"/>
      <c r="C40" s="49" t="s">
        <v>0</v>
      </c>
      <c r="D40" s="79">
        <f>+F80</f>
        <v>0</v>
      </c>
      <c r="E40" s="49" t="s">
        <v>0</v>
      </c>
      <c r="F40" s="79"/>
      <c r="G40" s="49" t="s">
        <v>0</v>
      </c>
      <c r="H40" s="79"/>
      <c r="J40" s="79"/>
      <c r="K40" s="51"/>
      <c r="L40" s="79"/>
      <c r="M40" s="51"/>
      <c r="N40" s="79"/>
      <c r="O40" s="51"/>
      <c r="P40" s="79"/>
    </row>
    <row r="41" spans="1:22" s="11" customFormat="1">
      <c r="A41" s="11" t="s">
        <v>320</v>
      </c>
      <c r="B41" s="13">
        <f>+B37-B39</f>
        <v>752527.0744754324</v>
      </c>
      <c r="C41" s="47">
        <v>0</v>
      </c>
      <c r="D41" s="13">
        <f>+D37-D39</f>
        <v>0</v>
      </c>
      <c r="E41" s="47">
        <v>0</v>
      </c>
      <c r="F41" s="13">
        <f>+F37-F39</f>
        <v>0</v>
      </c>
      <c r="G41" s="47">
        <v>0</v>
      </c>
      <c r="H41" s="13">
        <f>+H37-H39</f>
        <v>0</v>
      </c>
      <c r="I41" s="47"/>
      <c r="J41" s="13">
        <f>+J37-J39</f>
        <v>583588.12062754354</v>
      </c>
      <c r="K41" s="109">
        <f>+(-J41+L41)/ABS(J41)</f>
        <v>0.10083219835957678</v>
      </c>
      <c r="L41" s="13">
        <f>+L37-L39</f>
        <v>642432.59376695263</v>
      </c>
      <c r="M41" s="109">
        <f>+(-L41+N41)/ABS(L41)</f>
        <v>0.37418677504856057</v>
      </c>
      <c r="N41" s="13">
        <f>+N37-N39</f>
        <v>882822.37421469064</v>
      </c>
      <c r="O41" s="109">
        <f>+(-N41+P41)/ABS(N41)</f>
        <v>-0.15816737090447983</v>
      </c>
      <c r="P41" s="13">
        <f>+P37-P39</f>
        <v>743188.68030950218</v>
      </c>
      <c r="Q41" s="137"/>
      <c r="R41" s="137" t="s">
        <v>0</v>
      </c>
      <c r="S41" s="137"/>
      <c r="T41" s="137" t="s">
        <v>0</v>
      </c>
      <c r="U41" s="137"/>
    </row>
    <row r="42" spans="1:22" ht="5.45" customHeight="1">
      <c r="C42" s="35" t="s">
        <v>0</v>
      </c>
    </row>
    <row r="43" spans="1:22" ht="7.9" customHeight="1" thickBot="1">
      <c r="A43" s="25"/>
      <c r="B43" s="36"/>
      <c r="C43" s="37" t="s">
        <v>0</v>
      </c>
      <c r="D43" s="36"/>
      <c r="E43" s="36"/>
      <c r="F43" s="36"/>
      <c r="G43" s="36"/>
      <c r="H43" s="36"/>
      <c r="I43" s="168"/>
      <c r="J43" s="36"/>
      <c r="K43" s="36"/>
      <c r="L43" s="36"/>
      <c r="M43" s="36"/>
      <c r="N43" s="36"/>
      <c r="O43" s="36"/>
      <c r="P43" s="36"/>
      <c r="Q43" s="36"/>
      <c r="R43" s="36"/>
      <c r="S43" s="36"/>
      <c r="T43" s="36"/>
    </row>
    <row r="44" spans="1:22" ht="7.9" customHeight="1">
      <c r="A44" s="26"/>
      <c r="B44" s="38"/>
      <c r="C44" s="35" t="s">
        <v>0</v>
      </c>
      <c r="D44" s="38"/>
      <c r="E44" s="38"/>
      <c r="F44" s="38"/>
      <c r="G44" s="38"/>
      <c r="H44" s="38"/>
      <c r="I44" s="188"/>
      <c r="J44" s="38"/>
      <c r="K44" s="38"/>
      <c r="L44" s="38"/>
      <c r="M44" s="38"/>
      <c r="N44" s="38"/>
      <c r="O44" s="38"/>
    </row>
    <row r="45" spans="1:22" ht="7.9" customHeight="1">
      <c r="A45" s="26"/>
      <c r="B45" s="38"/>
      <c r="C45" s="35" t="s">
        <v>0</v>
      </c>
      <c r="D45" s="38"/>
      <c r="E45" s="38"/>
      <c r="F45" s="38"/>
      <c r="G45" s="38"/>
      <c r="H45" s="38"/>
      <c r="I45" s="188"/>
      <c r="J45" s="38"/>
      <c r="K45" s="38"/>
      <c r="L45" s="38"/>
      <c r="M45" s="38"/>
      <c r="N45" s="38"/>
      <c r="O45" s="38"/>
    </row>
    <row r="46" spans="1:22">
      <c r="B46" s="218" t="s">
        <v>982</v>
      </c>
      <c r="C46" s="35" t="s">
        <v>0</v>
      </c>
      <c r="D46" s="218" t="s">
        <v>901</v>
      </c>
      <c r="F46" s="218" t="s">
        <v>982</v>
      </c>
      <c r="G46" s="35" t="s">
        <v>0</v>
      </c>
      <c r="H46" s="218" t="s">
        <v>901</v>
      </c>
      <c r="J46" s="218" t="s">
        <v>982</v>
      </c>
      <c r="K46" s="35" t="s">
        <v>0</v>
      </c>
      <c r="L46" s="218" t="s">
        <v>901</v>
      </c>
      <c r="N46" s="218" t="s">
        <v>982</v>
      </c>
      <c r="O46" s="35" t="s">
        <v>0</v>
      </c>
      <c r="P46" s="218" t="s">
        <v>901</v>
      </c>
      <c r="R46" s="537" t="s">
        <v>983</v>
      </c>
      <c r="T46" s="537" t="s">
        <v>984</v>
      </c>
    </row>
    <row r="47" spans="1:22" ht="16.5" thickBot="1">
      <c r="B47" s="220" t="s">
        <v>321</v>
      </c>
      <c r="C47" s="222" t="s">
        <v>196</v>
      </c>
      <c r="D47" s="222" t="s">
        <v>204</v>
      </c>
      <c r="E47" s="28"/>
      <c r="F47" s="222" t="s">
        <v>205</v>
      </c>
      <c r="G47" s="222" t="s">
        <v>196</v>
      </c>
      <c r="H47" s="222" t="s">
        <v>205</v>
      </c>
      <c r="I47" s="55"/>
      <c r="J47" s="222" t="s">
        <v>206</v>
      </c>
      <c r="K47" s="222" t="s">
        <v>196</v>
      </c>
      <c r="L47" s="222" t="s">
        <v>206</v>
      </c>
      <c r="M47" s="28"/>
      <c r="N47" s="222" t="s">
        <v>207</v>
      </c>
      <c r="O47" s="222" t="s">
        <v>196</v>
      </c>
      <c r="P47" s="222" t="s">
        <v>207</v>
      </c>
      <c r="Q47" s="28"/>
      <c r="R47" s="222" t="s">
        <v>208</v>
      </c>
      <c r="S47" s="222" t="s">
        <v>196</v>
      </c>
      <c r="T47" s="222" t="s">
        <v>208</v>
      </c>
      <c r="U47" s="28"/>
      <c r="V47" s="3"/>
    </row>
    <row r="48" spans="1:22">
      <c r="A48" t="s">
        <v>300</v>
      </c>
      <c r="B48" s="35" t="s">
        <v>0</v>
      </c>
      <c r="U48" s="218" t="s">
        <v>890</v>
      </c>
    </row>
    <row r="49" spans="1:21">
      <c r="A49" t="s">
        <v>301</v>
      </c>
      <c r="B49" s="24" t="s">
        <v>0</v>
      </c>
      <c r="C49" s="52" t="s">
        <v>0</v>
      </c>
      <c r="D49" s="24" t="s">
        <v>0</v>
      </c>
      <c r="E49" s="35" t="s">
        <v>0</v>
      </c>
      <c r="F49" s="24" t="s">
        <v>0</v>
      </c>
      <c r="G49" s="52" t="s">
        <v>0</v>
      </c>
      <c r="H49" s="24" t="s">
        <v>0</v>
      </c>
      <c r="I49" s="49" t="s">
        <v>0</v>
      </c>
      <c r="J49" s="24" t="s">
        <v>0</v>
      </c>
      <c r="K49" s="52" t="s">
        <v>0</v>
      </c>
      <c r="L49" s="24" t="s">
        <v>0</v>
      </c>
      <c r="M49" s="35" t="s">
        <v>0</v>
      </c>
      <c r="N49" s="24" t="s">
        <v>0</v>
      </c>
      <c r="O49" s="52" t="s">
        <v>0</v>
      </c>
      <c r="P49" s="24" t="s">
        <v>0</v>
      </c>
      <c r="Q49" s="35" t="s">
        <v>0</v>
      </c>
      <c r="R49" s="24" t="s">
        <v>0</v>
      </c>
      <c r="S49" s="52" t="s">
        <v>0</v>
      </c>
      <c r="T49" s="24" t="s">
        <v>0</v>
      </c>
    </row>
    <row r="50" spans="1:21">
      <c r="A50" t="s">
        <v>302</v>
      </c>
      <c r="B50" s="81">
        <f>+'SCOTIARÉSULT         '!B50+'CBNARÉSULT         '!B50+'SGBELRÉSULT       '!B50+'CAPITALBKRÉSULT      '!B50+'UNIBKRÉSULT   '!B50+'BPHRÉSULT  '!B50+SOGEBKRÉSULT!B50+'bncrésult '!B50+buhrésult!B50</f>
        <v>1477519.7090699999</v>
      </c>
      <c r="C50" s="51">
        <f t="shared" ref="C50:C55" si="3">+(B50-D50)/ABS(D50)</f>
        <v>0.19187592991003885</v>
      </c>
      <c r="D50" s="81">
        <f>+'SCOTIARÉSULT         '!D50+'CBNARÉSULT         '!D50+'SGBELRÉSULT       '!D50+'CAPITALBKRÉSULT      '!D50+'UNIBKRÉSULT   '!D50+'BPHRÉSULT  '!D50+SOGEBKRÉSULT!D50+'bncrésult '!D50+buhrésult!D50</f>
        <v>1239658.9879799997</v>
      </c>
      <c r="E50" s="35"/>
      <c r="F50" s="81">
        <f>+'SCOTIARÉSULT         '!F50+'CBNARÉSULT         '!F50+'SGBELRÉSULT       '!F50+'CAPITALBKRÉSULT      '!F50+'UNIBKRÉSULT   '!F50+'BPHRÉSULT  '!F50+SOGEBKRÉSULT!F50+'bncrésult '!F50+buhrésult!F50</f>
        <v>0</v>
      </c>
      <c r="G50" s="48">
        <v>0</v>
      </c>
      <c r="H50" s="81">
        <f>+'SCOTIARÉSULT         '!H50+'CBNARÉSULT         '!H50+'SGBELRÉSULT       '!H50+'CAPITALBKRÉSULT      '!H50+'UNIBKRÉSULT   '!H50+'BPHRÉSULT  '!H50+SOGEBKRÉSULT!H50+'bncrésult '!H50+buhrésult!H50</f>
        <v>1229348.2031099999</v>
      </c>
      <c r="J50" s="81">
        <f>+'SCOTIARÉSULT         '!J50+'CBNARÉSULT         '!J50+'SGBELRÉSULT       '!J50+'CAPITALBKRÉSULT      '!J50+'UNIBKRÉSULT   '!J50+'BPHRÉSULT  '!J50+SOGEBKRÉSULT!J50+'bncrésult '!J50+buhrésult!J50</f>
        <v>0</v>
      </c>
      <c r="K50" s="48">
        <v>0</v>
      </c>
      <c r="L50" s="81">
        <f>+'SCOTIARÉSULT         '!L50+'CBNARÉSULT         '!L50+'SGBELRÉSULT       '!L50+'CAPITALBKRÉSULT      '!L50+'UNIBKRÉSULT   '!L50+'BPHRÉSULT  '!L50+SOGEBKRÉSULT!L50+'bncrésult '!L50+buhrésult!L50</f>
        <v>1418432.2490300003</v>
      </c>
      <c r="M50" s="35"/>
      <c r="N50" s="81">
        <f>+'SCOTIARÉSULT         '!N50+'CBNARÉSULT         '!N50+'SGBELRÉSULT       '!N50+'CAPITALBKRÉSULT      '!N50+'UNIBKRÉSULT   '!N50+'BPHRÉSULT  '!N50+SOGEBKRÉSULT!N50+'bncrésult '!N50+buhrésult!N50</f>
        <v>0</v>
      </c>
      <c r="O50" s="48">
        <v>0</v>
      </c>
      <c r="P50" s="81">
        <f>+'SCOTIARÉSULT         '!P50+'CBNARÉSULT         '!P50+'SGBELRÉSULT       '!P50+'CAPITALBKRÉSULT      '!P50+'UNIBKRÉSULT   '!P50+'BPHRÉSULT  '!P50+SOGEBKRÉSULT!P50+'bncrésult '!P50+buhrésult!P50</f>
        <v>1402103.89377</v>
      </c>
      <c r="R50" s="20">
        <f>+B50+F50+J50+N50</f>
        <v>1477519.7090699999</v>
      </c>
      <c r="S50" s="51">
        <f t="shared" ref="S50:S55" si="4">+(R50-T50)/ABS(T50)</f>
        <v>0.19187592991003885</v>
      </c>
      <c r="T50" s="81">
        <f>+D50</f>
        <v>1239658.9879799997</v>
      </c>
      <c r="U50" s="20">
        <f>+D50+H50+L50+P50</f>
        <v>5289543.3338900004</v>
      </c>
    </row>
    <row r="51" spans="1:21">
      <c r="A51" t="s">
        <v>322</v>
      </c>
      <c r="B51" s="81">
        <f>+'SCOTIARÉSULT         '!B51+'CBNARÉSULT         '!B51+'SGBELRÉSULT       '!B51+'CAPITALBKRÉSULT      '!B51+'UNIBKRÉSULT   '!B51+'BPHRÉSULT  '!B51+SOGEBKRÉSULT!B51+'bncrésult '!B51+buhrésult!B51</f>
        <v>92337.638779999994</v>
      </c>
      <c r="C51" s="110">
        <f t="shared" si="3"/>
        <v>0.87414437240677156</v>
      </c>
      <c r="D51" s="81">
        <f>+'SCOTIARÉSULT         '!D51+'CBNARÉSULT         '!D51+'SGBELRÉSULT       '!D51+'CAPITALBKRÉSULT      '!D51+'UNIBKRÉSULT   '!D51+'BPHRÉSULT  '!D51+SOGEBKRÉSULT!D51+'bncrésult '!D51+buhrésult!D51</f>
        <v>49269.223940000003</v>
      </c>
      <c r="E51" s="35"/>
      <c r="F51" s="81">
        <f>+'SCOTIARÉSULT         '!F51+'CBNARÉSULT         '!F51+'SGBELRÉSULT       '!F51+'CAPITALBKRÉSULT      '!F51+'UNIBKRÉSULT   '!F51+'BPHRÉSULT  '!F51+SOGEBKRÉSULT!F51+'bncrésult '!F51+buhrésult!F51</f>
        <v>0</v>
      </c>
      <c r="G51" s="48">
        <v>0</v>
      </c>
      <c r="H51" s="81">
        <f>+'SCOTIARÉSULT         '!H51+'CBNARÉSULT         '!H51+'SGBELRÉSULT       '!H51+'CAPITALBKRÉSULT      '!H51+'UNIBKRÉSULT   '!H51+'BPHRÉSULT  '!H51+SOGEBKRÉSULT!H51+'bncrésult '!H51+buhrésult!H51</f>
        <v>34994.34173</v>
      </c>
      <c r="J51" s="81">
        <f>+'SCOTIARÉSULT         '!J51+'CBNARÉSULT         '!J51+'SGBELRÉSULT       '!J51+'CAPITALBKRÉSULT      '!J51+'UNIBKRÉSULT   '!J51+'BPHRÉSULT  '!J51+SOGEBKRÉSULT!J51+'bncrésult '!J51+buhrésult!J51</f>
        <v>0</v>
      </c>
      <c r="K51" s="48">
        <v>0</v>
      </c>
      <c r="L51" s="81">
        <f>+'SCOTIARÉSULT         '!L51+'CBNARÉSULT         '!L51+'SGBELRÉSULT       '!L51+'CAPITALBKRÉSULT      '!L51+'UNIBKRÉSULT   '!L51+'BPHRÉSULT  '!L51+SOGEBKRÉSULT!L51+'bncrésult '!L51+buhrésult!L51</f>
        <v>23033.055899999999</v>
      </c>
      <c r="M51" s="35"/>
      <c r="N51" s="81">
        <f>+'SCOTIARÉSULT         '!N51+'CBNARÉSULT         '!N51+'SGBELRÉSULT       '!N51+'CAPITALBKRÉSULT      '!N51+'UNIBKRÉSULT   '!N51+'BPHRÉSULT  '!N51+SOGEBKRÉSULT!N51+'bncrésult '!N51+buhrésult!N51</f>
        <v>0</v>
      </c>
      <c r="O51" s="48">
        <v>0</v>
      </c>
      <c r="P51" s="81">
        <f>+'SCOTIARÉSULT         '!P51+'CBNARÉSULT         '!P51+'SGBELRÉSULT       '!P51+'CAPITALBKRÉSULT      '!P51+'UNIBKRÉSULT   '!P51+'BPHRÉSULT  '!P51+SOGEBKRÉSULT!P51+'bncrésult '!P51+buhrésult!P51</f>
        <v>47234.9908</v>
      </c>
      <c r="R51" s="20">
        <f>+B51+F51+J51+N51</f>
        <v>92337.638779999994</v>
      </c>
      <c r="S51" s="52">
        <f t="shared" si="4"/>
        <v>0.87414437240677156</v>
      </c>
      <c r="T51" s="81">
        <f>+D51</f>
        <v>49269.223940000003</v>
      </c>
      <c r="U51" s="20">
        <f>+D51+H51+L51+P51</f>
        <v>154531.61237000002</v>
      </c>
    </row>
    <row r="52" spans="1:21">
      <c r="A52" t="s">
        <v>304</v>
      </c>
      <c r="B52" s="217">
        <f>+'SCOTIARÉSULT         '!B52+'CBNARÉSULT         '!B52+'SGBELRÉSULT       '!B52+'CAPITALBKRÉSULT      '!B52+'UNIBKRÉSULT   '!B52+'BPHRÉSULT  '!B52+SOGEBKRÉSULT!B52+'bncrésult '!B52+buhrésult!B52</f>
        <v>192171.182785432</v>
      </c>
      <c r="C52" s="51">
        <f t="shared" si="3"/>
        <v>0.49532070197390055</v>
      </c>
      <c r="D52" s="217">
        <f>+'SCOTIARÉSULT         '!D52+'CBNARÉSULT         '!D52+'SGBELRÉSULT       '!D52+'CAPITALBKRÉSULT      '!D52+'UNIBKRÉSULT   '!D52+'BPHRÉSULT  '!D52+SOGEBKRÉSULT!D52+'bncrésult '!D52+buhrésult!D52</f>
        <v>128515.0286034</v>
      </c>
      <c r="E52" s="35"/>
      <c r="F52" s="217">
        <f>+'SCOTIARÉSULT         '!F52+'CBNARÉSULT         '!F52+'SGBELRÉSULT       '!F52+'CAPITALBKRÉSULT      '!F52+'UNIBKRÉSULT   '!F52+'BPHRÉSULT  '!F52+SOGEBKRÉSULT!F52+'bncrésult '!F52+buhrésult!F52</f>
        <v>0</v>
      </c>
      <c r="G52" s="48">
        <v>0</v>
      </c>
      <c r="H52" s="217">
        <f>+'SCOTIARÉSULT         '!H52+'CBNARÉSULT         '!H52+'SGBELRÉSULT       '!H52+'CAPITALBKRÉSULT      '!H52+'UNIBKRÉSULT   '!H52+'BPHRÉSULT  '!H52+SOGEBKRÉSULT!H52+'bncrésult '!H52+buhrésult!H52</f>
        <v>125581.05348607599</v>
      </c>
      <c r="J52" s="217">
        <f>+'SCOTIARÉSULT         '!J52+'CBNARÉSULT         '!J52+'SGBELRÉSULT       '!J52+'CAPITALBKRÉSULT      '!J52+'UNIBKRÉSULT   '!J52+'BPHRÉSULT  '!J52+SOGEBKRÉSULT!J52+'bncrésult '!J52+buhrésult!J52</f>
        <v>0</v>
      </c>
      <c r="K52" s="48">
        <v>0</v>
      </c>
      <c r="L52" s="217">
        <f>+'SCOTIARÉSULT         '!L52+'CBNARÉSULT         '!L52+'SGBELRÉSULT       '!L52+'CAPITALBKRÉSULT      '!L52+'UNIBKRÉSULT   '!L52+'BPHRÉSULT  '!L52+SOGEBKRÉSULT!L52+'bncrésult '!L52+buhrésult!L52</f>
        <v>168004.268246892</v>
      </c>
      <c r="M52" s="35"/>
      <c r="N52" s="217">
        <f>+'SCOTIARÉSULT         '!N52+'CBNARÉSULT         '!N52+'SGBELRÉSULT       '!N52+'CAPITALBKRÉSULT      '!N52+'UNIBKRÉSULT   '!N52+'BPHRÉSULT  '!N52+SOGEBKRÉSULT!N52+'bncrésult '!N52+buhrésult!N52</f>
        <v>0</v>
      </c>
      <c r="O52" s="48">
        <v>0</v>
      </c>
      <c r="P52" s="217">
        <f>+'SCOTIARÉSULT         '!P52+'CBNARÉSULT         '!P52+'SGBELRÉSULT       '!P52+'CAPITALBKRÉSULT      '!P52+'UNIBKRÉSULT   '!P52+'BPHRÉSULT  '!P52+SOGEBKRÉSULT!P52+'bncrésult '!P52+buhrésult!P52</f>
        <v>202365.66943406095</v>
      </c>
      <c r="R52" s="217">
        <f>+B52+F52+J52+N52</f>
        <v>192171.182785432</v>
      </c>
      <c r="S52" s="52">
        <f t="shared" si="4"/>
        <v>0.49532070197390055</v>
      </c>
      <c r="T52" s="217">
        <f>+D52</f>
        <v>128515.0286034</v>
      </c>
      <c r="U52" s="217">
        <f>+D52+H52+L52+P52</f>
        <v>624466.01977042889</v>
      </c>
    </row>
    <row r="53" spans="1:21">
      <c r="B53" s="20">
        <f>SUM(B50:B52)</f>
        <v>1762028.5306354319</v>
      </c>
      <c r="C53" s="51">
        <f t="shared" si="3"/>
        <v>0.24310341342824551</v>
      </c>
      <c r="D53" s="20">
        <f>SUM(D50:D52)</f>
        <v>1417443.2405233998</v>
      </c>
      <c r="E53" s="35"/>
      <c r="F53" s="20">
        <f>SUM(F50:F52)</f>
        <v>0</v>
      </c>
      <c r="G53" s="48">
        <v>0</v>
      </c>
      <c r="H53" s="20">
        <f>SUM(H50:H52)</f>
        <v>1389923.5983260758</v>
      </c>
      <c r="J53" s="20">
        <f>SUM(J50:J52)</f>
        <v>0</v>
      </c>
      <c r="K53" s="48">
        <v>0</v>
      </c>
      <c r="L53" s="20">
        <f>SUM(L50:L52)</f>
        <v>1609469.5731768922</v>
      </c>
      <c r="M53" s="35"/>
      <c r="N53" s="20">
        <f>SUM(N50:N52)</f>
        <v>0</v>
      </c>
      <c r="O53" s="48">
        <v>0</v>
      </c>
      <c r="P53" s="20">
        <f>SUM(P50:P52)</f>
        <v>1651704.554004061</v>
      </c>
      <c r="R53" s="20">
        <f>SUM(R50:R52)</f>
        <v>1762028.5306354319</v>
      </c>
      <c r="S53" s="52">
        <f t="shared" si="4"/>
        <v>0.24310341342824551</v>
      </c>
      <c r="T53" s="20">
        <f>SUM(T50:T52)</f>
        <v>1417443.2405233998</v>
      </c>
      <c r="U53" s="20">
        <f>SUM(U50:U52)</f>
        <v>6068540.9660304291</v>
      </c>
    </row>
    <row r="54" spans="1:21">
      <c r="A54" t="s">
        <v>305</v>
      </c>
      <c r="B54" s="217">
        <f>+'SCOTIARÉSULT         '!B54+'CBNARÉSULT         '!B54+'SGBELRÉSULT       '!B54+'CAPITALBKRÉSULT      '!B54+'UNIBKRÉSULT   '!B54+'BPHRÉSULT  '!B54+SOGEBKRÉSULT!B54+'bncrésult '!B54+buhrésult!B54</f>
        <v>218079.74239999999</v>
      </c>
      <c r="C54" s="51">
        <f t="shared" si="3"/>
        <v>0.77518309015043807</v>
      </c>
      <c r="D54" s="217">
        <f>+'SCOTIARÉSULT         '!D54+'CBNARÉSULT         '!D54+'SGBELRÉSULT       '!D54+'CAPITALBKRÉSULT      '!D54+'UNIBKRÉSULT   '!D54+'BPHRÉSULT  '!D54+SOGEBKRÉSULT!D54+'bncrésult '!D54+buhrésult!D54</f>
        <v>122849.15488999999</v>
      </c>
      <c r="E54" s="35" t="s">
        <v>0</v>
      </c>
      <c r="F54" s="217">
        <f>+'SCOTIARÉSULT         '!F54+'CBNARÉSULT         '!F54+'SGBELRÉSULT       '!F54+'CAPITALBKRÉSULT      '!F54+'UNIBKRÉSULT   '!F54+'BPHRÉSULT  '!F54+SOGEBKRÉSULT!F54+'bncrésult '!F54+buhrésult!F54</f>
        <v>0</v>
      </c>
      <c r="G54" s="48">
        <v>0</v>
      </c>
      <c r="H54" s="217">
        <f>+'SCOTIARÉSULT         '!H54+'CBNARÉSULT         '!H54+'SGBELRÉSULT       '!H54+'CAPITALBKRÉSULT      '!H54+'UNIBKRÉSULT   '!H54+'BPHRÉSULT  '!H54+SOGEBKRÉSULT!H54+'bncrésult '!H54+buhrésult!H54</f>
        <v>132874.57184999998</v>
      </c>
      <c r="J54" s="217">
        <f>+'SCOTIARÉSULT         '!J54+'CBNARÉSULT         '!J54+'SGBELRÉSULT       '!J54+'CAPITALBKRÉSULT      '!J54+'UNIBKRÉSULT   '!J54+'BPHRÉSULT  '!J54+SOGEBKRÉSULT!J54+'bncrésult '!J54+buhrésult!J54</f>
        <v>0</v>
      </c>
      <c r="K54" s="48">
        <v>0</v>
      </c>
      <c r="L54" s="217">
        <f>+'SCOTIARÉSULT         '!L54+'CBNARÉSULT         '!L54+'SGBELRÉSULT       '!L54+'CAPITALBKRÉSULT      '!L54+'UNIBKRÉSULT   '!L54+'BPHRÉSULT  '!L54+SOGEBKRÉSULT!L54+'bncrésult '!L54+buhrésult!L54</f>
        <v>195090.63957999999</v>
      </c>
      <c r="M54" s="35" t="s">
        <v>0</v>
      </c>
      <c r="N54" s="217">
        <f>+'SCOTIARÉSULT         '!N54+'CBNARÉSULT         '!N54+'SGBELRÉSULT       '!N54+'CAPITALBKRÉSULT      '!N54+'UNIBKRÉSULT   '!N54+'BPHRÉSULT  '!N54+SOGEBKRÉSULT!N54+'bncrésult '!N54+buhrésult!N54</f>
        <v>0</v>
      </c>
      <c r="O54" s="48">
        <v>0</v>
      </c>
      <c r="P54" s="217">
        <f>+'SCOTIARÉSULT         '!P54+'CBNARÉSULT         '!P54+'SGBELRÉSULT       '!P54+'CAPITALBKRÉSULT      '!P54+'UNIBKRÉSULT   '!P54+'BPHRÉSULT  '!P54+SOGEBKRÉSULT!P54+'bncrésult '!P54+buhrésult!P54</f>
        <v>212975.16806000003</v>
      </c>
      <c r="R54" s="217">
        <f>+B54+F54+J54+N54</f>
        <v>218079.74239999999</v>
      </c>
      <c r="S54" s="51">
        <f t="shared" si="4"/>
        <v>0.77518309015043807</v>
      </c>
      <c r="T54" s="217">
        <f>+D54</f>
        <v>122849.15488999999</v>
      </c>
      <c r="U54" s="217">
        <f>+D54+H54+L54+P54</f>
        <v>663789.53437999997</v>
      </c>
    </row>
    <row r="55" spans="1:21">
      <c r="B55" s="20">
        <f>+B53-B54</f>
        <v>1543948.788235432</v>
      </c>
      <c r="C55" s="51">
        <f t="shared" si="3"/>
        <v>0.19261226771326667</v>
      </c>
      <c r="D55" s="20">
        <f>+D53-D54</f>
        <v>1294594.0856333999</v>
      </c>
      <c r="E55" s="35" t="s">
        <v>0</v>
      </c>
      <c r="F55" s="20">
        <f>+F53-F54</f>
        <v>0</v>
      </c>
      <c r="G55" s="48">
        <v>0</v>
      </c>
      <c r="H55" s="20">
        <f>+H53-H54</f>
        <v>1257049.0264760759</v>
      </c>
      <c r="J55" s="20">
        <f>+J53-J54</f>
        <v>0</v>
      </c>
      <c r="K55" s="48">
        <v>0</v>
      </c>
      <c r="L55" s="20">
        <f>+L53-L54</f>
        <v>1414378.9335968923</v>
      </c>
      <c r="M55" s="35" t="s">
        <v>0</v>
      </c>
      <c r="N55" s="20">
        <f>+N53-N54</f>
        <v>0</v>
      </c>
      <c r="O55" s="48">
        <v>0</v>
      </c>
      <c r="P55" s="20">
        <f>+P53-P54</f>
        <v>1438729.385944061</v>
      </c>
      <c r="R55" s="20">
        <f>+R53-R54</f>
        <v>1543948.788235432</v>
      </c>
      <c r="S55" s="51">
        <f t="shared" si="4"/>
        <v>0.19261226771326667</v>
      </c>
      <c r="T55" s="20">
        <f>+T53-T54</f>
        <v>1294594.0856333999</v>
      </c>
      <c r="U55" s="20">
        <f>+U53-U54</f>
        <v>5404751.431650429</v>
      </c>
    </row>
    <row r="56" spans="1:21">
      <c r="B56" s="20"/>
      <c r="C56" s="52" t="s">
        <v>0</v>
      </c>
      <c r="D56" s="20"/>
      <c r="E56" s="35" t="s">
        <v>0</v>
      </c>
      <c r="F56" s="20"/>
      <c r="G56" s="49" t="s">
        <v>0</v>
      </c>
      <c r="H56" s="20"/>
      <c r="J56" s="20"/>
      <c r="K56" s="49" t="s">
        <v>0</v>
      </c>
      <c r="L56" s="20"/>
      <c r="M56" s="35" t="s">
        <v>0</v>
      </c>
      <c r="N56" s="20"/>
      <c r="O56" s="49" t="s">
        <v>0</v>
      </c>
      <c r="P56" s="20"/>
      <c r="R56" s="20"/>
      <c r="S56" s="51"/>
      <c r="T56" s="20"/>
      <c r="U56" s="20"/>
    </row>
    <row r="57" spans="1:21">
      <c r="A57" t="s">
        <v>306</v>
      </c>
      <c r="B57" s="20"/>
      <c r="C57" s="52" t="s">
        <v>0</v>
      </c>
      <c r="D57" s="20"/>
      <c r="E57" s="35" t="s">
        <v>0</v>
      </c>
      <c r="F57" s="20"/>
      <c r="G57" s="49" t="s">
        <v>0</v>
      </c>
      <c r="H57" s="20"/>
      <c r="J57" s="20"/>
      <c r="K57" s="49" t="s">
        <v>0</v>
      </c>
      <c r="L57" s="20"/>
      <c r="M57" s="35" t="s">
        <v>0</v>
      </c>
      <c r="N57" s="20"/>
      <c r="O57" s="49" t="s">
        <v>0</v>
      </c>
      <c r="P57" s="20"/>
      <c r="R57" s="20"/>
      <c r="S57" s="52" t="s">
        <v>0</v>
      </c>
      <c r="T57" s="20"/>
      <c r="U57" s="20"/>
    </row>
    <row r="58" spans="1:21">
      <c r="A58" t="s">
        <v>307</v>
      </c>
      <c r="B58" s="81">
        <f>+'SCOTIARÉSULT         '!B58+'CBNARÉSULT         '!B58+'SGBELRÉSULT       '!B58+'CAPITALBKRÉSULT      '!B58+'UNIBKRÉSULT   '!B58+'BPHRÉSULT  '!B58+SOGEBKRÉSULT!B58+'bncrésult '!B58+buhrésult!B58</f>
        <v>697013.59956999996</v>
      </c>
      <c r="C58" s="51">
        <f>+(B58-D58)/ABS(D58)</f>
        <v>0.13932455924622714</v>
      </c>
      <c r="D58" s="81">
        <f>+'SCOTIARÉSULT         '!D58+'CBNARÉSULT         '!D58+'SGBELRÉSULT       '!D58+'CAPITALBKRÉSULT      '!D58+'UNIBKRÉSULT   '!D58+'BPHRÉSULT  '!D58+SOGEBKRÉSULT!D58+'bncrésult '!D58+buhrésult!D58</f>
        <v>611777.91166999994</v>
      </c>
      <c r="E58" s="35" t="s">
        <v>0</v>
      </c>
      <c r="F58" s="81">
        <f>+'SCOTIARÉSULT         '!F58+'CBNARÉSULT         '!F58+'SGBELRÉSULT       '!F58+'CAPITALBKRÉSULT      '!F58+'UNIBKRÉSULT   '!F58+'BPHRÉSULT  '!F58+SOGEBKRÉSULT!F58+'bncrésult '!F58+buhrésult!F58</f>
        <v>0</v>
      </c>
      <c r="G58" s="48">
        <v>0</v>
      </c>
      <c r="H58" s="81">
        <f>+'SCOTIARÉSULT         '!H58+'CBNARÉSULT         '!H58+'SGBELRÉSULT       '!H58+'CAPITALBKRÉSULT      '!H58+'UNIBKRÉSULT   '!H58+'BPHRÉSULT  '!H58+SOGEBKRÉSULT!H58+'bncrésult '!H58+buhrésult!H58</f>
        <v>708919.90688999998</v>
      </c>
      <c r="J58" s="81">
        <f>+'SCOTIARÉSULT         '!J58+'CBNARÉSULT         '!J58+'SGBELRÉSULT       '!J58+'CAPITALBKRÉSULT      '!J58+'UNIBKRÉSULT   '!J58+'BPHRÉSULT  '!J58+SOGEBKRÉSULT!J58+'bncrésult '!J58+buhrésult!J58</f>
        <v>0</v>
      </c>
      <c r="K58" s="48">
        <v>0</v>
      </c>
      <c r="L58" s="81">
        <f>+'SCOTIARÉSULT         '!L58+'CBNARÉSULT         '!L58+'SGBELRÉSULT       '!L58+'CAPITALBKRÉSULT      '!L58+'UNIBKRÉSULT   '!L58+'BPHRÉSULT  '!L58+SOGEBKRÉSULT!L58+'bncrésult '!L58+buhrésult!L58</f>
        <v>753289.62594000006</v>
      </c>
      <c r="M58" s="35" t="s">
        <v>0</v>
      </c>
      <c r="N58" s="81">
        <f>+'SCOTIARÉSULT         '!N58+'CBNARÉSULT         '!N58+'SGBELRÉSULT       '!N58+'CAPITALBKRÉSULT      '!N58+'UNIBKRÉSULT   '!N58+'BPHRÉSULT  '!N58+SOGEBKRÉSULT!N58+'bncrésult '!N58+buhrésult!N58</f>
        <v>0</v>
      </c>
      <c r="O58" s="48">
        <v>0</v>
      </c>
      <c r="P58" s="81">
        <f>+'SCOTIARÉSULT         '!P58+'CBNARÉSULT         '!P58+'SGBELRÉSULT       '!P58+'CAPITALBKRÉSULT      '!P58+'UNIBKRÉSULT   '!P58+'BPHRÉSULT  '!P58+SOGEBKRÉSULT!P58+'bncrésult '!P58+buhrésult!P58</f>
        <v>897918.45602000004</v>
      </c>
      <c r="R58" s="20">
        <f>+B58+F58+J58+N58</f>
        <v>697013.59956999996</v>
      </c>
      <c r="S58" s="51">
        <f>+(R58-T58)/ABS(T58)</f>
        <v>0.13932455924622714</v>
      </c>
      <c r="T58" s="81">
        <f>+D58</f>
        <v>611777.91166999994</v>
      </c>
      <c r="U58" s="20">
        <f>+D58+H58+L58+P58</f>
        <v>2971905.9005200001</v>
      </c>
    </row>
    <row r="59" spans="1:21">
      <c r="A59" t="s">
        <v>308</v>
      </c>
      <c r="B59" s="81">
        <f>+'SCOTIARÉSULT         '!B59+'CBNARÉSULT         '!B59+'SGBELRÉSULT       '!B59+'CAPITALBKRÉSULT      '!B59+'UNIBKRÉSULT   '!B59+'BPHRÉSULT  '!B59+SOGEBKRÉSULT!B59+'bncrésult '!B59+buhrésult!B59</f>
        <v>249143.51832999999</v>
      </c>
      <c r="C59" s="51">
        <f>+(B59-D59)/ABS(D59)</f>
        <v>0.16843467432505985</v>
      </c>
      <c r="D59" s="81">
        <f>+'SCOTIARÉSULT         '!D59+'CBNARÉSULT         '!D59+'SGBELRÉSULT       '!D59+'CAPITALBKRÉSULT      '!D59+'UNIBKRÉSULT   '!D59+'BPHRÉSULT  '!D59+SOGEBKRÉSULT!D59+'bncrésult '!D59+buhrésult!D59</f>
        <v>213228.45324999999</v>
      </c>
      <c r="E59" s="35" t="s">
        <v>0</v>
      </c>
      <c r="F59" s="81">
        <f>+'SCOTIARÉSULT         '!F59+'CBNARÉSULT         '!F59+'SGBELRÉSULT       '!F59+'CAPITALBKRÉSULT      '!F59+'UNIBKRÉSULT   '!F59+'BPHRÉSULT  '!F59+SOGEBKRÉSULT!F59+'bncrésult '!F59+buhrésult!F59</f>
        <v>0</v>
      </c>
      <c r="G59" s="48">
        <v>0</v>
      </c>
      <c r="H59" s="81">
        <f>+'SCOTIARÉSULT         '!H59+'CBNARÉSULT         '!H59+'SGBELRÉSULT       '!H59+'CAPITALBKRÉSULT      '!H59+'UNIBKRÉSULT   '!H59+'BPHRÉSULT  '!H59+SOGEBKRÉSULT!H59+'bncrésult '!H59+buhrésult!H59</f>
        <v>226953.75985</v>
      </c>
      <c r="J59" s="81">
        <f>+'SCOTIARÉSULT         '!J59+'CBNARÉSULT         '!J59+'SGBELRÉSULT       '!J59+'CAPITALBKRÉSULT      '!J59+'UNIBKRÉSULT   '!J59+'BPHRÉSULT  '!J59+SOGEBKRÉSULT!J59+'bncrésult '!J59+buhrésult!J59</f>
        <v>0</v>
      </c>
      <c r="K59" s="48">
        <v>0</v>
      </c>
      <c r="L59" s="81">
        <f>+'SCOTIARÉSULT         '!L59+'CBNARÉSULT         '!L59+'SGBELRÉSULT       '!L59+'CAPITALBKRÉSULT      '!L59+'UNIBKRÉSULT   '!L59+'BPHRÉSULT  '!L59+SOGEBKRÉSULT!L59+'bncrésult '!L59+buhrésult!L59</f>
        <v>237258.53110000002</v>
      </c>
      <c r="M59" s="35" t="s">
        <v>0</v>
      </c>
      <c r="N59" s="81">
        <f>+'SCOTIARÉSULT         '!N59+'CBNARÉSULT         '!N59+'SGBELRÉSULT       '!N59+'CAPITALBKRÉSULT      '!N59+'UNIBKRÉSULT   '!N59+'BPHRÉSULT  '!N59+SOGEBKRÉSULT!N59+'bncrésult '!N59+buhrésult!N59</f>
        <v>0</v>
      </c>
      <c r="O59" s="48">
        <v>0</v>
      </c>
      <c r="P59" s="81">
        <f>+'SCOTIARÉSULT         '!P59+'CBNARÉSULT         '!P59+'SGBELRÉSULT       '!P59+'CAPITALBKRÉSULT      '!P59+'UNIBKRÉSULT   '!P59+'BPHRÉSULT  '!P59+SOGEBKRÉSULT!P59+'bncrésult '!P59+buhrésult!P59</f>
        <v>237506.34271</v>
      </c>
      <c r="R59" s="20">
        <f>+B59+F59+J59+N59</f>
        <v>249143.51832999999</v>
      </c>
      <c r="S59" s="51">
        <f>+(R59-T59)/ABS(T59)</f>
        <v>0.16843467432505985</v>
      </c>
      <c r="T59" s="81">
        <f>+D59</f>
        <v>213228.45324999999</v>
      </c>
      <c r="U59" s="20">
        <f>+D59+H59+L59+P59</f>
        <v>914947.08691000007</v>
      </c>
    </row>
    <row r="60" spans="1:21">
      <c r="A60" t="s">
        <v>274</v>
      </c>
      <c r="B60" s="217">
        <f>+'SCOTIARÉSULT         '!B60+'CBNARÉSULT         '!B60+'SGBELRÉSULT       '!B60+'CAPITALBKRÉSULT      '!B60+'UNIBKRÉSULT   '!B60+'BPHRÉSULT  '!B60+SOGEBKRÉSULT!B60+'bncrésult '!B60+buhrésult!B60</f>
        <v>320178.69922000001</v>
      </c>
      <c r="C60" s="51">
        <f>+(B60-D60)/ABS(D60)</f>
        <v>0.19820309325533908</v>
      </c>
      <c r="D60" s="217">
        <f>+'SCOTIARÉSULT         '!D60+'CBNARÉSULT         '!D60+'SGBELRÉSULT       '!D60+'CAPITALBKRÉSULT      '!D60+'UNIBKRÉSULT   '!D60+'BPHRÉSULT  '!D60+SOGEBKRÉSULT!D60+'bncrésult '!D60+buhrésult!D60</f>
        <v>267215.71745414397</v>
      </c>
      <c r="E60" s="35" t="s">
        <v>0</v>
      </c>
      <c r="F60" s="217">
        <f>+'SCOTIARÉSULT         '!F60+'CBNARÉSULT         '!F60+'SGBELRÉSULT       '!F60+'CAPITALBKRÉSULT      '!F60+'UNIBKRÉSULT   '!F60+'BPHRÉSULT  '!F60+SOGEBKRÉSULT!F60+'bncrésult '!F60+buhrésult!F60</f>
        <v>0</v>
      </c>
      <c r="G60" s="48">
        <v>0</v>
      </c>
      <c r="H60" s="217">
        <f>+'SCOTIARÉSULT         '!H60+'CBNARÉSULT         '!H60+'SGBELRÉSULT       '!H60+'CAPITALBKRÉSULT      '!H60+'UNIBKRÉSULT   '!H60+'BPHRÉSULT  '!H60+SOGEBKRÉSULT!H60+'bncrésult '!H60+buhrésult!H60</f>
        <v>344633.514585856</v>
      </c>
      <c r="J60" s="217">
        <f>+'SCOTIARÉSULT         '!J60+'CBNARÉSULT         '!J60+'SGBELRÉSULT       '!J60+'CAPITALBKRÉSULT      '!J60+'UNIBKRÉSULT   '!J60+'BPHRÉSULT  '!J60+SOGEBKRÉSULT!J60+'bncrésult '!J60+buhrésult!J60</f>
        <v>0</v>
      </c>
      <c r="K60" s="48">
        <v>0</v>
      </c>
      <c r="L60" s="217">
        <f>+'SCOTIARÉSULT         '!L60+'CBNARÉSULT         '!L60+'SGBELRÉSULT       '!L60+'CAPITALBKRÉSULT      '!L60+'UNIBKRÉSULT   '!L60+'BPHRÉSULT  '!L60+SOGEBKRÉSULT!L60+'bncrésult '!L60+buhrésult!L60</f>
        <v>498572.54903496191</v>
      </c>
      <c r="M60" s="35" t="s">
        <v>0</v>
      </c>
      <c r="N60" s="217">
        <f>+'SCOTIARÉSULT         '!N60+'CBNARÉSULT         '!N60+'SGBELRÉSULT       '!N60+'CAPITALBKRÉSULT      '!N60+'UNIBKRÉSULT   '!N60+'BPHRÉSULT  '!N60+SOGEBKRÉSULT!N60+'bncrésult '!N60+buhrésult!N60</f>
        <v>0</v>
      </c>
      <c r="O60" s="48">
        <v>0</v>
      </c>
      <c r="P60" s="217">
        <f>+'SCOTIARÉSULT         '!P60+'CBNARÉSULT         '!P60+'SGBELRÉSULT       '!P60+'CAPITALBKRÉSULT      '!P60+'UNIBKRÉSULT   '!P60+'BPHRÉSULT  '!P60+SOGEBKRÉSULT!P60+'bncrésult '!P60+buhrésult!P60</f>
        <v>427345.56047329807</v>
      </c>
      <c r="R60" s="217">
        <f>+B60+F60+J60+N60</f>
        <v>320178.69922000001</v>
      </c>
      <c r="S60" s="51">
        <f>+(R60-T60)/ABS(T60)</f>
        <v>0.19820309325533908</v>
      </c>
      <c r="T60" s="217">
        <f>+D60</f>
        <v>267215.71745414397</v>
      </c>
      <c r="U60" s="217">
        <f>+D60+H60+L60+P60</f>
        <v>1537767.3415482598</v>
      </c>
    </row>
    <row r="61" spans="1:21">
      <c r="B61" s="20">
        <f>SUM(B58:B60)</f>
        <v>1266335.81712</v>
      </c>
      <c r="C61" s="51">
        <f>+(B61-D61)/ABS(D61)</f>
        <v>0.15941239199942578</v>
      </c>
      <c r="D61" s="20">
        <f>SUM(D58:D60)</f>
        <v>1092222.0823741439</v>
      </c>
      <c r="E61" s="35" t="s">
        <v>0</v>
      </c>
      <c r="F61" s="20">
        <f>SUM(F58:F60)</f>
        <v>0</v>
      </c>
      <c r="G61" s="48">
        <v>0</v>
      </c>
      <c r="H61" s="20">
        <f>SUM(H58:H60)</f>
        <v>1280507.1813258561</v>
      </c>
      <c r="J61" s="20">
        <f>SUM(J58:J60)</f>
        <v>0</v>
      </c>
      <c r="K61" s="48">
        <v>0</v>
      </c>
      <c r="L61" s="20">
        <f>SUM(L58:L60)</f>
        <v>1489120.7060749619</v>
      </c>
      <c r="M61" s="35" t="s">
        <v>0</v>
      </c>
      <c r="N61" s="20">
        <f>SUM(N58:N60)</f>
        <v>0</v>
      </c>
      <c r="O61" s="48">
        <v>0</v>
      </c>
      <c r="P61" s="20">
        <f>SUM(P58:P60)</f>
        <v>1562770.3592032981</v>
      </c>
      <c r="R61" s="20">
        <f>SUM(R58:R60)</f>
        <v>1266335.81712</v>
      </c>
      <c r="S61" s="51">
        <f>+(R61-T61)/ABS(T61)</f>
        <v>0.15941239199942578</v>
      </c>
      <c r="T61" s="20">
        <f>SUM(T58:T60)</f>
        <v>1092222.0823741439</v>
      </c>
      <c r="U61" s="20">
        <f>SUM(U58:U60)</f>
        <v>5424620.32897826</v>
      </c>
    </row>
    <row r="62" spans="1:21">
      <c r="B62" s="217"/>
      <c r="C62" s="52" t="s">
        <v>0</v>
      </c>
      <c r="D62" s="217"/>
      <c r="E62" s="35" t="s">
        <v>0</v>
      </c>
      <c r="F62" s="217"/>
      <c r="G62" s="49" t="s">
        <v>0</v>
      </c>
      <c r="H62" s="217"/>
      <c r="J62" s="217"/>
      <c r="K62" s="49" t="s">
        <v>0</v>
      </c>
      <c r="L62" s="217"/>
      <c r="M62" s="35" t="s">
        <v>0</v>
      </c>
      <c r="N62" s="217"/>
      <c r="O62" s="49" t="s">
        <v>0</v>
      </c>
      <c r="P62" s="217"/>
      <c r="R62" s="217"/>
      <c r="S62" s="51"/>
      <c r="T62" s="217"/>
      <c r="U62" s="217"/>
    </row>
    <row r="63" spans="1:21">
      <c r="A63" t="s">
        <v>309</v>
      </c>
      <c r="B63" s="20">
        <f>+B55+B61</f>
        <v>2810284.6053554323</v>
      </c>
      <c r="C63" s="51">
        <f>+(B63-D63)/ABS(D63)</f>
        <v>0.1774197958870832</v>
      </c>
      <c r="D63" s="20">
        <f>+D55+D61</f>
        <v>2386816.1680075438</v>
      </c>
      <c r="E63" s="35" t="s">
        <v>0</v>
      </c>
      <c r="F63" s="20">
        <f>+F55+F61</f>
        <v>0</v>
      </c>
      <c r="G63" s="48">
        <v>0</v>
      </c>
      <c r="H63" s="20">
        <f>+H55+H61</f>
        <v>2537556.207801932</v>
      </c>
      <c r="J63" s="20">
        <f>+J55+J61</f>
        <v>0</v>
      </c>
      <c r="K63" s="48">
        <v>0</v>
      </c>
      <c r="L63" s="20">
        <f>+L55+L61</f>
        <v>2903499.6396718542</v>
      </c>
      <c r="M63" s="35" t="s">
        <v>0</v>
      </c>
      <c r="N63" s="20">
        <f>+N55+N61</f>
        <v>0</v>
      </c>
      <c r="O63" s="48">
        <v>0</v>
      </c>
      <c r="P63" s="20">
        <f>+P55+P61</f>
        <v>3001499.7451473591</v>
      </c>
      <c r="R63" s="20">
        <f>+R55+R61</f>
        <v>2810284.6053554323</v>
      </c>
      <c r="S63" s="51">
        <f>+(R63-T63)/ABS(T63)</f>
        <v>0.1774197958870832</v>
      </c>
      <c r="T63" s="20">
        <f>+T55+T61</f>
        <v>2386816.1680075438</v>
      </c>
      <c r="U63" s="20">
        <f>+U55+U61</f>
        <v>10829371.760628689</v>
      </c>
    </row>
    <row r="64" spans="1:21">
      <c r="B64" s="20"/>
      <c r="C64" s="52" t="s">
        <v>0</v>
      </c>
      <c r="D64" s="20"/>
      <c r="E64" s="35" t="s">
        <v>0</v>
      </c>
      <c r="F64" s="20"/>
      <c r="G64" s="49" t="s">
        <v>0</v>
      </c>
      <c r="H64" s="20"/>
      <c r="J64" s="20"/>
      <c r="K64" s="49" t="s">
        <v>0</v>
      </c>
      <c r="L64" s="20"/>
      <c r="M64" s="35" t="s">
        <v>0</v>
      </c>
      <c r="N64" s="20"/>
      <c r="O64" s="49" t="s">
        <v>0</v>
      </c>
      <c r="P64" s="20"/>
      <c r="R64" s="20"/>
      <c r="S64" s="51"/>
      <c r="T64" s="20"/>
      <c r="U64" s="20"/>
    </row>
    <row r="65" spans="1:22">
      <c r="A65" t="s">
        <v>310</v>
      </c>
      <c r="B65" s="81">
        <f>+'SCOTIARÉSULT         '!B65+'CBNARÉSULT         '!B65+'SGBELRÉSULT       '!B65+'CAPITALBKRÉSULT      '!B65+'UNIBKRÉSULT   '!B65+'BPHRÉSULT  '!B65+SOGEBKRÉSULT!B65+'bncrésult '!B65+buhrésult!B65</f>
        <v>144566.41715000002</v>
      </c>
      <c r="C65" s="51">
        <f>+(B65-D65)/ABS(D65)</f>
        <v>0.20281389629027879</v>
      </c>
      <c r="D65" s="81">
        <f>+'SCOTIARÉSULT         '!D65+'CBNARÉSULT         '!D65+'SGBELRÉSULT       '!D65+'CAPITALBKRÉSULT      '!D65+'UNIBKRÉSULT   '!D65+'BPHRÉSULT  '!D65+SOGEBKRÉSULT!D65+'bncrésult '!D65+buhrésult!D65</f>
        <v>120190.17871000001</v>
      </c>
      <c r="E65" s="35" t="s">
        <v>0</v>
      </c>
      <c r="F65" s="81">
        <f>+'SCOTIARÉSULT         '!F65+'CBNARÉSULT         '!F65+'SGBELRÉSULT       '!F65+'CAPITALBKRÉSULT      '!F65+'UNIBKRÉSULT   '!F65+'BPHRÉSULT  '!F65+SOGEBKRÉSULT!F65+'bncrésult '!F65+buhrésult!F65</f>
        <v>0</v>
      </c>
      <c r="G65" s="48">
        <v>0</v>
      </c>
      <c r="H65" s="81">
        <f>+'SCOTIARÉSULT         '!H65+'CBNARÉSULT         '!H65+'SGBELRÉSULT       '!H65+'CAPITALBKRÉSULT      '!H65+'UNIBKRÉSULT   '!H65+'BPHRÉSULT  '!H65+SOGEBKRÉSULT!H65+'bncrésult '!H65+buhrésult!H65</f>
        <v>167255.62315</v>
      </c>
      <c r="J65" s="81">
        <f>+'SCOTIARÉSULT         '!J65+'CBNARÉSULT         '!J65+'SGBELRÉSULT       '!J65+'CAPITALBKRÉSULT      '!J65+'UNIBKRÉSULT   '!J65+'BPHRÉSULT  '!J65+SOGEBKRÉSULT!J65+'bncrésult '!J65+buhrésult!J65</f>
        <v>0</v>
      </c>
      <c r="K65" s="48">
        <v>0</v>
      </c>
      <c r="L65" s="81">
        <f>+'SCOTIARÉSULT         '!L65+'CBNARÉSULT         '!L65+'SGBELRÉSULT       '!L65+'CAPITALBKRÉSULT      '!L65+'UNIBKRÉSULT   '!L65+'BPHRÉSULT  '!L65+SOGEBKRÉSULT!L65+'bncrésult '!L65+buhrésult!L65</f>
        <v>151939.96359000003</v>
      </c>
      <c r="M65" s="35" t="s">
        <v>0</v>
      </c>
      <c r="N65" s="81">
        <f>+'SCOTIARÉSULT         '!N65+'CBNARÉSULT         '!N65+'SGBELRÉSULT       '!N65+'CAPITALBKRÉSULT      '!N65+'UNIBKRÉSULT   '!N65+'BPHRÉSULT  '!N65+SOGEBKRÉSULT!N65+'bncrésult '!N65+buhrésult!N65</f>
        <v>0</v>
      </c>
      <c r="O65" s="48">
        <v>0</v>
      </c>
      <c r="P65" s="81">
        <f>+'SCOTIARÉSULT         '!P65+'CBNARÉSULT         '!P65+'SGBELRÉSULT       '!P65+'CAPITALBKRÉSULT      '!P65+'UNIBKRÉSULT   '!P65+'BPHRÉSULT  '!P65+SOGEBKRÉSULT!P65+'bncrésult '!P65+buhrésult!P65</f>
        <v>200908.83707000001</v>
      </c>
      <c r="R65" s="20">
        <f>+B65+F65+J65+N65</f>
        <v>144566.41715000002</v>
      </c>
      <c r="S65" s="51">
        <f>+(R65-T65)/ABS(T65)</f>
        <v>0.20281389629027879</v>
      </c>
      <c r="T65" s="81">
        <f>+D65</f>
        <v>120190.17871000001</v>
      </c>
      <c r="U65" s="20">
        <f>+D65+H65+L65+P65</f>
        <v>640294.60252000007</v>
      </c>
    </row>
    <row r="66" spans="1:22">
      <c r="B66" s="20"/>
      <c r="C66" s="52" t="s">
        <v>0</v>
      </c>
      <c r="D66" s="20"/>
      <c r="E66" s="35" t="s">
        <v>0</v>
      </c>
      <c r="F66" s="20"/>
      <c r="G66" s="49" t="s">
        <v>0</v>
      </c>
      <c r="H66" s="20"/>
      <c r="J66" s="20"/>
      <c r="K66" s="49" t="s">
        <v>0</v>
      </c>
      <c r="L66" s="20"/>
      <c r="M66" s="35" t="s">
        <v>0</v>
      </c>
      <c r="N66" s="20"/>
      <c r="O66" s="49" t="s">
        <v>0</v>
      </c>
      <c r="P66" s="20"/>
      <c r="R66" s="20"/>
      <c r="S66" s="51"/>
      <c r="T66" s="20"/>
      <c r="U66" s="20"/>
    </row>
    <row r="67" spans="1:22">
      <c r="A67" t="s">
        <v>311</v>
      </c>
      <c r="B67" s="217"/>
      <c r="C67" s="52" t="s">
        <v>0</v>
      </c>
      <c r="D67" s="217"/>
      <c r="E67" s="35" t="s">
        <v>0</v>
      </c>
      <c r="F67" s="217"/>
      <c r="G67" s="49" t="s">
        <v>0</v>
      </c>
      <c r="H67" s="217"/>
      <c r="J67" s="217"/>
      <c r="K67" s="49" t="s">
        <v>0</v>
      </c>
      <c r="L67" s="217"/>
      <c r="M67" s="35" t="s">
        <v>0</v>
      </c>
      <c r="N67" s="217"/>
      <c r="O67" s="49" t="s">
        <v>0</v>
      </c>
      <c r="P67" s="217"/>
      <c r="R67" s="217"/>
      <c r="S67" s="51"/>
      <c r="T67" s="217"/>
      <c r="U67" s="217"/>
    </row>
    <row r="68" spans="1:22">
      <c r="A68" t="s">
        <v>312</v>
      </c>
      <c r="B68" s="20">
        <f>+B63-B65</f>
        <v>2665718.1882054321</v>
      </c>
      <c r="C68" s="51">
        <f>+(B68-D68)/ABS(D68)</f>
        <v>0.17607324754604631</v>
      </c>
      <c r="D68" s="20">
        <f>+D63-D65</f>
        <v>2266625.9892975437</v>
      </c>
      <c r="E68" s="35" t="s">
        <v>0</v>
      </c>
      <c r="F68" s="20">
        <f>+F63-F65</f>
        <v>0</v>
      </c>
      <c r="G68" s="48">
        <v>0</v>
      </c>
      <c r="H68" s="20">
        <f>+H63-H65</f>
        <v>2370300.5846519321</v>
      </c>
      <c r="J68" s="20">
        <f>+J63-J65</f>
        <v>0</v>
      </c>
      <c r="K68" s="48">
        <v>0</v>
      </c>
      <c r="L68" s="20">
        <f>+L63-L65</f>
        <v>2751559.6760818544</v>
      </c>
      <c r="M68" s="35" t="s">
        <v>0</v>
      </c>
      <c r="N68" s="20">
        <f>+N63-N65</f>
        <v>0</v>
      </c>
      <c r="O68" s="48">
        <v>0</v>
      </c>
      <c r="P68" s="20">
        <f>+P63-P65</f>
        <v>2800590.9080773592</v>
      </c>
      <c r="R68" s="20">
        <f>+R63-R65</f>
        <v>2665718.1882054321</v>
      </c>
      <c r="S68" s="51">
        <f>+(R68-T68)/ABS(T68)</f>
        <v>0.17607324754604631</v>
      </c>
      <c r="T68" s="20">
        <f>+T63-T65</f>
        <v>2266625.9892975437</v>
      </c>
      <c r="U68" s="20">
        <f>+U63-U65</f>
        <v>10189077.158108689</v>
      </c>
    </row>
    <row r="69" spans="1:22">
      <c r="B69" s="20"/>
      <c r="C69" s="52" t="s">
        <v>0</v>
      </c>
      <c r="D69" s="20"/>
      <c r="E69" s="35" t="s">
        <v>0</v>
      </c>
      <c r="F69" s="20"/>
      <c r="G69" s="49" t="s">
        <v>0</v>
      </c>
      <c r="H69" s="20"/>
      <c r="J69" s="20"/>
      <c r="K69" s="49" t="s">
        <v>0</v>
      </c>
      <c r="L69" s="20"/>
      <c r="M69" s="35" t="s">
        <v>0</v>
      </c>
      <c r="N69" s="20"/>
      <c r="O69" s="49" t="s">
        <v>0</v>
      </c>
      <c r="P69" s="20"/>
      <c r="R69" s="20"/>
      <c r="S69" s="51"/>
      <c r="T69" s="20"/>
      <c r="U69" s="20"/>
    </row>
    <row r="70" spans="1:22">
      <c r="A70" t="s">
        <v>313</v>
      </c>
      <c r="B70" s="20"/>
      <c r="C70" s="52" t="s">
        <v>0</v>
      </c>
      <c r="D70" s="20"/>
      <c r="E70" s="35" t="s">
        <v>0</v>
      </c>
      <c r="F70" s="20"/>
      <c r="G70" s="49" t="s">
        <v>0</v>
      </c>
      <c r="H70" s="20"/>
      <c r="J70" s="20"/>
      <c r="K70" s="49" t="s">
        <v>0</v>
      </c>
      <c r="L70" s="20"/>
      <c r="M70" s="35" t="s">
        <v>0</v>
      </c>
      <c r="N70" s="20"/>
      <c r="O70" s="49" t="s">
        <v>0</v>
      </c>
      <c r="P70" s="20"/>
      <c r="R70" s="20"/>
      <c r="S70" s="51"/>
      <c r="T70" s="20"/>
      <c r="U70" s="20"/>
    </row>
    <row r="71" spans="1:22">
      <c r="A71" t="s">
        <v>314</v>
      </c>
      <c r="B71" s="81">
        <f>+'SCOTIARÉSULT         '!B71+'CBNARÉSULT         '!B71+'SGBELRÉSULT       '!B71+'CAPITALBKRÉSULT      '!B71+'UNIBKRÉSULT   '!B71+'BPHRÉSULT  '!B71+SOGEBKRÉSULT!B71+'bncrésult '!B71+buhrésult!B71</f>
        <v>781687.58527000004</v>
      </c>
      <c r="C71" s="51">
        <f>+(B71-D71)/ABS(D71)</f>
        <v>0.10273174643176758</v>
      </c>
      <c r="D71" s="81">
        <f>+'SCOTIARÉSULT         '!D71+'CBNARÉSULT         '!D71+'SGBELRÉSULT       '!D71+'CAPITALBKRÉSULT      '!D71+'UNIBKRÉSULT   '!D71+'BPHRÉSULT  '!D71+SOGEBKRÉSULT!D71+'bncrésult '!D71+buhrésult!D71</f>
        <v>708864.67883000011</v>
      </c>
      <c r="E71" s="35" t="s">
        <v>0</v>
      </c>
      <c r="F71" s="81">
        <f>+'SCOTIARÉSULT         '!F71+'CBNARÉSULT         '!F71+'SGBELRÉSULT       '!F71+'CAPITALBKRÉSULT      '!F71+'UNIBKRÉSULT   '!F71+'BPHRÉSULT  '!F71+SOGEBKRÉSULT!F71+'bncrésult '!F71+buhrésult!F71</f>
        <v>0</v>
      </c>
      <c r="G71" s="48">
        <v>0</v>
      </c>
      <c r="H71" s="81">
        <f>+'SCOTIARÉSULT         '!H71+'CBNARÉSULT         '!H71+'SGBELRÉSULT       '!H71+'CAPITALBKRÉSULT      '!H71+'UNIBKRÉSULT   '!H71+'BPHRÉSULT  '!H71+SOGEBKRÉSULT!H71+'bncrésult '!H71+buhrésult!H71</f>
        <v>732042.23018000007</v>
      </c>
      <c r="J71" s="81">
        <f>+'SCOTIARÉSULT         '!J71+'CBNARÉSULT         '!J71+'SGBELRÉSULT       '!J71+'CAPITALBKRÉSULT      '!J71+'UNIBKRÉSULT   '!J71+'BPHRÉSULT  '!J71+SOGEBKRÉSULT!J71+'bncrésult '!J71+buhrésult!J71</f>
        <v>0</v>
      </c>
      <c r="K71" s="48">
        <v>0</v>
      </c>
      <c r="L71" s="81">
        <f>+'SCOTIARÉSULT         '!L71+'CBNARÉSULT         '!L71+'SGBELRÉSULT       '!L71+'CAPITALBKRÉSULT      '!L71+'UNIBKRÉSULT   '!L71+'BPHRÉSULT  '!L71+SOGEBKRÉSULT!L71+'bncrésult '!L71+buhrésult!L71</f>
        <v>768067.15250000008</v>
      </c>
      <c r="M71" s="35" t="s">
        <v>0</v>
      </c>
      <c r="N71" s="81">
        <f>+'SCOTIARÉSULT         '!N71+'CBNARÉSULT         '!N71+'SGBELRÉSULT       '!N71+'CAPITALBKRÉSULT      '!N71+'UNIBKRÉSULT   '!N71+'BPHRÉSULT  '!N71+SOGEBKRÉSULT!N71+'bncrésult '!N71+buhrésult!N71</f>
        <v>0</v>
      </c>
      <c r="O71" s="48">
        <v>0</v>
      </c>
      <c r="P71" s="81">
        <f>+'SCOTIARÉSULT         '!P71+'CBNARÉSULT         '!P71+'SGBELRÉSULT       '!P71+'CAPITALBKRÉSULT      '!P71+'UNIBKRÉSULT   '!P71+'BPHRÉSULT  '!P71+SOGEBKRÉSULT!P71+'bncrésult '!P71+buhrésult!P71</f>
        <v>841344.23885999992</v>
      </c>
      <c r="R71" s="20">
        <f>+B71+F71+J71+N71</f>
        <v>781687.58527000004</v>
      </c>
      <c r="S71" s="51">
        <f>+(R71-T71)/ABS(T71)</f>
        <v>0.10273174643176758</v>
      </c>
      <c r="T71" s="81">
        <f>+D71</f>
        <v>708864.67883000011</v>
      </c>
      <c r="U71" s="20">
        <f>+D71+H71+L71+P71</f>
        <v>3050318.3003700003</v>
      </c>
    </row>
    <row r="72" spans="1:22">
      <c r="A72" t="s">
        <v>315</v>
      </c>
      <c r="B72" s="81">
        <f>+'SCOTIARÉSULT         '!B72+'CBNARÉSULT         '!B72+'SGBELRÉSULT       '!B72+'CAPITALBKRÉSULT      '!B72+'UNIBKRÉSULT   '!B72+'BPHRÉSULT  '!B72+SOGEBKRÉSULT!B72+'bncrésult '!B72+buhrésult!B72</f>
        <v>125381.45367</v>
      </c>
      <c r="C72" s="51">
        <f>+(B72-D72)/ABS(D72)</f>
        <v>9.129794220349742E-2</v>
      </c>
      <c r="D72" s="81">
        <f>+'SCOTIARÉSULT         '!D72+'CBNARÉSULT         '!D72+'SGBELRÉSULT       '!D72+'CAPITALBKRÉSULT      '!D72+'UNIBKRÉSULT   '!D72+'BPHRÉSULT  '!D72+SOGEBKRÉSULT!D72+'bncrésult '!D72+buhrésult!D72</f>
        <v>114892.04626999999</v>
      </c>
      <c r="E72" s="35" t="s">
        <v>0</v>
      </c>
      <c r="F72" s="81">
        <f>+'SCOTIARÉSULT         '!F72+'CBNARÉSULT         '!F72+'SGBELRÉSULT       '!F72+'CAPITALBKRÉSULT      '!F72+'UNIBKRÉSULT   '!F72+'BPHRÉSULT  '!F72+SOGEBKRÉSULT!F72+'bncrésult '!F72+buhrésult!F72</f>
        <v>0</v>
      </c>
      <c r="G72" s="48">
        <v>0</v>
      </c>
      <c r="H72" s="81">
        <f>+'SCOTIARÉSULT         '!H72+'CBNARÉSULT         '!H72+'SGBELRÉSULT       '!H72+'CAPITALBKRÉSULT      '!H72+'UNIBKRÉSULT   '!H72+'BPHRÉSULT  '!H72+SOGEBKRÉSULT!H72+'bncrésult '!H72+buhrésult!H72</f>
        <v>111791.32730333332</v>
      </c>
      <c r="J72" s="81">
        <f>+'SCOTIARÉSULT         '!J72+'CBNARÉSULT         '!J72+'SGBELRÉSULT       '!J72+'CAPITALBKRÉSULT      '!J72+'UNIBKRÉSULT   '!J72+'BPHRÉSULT  '!J72+SOGEBKRÉSULT!J72+'bncrésult '!J72+buhrésult!J72</f>
        <v>0</v>
      </c>
      <c r="K72" s="48">
        <v>0</v>
      </c>
      <c r="L72" s="81">
        <f>+'SCOTIARÉSULT         '!L72+'CBNARÉSULT         '!L72+'SGBELRÉSULT       '!L72+'CAPITALBKRÉSULT      '!L72+'UNIBKRÉSULT   '!L72+'BPHRÉSULT  '!L72+SOGEBKRÉSULT!L72+'bncrésult '!L72+buhrésult!L72</f>
        <v>117286.31192666666</v>
      </c>
      <c r="M72" s="35" t="s">
        <v>0</v>
      </c>
      <c r="N72" s="81">
        <f>+'SCOTIARÉSULT         '!N72+'CBNARÉSULT         '!N72+'SGBELRÉSULT       '!N72+'CAPITALBKRÉSULT      '!N72+'UNIBKRÉSULT   '!N72+'BPHRÉSULT  '!N72+SOGEBKRÉSULT!N72+'bncrésult '!N72+buhrésult!N72</f>
        <v>0</v>
      </c>
      <c r="O72" s="48">
        <v>0</v>
      </c>
      <c r="P72" s="81">
        <f>+'SCOTIARÉSULT         '!P72+'CBNARÉSULT         '!P72+'SGBELRÉSULT       '!P72+'CAPITALBKRÉSULT      '!P72+'UNIBKRÉSULT   '!P72+'BPHRÉSULT  '!P72+SOGEBKRÉSULT!P72+'bncrésult '!P72+buhrésult!P72</f>
        <v>122226.65193000001</v>
      </c>
      <c r="R72" s="20">
        <f>+B72+F72+J72+N72</f>
        <v>125381.45367</v>
      </c>
      <c r="S72" s="51">
        <f>+(R72-T72)/ABS(T72)</f>
        <v>9.129794220349742E-2</v>
      </c>
      <c r="T72" s="81">
        <f>+D72</f>
        <v>114892.04626999999</v>
      </c>
      <c r="U72" s="20">
        <f>+D72+H72+L72+P72</f>
        <v>466196.33742999996</v>
      </c>
    </row>
    <row r="73" spans="1:22">
      <c r="A73" t="s">
        <v>316</v>
      </c>
      <c r="B73" s="81">
        <f>+'SCOTIARÉSULT         '!B73+'CBNARÉSULT         '!B73+'SGBELRÉSULT       '!B73+'CAPITALBKRÉSULT      '!B73+'UNIBKRÉSULT   '!B73+'BPHRÉSULT  '!B73+SOGEBKRÉSULT!B73+'bncrésult '!B73+buhrésult!B73</f>
        <v>145314.02080999999</v>
      </c>
      <c r="C73" s="51">
        <f>+(B73-D73)/ABS(D73)</f>
        <v>0.22181727765117545</v>
      </c>
      <c r="D73" s="81">
        <f>+'SCOTIARÉSULT         '!D73+'CBNARÉSULT         '!D73+'SGBELRÉSULT       '!D73+'CAPITALBKRÉSULT      '!D73+'UNIBKRÉSULT   '!D73+'BPHRÉSULT  '!D73+SOGEBKRÉSULT!D73+'bncrésult '!D73+buhrésult!D73</f>
        <v>118932.69433</v>
      </c>
      <c r="E73" s="35" t="s">
        <v>0</v>
      </c>
      <c r="F73" s="81">
        <f>+'SCOTIARÉSULT         '!F73+'CBNARÉSULT         '!F73+'SGBELRÉSULT       '!F73+'CAPITALBKRÉSULT      '!F73+'UNIBKRÉSULT   '!F73+'BPHRÉSULT  '!F73+SOGEBKRÉSULT!F73+'bncrésult '!F73+buhrésult!F73</f>
        <v>0</v>
      </c>
      <c r="G73" s="48">
        <v>0</v>
      </c>
      <c r="H73" s="81">
        <f>+'SCOTIARÉSULT         '!H73+'CBNARÉSULT         '!H73+'SGBELRÉSULT       '!H73+'CAPITALBKRÉSULT      '!H73+'UNIBKRÉSULT   '!H73+'BPHRÉSULT  '!H73+SOGEBKRÉSULT!H73+'bncrésult '!H73+buhrésult!H73</f>
        <v>128636.11592999999</v>
      </c>
      <c r="J73" s="81">
        <f>+'SCOTIARÉSULT         '!J73+'CBNARÉSULT         '!J73+'SGBELRÉSULT       '!J73+'CAPITALBKRÉSULT      '!J73+'UNIBKRÉSULT   '!J73+'BPHRÉSULT  '!J73+SOGEBKRÉSULT!J73+'bncrésult '!J73+buhrésult!J73</f>
        <v>0</v>
      </c>
      <c r="K73" s="48">
        <v>0</v>
      </c>
      <c r="L73" s="81">
        <f>+'SCOTIARÉSULT         '!L73+'CBNARÉSULT         '!L73+'SGBELRÉSULT       '!L73+'CAPITALBKRÉSULT      '!L73+'UNIBKRÉSULT   '!L73+'BPHRÉSULT  '!L73+SOGEBKRÉSULT!L73+'bncrésult '!L73+buhrésult!L73</f>
        <v>136757.93201214288</v>
      </c>
      <c r="M73" s="35" t="s">
        <v>0</v>
      </c>
      <c r="N73" s="81">
        <f>+'SCOTIARÉSULT         '!N73+'CBNARÉSULT         '!N73+'SGBELRÉSULT       '!N73+'CAPITALBKRÉSULT      '!N73+'UNIBKRÉSULT   '!N73+'BPHRÉSULT  '!N73+SOGEBKRÉSULT!N73+'bncrésult '!N73+buhrésult!N73</f>
        <v>0</v>
      </c>
      <c r="O73" s="48">
        <v>0</v>
      </c>
      <c r="P73" s="81">
        <f>+'SCOTIARÉSULT         '!P73+'CBNARÉSULT         '!P73+'SGBELRÉSULT       '!P73+'CAPITALBKRÉSULT      '!P73+'UNIBKRÉSULT   '!P73+'BPHRÉSULT  '!P73+SOGEBKRÉSULT!P73+'bncrésult '!P73+buhrésult!P73</f>
        <v>140162.92592785714</v>
      </c>
      <c r="R73" s="20">
        <f>+B73+F73+J73+N73</f>
        <v>145314.02080999999</v>
      </c>
      <c r="S73" s="51">
        <f>+(R73-T73)/ABS(T73)</f>
        <v>0.22181727765117545</v>
      </c>
      <c r="T73" s="81">
        <f>+D73</f>
        <v>118932.69433</v>
      </c>
      <c r="U73" s="20">
        <f>+D73+H73+L73+P73</f>
        <v>524489.66820000007</v>
      </c>
      <c r="V73" t="s">
        <v>0</v>
      </c>
    </row>
    <row r="74" spans="1:22">
      <c r="A74" t="s">
        <v>317</v>
      </c>
      <c r="B74" s="217">
        <f>+'SCOTIARÉSULT         '!B74+'CBNARÉSULT         '!B74+'SGBELRÉSULT       '!B74+'CAPITALBKRÉSULT      '!B74+'UNIBKRÉSULT   '!B74+'BPHRÉSULT  '!B74+SOGEBKRÉSULT!B74+'bncrésult '!B74+buhrésult!B74</f>
        <v>747984.06032999989</v>
      </c>
      <c r="C74" s="51">
        <f>+(B74-D74)/ABS(D74)</f>
        <v>0.14060026901688849</v>
      </c>
      <c r="D74" s="217">
        <f>+'SCOTIARÉSULT         '!D74+'CBNARÉSULT         '!D74+'SGBELRÉSULT       '!D74+'CAPITALBKRÉSULT      '!D74+'UNIBKRÉSULT   '!D74+'BPHRÉSULT  '!D74+SOGEBKRÉSULT!D74+'bncrésult '!D74+buhrésult!D74</f>
        <v>655781.06602999999</v>
      </c>
      <c r="E74" s="35" t="s">
        <v>0</v>
      </c>
      <c r="F74" s="217">
        <f>+'SCOTIARÉSULT         '!F74+'CBNARÉSULT         '!F74+'SGBELRÉSULT       '!F74+'CAPITALBKRÉSULT      '!F74+'UNIBKRÉSULT   '!F74+'BPHRÉSULT  '!F74+SOGEBKRÉSULT!F74+'bncrésult '!F74+buhrésult!F74</f>
        <v>0</v>
      </c>
      <c r="G74" s="48">
        <v>0</v>
      </c>
      <c r="H74" s="217">
        <f>+'SCOTIARÉSULT         '!H74+'CBNARÉSULT         '!H74+'SGBELRÉSULT       '!H74+'CAPITALBKRÉSULT      '!H74+'UNIBKRÉSULT   '!H74+'BPHRÉSULT  '!H74+SOGEBKRÉSULT!H74+'bncrésult '!H74+buhrésult!H74</f>
        <v>699986.53017164615</v>
      </c>
      <c r="J74" s="217">
        <f>+'SCOTIARÉSULT         '!J74+'CBNARÉSULT         '!J74+'SGBELRÉSULT       '!J74+'CAPITALBKRÉSULT      '!J74+'UNIBKRÉSULT   '!J74+'BPHRÉSULT  '!J74+SOGEBKRÉSULT!J74+'bncrésult '!J74+buhrésult!J74</f>
        <v>0</v>
      </c>
      <c r="K74" s="48">
        <v>0</v>
      </c>
      <c r="L74" s="217">
        <f>+'SCOTIARÉSULT         '!L74+'CBNARÉSULT         '!L74+'SGBELRÉSULT       '!L74+'CAPITALBKRÉSULT      '!L74+'UNIBKRÉSULT   '!L74+'BPHRÉSULT  '!L74+SOGEBKRÉSULT!L74+'bncrésult '!L74+buhrésult!L74</f>
        <v>715870.42805835407</v>
      </c>
      <c r="M74" s="35" t="s">
        <v>0</v>
      </c>
      <c r="N74" s="217">
        <f>+'SCOTIARÉSULT         '!N74+'CBNARÉSULT         '!N74+'SGBELRÉSULT       '!N74+'CAPITALBKRÉSULT      '!N74+'UNIBKRÉSULT   '!N74+'BPHRÉSULT  '!N74+SOGEBKRÉSULT!N74+'bncrésult '!N74+buhrésult!N74</f>
        <v>0</v>
      </c>
      <c r="O74" s="48">
        <v>0</v>
      </c>
      <c r="P74" s="217">
        <f>+'SCOTIARÉSULT         '!P74+'CBNARÉSULT         '!P74+'SGBELRÉSULT       '!P74+'CAPITALBKRÉSULT      '!P74+'UNIBKRÉSULT   '!P74+'BPHRÉSULT  '!P74+SOGEBKRÉSULT!P74+'bncrésult '!P74+buhrésult!P74</f>
        <v>864621.57197000005</v>
      </c>
      <c r="R74" s="217">
        <f>+B74+F74+J74+N74</f>
        <v>747984.06032999989</v>
      </c>
      <c r="S74" s="51">
        <f>+(R74-T74)/ABS(T74)</f>
        <v>0.14060026901688849</v>
      </c>
      <c r="T74" s="217">
        <f>+D74</f>
        <v>655781.06602999999</v>
      </c>
      <c r="U74" s="217">
        <f>+D74+H74+L74+P74</f>
        <v>2936259.5962300003</v>
      </c>
    </row>
    <row r="75" spans="1:22">
      <c r="B75" s="20">
        <f>SUM(B71:B74)</f>
        <v>1800367.1200799998</v>
      </c>
      <c r="C75" s="51">
        <f>+(B75-D75)/ABS(D75)</f>
        <v>0.12630613855963618</v>
      </c>
      <c r="D75" s="20">
        <f>SUM(D71:D74)</f>
        <v>1598470.4854600001</v>
      </c>
      <c r="E75" s="35" t="s">
        <v>0</v>
      </c>
      <c r="F75" s="20">
        <f>SUM(F71:F74)</f>
        <v>0</v>
      </c>
      <c r="G75" s="48">
        <v>0</v>
      </c>
      <c r="H75" s="20">
        <f>SUM(H71:H74)</f>
        <v>1672456.2035849795</v>
      </c>
      <c r="J75" s="20">
        <f>SUM(J71:J74)</f>
        <v>0</v>
      </c>
      <c r="K75" s="48">
        <v>0</v>
      </c>
      <c r="L75" s="20">
        <f>SUM(L71:L74)</f>
        <v>1737981.8244971638</v>
      </c>
      <c r="M75" s="35" t="s">
        <v>0</v>
      </c>
      <c r="N75" s="20">
        <f>SUM(N71:N74)</f>
        <v>0</v>
      </c>
      <c r="O75" s="48">
        <v>0</v>
      </c>
      <c r="P75" s="20">
        <f>SUM(P71:P74)</f>
        <v>1968355.388687857</v>
      </c>
      <c r="R75" s="20">
        <f>SUM(R71:R74)</f>
        <v>1800367.1200799998</v>
      </c>
      <c r="S75" s="51">
        <f>+(R75-T75)/ABS(T75)</f>
        <v>0.12630613855963618</v>
      </c>
      <c r="T75" s="20">
        <f>SUM(T71:T74)</f>
        <v>1598470.4854600001</v>
      </c>
      <c r="U75" s="20">
        <f>SUM(U71:U74)</f>
        <v>6977263.9022300001</v>
      </c>
    </row>
    <row r="76" spans="1:22">
      <c r="B76" s="217"/>
      <c r="C76" s="51"/>
      <c r="D76" s="217"/>
      <c r="E76" s="35"/>
      <c r="F76" s="217"/>
      <c r="G76" s="48"/>
      <c r="H76" s="217"/>
      <c r="J76" s="217"/>
      <c r="K76" s="48"/>
      <c r="L76" s="217"/>
      <c r="M76" s="35"/>
      <c r="N76" s="217"/>
      <c r="O76" s="48"/>
      <c r="P76" s="217"/>
      <c r="R76" s="217"/>
      <c r="S76" s="51"/>
      <c r="T76" s="217"/>
      <c r="U76" s="217"/>
    </row>
    <row r="77" spans="1:22">
      <c r="A77" t="s">
        <v>318</v>
      </c>
      <c r="B77" s="20">
        <f>+B68-B75</f>
        <v>865351.06812543236</v>
      </c>
      <c r="C77" s="51">
        <f>+(B77-D77)/ABS(D77)</f>
        <v>0.29513423619995394</v>
      </c>
      <c r="D77" s="20">
        <f>+D68-D75</f>
        <v>668155.50383754354</v>
      </c>
      <c r="E77" s="35" t="s">
        <v>0</v>
      </c>
      <c r="F77" s="20">
        <f>+F68-F75</f>
        <v>0</v>
      </c>
      <c r="G77" s="48">
        <v>0</v>
      </c>
      <c r="H77" s="20">
        <f>+H68-H75</f>
        <v>697844.3810669526</v>
      </c>
      <c r="J77" s="20">
        <f>+J68-J75</f>
        <v>0</v>
      </c>
      <c r="K77" s="48">
        <v>0</v>
      </c>
      <c r="L77" s="20">
        <f>+L68-L75</f>
        <v>1013577.8515846906</v>
      </c>
      <c r="M77" s="35" t="s">
        <v>0</v>
      </c>
      <c r="N77" s="20">
        <f>+N68-N75</f>
        <v>0</v>
      </c>
      <c r="O77" s="48">
        <v>0</v>
      </c>
      <c r="P77" s="20">
        <f>+P68-P75</f>
        <v>832235.51938950224</v>
      </c>
      <c r="R77" s="20">
        <f>+R68-R75</f>
        <v>865351.06812543236</v>
      </c>
      <c r="S77" s="51">
        <f>+(R77-T77)/ABS(T77)</f>
        <v>0.29513423619995394</v>
      </c>
      <c r="T77" s="20">
        <f>+T68-T75</f>
        <v>668155.50383754354</v>
      </c>
      <c r="U77" s="20">
        <f>+U68-U75</f>
        <v>3211813.2558786888</v>
      </c>
    </row>
    <row r="78" spans="1:22">
      <c r="B78" s="20"/>
      <c r="C78" s="52" t="s">
        <v>0</v>
      </c>
      <c r="D78" s="20"/>
      <c r="E78" s="35" t="s">
        <v>0</v>
      </c>
      <c r="F78" s="20"/>
      <c r="G78" s="49" t="s">
        <v>0</v>
      </c>
      <c r="H78" s="20"/>
      <c r="J78" s="20"/>
      <c r="K78" s="49" t="s">
        <v>0</v>
      </c>
      <c r="L78" s="20"/>
      <c r="M78" s="35" t="s">
        <v>0</v>
      </c>
      <c r="N78" s="20"/>
      <c r="O78" s="49" t="s">
        <v>0</v>
      </c>
      <c r="P78" s="20"/>
      <c r="R78" s="20"/>
      <c r="S78" s="51"/>
      <c r="T78" s="24" t="s">
        <v>0</v>
      </c>
      <c r="U78" s="20"/>
    </row>
    <row r="79" spans="1:22">
      <c r="A79" t="s">
        <v>319</v>
      </c>
      <c r="B79" s="81">
        <f>+'SCOTIARÉSULT         '!B79+'CBNARÉSULT         '!B79+'SGBELRÉSULT       '!B79+'CAPITALBKRÉSULT      '!B79+'UNIBKRÉSULT   '!B79+'BPHRÉSULT  '!B79+SOGEBKRÉSULT!B79+'bncrésult '!B79+buhrésult!B79</f>
        <v>112823.99364999999</v>
      </c>
      <c r="C79" s="51">
        <f>+(B79-D79)/ABS(D79)</f>
        <v>0.33413130887392384</v>
      </c>
      <c r="D79" s="81">
        <f>+'SCOTIARÉSULT         '!D79+'CBNARÉSULT         '!D79+'SGBELRÉSULT       '!D79+'CAPITALBKRÉSULT      '!D79+'UNIBKRÉSULT   '!D79+'BPHRÉSULT  '!D79+SOGEBKRÉSULT!D79+'bncrésult '!D79+buhrésult!D79</f>
        <v>84567.38321</v>
      </c>
      <c r="E79" s="35" t="s">
        <v>0</v>
      </c>
      <c r="F79" s="81">
        <f>+'SCOTIARÉSULT         '!F79+'CBNARÉSULT         '!F79+'SGBELRÉSULT       '!F79+'CAPITALBKRÉSULT      '!F79+'UNIBKRÉSULT   '!F79+'BPHRÉSULT  '!F79+SOGEBKRÉSULT!F79+'bncrésult '!F79+buhrésult!F79</f>
        <v>0</v>
      </c>
      <c r="G79" s="48">
        <v>0</v>
      </c>
      <c r="H79" s="81">
        <f>+'SCOTIARÉSULT         '!H79+'CBNARÉSULT         '!H79+'SGBELRÉSULT       '!H79+'CAPITALBKRÉSULT      '!H79+'UNIBKRÉSULT   '!H79+'BPHRÉSULT  '!H79+SOGEBKRÉSULT!H79+'bncrésult '!H79+buhrésult!H79</f>
        <v>55411.787299999996</v>
      </c>
      <c r="J79" s="81">
        <f>+'SCOTIARÉSULT         '!J79+'CBNARÉSULT         '!J79+'SGBELRÉSULT       '!J79+'CAPITALBKRÉSULT      '!J79+'UNIBKRÉSULT   '!J79+'BPHRÉSULT  '!J79+SOGEBKRÉSULT!J79+'bncrésult '!J79+buhrésult!J79</f>
        <v>0</v>
      </c>
      <c r="K79" s="48">
        <v>0</v>
      </c>
      <c r="L79" s="81">
        <f>+'SCOTIARÉSULT         '!L79+'CBNARÉSULT         '!L79+'SGBELRÉSULT       '!L79+'CAPITALBKRÉSULT      '!L79+'UNIBKRÉSULT   '!L79+'BPHRÉSULT  '!L79+SOGEBKRÉSULT!L79+'bncrésult '!L79+buhrésult!L79</f>
        <v>130755.47737000001</v>
      </c>
      <c r="M79" s="35" t="s">
        <v>0</v>
      </c>
      <c r="N79" s="81">
        <f>+'SCOTIARÉSULT         '!N79+'CBNARÉSULT         '!N79+'SGBELRÉSULT       '!N79+'CAPITALBKRÉSULT      '!N79+'UNIBKRÉSULT   '!N79+'BPHRÉSULT  '!N79+SOGEBKRÉSULT!N79+'bncrésult '!N79+buhrésult!N79</f>
        <v>0</v>
      </c>
      <c r="O79" s="48">
        <v>0</v>
      </c>
      <c r="P79" s="81">
        <f>+'SCOTIARÉSULT         '!P79+'CBNARÉSULT         '!P79+'SGBELRÉSULT       '!P79+'CAPITALBKRÉSULT      '!P79+'UNIBKRÉSULT   '!P79+'BPHRÉSULT  '!P79+SOGEBKRÉSULT!P79+'bncrésult '!P79+buhrésult!P79</f>
        <v>89046.839080000005</v>
      </c>
      <c r="R79" s="20">
        <f>+B79+F79+J79+N79</f>
        <v>112823.99364999999</v>
      </c>
      <c r="S79" s="51">
        <f>+(R79-T79)/ABS(T79)</f>
        <v>0.33413130887392384</v>
      </c>
      <c r="T79" s="81">
        <f>+D79</f>
        <v>84567.38321</v>
      </c>
      <c r="U79" s="20">
        <f>+D79+H79+L79+P79</f>
        <v>359781.48696000001</v>
      </c>
    </row>
    <row r="80" spans="1:22" ht="16.5" thickBot="1">
      <c r="A80" t="s">
        <v>0</v>
      </c>
      <c r="B80" s="79"/>
      <c r="C80" s="52" t="s">
        <v>0</v>
      </c>
      <c r="D80" s="79"/>
      <c r="E80" s="35" t="s">
        <v>0</v>
      </c>
      <c r="F80" s="79"/>
      <c r="G80" s="49" t="s">
        <v>0</v>
      </c>
      <c r="H80" s="79"/>
      <c r="J80" s="79"/>
      <c r="K80" s="49" t="s">
        <v>0</v>
      </c>
      <c r="L80" s="79"/>
      <c r="M80" s="35" t="s">
        <v>0</v>
      </c>
      <c r="N80" s="79"/>
      <c r="O80" s="49" t="s">
        <v>0</v>
      </c>
      <c r="P80" s="79"/>
      <c r="R80" s="80" t="s">
        <v>0</v>
      </c>
      <c r="S80" s="51"/>
      <c r="T80" s="79"/>
      <c r="U80" s="79"/>
    </row>
    <row r="81" spans="1:21" s="11" customFormat="1">
      <c r="A81" s="11" t="s">
        <v>320</v>
      </c>
      <c r="B81" s="13">
        <f>+B77-B79</f>
        <v>752527.0744754324</v>
      </c>
      <c r="C81" s="109">
        <f>+(B81-D81)/ABS(D81)</f>
        <v>0.28948319521347615</v>
      </c>
      <c r="D81" s="13">
        <f>+D77-D79</f>
        <v>583588.12062754354</v>
      </c>
      <c r="E81" s="137" t="s">
        <v>0</v>
      </c>
      <c r="F81" s="13">
        <f>+F77-F79</f>
        <v>0</v>
      </c>
      <c r="G81" s="47">
        <v>0</v>
      </c>
      <c r="H81" s="13">
        <f>+H77-H79</f>
        <v>642432.59376695263</v>
      </c>
      <c r="I81" s="47"/>
      <c r="J81" s="13">
        <f>+J77-J79</f>
        <v>0</v>
      </c>
      <c r="K81" s="47">
        <v>0</v>
      </c>
      <c r="L81" s="13">
        <f>+L77-L79</f>
        <v>882822.37421469064</v>
      </c>
      <c r="M81" s="137" t="s">
        <v>0</v>
      </c>
      <c r="N81" s="13">
        <f>+N77-N79</f>
        <v>0</v>
      </c>
      <c r="O81" s="47">
        <v>0</v>
      </c>
      <c r="P81" s="13">
        <f>+P77-P79</f>
        <v>743188.68030950218</v>
      </c>
      <c r="Q81" s="137"/>
      <c r="R81" s="13">
        <f>+R77-R79</f>
        <v>752527.0744754324</v>
      </c>
      <c r="S81" s="109">
        <f>+(R81-T81)/ABS(T81)</f>
        <v>0.28948319521347615</v>
      </c>
      <c r="T81" s="13">
        <f>+T77-T79</f>
        <v>583588.12062754354</v>
      </c>
      <c r="U81" s="13">
        <f>+U77-U79</f>
        <v>2852031.7689186889</v>
      </c>
    </row>
    <row r="82" spans="1:21">
      <c r="A82" s="523"/>
      <c r="E82" s="35"/>
      <c r="M82" s="35"/>
    </row>
    <row r="83" spans="1:21">
      <c r="A83" s="523"/>
      <c r="B83" s="35" t="s">
        <v>0</v>
      </c>
      <c r="E83" s="35"/>
      <c r="F83" s="35" t="s">
        <v>0</v>
      </c>
      <c r="L83" s="35" t="s">
        <v>0</v>
      </c>
      <c r="M83" s="35"/>
      <c r="N83" s="35" t="s">
        <v>0</v>
      </c>
      <c r="P83" s="35" t="s">
        <v>0</v>
      </c>
    </row>
    <row r="84" spans="1:21">
      <c r="A84" t="s">
        <v>323</v>
      </c>
      <c r="B84" s="139">
        <f>+B55/B53</f>
        <v>0.87623370529570554</v>
      </c>
      <c r="D84" s="139">
        <f>+D55/D53</f>
        <v>0.91333045911267874</v>
      </c>
      <c r="E84" s="35"/>
      <c r="F84" s="139" t="e">
        <f>+F55/F53</f>
        <v>#DIV/0!</v>
      </c>
      <c r="H84" s="139">
        <f>+H55/H53</f>
        <v>0.90440152824944875</v>
      </c>
      <c r="J84" s="139" t="e">
        <f>+J55/J53</f>
        <v>#DIV/0!</v>
      </c>
      <c r="L84" s="139">
        <f>+L55/L53</f>
        <v>0.87878575474097631</v>
      </c>
      <c r="M84" s="35"/>
      <c r="N84" s="139" t="e">
        <f>+N55/N53</f>
        <v>#DIV/0!</v>
      </c>
      <c r="P84" s="139">
        <f>+P55/P53</f>
        <v>0.87105734645841726</v>
      </c>
      <c r="R84" s="139">
        <f>+R55/R53</f>
        <v>0.87623370529570554</v>
      </c>
      <c r="T84" s="139">
        <f>+T55/T53</f>
        <v>0.91333045911267874</v>
      </c>
    </row>
    <row r="85" spans="1:21">
      <c r="B85"/>
      <c r="C85"/>
      <c r="D85"/>
      <c r="E85"/>
      <c r="F85"/>
      <c r="G85"/>
      <c r="H85"/>
      <c r="I85" s="46"/>
      <c r="J85"/>
      <c r="K85"/>
      <c r="L85"/>
      <c r="M85"/>
      <c r="N85"/>
      <c r="O85"/>
      <c r="P85"/>
      <c r="Q85"/>
    </row>
    <row r="86" spans="1:21">
      <c r="A86" t="s">
        <v>324</v>
      </c>
      <c r="B86" s="133">
        <f>+B75/B63</f>
        <v>0.64063515725386733</v>
      </c>
      <c r="C86"/>
      <c r="D86" s="133">
        <f>+D75/D63</f>
        <v>0.66970825272830481</v>
      </c>
      <c r="E86"/>
      <c r="F86" s="133" t="e">
        <f>+F75/F63</f>
        <v>#DIV/0!</v>
      </c>
      <c r="G86"/>
      <c r="H86" s="133">
        <f>+H75/H63</f>
        <v>0.65908144160230653</v>
      </c>
      <c r="I86" s="46"/>
      <c r="J86" s="133" t="e">
        <f>+J75/J63</f>
        <v>#DIV/0!</v>
      </c>
      <c r="K86"/>
      <c r="L86" s="133">
        <f>+L75/L63</f>
        <v>0.59858172556673228</v>
      </c>
      <c r="M86"/>
      <c r="N86" s="133" t="e">
        <f>+N75/N63</f>
        <v>#DIV/0!</v>
      </c>
      <c r="O86"/>
      <c r="P86" s="133">
        <f>+P75/P63</f>
        <v>0.65579062329429594</v>
      </c>
      <c r="Q86"/>
      <c r="R86" s="139">
        <f>+R75/R63</f>
        <v>0.64063515725386733</v>
      </c>
      <c r="T86" s="139">
        <f>+T75/T63</f>
        <v>0.66970825272830481</v>
      </c>
    </row>
    <row r="87" spans="1:21">
      <c r="B87"/>
      <c r="C87"/>
      <c r="D87"/>
      <c r="E87"/>
      <c r="F87"/>
      <c r="G87"/>
      <c r="H87"/>
      <c r="I87" s="46"/>
      <c r="J87"/>
      <c r="K87"/>
      <c r="L87"/>
      <c r="M87"/>
      <c r="N87"/>
      <c r="O87"/>
      <c r="P87"/>
      <c r="Q87"/>
    </row>
    <row r="88" spans="1:21">
      <c r="B88"/>
      <c r="C88" s="1303"/>
      <c r="D88"/>
      <c r="E88"/>
      <c r="F88"/>
      <c r="G88"/>
      <c r="H88"/>
      <c r="I88" s="46"/>
      <c r="J88"/>
      <c r="K88"/>
      <c r="L88"/>
      <c r="M88"/>
      <c r="N88"/>
      <c r="O88"/>
      <c r="P88"/>
      <c r="Q88"/>
    </row>
    <row r="89" spans="1:21">
      <c r="B89"/>
      <c r="C89"/>
      <c r="D89"/>
      <c r="E89"/>
      <c r="F89" s="509" t="s">
        <v>0</v>
      </c>
      <c r="G89"/>
      <c r="H89"/>
      <c r="I89" s="46"/>
      <c r="J89" s="133" t="s">
        <v>0</v>
      </c>
      <c r="K89"/>
      <c r="L89"/>
      <c r="M89"/>
      <c r="N89"/>
      <c r="O89"/>
      <c r="P89"/>
      <c r="Q89"/>
    </row>
    <row r="90" spans="1:21">
      <c r="B90"/>
      <c r="C90"/>
      <c r="D90"/>
      <c r="E90"/>
      <c r="F90"/>
      <c r="G90"/>
      <c r="H90"/>
      <c r="I90" s="46"/>
      <c r="J90"/>
      <c r="K90"/>
      <c r="L90"/>
      <c r="M90"/>
      <c r="N90"/>
      <c r="O90"/>
      <c r="P90"/>
      <c r="Q90"/>
    </row>
    <row r="91" spans="1:21">
      <c r="B91"/>
      <c r="C91"/>
      <c r="D91"/>
      <c r="E91"/>
      <c r="F91"/>
      <c r="G91"/>
      <c r="H91"/>
      <c r="I91" s="46"/>
      <c r="J91"/>
      <c r="K91"/>
      <c r="L91"/>
      <c r="M91"/>
      <c r="N91"/>
      <c r="O91"/>
      <c r="P91"/>
      <c r="Q91"/>
    </row>
    <row r="92" spans="1:21">
      <c r="B92"/>
      <c r="C92"/>
      <c r="D92"/>
      <c r="E92"/>
      <c r="F92"/>
      <c r="G92"/>
      <c r="H92"/>
      <c r="I92" s="46"/>
      <c r="J92"/>
      <c r="K92"/>
      <c r="L92"/>
      <c r="M92"/>
      <c r="N92"/>
      <c r="O92"/>
      <c r="P92"/>
      <c r="Q92"/>
    </row>
    <row r="93" spans="1:21">
      <c r="B93"/>
      <c r="C93"/>
      <c r="D93"/>
      <c r="E93"/>
      <c r="F93"/>
      <c r="G93"/>
      <c r="H93"/>
      <c r="I93" s="46"/>
      <c r="J93"/>
      <c r="K93"/>
      <c r="L93"/>
      <c r="M93"/>
      <c r="N93"/>
      <c r="O93"/>
      <c r="P93"/>
      <c r="Q93"/>
    </row>
    <row r="94" spans="1:21">
      <c r="B94"/>
      <c r="C94"/>
      <c r="D94"/>
      <c r="E94"/>
      <c r="F94"/>
      <c r="G94"/>
      <c r="H94"/>
      <c r="I94" s="46"/>
      <c r="J94"/>
      <c r="K94"/>
      <c r="L94"/>
      <c r="M94"/>
      <c r="N94"/>
      <c r="O94"/>
      <c r="P94"/>
      <c r="Q94"/>
    </row>
    <row r="95" spans="1:21">
      <c r="B95"/>
      <c r="C95"/>
      <c r="D95"/>
      <c r="E95"/>
      <c r="F95"/>
      <c r="G95"/>
      <c r="H95"/>
      <c r="I95" s="46"/>
      <c r="J95"/>
      <c r="K95"/>
      <c r="L95"/>
      <c r="M95"/>
      <c r="N95"/>
      <c r="O95"/>
      <c r="P95"/>
      <c r="Q95"/>
    </row>
    <row r="96" spans="1:21">
      <c r="B96"/>
      <c r="C96"/>
      <c r="D96"/>
      <c r="E96"/>
      <c r="F96"/>
      <c r="G96"/>
      <c r="H96"/>
      <c r="I96" s="46"/>
      <c r="J96"/>
      <c r="K96"/>
      <c r="L96"/>
      <c r="M96"/>
      <c r="N96"/>
      <c r="O96"/>
      <c r="P96"/>
      <c r="Q96"/>
    </row>
    <row r="97" spans="2:17">
      <c r="B97"/>
      <c r="C97"/>
      <c r="D97"/>
      <c r="E97"/>
      <c r="F97"/>
      <c r="G97"/>
      <c r="H97"/>
      <c r="I97" s="46"/>
      <c r="J97"/>
      <c r="K97"/>
      <c r="L97"/>
      <c r="M97"/>
      <c r="N97"/>
      <c r="O97"/>
      <c r="P97"/>
      <c r="Q97"/>
    </row>
    <row r="98" spans="2:17">
      <c r="B98"/>
      <c r="C98"/>
      <c r="D98"/>
      <c r="E98"/>
      <c r="F98"/>
      <c r="G98"/>
      <c r="H98"/>
      <c r="I98" s="46"/>
      <c r="J98"/>
      <c r="K98"/>
      <c r="L98"/>
      <c r="M98"/>
      <c r="N98"/>
      <c r="O98"/>
      <c r="P98"/>
      <c r="Q98"/>
    </row>
    <row r="99" spans="2:17">
      <c r="B99"/>
      <c r="C99"/>
      <c r="D99"/>
      <c r="E99"/>
      <c r="F99"/>
      <c r="G99"/>
      <c r="H99"/>
      <c r="I99" s="46"/>
      <c r="J99"/>
      <c r="K99"/>
      <c r="L99"/>
      <c r="M99"/>
      <c r="N99"/>
      <c r="O99"/>
      <c r="P99"/>
      <c r="Q99"/>
    </row>
    <row r="100" spans="2:17">
      <c r="B100"/>
      <c r="C100"/>
      <c r="D100"/>
      <c r="E100"/>
      <c r="F100"/>
      <c r="G100"/>
      <c r="H100"/>
      <c r="I100" s="46"/>
      <c r="J100"/>
      <c r="K100"/>
      <c r="L100"/>
      <c r="M100"/>
      <c r="N100"/>
      <c r="O100"/>
      <c r="P100"/>
      <c r="Q100"/>
    </row>
    <row r="101" spans="2:17">
      <c r="B101"/>
      <c r="C101"/>
      <c r="D101"/>
      <c r="E101"/>
      <c r="F101"/>
      <c r="G101"/>
      <c r="H101"/>
      <c r="I101" s="46"/>
      <c r="J101"/>
      <c r="K101"/>
      <c r="L101"/>
      <c r="M101"/>
      <c r="N101"/>
      <c r="O101"/>
      <c r="P101"/>
      <c r="Q101"/>
    </row>
    <row r="102" spans="2:17">
      <c r="B102"/>
      <c r="C102"/>
      <c r="D102"/>
      <c r="E102"/>
      <c r="F102"/>
      <c r="G102"/>
      <c r="H102"/>
      <c r="I102" s="46"/>
      <c r="J102"/>
      <c r="K102"/>
      <c r="L102"/>
      <c r="M102"/>
      <c r="N102"/>
      <c r="O102"/>
      <c r="P102"/>
      <c r="Q102"/>
    </row>
    <row r="103" spans="2:17">
      <c r="B103"/>
      <c r="C103"/>
      <c r="D103"/>
      <c r="E103"/>
      <c r="F103"/>
      <c r="G103"/>
      <c r="H103"/>
      <c r="I103" s="46"/>
      <c r="J103"/>
      <c r="K103"/>
      <c r="L103"/>
      <c r="M103"/>
      <c r="N103"/>
      <c r="O103"/>
      <c r="P103"/>
      <c r="Q103"/>
    </row>
    <row r="104" spans="2:17">
      <c r="B104"/>
      <c r="C104"/>
      <c r="D104"/>
      <c r="E104"/>
      <c r="F104"/>
      <c r="G104"/>
      <c r="H104"/>
      <c r="I104" s="46"/>
      <c r="J104"/>
      <c r="K104"/>
      <c r="L104"/>
      <c r="M104"/>
      <c r="N104"/>
      <c r="O104"/>
      <c r="P104"/>
      <c r="Q104"/>
    </row>
    <row r="105" spans="2:17">
      <c r="B105"/>
      <c r="C105"/>
      <c r="D105"/>
      <c r="E105"/>
      <c r="F105"/>
      <c r="G105"/>
      <c r="H105"/>
      <c r="I105" s="46"/>
      <c r="J105"/>
      <c r="K105"/>
      <c r="L105"/>
      <c r="M105"/>
      <c r="N105"/>
      <c r="O105"/>
      <c r="P105"/>
      <c r="Q105"/>
    </row>
    <row r="106" spans="2:17">
      <c r="B106"/>
      <c r="C106"/>
      <c r="D106"/>
      <c r="E106"/>
      <c r="F106"/>
      <c r="G106"/>
      <c r="H106"/>
      <c r="I106" s="46"/>
      <c r="J106"/>
      <c r="K106"/>
      <c r="L106"/>
      <c r="M106"/>
      <c r="N106"/>
      <c r="O106"/>
      <c r="P106"/>
      <c r="Q106"/>
    </row>
    <row r="107" spans="2:17">
      <c r="B107"/>
      <c r="C107"/>
      <c r="D107"/>
      <c r="E107"/>
      <c r="F107"/>
      <c r="G107"/>
      <c r="H107"/>
      <c r="I107" s="46"/>
      <c r="J107"/>
      <c r="K107"/>
      <c r="L107"/>
      <c r="M107"/>
      <c r="N107"/>
      <c r="O107"/>
      <c r="P107"/>
      <c r="Q107"/>
    </row>
    <row r="108" spans="2:17">
      <c r="B108"/>
      <c r="C108"/>
      <c r="D108"/>
      <c r="E108"/>
      <c r="F108"/>
      <c r="G108"/>
      <c r="H108"/>
      <c r="I108" s="46"/>
      <c r="J108"/>
      <c r="K108"/>
      <c r="L108"/>
      <c r="M108"/>
      <c r="N108"/>
      <c r="O108"/>
      <c r="P108"/>
      <c r="Q108"/>
    </row>
    <row r="109" spans="2:17">
      <c r="B109"/>
      <c r="C109"/>
      <c r="D109"/>
      <c r="E109"/>
      <c r="F109"/>
      <c r="G109"/>
      <c r="H109"/>
      <c r="I109" s="46"/>
      <c r="J109"/>
      <c r="K109"/>
      <c r="L109"/>
      <c r="M109"/>
      <c r="N109"/>
      <c r="O109"/>
      <c r="P109"/>
      <c r="Q109"/>
    </row>
    <row r="110" spans="2:17">
      <c r="B110"/>
      <c r="C110"/>
      <c r="D110"/>
      <c r="E110"/>
      <c r="F110"/>
      <c r="G110"/>
      <c r="H110"/>
      <c r="I110" s="46"/>
      <c r="J110"/>
      <c r="K110"/>
      <c r="L110"/>
      <c r="M110"/>
      <c r="N110"/>
      <c r="O110"/>
      <c r="P110"/>
      <c r="Q110"/>
    </row>
    <row r="111" spans="2:17">
      <c r="B111"/>
      <c r="C111"/>
      <c r="D111"/>
      <c r="E111"/>
      <c r="F111"/>
      <c r="G111"/>
      <c r="H111"/>
      <c r="I111" s="46"/>
      <c r="J111"/>
      <c r="K111"/>
      <c r="L111"/>
      <c r="M111"/>
      <c r="N111"/>
      <c r="O111"/>
      <c r="P111"/>
      <c r="Q111"/>
    </row>
    <row r="112" spans="2:17">
      <c r="B112"/>
      <c r="C112"/>
      <c r="D112"/>
      <c r="E112"/>
      <c r="F112"/>
      <c r="G112"/>
      <c r="H112"/>
      <c r="I112" s="46"/>
      <c r="J112"/>
      <c r="K112"/>
      <c r="L112"/>
      <c r="M112"/>
      <c r="N112"/>
      <c r="O112"/>
      <c r="P112"/>
      <c r="Q112"/>
    </row>
    <row r="113" spans="2:17">
      <c r="B113"/>
      <c r="C113"/>
      <c r="D113"/>
      <c r="E113"/>
      <c r="F113"/>
      <c r="G113"/>
      <c r="H113"/>
      <c r="I113" s="46"/>
      <c r="J113"/>
      <c r="K113"/>
      <c r="L113"/>
      <c r="M113"/>
      <c r="N113"/>
      <c r="O113"/>
      <c r="P113"/>
      <c r="Q113"/>
    </row>
    <row r="114" spans="2:17">
      <c r="B114"/>
      <c r="C114"/>
      <c r="D114"/>
      <c r="E114"/>
      <c r="F114"/>
      <c r="G114"/>
      <c r="H114"/>
      <c r="I114" s="46"/>
      <c r="J114"/>
      <c r="K114"/>
      <c r="L114"/>
      <c r="M114"/>
      <c r="N114"/>
      <c r="O114"/>
      <c r="P114"/>
      <c r="Q114"/>
    </row>
    <row r="115" spans="2:17">
      <c r="B115"/>
      <c r="C115"/>
      <c r="D115"/>
      <c r="E115"/>
      <c r="F115"/>
      <c r="G115"/>
      <c r="H115"/>
      <c r="I115" s="46"/>
      <c r="J115"/>
      <c r="K115"/>
      <c r="L115"/>
      <c r="M115"/>
      <c r="N115"/>
      <c r="O115"/>
      <c r="P115"/>
      <c r="Q115"/>
    </row>
    <row r="116" spans="2:17">
      <c r="B116"/>
      <c r="C116"/>
      <c r="D116"/>
      <c r="E116"/>
      <c r="F116"/>
      <c r="G116"/>
      <c r="H116"/>
      <c r="I116" s="46"/>
      <c r="J116"/>
      <c r="K116"/>
      <c r="L116"/>
      <c r="M116"/>
      <c r="N116"/>
      <c r="O116"/>
      <c r="P116"/>
      <c r="Q116"/>
    </row>
    <row r="117" spans="2:17">
      <c r="B117"/>
      <c r="C117"/>
      <c r="D117"/>
      <c r="E117"/>
      <c r="F117"/>
      <c r="G117"/>
      <c r="H117"/>
      <c r="I117" s="46"/>
      <c r="J117"/>
      <c r="K117"/>
      <c r="L117"/>
      <c r="M117"/>
      <c r="N117"/>
      <c r="O117"/>
      <c r="P117"/>
      <c r="Q117"/>
    </row>
    <row r="118" spans="2:17">
      <c r="B118"/>
      <c r="C118"/>
      <c r="D118"/>
      <c r="E118"/>
      <c r="F118"/>
      <c r="G118"/>
      <c r="H118"/>
      <c r="I118" s="46"/>
      <c r="J118"/>
      <c r="K118"/>
      <c r="L118"/>
      <c r="M118"/>
      <c r="N118"/>
      <c r="O118"/>
      <c r="P118"/>
      <c r="Q118"/>
    </row>
    <row r="119" spans="2:17">
      <c r="B119"/>
      <c r="C119"/>
      <c r="D119"/>
      <c r="E119"/>
      <c r="F119"/>
      <c r="G119"/>
      <c r="H119"/>
      <c r="I119" s="46"/>
      <c r="J119"/>
      <c r="K119"/>
      <c r="L119"/>
      <c r="M119"/>
      <c r="N119"/>
      <c r="O119"/>
      <c r="P119"/>
      <c r="Q119"/>
    </row>
    <row r="120" spans="2:17">
      <c r="B120"/>
      <c r="C120"/>
      <c r="D120"/>
      <c r="E120"/>
      <c r="F120"/>
      <c r="G120"/>
      <c r="H120"/>
      <c r="I120" s="46"/>
      <c r="J120"/>
      <c r="K120"/>
      <c r="L120"/>
      <c r="M120"/>
      <c r="N120"/>
      <c r="O120"/>
      <c r="P120"/>
      <c r="Q120"/>
    </row>
    <row r="121" spans="2:17">
      <c r="B121"/>
      <c r="C121"/>
      <c r="D121"/>
      <c r="E121"/>
      <c r="F121"/>
      <c r="G121"/>
      <c r="H121"/>
      <c r="I121" s="46"/>
      <c r="J121"/>
      <c r="K121"/>
      <c r="L121"/>
      <c r="M121"/>
      <c r="N121"/>
      <c r="O121"/>
      <c r="P121"/>
      <c r="Q121"/>
    </row>
    <row r="122" spans="2:17">
      <c r="B122"/>
      <c r="C122"/>
      <c r="D122"/>
      <c r="E122"/>
      <c r="F122"/>
      <c r="G122"/>
      <c r="H122"/>
      <c r="I122" s="46"/>
      <c r="J122"/>
      <c r="K122"/>
      <c r="L122"/>
      <c r="M122"/>
      <c r="N122"/>
      <c r="O122"/>
      <c r="P122"/>
      <c r="Q122"/>
    </row>
  </sheetData>
  <phoneticPr fontId="0" type="noConversion"/>
  <pageMargins left="0.22" right="0.25" top="0.48" bottom="0.48" header="0.31" footer="0.22"/>
  <pageSetup scale="44" orientation="landscape" r:id="rId1"/>
  <headerFooter alignWithMargins="0">
    <oddFooter>&amp;R&amp;16&amp;P</oddFooter>
  </headerFooter>
</worksheet>
</file>

<file path=xl/worksheets/sheet37.xml><?xml version="1.0" encoding="utf-8"?>
<worksheet xmlns="http://schemas.openxmlformats.org/spreadsheetml/2006/main" xmlns:r="http://schemas.openxmlformats.org/officeDocument/2006/relationships">
  <dimension ref="A1:W78"/>
  <sheetViews>
    <sheetView workbookViewId="0">
      <selection activeCell="J41" sqref="J41"/>
    </sheetView>
  </sheetViews>
  <sheetFormatPr baseColWidth="10" defaultColWidth="9" defaultRowHeight="15.75"/>
  <cols>
    <col min="1" max="1" width="50.75" customWidth="1"/>
    <col min="2" max="2" width="15.75" customWidth="1"/>
    <col min="4" max="4" width="15.75" customWidth="1"/>
    <col min="5" max="5" width="5.5" customWidth="1"/>
    <col min="6" max="6" width="16" customWidth="1"/>
    <col min="7" max="7" width="10" customWidth="1"/>
    <col min="8" max="8" width="16" customWidth="1"/>
    <col min="9" max="9" width="9.75" customWidth="1"/>
    <col min="10" max="10" width="15.875" customWidth="1"/>
    <col min="11" max="11" width="9.75" customWidth="1"/>
    <col min="12" max="12" width="15.875" customWidth="1"/>
    <col min="23" max="23" width="65.375" customWidth="1"/>
  </cols>
  <sheetData>
    <row r="1" spans="1:23">
      <c r="A1" s="111" t="s">
        <v>0</v>
      </c>
      <c r="B1" s="39"/>
      <c r="C1" s="39"/>
      <c r="D1" s="39"/>
      <c r="E1" s="39"/>
      <c r="F1" s="39"/>
      <c r="G1" s="39"/>
      <c r="H1" s="39"/>
      <c r="I1" s="39"/>
      <c r="J1" s="39"/>
      <c r="K1" s="39"/>
      <c r="L1" s="39"/>
    </row>
    <row r="2" spans="1:23">
      <c r="A2" s="111" t="s">
        <v>193</v>
      </c>
      <c r="B2" s="39"/>
      <c r="C2" s="39"/>
      <c r="D2" s="39"/>
      <c r="E2" s="39"/>
      <c r="F2" s="39"/>
      <c r="G2" s="39"/>
      <c r="H2" s="39"/>
      <c r="I2" s="39"/>
      <c r="J2" s="39"/>
      <c r="K2" s="39"/>
      <c r="L2" s="39"/>
    </row>
    <row r="3" spans="1:23">
      <c r="A3" s="111" t="s">
        <v>325</v>
      </c>
      <c r="B3" s="39"/>
      <c r="C3" s="39"/>
      <c r="D3" s="39"/>
      <c r="E3" s="39"/>
      <c r="F3" s="39"/>
      <c r="G3" s="39"/>
      <c r="H3" s="39"/>
      <c r="I3" s="39"/>
      <c r="J3" s="39"/>
      <c r="K3" s="39"/>
      <c r="L3" s="39"/>
    </row>
    <row r="4" spans="1:23">
      <c r="A4" s="111" t="s">
        <v>198</v>
      </c>
      <c r="B4" s="39"/>
      <c r="C4" s="39"/>
      <c r="D4" s="39"/>
      <c r="E4" s="39"/>
      <c r="F4" s="39"/>
      <c r="G4" s="39"/>
      <c r="H4" s="39"/>
      <c r="I4" s="39"/>
      <c r="J4" s="39"/>
      <c r="K4" s="39"/>
      <c r="L4" s="39"/>
    </row>
    <row r="5" spans="1:23">
      <c r="A5" s="39"/>
      <c r="B5" s="39"/>
      <c r="C5" s="39"/>
      <c r="D5" s="39"/>
      <c r="E5" s="39"/>
      <c r="F5" s="39"/>
      <c r="G5" s="39"/>
      <c r="H5" s="39"/>
      <c r="I5" s="39"/>
      <c r="J5" s="39"/>
      <c r="K5" s="39"/>
      <c r="L5" s="39"/>
    </row>
    <row r="6" spans="1:23">
      <c r="A6" s="39"/>
      <c r="B6" s="39"/>
      <c r="C6" s="39"/>
      <c r="D6" s="39"/>
      <c r="E6" s="39"/>
      <c r="F6" s="39"/>
      <c r="G6" s="39"/>
      <c r="H6" s="39"/>
      <c r="I6" s="39"/>
      <c r="J6" s="39"/>
      <c r="K6" s="39"/>
      <c r="L6" s="39"/>
    </row>
    <row r="8" spans="1:23" ht="15.75" customHeight="1" thickBot="1">
      <c r="B8" s="111" t="s">
        <v>992</v>
      </c>
      <c r="C8" s="39"/>
      <c r="D8" s="39"/>
      <c r="E8" s="11"/>
      <c r="F8" s="111" t="s">
        <v>214</v>
      </c>
      <c r="G8" s="111"/>
      <c r="H8" s="111"/>
      <c r="I8" s="111"/>
      <c r="J8" s="111"/>
      <c r="K8" s="111"/>
      <c r="L8" s="111"/>
    </row>
    <row r="9" spans="1:23" ht="15.75" customHeight="1" thickBot="1">
      <c r="B9" s="223" t="str">
        <f>+somfinrésys!B46</f>
        <v xml:space="preserve"> 2015</v>
      </c>
      <c r="C9" s="203" t="s">
        <v>196</v>
      </c>
      <c r="D9" s="223" t="str">
        <f>+somfinrésys!D46</f>
        <v xml:space="preserve"> 2014</v>
      </c>
      <c r="E9" s="11"/>
      <c r="F9" s="203" t="str">
        <f>+somfinbilsys!J7</f>
        <v>2014</v>
      </c>
      <c r="G9" s="203" t="str">
        <f>+somfinbilsys!K7</f>
        <v>Var.</v>
      </c>
      <c r="H9" s="203" t="str">
        <f>+somfinbilsys!L7</f>
        <v>2013</v>
      </c>
      <c r="I9" s="203" t="str">
        <f>+somfinbilsys!M7</f>
        <v>Var.</v>
      </c>
      <c r="J9" s="203" t="str">
        <f>+somfinbilsys!N7</f>
        <v>2012</v>
      </c>
      <c r="K9" s="203" t="str">
        <f>+somfinbilsys!O7</f>
        <v>Var.</v>
      </c>
      <c r="L9" s="203" t="str">
        <f>+somfinbilsys!P7</f>
        <v>2011</v>
      </c>
      <c r="W9" s="666" t="s">
        <v>0</v>
      </c>
    </row>
    <row r="10" spans="1:23">
      <c r="A10" t="s">
        <v>300</v>
      </c>
      <c r="W10" t="s">
        <v>0</v>
      </c>
    </row>
    <row r="11" spans="1:23">
      <c r="A11" t="s">
        <v>301</v>
      </c>
      <c r="B11" s="24" t="s">
        <v>0</v>
      </c>
      <c r="C11" s="52" t="s">
        <v>0</v>
      </c>
      <c r="D11" s="24" t="s">
        <v>0</v>
      </c>
      <c r="E11" s="49" t="s">
        <v>0</v>
      </c>
      <c r="F11" s="24" t="s">
        <v>0</v>
      </c>
      <c r="G11" s="52" t="s">
        <v>0</v>
      </c>
      <c r="H11" s="24" t="s">
        <v>0</v>
      </c>
      <c r="J11" s="24" t="s">
        <v>0</v>
      </c>
      <c r="M11" s="48"/>
      <c r="N11" s="48"/>
    </row>
    <row r="12" spans="1:23">
      <c r="A12" t="s">
        <v>302</v>
      </c>
      <c r="B12" s="24">
        <f>+somfinrésys!R50</f>
        <v>1477519.7090699999</v>
      </c>
      <c r="C12" s="51">
        <f t="shared" ref="C12:C17" si="0">+(B12-D12)/ABS(D12)</f>
        <v>0.19187592991003885</v>
      </c>
      <c r="D12" s="87">
        <f>+somfinrésys!T50</f>
        <v>1239658.9879799997</v>
      </c>
      <c r="E12" s="49"/>
      <c r="F12" s="81">
        <f>+'UNIBKVARAN     '!F12+'SGBELVARAN         '!F12+'SOGEBKVARAN '!F12+'SCOTIAVARAN            '!F12+'CBNAVARAN           '!F13+'CAPITALBKVARAN        '!F12+BUHVARAN!F11+'BPHVARAN    '!F12+'BNCVARAN '!F12</f>
        <v>5289543.3338900004</v>
      </c>
      <c r="G12" s="51">
        <f t="shared" ref="G12:G17" si="1">+(F12-H12)/ABS(H12)</f>
        <v>0.17833118100384621</v>
      </c>
      <c r="H12" s="81">
        <f>+'UNIBKVARAN     '!H12+'SGBELVARAN         '!H12+'SOGEBKVARAN '!H12+'SCOTIAVARAN            '!H12+'CBNAVARAN           '!H13+'CAPITALBKVARAN        '!H12+BUHVARAN!H11+'BPHVARAN    '!H12+'BNCVARAN '!H12</f>
        <v>4489012.4433300002</v>
      </c>
      <c r="I12" s="51">
        <f t="shared" ref="I12:I17" si="2">+(H12-J12)/ABS(J12)</f>
        <v>0.1938386806843376</v>
      </c>
      <c r="J12" s="81">
        <f>+'UNIBKVARAN     '!J12+'SGBELVARAN         '!J12+'SOGEBKVARAN '!J12+'SCOTIAVARAN            '!J12+'CBNAVARAN           '!J13+'CAPITALBKVARAN        '!J12+BUHVARAN!J11+'BPHVARAN    '!J12+'BNCVARAN '!J12</f>
        <v>3760149.93982</v>
      </c>
      <c r="K12" s="51">
        <f t="shared" ref="K12:K17" si="3">+(J12-L12)/ABS(L12)</f>
        <v>0.15738778959827393</v>
      </c>
      <c r="L12" s="81">
        <f>+'UNIBKVARAN     '!L12+'SGBELVARAN         '!L12+'SOGEBKVARAN '!L12+'SCOTIAVARAN            '!L12+'CBNAVARAN           '!L13+'CAPITALBKVARAN        '!L12+BUHVARAN!L11+'BPHVARAN    '!L12+'BNCVARAN '!L12</f>
        <v>3248824.6148899994</v>
      </c>
      <c r="M12" s="48"/>
      <c r="N12" s="48"/>
    </row>
    <row r="13" spans="1:23">
      <c r="A13" t="s">
        <v>322</v>
      </c>
      <c r="B13" s="24">
        <f>+somfinrésys!R51</f>
        <v>92337.638779999994</v>
      </c>
      <c r="C13" s="52">
        <f t="shared" si="0"/>
        <v>0.87414437240677156</v>
      </c>
      <c r="D13" s="87">
        <f>+somfinrésys!T51</f>
        <v>49269.223940000003</v>
      </c>
      <c r="E13" s="49"/>
      <c r="F13" s="81">
        <f>+'UNIBKVARAN     '!F13+'SGBELVARAN         '!F13+'SOGEBKVARAN '!F13+'SCOTIAVARAN            '!F13+'CBNAVARAN           '!F14+'CAPITALBKVARAN        '!F13+BUHVARAN!F12+'BPHVARAN    '!F13+'BNCVARAN '!F13</f>
        <v>154531.61236999999</v>
      </c>
      <c r="G13" s="51">
        <f t="shared" si="1"/>
        <v>-0.16734593556427385</v>
      </c>
      <c r="H13" s="81">
        <f>+'UNIBKVARAN     '!H13+'SGBELVARAN         '!H13+'SOGEBKVARAN '!H13+'SCOTIAVARAN            '!H13+'CBNAVARAN           '!H14+'CAPITALBKVARAN        '!H13+BUHVARAN!H12+'BPHVARAN    '!H13+'BNCVARAN '!H13</f>
        <v>185589.21282000002</v>
      </c>
      <c r="I13" s="51">
        <f t="shared" si="2"/>
        <v>3.2461929459588834</v>
      </c>
      <c r="J13" s="81">
        <f>+'UNIBKVARAN     '!J13+'SGBELVARAN         '!J13+'SOGEBKVARAN '!J13+'SCOTIAVARAN            '!J13+'CBNAVARAN           '!J14+'CAPITALBKVARAN        '!J13+BUHVARAN!J12+'BPHVARAN    '!J13+'BNCVARAN '!J13</f>
        <v>43707.202000000005</v>
      </c>
      <c r="K13" s="51">
        <f t="shared" si="3"/>
        <v>-0.25651457563394836</v>
      </c>
      <c r="L13" s="81">
        <f>+'UNIBKVARAN     '!L13+'SGBELVARAN         '!L13+'SOGEBKVARAN '!L13+'SCOTIAVARAN            '!L13+'CBNAVARAN           '!L14+'CAPITALBKVARAN        '!L13+BUHVARAN!L12+'BPHVARAN    '!L13+'BNCVARAN '!L13</f>
        <v>58786.898260000002</v>
      </c>
      <c r="M13" s="48"/>
      <c r="N13" s="48"/>
    </row>
    <row r="14" spans="1:23">
      <c r="A14" t="s">
        <v>304</v>
      </c>
      <c r="B14" s="224">
        <f>+somfinrésys!R52</f>
        <v>192171.182785432</v>
      </c>
      <c r="C14" s="51">
        <f t="shared" si="0"/>
        <v>0.49532070197390055</v>
      </c>
      <c r="D14" s="199">
        <f>+somfinrésys!T52</f>
        <v>128515.0286034</v>
      </c>
      <c r="E14" s="49"/>
      <c r="F14" s="217">
        <f>+'UNIBKVARAN     '!F14+'SGBELVARAN         '!F14+'SOGEBKVARAN '!F14+'SCOTIAVARAN            '!F14+'CBNAVARAN           '!F15+'CAPITALBKVARAN        '!F14+BUHVARAN!F13+'BPHVARAN    '!F14+'BNCVARAN '!F14</f>
        <v>624466.019770429</v>
      </c>
      <c r="G14" s="51">
        <f t="shared" si="1"/>
        <v>0.10153395978828889</v>
      </c>
      <c r="H14" s="217">
        <f>+'UNIBKVARAN     '!H14+'SGBELVARAN         '!H14+'SOGEBKVARAN '!H14+'SCOTIAVARAN            '!H14+'CBNAVARAN           '!H15+'CAPITALBKVARAN        '!H14+BUHVARAN!H13+'BPHVARAN    '!H14+'BNCVARAN '!H14</f>
        <v>566905.82639000006</v>
      </c>
      <c r="I14" s="51">
        <f t="shared" si="2"/>
        <v>0.11219175849892567</v>
      </c>
      <c r="J14" s="217">
        <f>+'UNIBKVARAN     '!J14+'SGBELVARAN         '!J14+'SOGEBKVARAN '!J14+'SCOTIAVARAN            '!J14+'CBNAVARAN           '!J15+'CAPITALBKVARAN        '!J14+BUHVARAN!J13+'BPHVARAN    '!J14+'BNCVARAN '!J14</f>
        <v>509719.49941000005</v>
      </c>
      <c r="K14" s="51">
        <f t="shared" si="3"/>
        <v>-1.2037008311298581E-2</v>
      </c>
      <c r="L14" s="217">
        <f>+'UNIBKVARAN     '!L14+'SGBELVARAN         '!L14+'SOGEBKVARAN '!L14+'SCOTIAVARAN            '!L14+'CBNAVARAN           '!L15+'CAPITALBKVARAN        '!L14+BUHVARAN!L13+'BPHVARAN    '!L14+'BNCVARAN '!L14</f>
        <v>515929.75009999995</v>
      </c>
      <c r="M14" s="48"/>
      <c r="N14" s="48"/>
    </row>
    <row r="15" spans="1:23">
      <c r="B15" s="24">
        <f>SUM(B12:B14)</f>
        <v>1762028.5306354319</v>
      </c>
      <c r="C15" s="51">
        <f t="shared" si="0"/>
        <v>0.24310341342824551</v>
      </c>
      <c r="D15" s="24">
        <f>SUM(D12:D14)</f>
        <v>1417443.2405233998</v>
      </c>
      <c r="E15" s="49"/>
      <c r="F15" s="24">
        <f>SUM(F12:F14)</f>
        <v>6068540.96603043</v>
      </c>
      <c r="G15" s="51">
        <f t="shared" si="1"/>
        <v>0.15778542456447181</v>
      </c>
      <c r="H15" s="24">
        <f>SUM(H12:H14)</f>
        <v>5241507.4825400002</v>
      </c>
      <c r="I15" s="51">
        <f t="shared" si="2"/>
        <v>0.2151186633478718</v>
      </c>
      <c r="J15" s="24">
        <f>SUM(J12:J14)</f>
        <v>4313576.6412300002</v>
      </c>
      <c r="K15" s="51">
        <f t="shared" si="3"/>
        <v>0.12816270160073337</v>
      </c>
      <c r="L15" s="24">
        <f>SUM(L12:L14)</f>
        <v>3823541.2632499994</v>
      </c>
      <c r="M15" s="48"/>
      <c r="N15" s="48"/>
    </row>
    <row r="16" spans="1:23">
      <c r="A16" t="s">
        <v>305</v>
      </c>
      <c r="B16" s="224">
        <f>+somfinrésys!R54</f>
        <v>218079.74239999999</v>
      </c>
      <c r="C16" s="51">
        <f t="shared" si="0"/>
        <v>0.77518309015043807</v>
      </c>
      <c r="D16" s="199">
        <f>+somfinrésys!T54</f>
        <v>122849.15488999999</v>
      </c>
      <c r="E16" s="49" t="s">
        <v>0</v>
      </c>
      <c r="F16" s="217">
        <f>+'UNIBKVARAN     '!F16+'SGBELVARAN         '!F16+'SOGEBKVARAN '!F16+'SCOTIAVARAN            '!F16+'CBNAVARAN           '!F17+'CAPITALBKVARAN        '!F16+BUHVARAN!F15+'BPHVARAN    '!F16+'BNCVARAN '!F16</f>
        <v>663789.53438000008</v>
      </c>
      <c r="G16" s="51">
        <f t="shared" si="1"/>
        <v>0.79787447590984129</v>
      </c>
      <c r="H16" s="217">
        <f>+'UNIBKVARAN     '!H16+'SGBELVARAN         '!H16+'SOGEBKVARAN '!H16+'SCOTIAVARAN            '!H16+'CBNAVARAN           '!H17+'CAPITALBKVARAN        '!H16+BUHVARAN!H15+'BPHVARAN    '!H16+'BNCVARAN '!H16</f>
        <v>369207.94153000001</v>
      </c>
      <c r="I16" s="51">
        <f t="shared" si="2"/>
        <v>0.13189585860197492</v>
      </c>
      <c r="J16" s="217">
        <f>+'UNIBKVARAN     '!J16+'SGBELVARAN         '!J16+'SOGEBKVARAN '!J16+'SCOTIAVARAN            '!J16+'CBNAVARAN           '!J17+'CAPITALBKVARAN        '!J16+BUHVARAN!J15+'BPHVARAN    '!J16+'BNCVARAN '!J16</f>
        <v>326185.43368999992</v>
      </c>
      <c r="K16" s="51">
        <f t="shared" si="3"/>
        <v>-1.3173126508163931E-2</v>
      </c>
      <c r="L16" s="217">
        <f>+'UNIBKVARAN     '!L16+'SGBELVARAN         '!L16+'SOGEBKVARAN '!L16+'SCOTIAVARAN            '!L16+'CBNAVARAN           '!L17+'CAPITALBKVARAN        '!L16+BUHVARAN!L15+'BPHVARAN    '!L16+'BNCVARAN '!L16</f>
        <v>330539.67463999998</v>
      </c>
      <c r="M16" s="48"/>
      <c r="N16" s="48"/>
    </row>
    <row r="17" spans="1:14" s="187" customFormat="1">
      <c r="B17" s="24">
        <f>+B15-B16</f>
        <v>1543948.788235432</v>
      </c>
      <c r="C17" s="51">
        <f t="shared" si="0"/>
        <v>0.19261226771326667</v>
      </c>
      <c r="D17" s="24">
        <f>+D15-D16</f>
        <v>1294594.0856333999</v>
      </c>
      <c r="E17" s="49" t="s">
        <v>0</v>
      </c>
      <c r="F17" s="24">
        <f>+F15-F16</f>
        <v>5404751.43165043</v>
      </c>
      <c r="G17" s="51">
        <f t="shared" si="1"/>
        <v>0.10928143603626962</v>
      </c>
      <c r="H17" s="24">
        <f>+H15-H16</f>
        <v>4872299.5410099998</v>
      </c>
      <c r="I17" s="51">
        <f t="shared" si="2"/>
        <v>0.22192664010410429</v>
      </c>
      <c r="J17" s="24">
        <f>+J15-J16</f>
        <v>3987391.2075400003</v>
      </c>
      <c r="K17" s="51">
        <f t="shared" si="3"/>
        <v>0.14153718696896944</v>
      </c>
      <c r="L17" s="24">
        <f>+L15-L16</f>
        <v>3493001.5886099995</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4">
        <f>+somfinrésys!R58</f>
        <v>697013.59956999996</v>
      </c>
      <c r="C20" s="51">
        <f>+(B20-D20)/ABS(D20)</f>
        <v>0.13932455924622714</v>
      </c>
      <c r="D20" s="87">
        <f>+somfinrésys!T58</f>
        <v>611777.91166999994</v>
      </c>
      <c r="E20" s="49" t="s">
        <v>0</v>
      </c>
      <c r="F20" s="81">
        <f>+'UNIBKVARAN     '!F20+'SGBELVARAN         '!F20+'SOGEBKVARAN '!F20+'SCOTIAVARAN            '!F20+'CBNAVARAN           '!F21+'CAPITALBKVARAN        '!F20+BUHVARAN!F19+'BPHVARAN    '!F20+'BNCVARAN '!F20</f>
        <v>2971905.9005199997</v>
      </c>
      <c r="G20" s="51">
        <f>+(F20-H20)/ABS(H20)</f>
        <v>0.12261243413868107</v>
      </c>
      <c r="H20" s="81">
        <f>+'UNIBKVARAN     '!H20+'SGBELVARAN         '!H20+'SOGEBKVARAN '!H20+'SCOTIAVARAN            '!H20+'CBNAVARAN           '!H21+'CAPITALBKVARAN        '!H20+BUHVARAN!H19+'BPHVARAN    '!H20+'BNCVARAN '!H20</f>
        <v>2647312.4741400001</v>
      </c>
      <c r="I20" s="51">
        <f>+(H20-J20)/ABS(J20)</f>
        <v>0.20231186513784838</v>
      </c>
      <c r="J20" s="81">
        <f>+'UNIBKVARAN     '!J20+'SGBELVARAN         '!J20+'SOGEBKVARAN '!J20+'SCOTIAVARAN            '!J20+'CBNAVARAN           '!J21+'CAPITALBKVARAN        '!J20+BUHVARAN!J19+'BPHVARAN    '!J20+'BNCVARAN '!J20</f>
        <v>2201851.7415499999</v>
      </c>
      <c r="K20" s="51">
        <f>+(J20-L20)/ABS(L20)</f>
        <v>0.2422607664347779</v>
      </c>
      <c r="L20" s="81">
        <f>+'UNIBKVARAN     '!L20+'SGBELVARAN         '!L20+'SOGEBKVARAN '!L20+'SCOTIAVARAN            '!L20+'CBNAVARAN           '!L21+'CAPITALBKVARAN        '!L20+BUHVARAN!L19+'BPHVARAN    '!L20+'BNCVARAN '!L20</f>
        <v>1772455.34999</v>
      </c>
      <c r="M20" s="48"/>
      <c r="N20" s="48"/>
    </row>
    <row r="21" spans="1:14">
      <c r="A21" t="s">
        <v>308</v>
      </c>
      <c r="B21" s="24">
        <f>+somfinrésys!R59</f>
        <v>249143.51832999999</v>
      </c>
      <c r="C21" s="51">
        <f>+(B21-D21)/ABS(D21)</f>
        <v>0.16843467432505985</v>
      </c>
      <c r="D21" s="87">
        <f>+somfinrésys!T59</f>
        <v>213228.45324999999</v>
      </c>
      <c r="E21" s="49" t="s">
        <v>0</v>
      </c>
      <c r="F21" s="81">
        <f>+'UNIBKVARAN     '!F21+'SGBELVARAN         '!F21+'SOGEBKVARAN '!F21+'SCOTIAVARAN            '!F21+'CBNAVARAN           '!F22+'CAPITALBKVARAN        '!F21+BUHVARAN!F20+'BPHVARAN    '!F21+'BNCVARAN '!F21</f>
        <v>914947.08691000019</v>
      </c>
      <c r="G21" s="51">
        <f>+(F21-H21)/ABS(H21)</f>
        <v>0.1219239320578319</v>
      </c>
      <c r="H21" s="81">
        <f>+'UNIBKVARAN     '!H21+'SGBELVARAN         '!H21+'SOGEBKVARAN '!H21+'SCOTIAVARAN            '!H21+'CBNAVARAN           '!H22+'CAPITALBKVARAN        '!H21+BUHVARAN!H20+'BPHVARAN    '!H21+'BNCVARAN '!H21</f>
        <v>815516.15110999998</v>
      </c>
      <c r="I21" s="51">
        <f>+(H21-J21)/ABS(J21)</f>
        <v>8.381430434310716E-2</v>
      </c>
      <c r="J21" s="81">
        <f>+'UNIBKVARAN     '!J21+'SGBELVARAN         '!J21+'SOGEBKVARAN '!J21+'SCOTIAVARAN            '!J21+'CBNAVARAN           '!J22+'CAPITALBKVARAN        '!J21+BUHVARAN!J20+'BPHVARAN    '!J21+'BNCVARAN '!J21</f>
        <v>752450.07179000007</v>
      </c>
      <c r="K21" s="51">
        <f>+(J21-L21)/ABS(L21)</f>
        <v>-7.46318449261235E-2</v>
      </c>
      <c r="L21" s="81">
        <f>+'UNIBKVARAN     '!L21+'SGBELVARAN         '!L21+'SOGEBKVARAN '!L21+'SCOTIAVARAN            '!L21+'CBNAVARAN           '!L22+'CAPITALBKVARAN        '!L21+BUHVARAN!L20+'BPHVARAN    '!L21+'BNCVARAN '!L21</f>
        <v>813135.90451999987</v>
      </c>
      <c r="M21" s="48"/>
      <c r="N21" s="48"/>
    </row>
    <row r="22" spans="1:14">
      <c r="A22" t="s">
        <v>274</v>
      </c>
      <c r="B22" s="224">
        <f>+somfinrésys!R60</f>
        <v>320178.69922000001</v>
      </c>
      <c r="C22" s="51">
        <f>+(B22-D22)/ABS(D22)</f>
        <v>0.19820309325533908</v>
      </c>
      <c r="D22" s="199">
        <f>+somfinrésys!T60</f>
        <v>267215.71745414397</v>
      </c>
      <c r="E22" s="49" t="s">
        <v>0</v>
      </c>
      <c r="F22" s="217">
        <f>+'UNIBKVARAN     '!F22+'SGBELVARAN         '!F22+'SOGEBKVARAN '!F22+'SCOTIAVARAN            '!F22+'CBNAVARAN           '!F23+'CAPITALBKVARAN        '!F22+BUHVARAN!F21+'BPHVARAN    '!F22+'BNCVARAN '!F22</f>
        <v>1537767.3415482598</v>
      </c>
      <c r="G22" s="51">
        <f>+(F22-H22)/ABS(H22)</f>
        <v>0.20692367623384161</v>
      </c>
      <c r="H22" s="217">
        <f>+'UNIBKVARAN     '!H22+'SGBELVARAN         '!H22+'SOGEBKVARAN '!H22+'SCOTIAVARAN            '!H22+'CBNAVARAN           '!H23+'CAPITALBKVARAN        '!H22+BUHVARAN!H21+'BPHVARAN    '!H22+'BNCVARAN '!H22</f>
        <v>1274121.4476352001</v>
      </c>
      <c r="I22" s="51">
        <f>+(H22-J22)/ABS(J22)</f>
        <v>-1.1680269381418012E-2</v>
      </c>
      <c r="J22" s="217">
        <f>+'UNIBKVARAN     '!J22+'SGBELVARAN         '!J22+'SOGEBKVARAN '!J22+'SCOTIAVARAN            '!J22+'CBNAVARAN           '!J23+'CAPITALBKVARAN        '!J22+BUHVARAN!J21+'BPHVARAN    '!J22+'BNCVARAN '!J22</f>
        <v>1289179.4104300002</v>
      </c>
      <c r="K22" s="51">
        <f>+(J22-L22)/ABS(L22)</f>
        <v>-0.12283736863259732</v>
      </c>
      <c r="L22" s="217">
        <f>+'UNIBKVARAN     '!L22+'SGBELVARAN         '!L22+'SOGEBKVARAN '!L22+'SCOTIAVARAN            '!L22+'CBNAVARAN           '!L23+'CAPITALBKVARAN        '!L22+BUHVARAN!L21+'BPHVARAN    '!L22+'BNCVARAN '!L22</f>
        <v>1469715.3803967999</v>
      </c>
      <c r="M22" s="48"/>
      <c r="N22" s="48"/>
    </row>
    <row r="23" spans="1:14" s="187" customFormat="1">
      <c r="B23" s="24">
        <f>SUM(B20:B22)</f>
        <v>1266335.81712</v>
      </c>
      <c r="C23" s="51">
        <f>+(B23-D23)/ABS(D23)</f>
        <v>0.15941239199942578</v>
      </c>
      <c r="D23" s="24">
        <f>SUM(D20:D22)</f>
        <v>1092222.0823741439</v>
      </c>
      <c r="E23" s="49" t="s">
        <v>0</v>
      </c>
      <c r="F23" s="24">
        <f>SUM(F20:F22)</f>
        <v>5424620.3289782591</v>
      </c>
      <c r="G23" s="51">
        <f>+(F23-H23)/ABS(H23)</f>
        <v>0.14517152292344299</v>
      </c>
      <c r="H23" s="24">
        <f>SUM(H20:H22)</f>
        <v>4736950.0728852004</v>
      </c>
      <c r="I23" s="51">
        <f>+(H23-J23)/ABS(J23)</f>
        <v>0.11628868447703228</v>
      </c>
      <c r="J23" s="24">
        <f>SUM(J20:J22)</f>
        <v>4243481.22377</v>
      </c>
      <c r="K23" s="51">
        <f>+(J23-L23)/ABS(L23)</f>
        <v>4.640206174385262E-2</v>
      </c>
      <c r="L23" s="24">
        <f>SUM(L20:L22)</f>
        <v>4055306.6349067995</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2810284.6053554323</v>
      </c>
      <c r="C25" s="51">
        <f>+(B25-D25)/ABS(D25)</f>
        <v>0.1774197958870832</v>
      </c>
      <c r="D25" s="24">
        <f>+D17+D23</f>
        <v>2386816.1680075438</v>
      </c>
      <c r="E25" s="49" t="s">
        <v>0</v>
      </c>
      <c r="F25" s="24">
        <f>+F17+F23</f>
        <v>10829371.760628689</v>
      </c>
      <c r="G25" s="51">
        <f>+(F25-H25)/ABS(H25)</f>
        <v>0.12697371759072254</v>
      </c>
      <c r="H25" s="24">
        <f>+H17+H23</f>
        <v>9609249.6138952002</v>
      </c>
      <c r="I25" s="51">
        <f>+(H25-J25)/ABS(J25)</f>
        <v>0.16746428693778481</v>
      </c>
      <c r="J25" s="24">
        <f>+J17+J23</f>
        <v>8230872.4313099999</v>
      </c>
      <c r="K25" s="51">
        <f>+(J25-L25)/ABS(L25)</f>
        <v>9.0426117691732241E-2</v>
      </c>
      <c r="L25" s="24">
        <f>+L17+L23</f>
        <v>7548308.2235167995</v>
      </c>
      <c r="M25" s="49"/>
      <c r="N25" s="49"/>
    </row>
    <row r="26" spans="1:14">
      <c r="B26" s="20"/>
      <c r="C26" s="51"/>
      <c r="D26" s="20"/>
      <c r="E26" s="49" t="s">
        <v>0</v>
      </c>
      <c r="F26" s="20"/>
      <c r="G26" s="51"/>
      <c r="H26" s="20"/>
      <c r="I26" s="51"/>
      <c r="J26" s="20"/>
      <c r="K26" s="51"/>
      <c r="L26" s="20"/>
      <c r="M26" s="48"/>
      <c r="N26" s="48"/>
    </row>
    <row r="27" spans="1:14">
      <c r="A27" t="s">
        <v>310</v>
      </c>
      <c r="B27" s="24">
        <f>+somfinrésys!R65</f>
        <v>144566.41715000002</v>
      </c>
      <c r="C27" s="51">
        <f>+(B27-D27)/ABS(D27)</f>
        <v>0.20281389629027879</v>
      </c>
      <c r="D27" s="87">
        <f>+somfinrésys!T65</f>
        <v>120190.17871000001</v>
      </c>
      <c r="E27" s="49" t="s">
        <v>0</v>
      </c>
      <c r="F27" s="81">
        <f>+'UNIBKVARAN     '!F27+'SGBELVARAN         '!F27+'SOGEBKVARAN '!F27+'SCOTIAVARAN            '!F27+'CBNAVARAN           '!F28+'CAPITALBKVARAN        '!F27+BUHVARAN!F26+'BPHVARAN    '!F27+'BNCVARAN '!F27</f>
        <v>640294.60251999996</v>
      </c>
      <c r="G27" s="51">
        <f>+(F27-H27)/ABS(H27)</f>
        <v>0.52870446666040805</v>
      </c>
      <c r="H27" s="81">
        <f>+'UNIBKVARAN     '!H27+'SGBELVARAN         '!H27+'SOGEBKVARAN '!H27+'SCOTIAVARAN            '!H27+'CBNAVARAN           '!H28+'CAPITALBKVARAN        '!H27+BUHVARAN!H26+'BPHVARAN    '!H27+'BNCVARAN '!H27</f>
        <v>418847.86529000005</v>
      </c>
      <c r="I27" s="51">
        <f>+(H27-J27)/ABS(J27)</f>
        <v>6.9129876612520347E-2</v>
      </c>
      <c r="J27" s="81">
        <f>+'UNIBKVARAN     '!J27+'SGBELVARAN         '!J27+'SOGEBKVARAN '!J27+'SCOTIAVARAN            '!J27+'CBNAVARAN           '!J28+'CAPITALBKVARAN        '!J27+BUHVARAN!J26+'BPHVARAN    '!J27+'BNCVARAN '!J27</f>
        <v>391765.1863</v>
      </c>
      <c r="K27" s="51">
        <f>+(J27-L27)/ABS(L27)</f>
        <v>0.72808722067243237</v>
      </c>
      <c r="L27" s="81">
        <f>+'UNIBKVARAN     '!L27+'SGBELVARAN         '!L27+'SOGEBKVARAN '!L27+'SCOTIAVARAN            '!L27+'CBNAVARAN           '!L28+'CAPITALBKVARAN        '!L27+BUHVARAN!L26+'BPHVARAN    '!L27+'BNCVARAN '!L27</f>
        <v>226704.52140000003</v>
      </c>
      <c r="M27" s="48"/>
      <c r="N27" s="48"/>
    </row>
    <row r="28" spans="1:14">
      <c r="B28" s="20"/>
      <c r="C28" s="51"/>
      <c r="D28" s="20"/>
      <c r="E28" s="49" t="s">
        <v>0</v>
      </c>
      <c r="F28" s="20"/>
      <c r="G28" s="51"/>
      <c r="H28" s="20"/>
      <c r="I28" s="51"/>
      <c r="J28" s="20"/>
      <c r="K28" s="51"/>
      <c r="L28" s="20"/>
      <c r="M28" s="48"/>
      <c r="N28" s="48"/>
    </row>
    <row r="29" spans="1:14">
      <c r="A29" t="s">
        <v>311</v>
      </c>
      <c r="B29" s="199"/>
      <c r="C29" s="51"/>
      <c r="D29" s="217"/>
      <c r="E29" s="49" t="s">
        <v>0</v>
      </c>
      <c r="F29" s="217"/>
      <c r="G29" s="51"/>
      <c r="H29" s="217"/>
      <c r="I29" s="51"/>
      <c r="J29" s="217"/>
      <c r="K29" s="51"/>
      <c r="L29" s="217"/>
      <c r="M29" s="48"/>
      <c r="N29" s="48"/>
    </row>
    <row r="30" spans="1:14" s="187" customFormat="1">
      <c r="A30" s="187" t="s">
        <v>312</v>
      </c>
      <c r="B30" s="24">
        <f>+B25-B27</f>
        <v>2665718.1882054321</v>
      </c>
      <c r="C30" s="51">
        <f>+(B30-D30)/ABS(D30)</f>
        <v>0.17607324754604631</v>
      </c>
      <c r="D30" s="24">
        <f>+D25-D27</f>
        <v>2266625.9892975437</v>
      </c>
      <c r="E30" s="49" t="s">
        <v>0</v>
      </c>
      <c r="F30" s="24">
        <f>+F25-F27</f>
        <v>10189077.158108689</v>
      </c>
      <c r="G30" s="51">
        <f>+(F30-H30)/ABS(H30)</f>
        <v>0.10866504390355446</v>
      </c>
      <c r="H30" s="24">
        <f>+H25-H27</f>
        <v>9190401.748605201</v>
      </c>
      <c r="I30" s="51">
        <f>+(H30-J30)/ABS(J30)</f>
        <v>0.17237862187117936</v>
      </c>
      <c r="J30" s="24">
        <f>+J25-J27</f>
        <v>7839107.2450099997</v>
      </c>
      <c r="K30" s="51">
        <f>+(J30-L30)/ABS(L30)</f>
        <v>7.068172000945383E-2</v>
      </c>
      <c r="L30" s="24">
        <f>+L25-L27</f>
        <v>7321603.7021167995</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4">
        <f>+somfinrésys!R71</f>
        <v>781687.58527000004</v>
      </c>
      <c r="C33" s="51">
        <f>+(B33-D33)/ABS(D33)</f>
        <v>0.10273174643176758</v>
      </c>
      <c r="D33" s="87">
        <f>+somfinrésys!T71</f>
        <v>708864.67883000011</v>
      </c>
      <c r="E33" s="49" t="s">
        <v>0</v>
      </c>
      <c r="F33" s="81">
        <f>+'UNIBKVARAN     '!F33+'SGBELVARAN         '!F33+'SOGEBKVARAN '!F33+'SCOTIAVARAN            '!F33+'CBNAVARAN           '!F34+'CAPITALBKVARAN        '!F33+BUHVARAN!F32+'BPHVARAN    '!F33+'BNCVARAN '!F33</f>
        <v>3050318.3003699998</v>
      </c>
      <c r="G33" s="51">
        <f>+(F33-H33)/ABS(H33)</f>
        <v>0.12692996891074962</v>
      </c>
      <c r="H33" s="81">
        <f>+'UNIBKVARAN     '!H33+'SGBELVARAN         '!H33+'SOGEBKVARAN '!H33+'SCOTIAVARAN            '!H33+'CBNAVARAN           '!H34+'CAPITALBKVARAN        '!H33+BUHVARAN!H32+'BPHVARAN    '!H33+'BNCVARAN '!H33</f>
        <v>2706750.5386500005</v>
      </c>
      <c r="I33" s="51">
        <f>+(H33-J33)/ABS(J33)</f>
        <v>0.14426573711741825</v>
      </c>
      <c r="J33" s="81">
        <f>+'UNIBKVARAN     '!J33+'SGBELVARAN         '!J33+'SOGEBKVARAN '!J33+'SCOTIAVARAN            '!J33+'CBNAVARAN           '!J34+'CAPITALBKVARAN        '!J33+BUHVARAN!J32+'BPHVARAN    '!J33+'BNCVARAN '!J33</f>
        <v>2365491.20615</v>
      </c>
      <c r="K33" s="51">
        <f>+(J33-L33)/ABS(L33)</f>
        <v>0.12769114303417653</v>
      </c>
      <c r="L33" s="81">
        <f>+'UNIBKVARAN     '!L33+'SGBELVARAN         '!L33+'SOGEBKVARAN '!L33+'SCOTIAVARAN            '!L33+'CBNAVARAN           '!L34+'CAPITALBKVARAN        '!L33+BUHVARAN!L32+'BPHVARAN    '!L33+'BNCVARAN '!L33</f>
        <v>2097641.0258800001</v>
      </c>
      <c r="M33" s="48"/>
      <c r="N33" s="48"/>
    </row>
    <row r="34" spans="1:14">
      <c r="A34" t="s">
        <v>315</v>
      </c>
      <c r="B34" s="24">
        <f>+somfinrésys!R72</f>
        <v>125381.45367</v>
      </c>
      <c r="C34" s="51">
        <f>+(B34-D34)/ABS(D34)</f>
        <v>9.129794220349742E-2</v>
      </c>
      <c r="D34" s="87">
        <f>+somfinrésys!T72</f>
        <v>114892.04626999999</v>
      </c>
      <c r="E34" s="49" t="s">
        <v>0</v>
      </c>
      <c r="F34" s="81">
        <f>+'UNIBKVARAN     '!F34+'SGBELVARAN         '!F34+'SOGEBKVARAN '!F34+'SCOTIAVARAN            '!F34+'CBNAVARAN           '!F35+'CAPITALBKVARAN        '!F34+BUHVARAN!F33+'BPHVARAN    '!F34+'BNCVARAN '!F34</f>
        <v>466196.33743000001</v>
      </c>
      <c r="G34" s="51">
        <f>+(F34-H34)/ABS(H34)</f>
        <v>0.21276482099708732</v>
      </c>
      <c r="H34" s="81">
        <f>+'UNIBKVARAN     '!H34+'SGBELVARAN         '!H34+'SOGEBKVARAN '!H34+'SCOTIAVARAN            '!H34+'CBNAVARAN           '!H35+'CAPITALBKVARAN        '!H34+BUHVARAN!H33+'BPHVARAN    '!H34+'BNCVARAN '!H34</f>
        <v>384407.86651999998</v>
      </c>
      <c r="I34" s="51">
        <f>+(H34-J34)/ABS(J34)</f>
        <v>0.10782402270154483</v>
      </c>
      <c r="J34" s="81">
        <f>+'UNIBKVARAN     '!J34+'SGBELVARAN         '!J34+'SOGEBKVARAN '!J34+'SCOTIAVARAN            '!J34+'CBNAVARAN           '!J35+'CAPITALBKVARAN        '!J34+BUHVARAN!J33+'BPHVARAN    '!J34+'BNCVARAN '!J34</f>
        <v>346993.61869999999</v>
      </c>
      <c r="K34" s="51">
        <f>+(J34-L34)/ABS(L34)</f>
        <v>1.4613354683670267E-2</v>
      </c>
      <c r="L34" s="81">
        <f>+'UNIBKVARAN     '!L34+'SGBELVARAN         '!L34+'SOGEBKVARAN '!L34+'SCOTIAVARAN            '!L34+'CBNAVARAN           '!L35+'CAPITALBKVARAN        '!L34+BUHVARAN!L33+'BPHVARAN    '!L34+'BNCVARAN '!L34</f>
        <v>341995.91115000006</v>
      </c>
      <c r="M34" s="48"/>
      <c r="N34" s="48"/>
    </row>
    <row r="35" spans="1:14">
      <c r="A35" t="s">
        <v>316</v>
      </c>
      <c r="B35" s="24">
        <f>+somfinrésys!R73</f>
        <v>145314.02080999999</v>
      </c>
      <c r="C35" s="51">
        <f>+(B35-D35)/ABS(D35)</f>
        <v>0.22181727765117545</v>
      </c>
      <c r="D35" s="87">
        <f>+somfinrésys!T73</f>
        <v>118932.69433</v>
      </c>
      <c r="E35" s="49" t="s">
        <v>0</v>
      </c>
      <c r="F35" s="81">
        <f>+'UNIBKVARAN     '!F35+'SGBELVARAN         '!F35+'SOGEBKVARAN '!F35+'SCOTIAVARAN            '!F35+'CBNAVARAN           '!F36+'CAPITALBKVARAN        '!F35+BUHVARAN!F34+'BPHVARAN    '!F35+'BNCVARAN '!F35</f>
        <v>524489.66819999996</v>
      </c>
      <c r="G35" s="51">
        <f>+(F35-H35)/ABS(H35)</f>
        <v>0.15370007035732869</v>
      </c>
      <c r="H35" s="81">
        <f>+'UNIBKVARAN     '!H35+'SGBELVARAN         '!H35+'SOGEBKVARAN '!H35+'SCOTIAVARAN            '!H35+'CBNAVARAN           '!H36+'CAPITALBKVARAN        '!H35+BUHVARAN!H34+'BPHVARAN    '!H35+'BNCVARAN '!H35</f>
        <v>454615.26932000002</v>
      </c>
      <c r="I35" s="51">
        <f>+(H35-J35)/ABS(J35)</f>
        <v>7.1812019630979357E-2</v>
      </c>
      <c r="J35" s="81">
        <f>+'UNIBKVARAN     '!J35+'SGBELVARAN         '!J35+'SOGEBKVARAN '!J35+'SCOTIAVARAN            '!J35+'CBNAVARAN           '!J36+'CAPITALBKVARAN        '!J35+BUHVARAN!J34+'BPHVARAN    '!J35+'BNCVARAN '!J35</f>
        <v>424155.78571000003</v>
      </c>
      <c r="K35" s="51">
        <f>+(J35-L35)/ABS(L35)</f>
        <v>3.7095667111697109E-2</v>
      </c>
      <c r="L35" s="81">
        <f>+'UNIBKVARAN     '!L35+'SGBELVARAN         '!L35+'SOGEBKVARAN '!L35+'SCOTIAVARAN            '!L35+'CBNAVARAN           '!L36+'CAPITALBKVARAN        '!L35+BUHVARAN!L34+'BPHVARAN    '!L35+'BNCVARAN '!L35</f>
        <v>408984.24239999999</v>
      </c>
      <c r="M35" s="48"/>
      <c r="N35" s="48"/>
    </row>
    <row r="36" spans="1:14">
      <c r="A36" t="s">
        <v>317</v>
      </c>
      <c r="B36" s="224">
        <f>+somfinrésys!R74</f>
        <v>747984.06032999989</v>
      </c>
      <c r="C36" s="51">
        <f>+(B36-D36)/ABS(D36)</f>
        <v>0.14060026901688849</v>
      </c>
      <c r="D36" s="199">
        <f>+somfinrésys!T74</f>
        <v>655781.06602999999</v>
      </c>
      <c r="E36" s="49" t="s">
        <v>0</v>
      </c>
      <c r="F36" s="217">
        <f>+'UNIBKVARAN     '!F36+'SGBELVARAN         '!F36+'SOGEBKVARAN '!F36+'SCOTIAVARAN            '!F36+'CBNAVARAN           '!F37+'CAPITALBKVARAN        '!F36+BUHVARAN!F35+'BPHVARAN    '!F36+'BNCVARAN '!F36</f>
        <v>2936259.5962299998</v>
      </c>
      <c r="G36" s="51">
        <f>+(F36-H36)/ABS(H36)</f>
        <v>8.5183597849050621E-2</v>
      </c>
      <c r="H36" s="217">
        <f>+'UNIBKVARAN     '!H36+'SGBELVARAN         '!H36+'SOGEBKVARAN '!H36+'SCOTIAVARAN            '!H36+'CBNAVARAN           '!H37+'CAPITALBKVARAN        '!H36+BUHVARAN!H35+'BPHVARAN    '!H36+'BNCVARAN '!H36</f>
        <v>2705772.1864300002</v>
      </c>
      <c r="I36" s="51">
        <f>+(H36-J36)/ABS(J36)</f>
        <v>0.14887173940912649</v>
      </c>
      <c r="J36" s="217">
        <f>+'UNIBKVARAN     '!J36+'SGBELVARAN         '!J36+'SOGEBKVARAN '!J36+'SCOTIAVARAN            '!J36+'CBNAVARAN           '!J37+'CAPITALBKVARAN        '!J36+BUHVARAN!J35+'BPHVARAN    '!J36+'BNCVARAN '!J36</f>
        <v>2355156.0140400003</v>
      </c>
      <c r="K36" s="51">
        <f>+(J36-L36)/ABS(L36)</f>
        <v>3.9592248908358871E-2</v>
      </c>
      <c r="L36" s="217">
        <f>+'UNIBKVARAN     '!L36+'SGBELVARAN         '!L36+'SOGEBKVARAN '!L36+'SCOTIAVARAN            '!L36+'CBNAVARAN           '!L37+'CAPITALBKVARAN        '!L36+BUHVARAN!L35+'BPHVARAN    '!L36+'BNCVARAN '!L36</f>
        <v>2265461.3061159998</v>
      </c>
      <c r="M36" s="48"/>
      <c r="N36" s="48"/>
    </row>
    <row r="37" spans="1:14" s="187" customFormat="1">
      <c r="B37" s="24">
        <f>SUM(B33:B36)</f>
        <v>1800367.1200799998</v>
      </c>
      <c r="C37" s="51">
        <f>+(B37-D37)/ABS(D37)</f>
        <v>0.12630613855963618</v>
      </c>
      <c r="D37" s="24">
        <f>SUM(D33:D36)</f>
        <v>1598470.4854600001</v>
      </c>
      <c r="E37" s="49" t="s">
        <v>0</v>
      </c>
      <c r="F37" s="24">
        <f>SUM(F33:F36)</f>
        <v>6977263.9022300001</v>
      </c>
      <c r="G37" s="51">
        <f>+(F37-H37)/ABS(H37)</f>
        <v>0.11608617411681275</v>
      </c>
      <c r="H37" s="24">
        <f>SUM(H33:H36)</f>
        <v>6251545.8609200008</v>
      </c>
      <c r="I37" s="51">
        <f>+(H37-J37)/ABS(J37)</f>
        <v>0.1383425658766701</v>
      </c>
      <c r="J37" s="24">
        <f>SUM(J33:J36)</f>
        <v>5491796.6246000007</v>
      </c>
      <c r="K37" s="51">
        <f>+(J37-L37)/ABS(L37)</f>
        <v>7.3857654842591783E-2</v>
      </c>
      <c r="L37" s="24">
        <f>SUM(L33:L36)</f>
        <v>5114082.4855460003</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865351.06812543236</v>
      </c>
      <c r="C39" s="51">
        <f>+(B39-D39)/ABS(D39)</f>
        <v>0.29513423619995394</v>
      </c>
      <c r="D39" s="24">
        <f>+D30-D37</f>
        <v>668155.50383754354</v>
      </c>
      <c r="E39" s="49" t="s">
        <v>0</v>
      </c>
      <c r="F39" s="24">
        <f>+F30-F37</f>
        <v>3211813.2558786888</v>
      </c>
      <c r="G39" s="51">
        <f>+(F39-H39)/ABS(H39)</f>
        <v>9.2878786379853542E-2</v>
      </c>
      <c r="H39" s="24">
        <f>+H30-H37</f>
        <v>2938855.8876852002</v>
      </c>
      <c r="I39" s="51">
        <f>+(H39-J39)/ABS(J39)</f>
        <v>0.25200979458435602</v>
      </c>
      <c r="J39" s="24">
        <f>+J30-J37</f>
        <v>2347310.620409999</v>
      </c>
      <c r="K39" s="51">
        <f>+(J39-L39)/ABS(L39)</f>
        <v>6.3324149634380877E-2</v>
      </c>
      <c r="L39" s="24">
        <f>+L30-L37</f>
        <v>2207521.2165707992</v>
      </c>
      <c r="M39" s="49"/>
      <c r="N39" s="49"/>
    </row>
    <row r="40" spans="1:14">
      <c r="B40" s="20"/>
      <c r="C40" s="51"/>
      <c r="D40" s="20"/>
      <c r="E40" s="49" t="s">
        <v>0</v>
      </c>
      <c r="F40" s="23" t="s">
        <v>0</v>
      </c>
      <c r="G40" s="51"/>
      <c r="H40" s="23" t="s">
        <v>0</v>
      </c>
      <c r="I40" s="51"/>
      <c r="J40" s="23" t="s">
        <v>0</v>
      </c>
      <c r="K40" s="51"/>
      <c r="L40" s="23" t="s">
        <v>0</v>
      </c>
      <c r="M40" s="48"/>
      <c r="N40" s="48"/>
    </row>
    <row r="41" spans="1:14">
      <c r="A41" t="s">
        <v>319</v>
      </c>
      <c r="B41" s="24">
        <f>+somfinrésys!R79</f>
        <v>112823.99364999999</v>
      </c>
      <c r="C41" s="51">
        <f>+(B41-D41)/ABS(D41)</f>
        <v>0.33413130887392384</v>
      </c>
      <c r="D41" s="87">
        <f>+somfinrésys!T79</f>
        <v>84567.38321</v>
      </c>
      <c r="E41" s="49" t="s">
        <v>0</v>
      </c>
      <c r="F41" s="81">
        <f>+'UNIBKVARAN     '!F41+'SGBELVARAN         '!F41+'SOGEBKVARAN '!F41+'SCOTIAVARAN            '!F41+'CBNAVARAN           '!F42+'CAPITALBKVARAN        '!F41+BUHVARAN!F40+'BPHVARAN    '!F41+'BNCVARAN '!F41</f>
        <v>359781.48696000001</v>
      </c>
      <c r="G41" s="51">
        <f>+(F41-H41)/ABS(H41)</f>
        <v>0.13070703925234928</v>
      </c>
      <c r="H41" s="81">
        <f>+'UNIBKVARAN     '!H41+'SGBELVARAN         '!H41+'SOGEBKVARAN '!H41+'SCOTIAVARAN            '!H41+'CBNAVARAN           '!H42+'CAPITALBKVARAN        '!H41+BUHVARAN!H40+'BPHVARAN    '!H41+'BNCVARAN '!H41</f>
        <v>318191.60443000001</v>
      </c>
      <c r="I41" s="51">
        <f>+(H41-J41)/ABS(J41)</f>
        <v>1.9506386722755991</v>
      </c>
      <c r="J41" s="81">
        <f>+'UNIBKVARAN     '!J41+'SGBELVARAN         '!J41+'SOGEBKVARAN '!J41+'SCOTIAVARAN            '!J41+'CBNAVARAN           '!J42+'CAPITALBKVARAN        '!J41+BUHVARAN!J40+'BPHVARAN    '!J41+'BNCVARAN '!J41</f>
        <v>107838.21395</v>
      </c>
      <c r="K41" s="51">
        <f>+(J41-L41)/ABS(L41)</f>
        <v>-0.45965031339759926</v>
      </c>
      <c r="L41" s="81">
        <f>+'UNIBKVARAN     '!L41+'SGBELVARAN         '!L41+'SOGEBKVARAN '!L41+'SCOTIAVARAN            '!L41+'CBNAVARAN           '!L42+'CAPITALBKVARAN        '!L41+BUHVARAN!L40+'BPHVARAN    '!L41+'BNCVARAN '!L41</f>
        <v>199571.16035000008</v>
      </c>
      <c r="M41" s="48"/>
      <c r="N41" s="48"/>
    </row>
    <row r="42" spans="1:14" ht="16.5" thickBot="1">
      <c r="B42" s="80" t="s">
        <v>0</v>
      </c>
      <c r="C42" s="52" t="s">
        <v>0</v>
      </c>
      <c r="D42" s="79"/>
      <c r="E42" s="49" t="s">
        <v>0</v>
      </c>
      <c r="F42" s="79"/>
      <c r="G42" s="51"/>
      <c r="H42" s="79"/>
      <c r="I42" s="51"/>
      <c r="J42" s="79"/>
      <c r="K42" s="52" t="s">
        <v>0</v>
      </c>
      <c r="L42" s="79"/>
      <c r="M42" s="48"/>
      <c r="N42" s="48"/>
    </row>
    <row r="43" spans="1:14">
      <c r="A43" s="11" t="s">
        <v>326</v>
      </c>
      <c r="B43" s="13">
        <f>+B39-B41</f>
        <v>752527.0744754324</v>
      </c>
      <c r="C43" s="109">
        <f>+(B43-D43)/ABS(D43)</f>
        <v>0.28948319521347615</v>
      </c>
      <c r="D43" s="13">
        <f>+D39-D41</f>
        <v>583588.12062754354</v>
      </c>
      <c r="E43" s="47" t="s">
        <v>0</v>
      </c>
      <c r="F43" s="13">
        <f>+F39-F41</f>
        <v>2852031.7689186889</v>
      </c>
      <c r="G43" s="109">
        <f>+(F43-H43)/ABS(H43)</f>
        <v>8.828581636412447E-2</v>
      </c>
      <c r="H43" s="13">
        <f>+H39-H41</f>
        <v>2620664.2832552004</v>
      </c>
      <c r="I43" s="109">
        <f>+(H43-J43)/ABS(J43)</f>
        <v>0.1702150362271096</v>
      </c>
      <c r="J43" s="13">
        <f>+J39-J41</f>
        <v>2239472.4064599993</v>
      </c>
      <c r="K43" s="109">
        <f>+(J43-L43)/ABS(L43)</f>
        <v>0.11530284307715932</v>
      </c>
      <c r="L43" s="13">
        <f>+L39-L41</f>
        <v>2007950.0562207992</v>
      </c>
      <c r="M43" s="48"/>
      <c r="N43" s="48"/>
    </row>
    <row r="44" spans="1:14">
      <c r="B44" t="s">
        <v>0</v>
      </c>
      <c r="E44" t="s">
        <v>0</v>
      </c>
    </row>
    <row r="45" spans="1:14">
      <c r="B45" t="s">
        <v>0</v>
      </c>
      <c r="E45" t="s">
        <v>0</v>
      </c>
    </row>
    <row r="47" spans="1:14">
      <c r="F47" s="12" t="s">
        <v>0</v>
      </c>
    </row>
    <row r="48" spans="1:14">
      <c r="B48" s="116" t="s">
        <v>0</v>
      </c>
      <c r="F48" s="12" t="s">
        <v>0</v>
      </c>
    </row>
    <row r="49" spans="4:6">
      <c r="F49" s="12" t="s">
        <v>0</v>
      </c>
    </row>
    <row r="50" spans="4:6">
      <c r="F50" t="s">
        <v>0</v>
      </c>
    </row>
    <row r="51" spans="4:6">
      <c r="D51" s="116" t="s">
        <v>0</v>
      </c>
      <c r="F51" s="12" t="s">
        <v>0</v>
      </c>
    </row>
    <row r="52" spans="4:6">
      <c r="F52" t="s">
        <v>0</v>
      </c>
    </row>
    <row r="53" spans="4:6">
      <c r="F53" s="12" t="s">
        <v>0</v>
      </c>
    </row>
    <row r="54" spans="4:6">
      <c r="F54" s="12" t="s">
        <v>0</v>
      </c>
    </row>
    <row r="55" spans="4:6">
      <c r="F55" s="12" t="s">
        <v>0</v>
      </c>
    </row>
    <row r="56" spans="4:6">
      <c r="F56" s="12" t="s">
        <v>0</v>
      </c>
    </row>
    <row r="57" spans="4:6">
      <c r="F57" s="12" t="s">
        <v>0</v>
      </c>
    </row>
    <row r="58" spans="4:6">
      <c r="F58" s="12" t="s">
        <v>0</v>
      </c>
    </row>
    <row r="59" spans="4:6">
      <c r="F59" s="12" t="s">
        <v>0</v>
      </c>
    </row>
    <row r="60" spans="4:6">
      <c r="F60" s="12" t="s">
        <v>0</v>
      </c>
    </row>
    <row r="61" spans="4:6">
      <c r="F61" s="12" t="s">
        <v>0</v>
      </c>
    </row>
    <row r="62" spans="4:6">
      <c r="F62" s="12" t="s">
        <v>0</v>
      </c>
    </row>
    <row r="63" spans="4:6">
      <c r="F63" s="12" t="s">
        <v>0</v>
      </c>
    </row>
    <row r="64" spans="4:6">
      <c r="F64" s="12" t="s">
        <v>0</v>
      </c>
    </row>
    <row r="65" spans="6:6">
      <c r="F65" s="12" t="s">
        <v>0</v>
      </c>
    </row>
    <row r="66" spans="6:6">
      <c r="F66" s="12" t="s">
        <v>0</v>
      </c>
    </row>
    <row r="67" spans="6:6">
      <c r="F67" s="12" t="s">
        <v>0</v>
      </c>
    </row>
    <row r="68" spans="6:6">
      <c r="F68" s="12" t="s">
        <v>0</v>
      </c>
    </row>
    <row r="69" spans="6:6">
      <c r="F69" s="12" t="s">
        <v>0</v>
      </c>
    </row>
    <row r="70" spans="6:6">
      <c r="F70" s="12" t="s">
        <v>0</v>
      </c>
    </row>
    <row r="71" spans="6:6">
      <c r="F71" s="12" t="s">
        <v>0</v>
      </c>
    </row>
    <row r="72" spans="6:6">
      <c r="F72" s="12" t="s">
        <v>0</v>
      </c>
    </row>
    <row r="73" spans="6:6">
      <c r="F73" s="12" t="s">
        <v>0</v>
      </c>
    </row>
    <row r="74" spans="6:6">
      <c r="F74" s="12" t="s">
        <v>0</v>
      </c>
    </row>
    <row r="75" spans="6:6">
      <c r="F75" s="12" t="s">
        <v>0</v>
      </c>
    </row>
    <row r="76" spans="6:6">
      <c r="F76" s="12" t="s">
        <v>0</v>
      </c>
    </row>
    <row r="77" spans="6:6">
      <c r="F77" s="12" t="s">
        <v>0</v>
      </c>
    </row>
    <row r="78" spans="6:6">
      <c r="F78" s="12" t="s">
        <v>0</v>
      </c>
    </row>
  </sheetData>
  <phoneticPr fontId="0" type="noConversion"/>
  <pageMargins left="0.18" right="0.16" top="0.64" bottom="0.75" header="0.4" footer="0.5"/>
  <pageSetup scale="60" orientation="landscape" r:id="rId1"/>
  <headerFooter alignWithMargins="0">
    <oddFooter>&amp;R&amp;P</oddFooter>
  </headerFooter>
</worksheet>
</file>

<file path=xl/worksheets/sheet38.xml><?xml version="1.0" encoding="utf-8"?>
<worksheet xmlns="http://schemas.openxmlformats.org/spreadsheetml/2006/main" xmlns:r="http://schemas.openxmlformats.org/officeDocument/2006/relationships">
  <sheetPr>
    <pageSetUpPr fitToPage="1"/>
  </sheetPr>
  <dimension ref="A1:I34"/>
  <sheetViews>
    <sheetView workbookViewId="0">
      <selection activeCell="B6" sqref="B6"/>
    </sheetView>
  </sheetViews>
  <sheetFormatPr baseColWidth="10" defaultColWidth="9" defaultRowHeight="15.75"/>
  <cols>
    <col min="5" max="5" width="55.875" customWidth="1"/>
    <col min="6" max="6" width="13.125" customWidth="1"/>
  </cols>
  <sheetData>
    <row r="1" spans="1:9">
      <c r="A1" s="466"/>
      <c r="B1" s="466"/>
      <c r="C1" s="466"/>
      <c r="D1" s="466"/>
      <c r="E1" s="466"/>
      <c r="F1" s="466"/>
      <c r="G1" s="466"/>
      <c r="H1" s="466"/>
      <c r="I1" s="466"/>
    </row>
    <row r="2" spans="1:9">
      <c r="A2" s="466"/>
      <c r="B2" s="466"/>
      <c r="C2" s="466"/>
      <c r="D2" s="466"/>
      <c r="E2" s="466"/>
      <c r="F2" s="466"/>
      <c r="G2" s="466"/>
      <c r="H2" s="466"/>
      <c r="I2" s="466"/>
    </row>
    <row r="3" spans="1:9">
      <c r="A3" s="466"/>
      <c r="B3" s="466"/>
      <c r="C3" s="466"/>
      <c r="D3" s="466"/>
      <c r="E3" s="466"/>
      <c r="F3" s="466"/>
      <c r="G3" s="466"/>
      <c r="H3" s="466"/>
      <c r="I3" s="466"/>
    </row>
    <row r="4" spans="1:9">
      <c r="A4" s="466"/>
      <c r="B4" s="466"/>
      <c r="C4" s="466"/>
      <c r="D4" s="466"/>
      <c r="E4" s="466"/>
      <c r="F4" s="466"/>
      <c r="G4" s="466"/>
      <c r="H4" s="466"/>
      <c r="I4" s="466"/>
    </row>
    <row r="5" spans="1:9">
      <c r="A5" s="466"/>
      <c r="B5" s="466"/>
      <c r="C5" s="466"/>
      <c r="D5" s="466"/>
      <c r="E5" s="466"/>
      <c r="F5" s="466"/>
      <c r="G5" s="466"/>
      <c r="H5" s="466"/>
      <c r="I5" s="466"/>
    </row>
    <row r="6" spans="1:9">
      <c r="A6" s="466"/>
      <c r="B6" s="466"/>
      <c r="C6" s="466"/>
      <c r="D6" s="466"/>
      <c r="E6" s="466"/>
      <c r="F6" s="466"/>
      <c r="G6" s="466"/>
      <c r="H6" s="466"/>
      <c r="I6" s="466"/>
    </row>
    <row r="7" spans="1:9">
      <c r="A7" s="466"/>
      <c r="B7" s="466"/>
      <c r="C7" s="466"/>
      <c r="D7" s="466"/>
      <c r="E7" s="466"/>
      <c r="F7" s="466"/>
      <c r="G7" s="466"/>
      <c r="H7" s="466"/>
      <c r="I7" s="466"/>
    </row>
    <row r="8" spans="1:9">
      <c r="A8" s="466"/>
      <c r="B8" s="466"/>
      <c r="C8" s="466"/>
      <c r="D8" s="466"/>
      <c r="E8" s="466"/>
      <c r="F8" s="466"/>
      <c r="G8" s="466"/>
      <c r="H8" s="466"/>
      <c r="I8" s="466"/>
    </row>
    <row r="9" spans="1:9">
      <c r="A9" s="466"/>
      <c r="B9" s="466"/>
      <c r="C9" s="466"/>
      <c r="D9" s="466"/>
      <c r="E9" s="466"/>
      <c r="F9" s="466"/>
      <c r="G9" s="466"/>
      <c r="H9" s="466"/>
      <c r="I9" s="466"/>
    </row>
    <row r="10" spans="1:9">
      <c r="A10" s="466"/>
      <c r="B10" s="466"/>
      <c r="C10" s="466"/>
      <c r="D10" s="466"/>
      <c r="E10" s="466"/>
      <c r="F10" s="466"/>
      <c r="G10" s="466"/>
      <c r="H10" s="466"/>
      <c r="I10" s="466"/>
    </row>
    <row r="11" spans="1:9">
      <c r="A11" s="466"/>
      <c r="B11" s="466"/>
      <c r="C11" s="466"/>
      <c r="D11" s="466"/>
      <c r="E11" s="466"/>
      <c r="F11" s="466"/>
      <c r="G11" s="466"/>
      <c r="H11" s="466"/>
      <c r="I11" s="466"/>
    </row>
    <row r="12" spans="1:9">
      <c r="A12" s="466"/>
      <c r="B12" s="466"/>
      <c r="C12" s="466"/>
      <c r="D12" s="466"/>
      <c r="E12" s="466"/>
      <c r="F12" s="466"/>
      <c r="G12" s="466"/>
      <c r="H12" s="466"/>
      <c r="I12" s="466"/>
    </row>
    <row r="13" spans="1:9">
      <c r="A13" s="466"/>
      <c r="B13" s="466"/>
      <c r="C13" s="466"/>
      <c r="D13" s="466"/>
      <c r="E13" s="466"/>
      <c r="F13" s="466"/>
      <c r="G13" s="466"/>
      <c r="H13" s="466"/>
      <c r="I13" s="466"/>
    </row>
    <row r="14" spans="1:9">
      <c r="A14" s="466"/>
      <c r="B14" s="466"/>
      <c r="C14" s="466"/>
      <c r="D14" s="466"/>
      <c r="E14" s="466"/>
      <c r="F14" s="466"/>
      <c r="G14" s="466"/>
      <c r="H14" s="466"/>
      <c r="I14" s="466"/>
    </row>
    <row r="15" spans="1:9">
      <c r="A15" s="466"/>
      <c r="B15" s="466"/>
      <c r="C15" s="466"/>
      <c r="D15" s="466"/>
      <c r="E15" s="466"/>
      <c r="F15" s="466"/>
      <c r="G15" s="466"/>
      <c r="H15" s="466"/>
      <c r="I15" s="466"/>
    </row>
    <row r="16" spans="1:9" ht="25.5">
      <c r="A16" s="441" t="s">
        <v>25</v>
      </c>
      <c r="B16" s="435"/>
      <c r="C16" s="435"/>
      <c r="D16" s="435"/>
      <c r="E16" s="435"/>
      <c r="F16" s="435"/>
      <c r="G16" s="435"/>
      <c r="H16" s="435"/>
      <c r="I16" s="435"/>
    </row>
    <row r="17" spans="1:9">
      <c r="A17" s="466"/>
      <c r="B17" s="466"/>
      <c r="C17" s="466"/>
      <c r="D17" s="466"/>
      <c r="E17" s="466"/>
      <c r="F17" s="466"/>
      <c r="G17" s="466"/>
      <c r="H17" s="466"/>
      <c r="I17" s="466"/>
    </row>
    <row r="18" spans="1:9">
      <c r="A18" s="466"/>
      <c r="B18" s="466"/>
      <c r="C18" s="466"/>
      <c r="D18" s="466"/>
      <c r="E18" s="466"/>
      <c r="F18" s="466"/>
      <c r="G18" s="466"/>
      <c r="H18" s="466"/>
      <c r="I18" s="466"/>
    </row>
    <row r="19" spans="1:9" ht="20.25">
      <c r="A19" s="468" t="s">
        <v>26</v>
      </c>
      <c r="B19" s="467"/>
      <c r="C19" s="467"/>
      <c r="D19" s="467"/>
      <c r="E19" s="467"/>
      <c r="F19" s="467"/>
      <c r="G19" s="467"/>
      <c r="H19" s="467"/>
      <c r="I19" s="467"/>
    </row>
    <row r="20" spans="1:9">
      <c r="A20" s="466"/>
      <c r="B20" s="466"/>
      <c r="C20" s="466"/>
      <c r="D20" s="466"/>
      <c r="E20" s="466"/>
      <c r="F20" s="466"/>
      <c r="G20" s="466"/>
      <c r="H20" s="466"/>
      <c r="I20" s="466"/>
    </row>
    <row r="21" spans="1:9">
      <c r="A21" s="466"/>
      <c r="B21" s="466"/>
      <c r="C21" s="466"/>
      <c r="D21" s="466"/>
      <c r="E21" s="466"/>
      <c r="F21" s="466"/>
      <c r="G21" s="466"/>
      <c r="H21" s="466"/>
      <c r="I21" s="466"/>
    </row>
    <row r="22" spans="1:9">
      <c r="A22" s="466"/>
      <c r="B22" s="466"/>
      <c r="C22" s="466"/>
      <c r="D22" s="466"/>
      <c r="E22" s="466"/>
      <c r="F22" s="466"/>
      <c r="G22" s="466"/>
      <c r="H22" s="466"/>
      <c r="I22" s="466"/>
    </row>
    <row r="23" spans="1:9">
      <c r="A23" s="466"/>
      <c r="B23" s="467"/>
      <c r="C23" s="467"/>
      <c r="D23" s="467"/>
      <c r="E23" s="467"/>
      <c r="F23" s="467"/>
      <c r="G23" s="467"/>
      <c r="H23" s="467"/>
      <c r="I23" s="467"/>
    </row>
    <row r="24" spans="1:9">
      <c r="A24" s="466"/>
      <c r="B24" s="466"/>
      <c r="C24" s="466"/>
      <c r="D24" s="466"/>
      <c r="E24" s="466"/>
      <c r="F24" s="466"/>
      <c r="G24" s="466"/>
      <c r="H24" s="466"/>
      <c r="I24" s="466"/>
    </row>
    <row r="25" spans="1:9">
      <c r="A25" s="466"/>
      <c r="B25" s="466"/>
      <c r="C25" s="466"/>
      <c r="D25" s="466"/>
      <c r="E25" s="466"/>
      <c r="F25" s="466"/>
      <c r="G25" s="466"/>
      <c r="H25" s="466"/>
      <c r="I25" s="466"/>
    </row>
    <row r="26" spans="1:9">
      <c r="A26" s="466"/>
      <c r="B26" s="466"/>
      <c r="C26" s="466"/>
      <c r="D26" s="466"/>
      <c r="E26" s="466"/>
      <c r="F26" s="466"/>
      <c r="G26" s="466"/>
      <c r="H26" s="466"/>
      <c r="I26" s="466"/>
    </row>
    <row r="27" spans="1:9">
      <c r="A27" s="466"/>
      <c r="B27" s="466"/>
      <c r="C27" s="466"/>
      <c r="D27" s="466"/>
      <c r="E27" s="466"/>
      <c r="F27" s="466"/>
      <c r="G27" s="466"/>
      <c r="H27" s="466"/>
      <c r="I27" s="466"/>
    </row>
    <row r="28" spans="1:9">
      <c r="A28" s="466"/>
      <c r="B28" s="466"/>
      <c r="C28" s="466"/>
      <c r="D28" s="466"/>
      <c r="E28" s="466"/>
      <c r="F28" s="466"/>
      <c r="G28" s="466"/>
      <c r="H28" s="466"/>
      <c r="I28" s="466"/>
    </row>
    <row r="29" spans="1:9">
      <c r="A29" s="466"/>
      <c r="B29" s="466"/>
      <c r="C29" s="466"/>
      <c r="D29" s="466"/>
      <c r="E29" s="466"/>
      <c r="F29" s="466"/>
      <c r="G29" s="466"/>
      <c r="H29" s="466"/>
      <c r="I29" s="466"/>
    </row>
    <row r="30" spans="1:9">
      <c r="A30" s="466"/>
      <c r="B30" s="466"/>
      <c r="C30" s="466"/>
      <c r="D30" s="466"/>
      <c r="E30" s="466"/>
      <c r="F30" s="466"/>
      <c r="G30" s="466"/>
      <c r="H30" s="466"/>
      <c r="I30" s="466"/>
    </row>
    <row r="31" spans="1:9">
      <c r="A31" s="466"/>
      <c r="B31" s="466"/>
      <c r="C31" s="466"/>
      <c r="D31" s="466"/>
      <c r="E31" s="466"/>
      <c r="F31" s="466"/>
      <c r="G31" s="466"/>
      <c r="H31" s="466"/>
      <c r="I31" s="466"/>
    </row>
    <row r="32" spans="1:9">
      <c r="A32" s="466"/>
      <c r="B32" s="466"/>
      <c r="C32" s="466"/>
      <c r="D32" s="466"/>
      <c r="E32" s="466"/>
      <c r="F32" s="466"/>
      <c r="G32" s="466"/>
      <c r="H32" s="466"/>
      <c r="I32" s="466"/>
    </row>
    <row r="33" spans="1:9">
      <c r="A33" s="466"/>
      <c r="B33" s="466"/>
      <c r="C33" s="466"/>
      <c r="D33" s="466"/>
      <c r="E33" s="466"/>
      <c r="F33" s="466"/>
      <c r="G33" s="466"/>
      <c r="H33" s="466"/>
      <c r="I33" s="466"/>
    </row>
    <row r="34" spans="1:9">
      <c r="A34" s="466"/>
      <c r="B34" s="466"/>
      <c r="C34" s="466"/>
      <c r="D34" s="466"/>
      <c r="E34" s="466"/>
      <c r="F34" s="466"/>
      <c r="G34" s="466"/>
      <c r="H34" s="466"/>
      <c r="I34" s="466"/>
    </row>
  </sheetData>
  <sheetProtection password="C7D6" sheet="1" objects="1" scenarios="1"/>
  <phoneticPr fontId="0" type="noConversion"/>
  <pageMargins left="0.78740157499999996" right="0.38" top="0.81" bottom="0.85" header="0.5" footer="0.44"/>
  <pageSetup scale="89" orientation="landscape" r:id="rId1"/>
  <headerFooter alignWithMargins="0"/>
</worksheet>
</file>

<file path=xl/worksheets/sheet39.xml><?xml version="1.0" encoding="utf-8"?>
<worksheet xmlns="http://schemas.openxmlformats.org/spreadsheetml/2006/main" xmlns:r="http://schemas.openxmlformats.org/officeDocument/2006/relationships">
  <sheetPr>
    <pageSetUpPr fitToPage="1"/>
  </sheetPr>
  <dimension ref="A1:AM278"/>
  <sheetViews>
    <sheetView topLeftCell="A6" workbookViewId="0">
      <pane xSplit="1" ySplit="2"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41.125" customWidth="1"/>
    <col min="2" max="2" width="13" style="20" customWidth="1"/>
    <col min="3" max="3" width="12.5" style="21" customWidth="1"/>
    <col min="4" max="6" width="12.75" style="20" customWidth="1"/>
    <col min="7" max="7" width="13.875" style="20" customWidth="1"/>
    <col min="8" max="8" width="16.375" style="20" customWidth="1"/>
    <col min="9" max="9" width="13.75" style="20" customWidth="1"/>
    <col min="10" max="10" width="12.875" style="20" customWidth="1"/>
    <col min="11" max="11" width="14.5" style="20" customWidth="1"/>
    <col min="12" max="12" width="12.625" style="20" customWidth="1"/>
    <col min="13" max="13" width="13.125" style="21" customWidth="1"/>
    <col min="14" max="14" width="15" style="20" customWidth="1"/>
    <col min="15" max="15" width="16.375" style="20" customWidth="1"/>
    <col min="16" max="16" width="14.375" style="20" customWidth="1"/>
    <col min="17" max="21" width="14.375" customWidth="1"/>
  </cols>
  <sheetData>
    <row r="1" spans="1:39">
      <c r="A1" s="111" t="s">
        <v>192</v>
      </c>
      <c r="B1" s="42"/>
      <c r="C1" s="43"/>
      <c r="D1" s="42"/>
      <c r="E1" s="42"/>
      <c r="F1" s="42"/>
      <c r="G1" s="42"/>
      <c r="H1" s="42"/>
      <c r="I1" s="42"/>
      <c r="J1" s="42"/>
      <c r="K1" s="42"/>
      <c r="L1" s="42"/>
      <c r="M1" s="43"/>
      <c r="N1" s="42"/>
    </row>
    <row r="2" spans="1:39">
      <c r="A2" s="111" t="s">
        <v>327</v>
      </c>
      <c r="B2" s="42"/>
      <c r="C2" s="43"/>
      <c r="D2" s="42"/>
      <c r="E2" s="42"/>
      <c r="F2" s="42"/>
      <c r="G2" s="42"/>
      <c r="H2" s="42"/>
      <c r="I2" s="42"/>
      <c r="J2" s="42"/>
      <c r="K2" s="42"/>
      <c r="L2" s="42"/>
      <c r="M2" s="43"/>
      <c r="N2" s="42"/>
    </row>
    <row r="3" spans="1:39">
      <c r="A3" s="111" t="s">
        <v>197</v>
      </c>
      <c r="B3" s="42"/>
      <c r="C3" s="43"/>
      <c r="D3" s="42"/>
      <c r="E3" s="42"/>
      <c r="F3" s="42"/>
      <c r="G3" s="42"/>
      <c r="H3" s="42"/>
      <c r="I3" s="42"/>
      <c r="J3" s="42"/>
      <c r="K3" s="42"/>
      <c r="L3" s="42"/>
      <c r="M3" s="43"/>
      <c r="N3" s="42"/>
    </row>
    <row r="4" spans="1:39">
      <c r="A4" s="111" t="s">
        <v>198</v>
      </c>
      <c r="B4" s="42"/>
      <c r="C4" s="43"/>
      <c r="D4" s="42"/>
      <c r="E4" s="42"/>
      <c r="F4" s="42"/>
      <c r="G4" s="42"/>
      <c r="H4" s="42"/>
      <c r="I4" s="42"/>
      <c r="J4" s="42"/>
      <c r="K4" s="42"/>
      <c r="L4" s="42"/>
      <c r="M4" s="43"/>
      <c r="N4" s="42"/>
    </row>
    <row r="5" spans="1:39">
      <c r="A5" s="39"/>
      <c r="B5" s="42"/>
      <c r="C5" s="43"/>
      <c r="D5" s="42"/>
      <c r="E5" s="42"/>
      <c r="F5" s="42"/>
      <c r="G5" s="42"/>
      <c r="H5" s="42"/>
      <c r="I5" s="42"/>
      <c r="J5" s="42"/>
      <c r="K5" s="42"/>
      <c r="L5" s="42"/>
      <c r="M5" s="43"/>
      <c r="N5" s="42"/>
    </row>
    <row r="6" spans="1:39" ht="16.5" thickBot="1">
      <c r="A6" s="76"/>
      <c r="B6" s="141" t="s">
        <v>59</v>
      </c>
      <c r="C6" s="141" t="s">
        <v>60</v>
      </c>
      <c r="D6" s="140" t="s">
        <v>61</v>
      </c>
      <c r="E6" s="141" t="s">
        <v>66</v>
      </c>
      <c r="F6" s="140" t="s">
        <v>64</v>
      </c>
      <c r="G6" s="140" t="s">
        <v>328</v>
      </c>
      <c r="H6" s="147" t="s">
        <v>329</v>
      </c>
      <c r="I6" s="140" t="s">
        <v>67</v>
      </c>
      <c r="J6" s="147" t="s">
        <v>329</v>
      </c>
      <c r="K6" s="140" t="s">
        <v>68</v>
      </c>
      <c r="L6" s="141" t="s">
        <v>69</v>
      </c>
      <c r="M6" s="147" t="s">
        <v>329</v>
      </c>
      <c r="N6" s="251"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76"/>
      <c r="B7" s="253"/>
      <c r="C7" s="253"/>
      <c r="D7" s="252"/>
      <c r="E7" s="253"/>
      <c r="F7" s="252"/>
      <c r="G7" s="252"/>
      <c r="H7" s="261"/>
      <c r="I7" s="252"/>
      <c r="J7" s="261"/>
      <c r="K7" s="252"/>
      <c r="L7" s="253"/>
      <c r="M7" s="261"/>
      <c r="N7" s="252"/>
      <c r="P7" s="64"/>
      <c r="Q7" s="10"/>
      <c r="R7" s="10"/>
      <c r="S7" s="10"/>
      <c r="T7" s="10"/>
      <c r="U7" s="10"/>
      <c r="V7" s="10"/>
      <c r="W7" s="10"/>
      <c r="X7" s="10"/>
      <c r="Y7" s="10"/>
      <c r="Z7" s="10"/>
      <c r="AA7" s="10"/>
      <c r="AB7" s="10"/>
      <c r="AC7" s="10"/>
      <c r="AD7" s="10"/>
      <c r="AE7" s="10"/>
      <c r="AF7" s="10"/>
      <c r="AG7" s="10"/>
      <c r="AH7" s="10"/>
      <c r="AI7" s="10"/>
      <c r="AJ7" s="10"/>
      <c r="AK7" s="10"/>
      <c r="AL7" s="10"/>
      <c r="AM7" s="10"/>
    </row>
    <row r="8" spans="1:39" ht="19.5" thickTop="1">
      <c r="A8" s="264" t="s">
        <v>291</v>
      </c>
      <c r="B8" s="254"/>
      <c r="C8" s="254"/>
      <c r="D8" s="254"/>
      <c r="E8" s="254"/>
      <c r="F8" s="254"/>
      <c r="G8" s="254"/>
      <c r="H8" s="255"/>
      <c r="I8" s="254"/>
      <c r="J8" s="255"/>
      <c r="K8" s="254"/>
      <c r="L8" s="254"/>
      <c r="M8" s="255"/>
      <c r="N8" s="256"/>
      <c r="P8" s="66"/>
      <c r="Q8" s="67"/>
      <c r="R8" s="67"/>
      <c r="S8" s="67"/>
      <c r="T8" s="10"/>
      <c r="U8" s="10"/>
      <c r="V8" s="10"/>
      <c r="W8" s="10"/>
      <c r="X8" s="10"/>
      <c r="Y8" s="10"/>
      <c r="Z8" s="10"/>
      <c r="AA8" s="10"/>
      <c r="AB8" s="10"/>
      <c r="AC8" s="10"/>
      <c r="AD8" s="10"/>
      <c r="AE8" s="10"/>
      <c r="AF8" s="10"/>
      <c r="AG8" s="10"/>
      <c r="AH8" s="10"/>
      <c r="AI8" s="10"/>
      <c r="AJ8" s="10"/>
      <c r="AK8" s="10"/>
      <c r="AL8" s="10"/>
      <c r="AM8" s="10"/>
    </row>
    <row r="9" spans="1:39">
      <c r="A9" s="236" t="s">
        <v>968</v>
      </c>
      <c r="B9" s="226"/>
      <c r="C9" s="226"/>
      <c r="D9" s="76"/>
      <c r="E9" s="226"/>
      <c r="F9" s="145"/>
      <c r="G9" s="145"/>
      <c r="H9" s="171"/>
      <c r="I9" s="145"/>
      <c r="J9" s="171"/>
      <c r="K9" s="145"/>
      <c r="L9" s="226"/>
      <c r="M9" s="171"/>
      <c r="N9" s="227"/>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228" t="s">
        <v>199</v>
      </c>
      <c r="B10" s="91">
        <f>+'bilsysbandéc. 14  '!B23</f>
        <v>42887715.978069998</v>
      </c>
      <c r="C10" s="91">
        <f>+'bilsysbandéc. 14  '!C23</f>
        <v>3198879.3044799999</v>
      </c>
      <c r="D10" s="91">
        <f>+'bilsysbandéc. 14  '!D23</f>
        <v>5633680.9026068952</v>
      </c>
      <c r="E10" s="91">
        <f>+'bilsysbandéc. 14  '!E23</f>
        <v>12315640</v>
      </c>
      <c r="F10" s="91">
        <f>+'bilsysbandéc. 14  '!F23</f>
        <v>53105996.676800005</v>
      </c>
      <c r="G10" s="91">
        <f>+'bilsysbandéc. 14  '!G23</f>
        <v>59051093.044344425</v>
      </c>
      <c r="H10" s="172">
        <f>SUM(B10:G10)</f>
        <v>176193005.90630132</v>
      </c>
      <c r="I10" s="91">
        <f>+'bilsysbandéc. 14  '!I23</f>
        <v>6113904.2318060007</v>
      </c>
      <c r="J10" s="582">
        <f>SUM(I10:I10)</f>
        <v>6113904.2318060007</v>
      </c>
      <c r="K10" s="91">
        <f>+'bilsysbandéc. 14  '!K23</f>
        <v>6360128</v>
      </c>
      <c r="L10" s="91">
        <f>+'bilsysbandéc. 14  '!L23</f>
        <v>6133682</v>
      </c>
      <c r="M10" s="178">
        <f>SUM(K10:L10)</f>
        <v>12493810</v>
      </c>
      <c r="N10" s="229">
        <f>+H10+J10+M10</f>
        <v>194800720.13810733</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228" t="s">
        <v>200</v>
      </c>
      <c r="B11" s="91">
        <f>+'bilsysbandéc. 14  '!B17</f>
        <v>3810000</v>
      </c>
      <c r="C11" s="91">
        <f>+'bilsysbandéc. 14  '!C17</f>
        <v>223000</v>
      </c>
      <c r="D11" s="91">
        <f>+'bilsysbandéc. 14  '!D17</f>
        <v>180000</v>
      </c>
      <c r="E11" s="91">
        <f>+'bilsysbandéc. 14  '!E17</f>
        <v>298391</v>
      </c>
      <c r="F11" s="91">
        <f>+'bilsysbandéc. 14  '!F17</f>
        <v>1300000</v>
      </c>
      <c r="G11" s="91">
        <f>+'bilsysbandéc. 14  '!G17</f>
        <v>0</v>
      </c>
      <c r="H11" s="172">
        <f>SUM(B11:G11)</f>
        <v>5811391</v>
      </c>
      <c r="I11" s="91">
        <f>+'bilsysbandéc. 14  '!I17</f>
        <v>0</v>
      </c>
      <c r="J11" s="582">
        <f>SUM(I11:I11)</f>
        <v>0</v>
      </c>
      <c r="K11" s="91">
        <f>+'bilsysbandéc. 14  '!K17</f>
        <v>796833</v>
      </c>
      <c r="L11" s="91">
        <f>+'bilsysbandéc. 14  '!L17</f>
        <v>0</v>
      </c>
      <c r="M11" s="178">
        <f>SUM(K11:L11)</f>
        <v>796833</v>
      </c>
      <c r="N11" s="229">
        <f>+H11+J11+M11</f>
        <v>6608224</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c r="A12" s="228" t="s">
        <v>201</v>
      </c>
      <c r="B12" s="91">
        <f>+'bilsysbandéc. 14  '!B20</f>
        <v>10524694.186369998</v>
      </c>
      <c r="C12" s="91">
        <f>+'bilsysbandéc. 14  '!C20</f>
        <v>858993.53526000003</v>
      </c>
      <c r="D12" s="91">
        <f>+'bilsysbandéc. 14  '!D20</f>
        <v>2291639.3848394938</v>
      </c>
      <c r="E12" s="91">
        <f>+'bilsysbandéc. 14  '!E20</f>
        <v>5637972</v>
      </c>
      <c r="F12" s="91">
        <f>+'bilsysbandéc. 14  '!F20</f>
        <v>19215072.525990002</v>
      </c>
      <c r="G12" s="91">
        <f>+'bilsysbandéc. 14  '!G20</f>
        <v>24056419.86524</v>
      </c>
      <c r="H12" s="172">
        <f>SUM(B12:G12)</f>
        <v>62584791.497699492</v>
      </c>
      <c r="I12" s="91">
        <f>+'bilsysbandéc. 14  '!I20</f>
        <v>3345304.2581560002</v>
      </c>
      <c r="J12" s="582">
        <f>SUM(I12:I12)</f>
        <v>3345304.2581560002</v>
      </c>
      <c r="K12" s="91">
        <f>+'bilsysbandéc. 14  '!K20</f>
        <v>1798882</v>
      </c>
      <c r="L12" s="91">
        <f>+'bilsysbandéc. 14  '!L20</f>
        <v>2063611</v>
      </c>
      <c r="M12" s="178">
        <f>SUM(K12:L12)</f>
        <v>3862493</v>
      </c>
      <c r="N12" s="229">
        <f>+H12+J12+M12</f>
        <v>69792588.755855501</v>
      </c>
      <c r="P12" s="64"/>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c r="A13" s="228" t="s">
        <v>202</v>
      </c>
      <c r="B13" s="91">
        <f>+'bilsysbandéc. 14  '!B30</f>
        <v>33876000.771370001</v>
      </c>
      <c r="C13" s="91">
        <f>+'bilsysbandéc. 14  '!C30</f>
        <v>2877905.6299900003</v>
      </c>
      <c r="D13" s="91">
        <f>+'bilsysbandéc. 14  '!D30</f>
        <v>4698809.3730959753</v>
      </c>
      <c r="E13" s="91">
        <f>+'bilsysbandéc. 14  '!E30</f>
        <v>10419494</v>
      </c>
      <c r="F13" s="91">
        <f>+'bilsysbandéc. 14  '!F30</f>
        <v>42844618.908360004</v>
      </c>
      <c r="G13" s="91">
        <f>+'bilsysbandéc. 14  '!G30</f>
        <v>49484776.082875788</v>
      </c>
      <c r="H13" s="172">
        <f>SUM(B13:G13)</f>
        <v>144201604.76569176</v>
      </c>
      <c r="I13" s="91">
        <f>+'bilsysbandéc. 14  '!I30</f>
        <v>4545217.055470001</v>
      </c>
      <c r="J13" s="582">
        <f>SUM(I13:I13)</f>
        <v>4545217.055470001</v>
      </c>
      <c r="K13" s="91">
        <f>+'bilsysbandéc. 14  '!K30</f>
        <v>4588078</v>
      </c>
      <c r="L13" s="91">
        <f>+'bilsysbandéc. 14  '!L30</f>
        <v>5226196</v>
      </c>
      <c r="M13" s="178">
        <f>SUM(K13:L13)</f>
        <v>9814274</v>
      </c>
      <c r="N13" s="229">
        <f>+H13+J13+M13</f>
        <v>158561095.82116175</v>
      </c>
      <c r="P13" s="64"/>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228" t="s">
        <v>203</v>
      </c>
      <c r="B14" s="91">
        <f>+'bilsysbandéc. 14  '!B52</f>
        <v>3191363.1577500002</v>
      </c>
      <c r="C14" s="91">
        <f>+'bilsysbandéc. 14  '!C52</f>
        <v>127762.48477000001</v>
      </c>
      <c r="D14" s="91">
        <f>+'bilsysbandéc. 14  '!D52</f>
        <v>282671.47166000004</v>
      </c>
      <c r="E14" s="91">
        <f>+'bilsysbandéc. 14  '!E52</f>
        <v>1074342</v>
      </c>
      <c r="F14" s="91">
        <f>+'bilsysbandéc. 14  '!F52</f>
        <v>3881092.5410900004</v>
      </c>
      <c r="G14" s="91">
        <f>+'bilsysbandéc. 14  '!G52</f>
        <v>5797198.1322699999</v>
      </c>
      <c r="H14" s="172">
        <f>SUM(B14:G14)</f>
        <v>14354429.78754</v>
      </c>
      <c r="I14" s="91">
        <f>+'bilsysbandéc. 14  '!I52</f>
        <v>493689.75045000005</v>
      </c>
      <c r="J14" s="582">
        <f>SUM(I14:I14)</f>
        <v>493689.75045000005</v>
      </c>
      <c r="K14" s="91">
        <f>+'bilsysbandéc. 14  '!K52</f>
        <v>390175</v>
      </c>
      <c r="L14" s="91">
        <f>+'bilsysbandéc. 14  '!L52</f>
        <v>272759</v>
      </c>
      <c r="M14" s="178">
        <f>SUM(K14:L14)</f>
        <v>662934</v>
      </c>
      <c r="N14" s="229">
        <f>+H14+J14+M14</f>
        <v>15511053.53799</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228" t="s">
        <v>0</v>
      </c>
      <c r="B15" s="92" t="s">
        <v>0</v>
      </c>
      <c r="C15" s="92" t="s">
        <v>0</v>
      </c>
      <c r="D15" s="91" t="s">
        <v>0</v>
      </c>
      <c r="E15" s="92" t="s">
        <v>0</v>
      </c>
      <c r="F15" s="91" t="s">
        <v>0</v>
      </c>
      <c r="G15" s="91" t="s">
        <v>0</v>
      </c>
      <c r="H15" s="172" t="s">
        <v>0</v>
      </c>
      <c r="I15" s="91" t="s">
        <v>54</v>
      </c>
      <c r="J15" s="178"/>
      <c r="K15" s="91" t="s">
        <v>0</v>
      </c>
      <c r="L15" s="92" t="s">
        <v>0</v>
      </c>
      <c r="M15" s="178" t="s">
        <v>0</v>
      </c>
      <c r="N15" s="229" t="s">
        <v>0</v>
      </c>
      <c r="P15" s="64" t="s">
        <v>0</v>
      </c>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15.6" customHeight="1">
      <c r="A16" s="236" t="s">
        <v>942</v>
      </c>
      <c r="B16" s="91" t="s">
        <v>0</v>
      </c>
      <c r="C16" s="91" t="s">
        <v>0</v>
      </c>
      <c r="D16" s="91" t="s">
        <v>0</v>
      </c>
      <c r="E16" s="93" t="s">
        <v>0</v>
      </c>
      <c r="F16" s="91" t="s">
        <v>0</v>
      </c>
      <c r="G16" s="91" t="s">
        <v>0</v>
      </c>
      <c r="H16" s="172" t="s">
        <v>0</v>
      </c>
      <c r="I16" s="91" t="s">
        <v>0</v>
      </c>
      <c r="J16" s="178"/>
      <c r="K16" s="91" t="s">
        <v>0</v>
      </c>
      <c r="L16" s="92" t="s">
        <v>0</v>
      </c>
      <c r="M16" s="178" t="s">
        <v>0</v>
      </c>
      <c r="N16" s="229" t="s">
        <v>0</v>
      </c>
      <c r="P16" s="64" t="s">
        <v>0</v>
      </c>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c r="A17" s="228" t="s">
        <v>199</v>
      </c>
      <c r="B17" s="91">
        <f>+'bilsysbansept. 14.  '!B22</f>
        <v>40802768.619939998</v>
      </c>
      <c r="C17" s="91">
        <f>+'bilsysbansept. 14.  '!C22</f>
        <v>3064829.2666900004</v>
      </c>
      <c r="D17" s="91">
        <f>+'bilsysbansept. 14.  '!D22</f>
        <v>4984964.2055499339</v>
      </c>
      <c r="E17" s="91">
        <f>+'bilsysbansept. 14.  '!E22</f>
        <v>11982488</v>
      </c>
      <c r="F17" s="91">
        <f>+'bilsysbansept. 14.  '!F22</f>
        <v>52053383.624530002</v>
      </c>
      <c r="G17" s="91">
        <f>+'bilsysbansept. 14.  '!G22</f>
        <v>59077362.734374464</v>
      </c>
      <c r="H17" s="172">
        <f>SUM(B17:G17)</f>
        <v>171965796.45108441</v>
      </c>
      <c r="I17" s="91">
        <f>+'bilsysbansept. 14.  '!I22</f>
        <v>5665677.6540470002</v>
      </c>
      <c r="J17" s="582">
        <f>SUM(I17:I17)</f>
        <v>5665677.6540470002</v>
      </c>
      <c r="K17" s="91">
        <f>+'bilsysbansept. 14.  '!K22</f>
        <v>7089895</v>
      </c>
      <c r="L17" s="91">
        <f>+'bilsysbansept. 14.  '!L22</f>
        <v>5905326</v>
      </c>
      <c r="M17" s="178">
        <f>SUM(K17:L17)</f>
        <v>12995221</v>
      </c>
      <c r="N17" s="229">
        <f>+H17+J17+M17</f>
        <v>190626695.10513142</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c r="A18" s="228" t="s">
        <v>200</v>
      </c>
      <c r="B18" s="91">
        <f>+'bilsysbansept. 14.  '!B17</f>
        <v>2334000</v>
      </c>
      <c r="C18" s="91">
        <f>+'bilsysbansept. 14.  '!C17</f>
        <v>100000</v>
      </c>
      <c r="D18" s="91">
        <f>+'bilsysbansept. 14.  '!D17</f>
        <v>0</v>
      </c>
      <c r="E18" s="91">
        <f>+'bilsysbansept. 14.  '!E17</f>
        <v>74992</v>
      </c>
      <c r="F18" s="91">
        <f>+'bilsysbansept. 14.  '!F17</f>
        <v>1950000</v>
      </c>
      <c r="G18" s="91">
        <f>+'bilsysbansept. 14.  '!G17</f>
        <v>0</v>
      </c>
      <c r="H18" s="172">
        <f>SUM(B18:G18)</f>
        <v>4458992</v>
      </c>
      <c r="I18" s="91">
        <f>+'bilsysbansept. 14.  '!I17</f>
        <v>0</v>
      </c>
      <c r="J18" s="582">
        <f>SUM(I18:I18)</f>
        <v>0</v>
      </c>
      <c r="K18" s="91">
        <f>+'bilsysbansept. 14.  '!K17</f>
        <v>49563</v>
      </c>
      <c r="L18" s="91">
        <f>+'bilsysbansept. 14.  '!L17</f>
        <v>0</v>
      </c>
      <c r="M18" s="178">
        <f>SUM(K18:L18)</f>
        <v>49563</v>
      </c>
      <c r="N18" s="229">
        <f>+H18+J18+M18</f>
        <v>4508555</v>
      </c>
      <c r="P18" s="64"/>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c r="A19" s="228" t="s">
        <v>201</v>
      </c>
      <c r="B19" s="91">
        <f>+'bilsysbansept. 14.  '!B19</f>
        <v>11264487.9945</v>
      </c>
      <c r="C19" s="91">
        <f>+'bilsysbansept. 14.  '!C19</f>
        <v>958681.84587000008</v>
      </c>
      <c r="D19" s="91">
        <f>+'bilsysbansept. 14.  '!D19</f>
        <v>2277488.0100037898</v>
      </c>
      <c r="E19" s="91">
        <f>+'bilsysbansept. 14.  '!E19</f>
        <v>5416947</v>
      </c>
      <c r="F19" s="91">
        <f>+'bilsysbansept. 14.  '!F19</f>
        <v>19001042.77665</v>
      </c>
      <c r="G19" s="91">
        <f>+'bilsysbansept. 14.  '!G19</f>
        <v>22477640.604379997</v>
      </c>
      <c r="H19" s="172">
        <f>SUM(B19:G19)</f>
        <v>61396288.231403783</v>
      </c>
      <c r="I19" s="91">
        <f>+'bilsysbansept. 14.  '!I19</f>
        <v>3180507.1550469999</v>
      </c>
      <c r="J19" s="582">
        <f>SUM(I19:I19)</f>
        <v>3180507.1550469999</v>
      </c>
      <c r="K19" s="91">
        <f>+'bilsysbansept. 14.  '!K19</f>
        <v>1447270</v>
      </c>
      <c r="L19" s="91">
        <f>+'bilsysbansept. 14.  '!L19</f>
        <v>2154182</v>
      </c>
      <c r="M19" s="178">
        <f>SUM(K19:L19)</f>
        <v>3601452</v>
      </c>
      <c r="N19" s="229">
        <f>+H19+J19+M19</f>
        <v>68178247.386450782</v>
      </c>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228" t="s">
        <v>202</v>
      </c>
      <c r="B20" s="91">
        <f>+'bilsysbansept. 14.  '!B29</f>
        <v>35961593.233419999</v>
      </c>
      <c r="C20" s="91">
        <f>+'bilsysbansept. 14.  '!C29</f>
        <v>2755867.0213200003</v>
      </c>
      <c r="D20" s="91">
        <f>+'bilsysbansept. 14.  '!D29</f>
        <v>4083025.7848088127</v>
      </c>
      <c r="E20" s="91">
        <f>+'bilsysbansept. 14.  '!E29</f>
        <v>10146098</v>
      </c>
      <c r="F20" s="91">
        <f>+'bilsysbansept. 14.  '!F29</f>
        <v>41458042.765893191</v>
      </c>
      <c r="G20" s="91">
        <f>+'bilsysbansept. 14.  '!G29</f>
        <v>48486999.598265424</v>
      </c>
      <c r="H20" s="172">
        <f>SUM(B20:G20)</f>
        <v>142891626.40370744</v>
      </c>
      <c r="I20" s="91">
        <f>+'bilsysbansept. 14.  '!I29</f>
        <v>4094458.0879500001</v>
      </c>
      <c r="J20" s="582">
        <f>SUM(I20:I20)</f>
        <v>4094458.0879500001</v>
      </c>
      <c r="K20" s="91">
        <f>+'bilsysbansept. 14.  '!K29</f>
        <v>5538270</v>
      </c>
      <c r="L20" s="91">
        <f>+'bilsysbansept. 14.  '!L29</f>
        <v>5024768</v>
      </c>
      <c r="M20" s="178">
        <f>SUM(K20:L20)</f>
        <v>10563038</v>
      </c>
      <c r="N20" s="229">
        <f>+H20+J20+M20</f>
        <v>157549122.49165744</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228" t="s">
        <v>203</v>
      </c>
      <c r="B21" s="91">
        <f>+'bilsysbansept. 14.  '!B51</f>
        <v>3036675.7964300001</v>
      </c>
      <c r="C21" s="91">
        <f>+'bilsysbansept. 14.  '!C51</f>
        <v>129300.93856000001</v>
      </c>
      <c r="D21" s="91">
        <f>+'bilsysbansept. 14.  '!D51</f>
        <v>269271</v>
      </c>
      <c r="E21" s="91">
        <f>+'bilsysbansept. 14.  '!E51</f>
        <v>1009190</v>
      </c>
      <c r="F21" s="91">
        <f>+'bilsysbansept. 14.  '!F51</f>
        <v>3767440.0748800002</v>
      </c>
      <c r="G21" s="91">
        <f>+'bilsysbansept. 14.  '!G51</f>
        <v>5455690.0570499999</v>
      </c>
      <c r="H21" s="172">
        <f>SUM(B21:G21)</f>
        <v>13667567.866920002</v>
      </c>
      <c r="I21" s="91">
        <f>+'bilsysbansept. 14.  '!I51</f>
        <v>466175.77730999998</v>
      </c>
      <c r="J21" s="582">
        <f>SUM(I21:I21)</f>
        <v>466175.77730999998</v>
      </c>
      <c r="K21" s="91">
        <f>+'bilsysbansept. 14.  '!K51</f>
        <v>369508</v>
      </c>
      <c r="L21" s="91">
        <f>+'bilsysbansept. 14.  '!L51</f>
        <v>247234</v>
      </c>
      <c r="M21" s="178">
        <f>SUM(K21:L21)</f>
        <v>616742</v>
      </c>
      <c r="N21" s="229">
        <f>+H21+J21+M21</f>
        <v>14750485.644230003</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c r="A22" s="228" t="s">
        <v>54</v>
      </c>
      <c r="B22" s="94" t="s">
        <v>0</v>
      </c>
      <c r="C22" s="94" t="s">
        <v>0</v>
      </c>
      <c r="D22" s="94" t="s">
        <v>0</v>
      </c>
      <c r="E22" s="92" t="s">
        <v>0</v>
      </c>
      <c r="F22" s="94" t="s">
        <v>0</v>
      </c>
      <c r="G22" s="94" t="s">
        <v>0</v>
      </c>
      <c r="H22" s="172" t="s">
        <v>0</v>
      </c>
      <c r="I22" s="94" t="s">
        <v>0</v>
      </c>
      <c r="J22" s="178"/>
      <c r="K22" s="91" t="s">
        <v>0</v>
      </c>
      <c r="L22" s="92" t="s">
        <v>0</v>
      </c>
      <c r="M22" s="183" t="s">
        <v>0</v>
      </c>
      <c r="N22" s="229" t="s">
        <v>0</v>
      </c>
      <c r="P22" s="64" t="s">
        <v>0</v>
      </c>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c r="A23" s="236" t="s">
        <v>969</v>
      </c>
      <c r="B23" s="230" t="s">
        <v>0</v>
      </c>
      <c r="C23" s="92" t="s">
        <v>0</v>
      </c>
      <c r="D23" s="91"/>
      <c r="E23" s="92" t="s">
        <v>0</v>
      </c>
      <c r="F23" s="91"/>
      <c r="G23" s="91"/>
      <c r="H23" s="172"/>
      <c r="I23" s="91"/>
      <c r="J23" s="178"/>
      <c r="K23" s="91"/>
      <c r="L23" s="92" t="s">
        <v>0</v>
      </c>
      <c r="M23" s="178"/>
      <c r="N23" s="229"/>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c r="A24" s="228" t="s">
        <v>199</v>
      </c>
      <c r="B24" s="230">
        <f t="shared" ref="B24:H25" si="0">(+B10-B17)/ABS(B17)</f>
        <v>5.1098183497065512E-2</v>
      </c>
      <c r="C24" s="230">
        <f t="shared" si="0"/>
        <v>4.3738174666666782E-2</v>
      </c>
      <c r="D24" s="230">
        <f t="shared" si="0"/>
        <v>0.13013467505638704</v>
      </c>
      <c r="E24" s="230">
        <f t="shared" si="0"/>
        <v>2.7803240862832493E-2</v>
      </c>
      <c r="F24" s="230">
        <f t="shared" si="0"/>
        <v>2.0221798833725803E-2</v>
      </c>
      <c r="G24" s="230">
        <f t="shared" si="0"/>
        <v>-4.446659230228841E-4</v>
      </c>
      <c r="H24" s="174">
        <f t="shared" si="0"/>
        <v>2.4581687419563937E-2</v>
      </c>
      <c r="I24" s="230">
        <f t="shared" ref="I24:N25" si="1">(+I10-I17)/ABS(I17)</f>
        <v>7.9112615494252789E-2</v>
      </c>
      <c r="J24" s="589">
        <f t="shared" si="1"/>
        <v>7.9112615494252789E-2</v>
      </c>
      <c r="K24" s="230">
        <f t="shared" si="1"/>
        <v>-0.10293057936683124</v>
      </c>
      <c r="L24" s="230">
        <f t="shared" si="1"/>
        <v>3.866949936379465E-2</v>
      </c>
      <c r="M24" s="174">
        <f t="shared" si="1"/>
        <v>-3.858426109105801E-2</v>
      </c>
      <c r="N24" s="231">
        <f t="shared" si="1"/>
        <v>2.1896330053216943E-2</v>
      </c>
      <c r="P24" s="64"/>
      <c r="Q24" s="10"/>
      <c r="R24" s="10"/>
      <c r="S24" s="10"/>
      <c r="T24" s="10"/>
      <c r="U24" s="10"/>
      <c r="V24" s="10"/>
      <c r="W24" s="10"/>
      <c r="X24" s="10"/>
      <c r="Y24" s="10"/>
      <c r="Z24" s="10"/>
      <c r="AA24" s="10"/>
      <c r="AB24" s="10"/>
      <c r="AC24" s="10"/>
      <c r="AD24" s="10"/>
      <c r="AE24" s="10"/>
      <c r="AF24" s="10"/>
      <c r="AG24" s="10"/>
      <c r="AH24" s="10"/>
      <c r="AI24" s="10"/>
      <c r="AJ24" s="10"/>
      <c r="AK24" s="10"/>
      <c r="AL24" s="10"/>
      <c r="AM24" s="10"/>
    </row>
    <row r="25" spans="1:39" s="48" customFormat="1">
      <c r="A25" s="265" t="s">
        <v>330</v>
      </c>
      <c r="B25" s="230">
        <f t="shared" ref="B25:H28" si="2">(+B11-B18)/ABS(B18)</f>
        <v>0.63239074550128538</v>
      </c>
      <c r="C25" s="230">
        <f t="shared" si="0"/>
        <v>1.23</v>
      </c>
      <c r="D25" s="1360">
        <v>0</v>
      </c>
      <c r="E25" s="230">
        <f t="shared" si="0"/>
        <v>2.9789710902496265</v>
      </c>
      <c r="F25" s="230">
        <f t="shared" si="0"/>
        <v>-0.33333333333333331</v>
      </c>
      <c r="G25" s="92">
        <v>0</v>
      </c>
      <c r="H25" s="174">
        <f t="shared" si="2"/>
        <v>0.30329702318371504</v>
      </c>
      <c r="I25" s="92">
        <v>0</v>
      </c>
      <c r="J25" s="723">
        <v>0</v>
      </c>
      <c r="K25" s="230">
        <f t="shared" si="1"/>
        <v>15.077174505175231</v>
      </c>
      <c r="L25" s="92">
        <v>0</v>
      </c>
      <c r="M25" s="174">
        <f t="shared" si="1"/>
        <v>15.077174505175231</v>
      </c>
      <c r="N25" s="231">
        <f>(+N11-N18)/ABS(N18)</f>
        <v>0.4657077489350801</v>
      </c>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row>
    <row r="26" spans="1:39">
      <c r="A26" s="228" t="s">
        <v>201</v>
      </c>
      <c r="B26" s="230">
        <f t="shared" si="2"/>
        <v>-6.5674872083952104E-2</v>
      </c>
      <c r="C26" s="230">
        <f t="shared" si="2"/>
        <v>-0.10398476933662312</v>
      </c>
      <c r="D26" s="230">
        <f t="shared" si="2"/>
        <v>6.2135891708516343E-3</v>
      </c>
      <c r="E26" s="230">
        <f>(+E12-E19)/ABS(E19)</f>
        <v>4.0802503698116298E-2</v>
      </c>
      <c r="F26" s="230">
        <f t="shared" si="2"/>
        <v>1.1264105441782298E-2</v>
      </c>
      <c r="G26" s="230">
        <f t="shared" si="2"/>
        <v>7.0237765993658705E-2</v>
      </c>
      <c r="H26" s="174">
        <f t="shared" si="2"/>
        <v>1.935790095023688E-2</v>
      </c>
      <c r="I26" s="230">
        <f t="shared" ref="I26:J28" si="3">(+I12-I19)/ABS(I19)</f>
        <v>5.1814724845844581E-2</v>
      </c>
      <c r="J26" s="589">
        <f t="shared" si="3"/>
        <v>5.1814724845844581E-2</v>
      </c>
      <c r="K26" s="230">
        <f t="shared" ref="K26:M28" si="4">(+K12-K19)/ABS(K19)</f>
        <v>0.24294844776717545</v>
      </c>
      <c r="L26" s="230">
        <f t="shared" si="4"/>
        <v>-4.2044265526311145E-2</v>
      </c>
      <c r="M26" s="174">
        <f t="shared" si="4"/>
        <v>7.2482154419939507E-2</v>
      </c>
      <c r="N26" s="231">
        <f>(+N12-N19)/ABS(N19)</f>
        <v>2.367824682048867E-2</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c r="A27" s="228" t="s">
        <v>202</v>
      </c>
      <c r="B27" s="230">
        <f t="shared" si="2"/>
        <v>-5.7994996175859237E-2</v>
      </c>
      <c r="C27" s="230">
        <f t="shared" si="2"/>
        <v>4.4283199343757212E-2</v>
      </c>
      <c r="D27" s="230">
        <f t="shared" si="2"/>
        <v>0.1508155031933007</v>
      </c>
      <c r="E27" s="230">
        <f>(+E13-E20)/ABS(E20)</f>
        <v>2.6945925418816179E-2</v>
      </c>
      <c r="F27" s="230">
        <f t="shared" si="2"/>
        <v>3.3445287089325051E-2</v>
      </c>
      <c r="G27" s="230">
        <f t="shared" si="2"/>
        <v>2.05782270067719E-2</v>
      </c>
      <c r="H27" s="174">
        <f t="shared" si="2"/>
        <v>9.1676356057650982E-3</v>
      </c>
      <c r="I27" s="230">
        <f t="shared" si="3"/>
        <v>0.11009001871250938</v>
      </c>
      <c r="J27" s="589">
        <f t="shared" si="3"/>
        <v>0.11009001871250938</v>
      </c>
      <c r="K27" s="230">
        <f t="shared" si="4"/>
        <v>-0.17156837785084511</v>
      </c>
      <c r="L27" s="230">
        <f t="shared" si="4"/>
        <v>4.0087024913389037E-2</v>
      </c>
      <c r="M27" s="174">
        <f t="shared" si="4"/>
        <v>-7.0885288872386903E-2</v>
      </c>
      <c r="N27" s="231">
        <f>(+N13-N20)/ABS(N20)</f>
        <v>6.423224157011076E-3</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6.5" thickBot="1">
      <c r="A28" s="232" t="s">
        <v>203</v>
      </c>
      <c r="B28" s="233">
        <f t="shared" si="2"/>
        <v>5.0939702388333612E-2</v>
      </c>
      <c r="C28" s="233">
        <f t="shared" si="2"/>
        <v>-1.189824147553349E-2</v>
      </c>
      <c r="D28" s="233">
        <f t="shared" si="2"/>
        <v>4.9765744027392624E-2</v>
      </c>
      <c r="E28" s="233">
        <f>(+E14-E21)/ABS(E21)</f>
        <v>6.4558705496487276E-2</v>
      </c>
      <c r="F28" s="233">
        <f t="shared" si="2"/>
        <v>3.0167026933698542E-2</v>
      </c>
      <c r="G28" s="233">
        <f t="shared" si="2"/>
        <v>6.2596678265968098E-2</v>
      </c>
      <c r="H28" s="234">
        <f t="shared" si="2"/>
        <v>5.0254875432697084E-2</v>
      </c>
      <c r="I28" s="233">
        <f t="shared" si="3"/>
        <v>5.9020597978654069E-2</v>
      </c>
      <c r="J28" s="606">
        <f t="shared" si="3"/>
        <v>5.9020597978654069E-2</v>
      </c>
      <c r="K28" s="233">
        <f t="shared" si="4"/>
        <v>5.593113004319257E-2</v>
      </c>
      <c r="L28" s="233">
        <f t="shared" si="4"/>
        <v>0.1032422725029729</v>
      </c>
      <c r="M28" s="234">
        <f t="shared" si="4"/>
        <v>7.4896796391359752E-2</v>
      </c>
      <c r="N28" s="235">
        <f>(+N14-N21)/ABS(N21)</f>
        <v>5.1562227312665562E-2</v>
      </c>
      <c r="P28" s="64"/>
      <c r="Q28" s="10"/>
      <c r="R28" s="10"/>
      <c r="S28" s="10"/>
      <c r="T28" s="10"/>
      <c r="U28" s="10"/>
      <c r="V28" s="10"/>
      <c r="W28" s="10"/>
      <c r="X28" s="10"/>
      <c r="Y28" s="10"/>
      <c r="Z28" s="10"/>
      <c r="AA28" s="10"/>
      <c r="AB28" s="10"/>
      <c r="AC28" s="10"/>
      <c r="AD28" s="10"/>
      <c r="AE28" s="10"/>
      <c r="AF28" s="10"/>
      <c r="AG28" s="10"/>
      <c r="AH28" s="10"/>
      <c r="AI28" s="10"/>
      <c r="AJ28" s="10"/>
      <c r="AK28" s="10"/>
      <c r="AL28" s="10"/>
      <c r="AM28" s="10"/>
    </row>
    <row r="29" spans="1:39" ht="17.25" thickTop="1" thickBot="1">
      <c r="A29" s="76"/>
      <c r="B29" s="230"/>
      <c r="C29" s="230"/>
      <c r="D29" s="230"/>
      <c r="E29" s="230"/>
      <c r="F29" s="230"/>
      <c r="G29" s="230"/>
      <c r="H29" s="237"/>
      <c r="I29" s="230"/>
      <c r="J29" s="561"/>
      <c r="K29" s="230"/>
      <c r="L29" s="230"/>
      <c r="M29" s="237"/>
      <c r="N29" s="237"/>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9.5" thickTop="1">
      <c r="A30" s="264" t="s">
        <v>331</v>
      </c>
      <c r="B30" s="239" t="s">
        <v>0</v>
      </c>
      <c r="C30" s="239" t="s">
        <v>0</v>
      </c>
      <c r="D30" s="239" t="s">
        <v>0</v>
      </c>
      <c r="E30" s="240" t="s">
        <v>0</v>
      </c>
      <c r="F30" s="239" t="s">
        <v>0</v>
      </c>
      <c r="G30" s="239" t="s">
        <v>0</v>
      </c>
      <c r="H30" s="249" t="s">
        <v>0</v>
      </c>
      <c r="I30" s="239" t="s">
        <v>0</v>
      </c>
      <c r="J30" s="257"/>
      <c r="K30" s="239" t="s">
        <v>0</v>
      </c>
      <c r="L30" s="240" t="s">
        <v>0</v>
      </c>
      <c r="M30" s="257" t="s">
        <v>0</v>
      </c>
      <c r="N30" s="245" t="s">
        <v>0</v>
      </c>
      <c r="P30" s="64" t="s">
        <v>0</v>
      </c>
      <c r="Q30" s="10" t="s">
        <v>0</v>
      </c>
      <c r="R30" s="10" t="s">
        <v>0</v>
      </c>
      <c r="S30" s="10" t="s">
        <v>0</v>
      </c>
      <c r="T30" s="10"/>
      <c r="U30" s="10"/>
      <c r="V30" s="10"/>
      <c r="W30" s="10"/>
      <c r="X30" s="10"/>
      <c r="Y30" s="10"/>
      <c r="Z30" s="10"/>
      <c r="AA30" s="10"/>
      <c r="AB30" s="10"/>
      <c r="AC30" s="10"/>
      <c r="AD30" s="10"/>
      <c r="AE30" s="10"/>
      <c r="AF30" s="10"/>
      <c r="AG30" s="10"/>
      <c r="AH30" s="10"/>
      <c r="AI30" s="10"/>
      <c r="AJ30" s="10"/>
      <c r="AK30" s="10"/>
      <c r="AL30" s="10"/>
      <c r="AM30" s="10"/>
    </row>
    <row r="31" spans="1:39">
      <c r="A31" s="236" t="s">
        <v>970</v>
      </c>
      <c r="B31" s="230" t="s">
        <v>0</v>
      </c>
      <c r="C31" s="92" t="s">
        <v>0</v>
      </c>
      <c r="D31" s="91"/>
      <c r="E31" s="92" t="s">
        <v>0</v>
      </c>
      <c r="F31" s="91"/>
      <c r="G31" s="91"/>
      <c r="H31" s="172"/>
      <c r="I31" s="91"/>
      <c r="J31" s="178"/>
      <c r="K31" s="91"/>
      <c r="L31" s="92" t="s">
        <v>0</v>
      </c>
      <c r="M31" s="178"/>
      <c r="N31" s="246"/>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c r="A32" s="228" t="s">
        <v>209</v>
      </c>
      <c r="B32" s="91">
        <f>+'RÉSULTsyst  '!B16</f>
        <v>327287.90830999997</v>
      </c>
      <c r="C32" s="91">
        <f>+'RÉSULTsyst  '!C16</f>
        <v>25237.194809999997</v>
      </c>
      <c r="D32" s="91">
        <f>+'RÉSULTsyst  '!D16</f>
        <v>65910.800005431985</v>
      </c>
      <c r="E32" s="91">
        <f>+'RÉSULTsyst  '!E16</f>
        <v>174044</v>
      </c>
      <c r="F32" s="91">
        <f>+'RÉSULTsyst  '!F16</f>
        <v>377690.66683</v>
      </c>
      <c r="G32" s="91">
        <f>+'RÉSULTsyst  '!G16</f>
        <v>438908.68257</v>
      </c>
      <c r="H32" s="172">
        <f>SUM(B32:G32)</f>
        <v>1409079.252525432</v>
      </c>
      <c r="I32" s="91">
        <f>+'RÉSULTsyst  '!I16</f>
        <v>52167.535710000004</v>
      </c>
      <c r="J32" s="178">
        <f>SUM(I32:I32)</f>
        <v>52167.535710000004</v>
      </c>
      <c r="K32" s="91">
        <f>+'RÉSULTsyst  '!K16</f>
        <v>35810</v>
      </c>
      <c r="L32" s="91">
        <f>+'RÉSULTsyst  '!L16</f>
        <v>46892</v>
      </c>
      <c r="M32" s="178">
        <f>SUM(K32:L32)</f>
        <v>82702</v>
      </c>
      <c r="N32" s="246">
        <f>+H32+J32+M32</f>
        <v>1543948.788235432</v>
      </c>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c r="A33" s="228" t="s">
        <v>210</v>
      </c>
      <c r="B33" s="91">
        <f>+'RÉSULTsyst  '!B22</f>
        <v>115495.14137000001</v>
      </c>
      <c r="C33" s="91">
        <f>+'RÉSULTsyst  '!C22</f>
        <v>18608.140829999997</v>
      </c>
      <c r="D33" s="91">
        <f>+'RÉSULTsyst  '!D22</f>
        <v>42416.731480000002</v>
      </c>
      <c r="E33" s="91">
        <f>+'RÉSULTsyst  '!E22</f>
        <v>127790</v>
      </c>
      <c r="F33" s="91">
        <f>+'RÉSULTsyst  '!F22</f>
        <v>377357.21606999997</v>
      </c>
      <c r="G33" s="91">
        <f>+'RÉSULTsyst  '!G22</f>
        <v>491798.89597000001</v>
      </c>
      <c r="H33" s="172">
        <f>SUM(B33:G33)</f>
        <v>1173466.1257199999</v>
      </c>
      <c r="I33" s="91">
        <f>+'RÉSULTsyst  '!I22</f>
        <v>12988.6914</v>
      </c>
      <c r="J33" s="178">
        <f>SUM(I33:I33)</f>
        <v>12988.6914</v>
      </c>
      <c r="K33" s="91">
        <f>+'RÉSULTsyst  '!K22</f>
        <v>52941</v>
      </c>
      <c r="L33" s="91">
        <f>+'RÉSULTsyst  '!L22</f>
        <v>26940</v>
      </c>
      <c r="M33" s="178">
        <f>SUM(K33:L33)</f>
        <v>79881</v>
      </c>
      <c r="N33" s="246">
        <f>+H33+J33+M33</f>
        <v>1266335.8171199998</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7.25">
      <c r="A34" s="228" t="s">
        <v>211</v>
      </c>
      <c r="B34" s="91">
        <f>+'RÉSULTsyst  '!B26</f>
        <v>0</v>
      </c>
      <c r="C34" s="91">
        <f>+'RÉSULTsyst  '!C26</f>
        <v>11500.414280000001</v>
      </c>
      <c r="D34" s="91">
        <f>+'RÉSULTsyst  '!D26</f>
        <v>3811.9420599999999</v>
      </c>
      <c r="E34" s="91">
        <f>+'RÉSULTsyst  '!E26</f>
        <v>11425</v>
      </c>
      <c r="F34" s="91">
        <f>+'RÉSULTsyst  '!F26</f>
        <v>102622.75981</v>
      </c>
      <c r="G34" s="91">
        <f>+'RÉSULTsyst  '!G26</f>
        <v>18007.300999999999</v>
      </c>
      <c r="H34" s="172">
        <f>SUM(B34:G34)</f>
        <v>147367.41714999999</v>
      </c>
      <c r="I34" s="91">
        <f>+'RÉSULTsyst  '!I26</f>
        <v>2700</v>
      </c>
      <c r="J34" s="178">
        <f>SUM(I34:I34)</f>
        <v>2700</v>
      </c>
      <c r="K34" s="91">
        <f>+'RÉSULTsyst  '!K26</f>
        <v>101</v>
      </c>
      <c r="L34" s="91">
        <f>+'RÉSULTsyst  '!L26</f>
        <v>-5602</v>
      </c>
      <c r="M34" s="178">
        <f>SUM(K34:L34)</f>
        <v>-5501</v>
      </c>
      <c r="N34" s="246">
        <f>+H34+J34+M34</f>
        <v>144566.41714999999</v>
      </c>
      <c r="P34" s="68"/>
      <c r="Q34" s="70"/>
      <c r="R34" s="70"/>
      <c r="S34" s="70"/>
      <c r="T34" s="10"/>
      <c r="U34" s="10"/>
      <c r="V34" s="10"/>
      <c r="W34" s="10"/>
      <c r="X34" s="10"/>
      <c r="Y34" s="10"/>
      <c r="Z34" s="10"/>
      <c r="AA34" s="10"/>
      <c r="AB34" s="10"/>
      <c r="AC34" s="10"/>
      <c r="AD34" s="10"/>
      <c r="AE34" s="10"/>
      <c r="AF34" s="10"/>
      <c r="AG34" s="10"/>
      <c r="AH34" s="10"/>
      <c r="AI34" s="10"/>
      <c r="AJ34" s="10"/>
      <c r="AK34" s="10"/>
      <c r="AL34" s="10"/>
      <c r="AM34" s="10"/>
    </row>
    <row r="35" spans="1:39" ht="16.149999999999999" customHeight="1">
      <c r="A35" s="228" t="s">
        <v>332</v>
      </c>
      <c r="B35" s="91">
        <f>+'RÉSULTsyst  '!B36</f>
        <v>262497.39581999998</v>
      </c>
      <c r="C35" s="91">
        <f>+'RÉSULTsyst  '!C36</f>
        <v>33873.008179999997</v>
      </c>
      <c r="D35" s="91">
        <f>+'RÉSULTsyst  '!D36</f>
        <v>91115.163549999997</v>
      </c>
      <c r="E35" s="91">
        <f>+'RÉSULTsyst  '!E36</f>
        <v>198970</v>
      </c>
      <c r="F35" s="91">
        <f>+'RÉSULTsyst  '!F36</f>
        <v>554618.62898999988</v>
      </c>
      <c r="G35" s="91">
        <f>+'RÉSULTsyst  '!G36</f>
        <v>518227.96238000004</v>
      </c>
      <c r="H35" s="172">
        <f>SUM(B35:G35)</f>
        <v>1659302.1589199998</v>
      </c>
      <c r="I35" s="91">
        <f>+'RÉSULTsyst  '!I36</f>
        <v>34985.961159999999</v>
      </c>
      <c r="J35" s="178">
        <f>SUM(I35:I35)</f>
        <v>34985.961159999999</v>
      </c>
      <c r="K35" s="91">
        <f>+'RÉSULTsyst  '!K36</f>
        <v>59696</v>
      </c>
      <c r="L35" s="91">
        <f>+'RÉSULTsyst  '!L36</f>
        <v>46383</v>
      </c>
      <c r="M35" s="178">
        <f>SUM(K35:L35)</f>
        <v>106079</v>
      </c>
      <c r="N35" s="246">
        <f>+H35+J35+M35</f>
        <v>1800367.1200799998</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ht="16.149999999999999" customHeight="1">
      <c r="A36" s="228" t="s">
        <v>333</v>
      </c>
      <c r="B36" s="91">
        <f>+'RÉSULTsyst  '!B42</f>
        <v>180285.65386000002</v>
      </c>
      <c r="C36" s="91">
        <f>+'RÉSULTsyst  '!C42</f>
        <v>-1528.0868200000077</v>
      </c>
      <c r="D36" s="91">
        <f>+'RÉSULTsyst  '!D42</f>
        <v>13400.425875431989</v>
      </c>
      <c r="E36" s="91">
        <f>+'RÉSULTsyst  '!E42</f>
        <v>73151</v>
      </c>
      <c r="F36" s="91">
        <f>+'RÉSULTsyst  '!F42</f>
        <v>82636.494100000127</v>
      </c>
      <c r="G36" s="91">
        <f>+'RÉSULTsyst  '!G42</f>
        <v>341723.59331999999</v>
      </c>
      <c r="H36" s="172">
        <f>SUM(B36:G36)</f>
        <v>689669.0803354322</v>
      </c>
      <c r="I36" s="91">
        <f>+'RÉSULTsyst  '!I42</f>
        <v>20053.294140000009</v>
      </c>
      <c r="J36" s="178">
        <f>SUM(I36:I36)</f>
        <v>20053.294140000009</v>
      </c>
      <c r="K36" s="91">
        <f>+'RÉSULTsyst  '!K42</f>
        <v>19669</v>
      </c>
      <c r="L36" s="91">
        <f>+'RÉSULTsyst  '!L42</f>
        <v>23135.7</v>
      </c>
      <c r="M36" s="178">
        <f>SUM(K36:L36)</f>
        <v>42804.7</v>
      </c>
      <c r="N36" s="246">
        <f>+H36+J36+M36</f>
        <v>752527.07447543216</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228"/>
      <c r="B37" s="230"/>
      <c r="C37" s="92"/>
      <c r="D37" s="91"/>
      <c r="E37" s="92"/>
      <c r="F37" s="91"/>
      <c r="G37" s="91"/>
      <c r="H37" s="172"/>
      <c r="I37" s="91"/>
      <c r="J37" s="178"/>
      <c r="K37" s="91"/>
      <c r="L37" s="92"/>
      <c r="M37" s="178"/>
      <c r="N37" s="246"/>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c r="A38" s="236" t="s">
        <v>971</v>
      </c>
      <c r="B38" s="230" t="s">
        <v>0</v>
      </c>
      <c r="C38" s="92" t="s">
        <v>0</v>
      </c>
      <c r="D38" s="91"/>
      <c r="E38" s="92" t="s">
        <v>0</v>
      </c>
      <c r="F38" s="91"/>
      <c r="G38" s="91"/>
      <c r="H38" s="172"/>
      <c r="I38" s="91"/>
      <c r="J38" s="178"/>
      <c r="K38" s="91"/>
      <c r="L38" s="92" t="s">
        <v>0</v>
      </c>
      <c r="M38" s="178"/>
      <c r="N38" s="246"/>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c r="A39" s="228" t="s">
        <v>209</v>
      </c>
      <c r="B39" s="91">
        <f>+'RÉSULTsyst  '!B58</f>
        <v>270461.53023999993</v>
      </c>
      <c r="C39" s="91">
        <f>+'RÉSULTsyst  '!C58</f>
        <v>32873.777199999997</v>
      </c>
      <c r="D39" s="91">
        <f>+'RÉSULTsyst  '!D58</f>
        <v>56832.005563399995</v>
      </c>
      <c r="E39" s="91">
        <f>+'RÉSULTsyst  '!E58</f>
        <v>138474</v>
      </c>
      <c r="F39" s="91">
        <f>+'RÉSULTsyst  '!F58</f>
        <v>348667.99311999988</v>
      </c>
      <c r="G39" s="91">
        <f>+'RÉSULTsyst  '!G58</f>
        <v>328849.86622999993</v>
      </c>
      <c r="H39" s="172">
        <f>SUM(B39:G39)</f>
        <v>1176159.1723533999</v>
      </c>
      <c r="I39" s="91">
        <f>+'RÉSULTsyst  '!I58</f>
        <v>39556.913279999993</v>
      </c>
      <c r="J39" s="178">
        <f>SUM(I39:I39)</f>
        <v>39556.913279999993</v>
      </c>
      <c r="K39" s="91">
        <f>+'RÉSULTsyst  '!K58</f>
        <v>32213</v>
      </c>
      <c r="L39" s="91">
        <f>+'RÉSULTsyst  '!L58</f>
        <v>46665</v>
      </c>
      <c r="M39" s="178">
        <f>SUM(K39:L39)</f>
        <v>78878</v>
      </c>
      <c r="N39" s="246">
        <f>+H39+J39+M39</f>
        <v>1294594.0856333999</v>
      </c>
      <c r="P39" s="64"/>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c r="A40" s="228" t="s">
        <v>210</v>
      </c>
      <c r="B40" s="91">
        <f>+'RÉSULTsyst  '!B64</f>
        <v>123597.06815000001</v>
      </c>
      <c r="C40" s="91">
        <f>+'RÉSULTsyst  '!C64</f>
        <v>11002.19656</v>
      </c>
      <c r="D40" s="91">
        <f>+'RÉSULTsyst  '!D64</f>
        <v>38813.099524144003</v>
      </c>
      <c r="E40" s="91">
        <f>+'RÉSULTsyst  '!E64</f>
        <v>107137</v>
      </c>
      <c r="F40" s="91">
        <f>+'RÉSULTsyst  '!F64</f>
        <v>313605.58811000001</v>
      </c>
      <c r="G40" s="91">
        <f>+'RÉSULTsyst  '!G64</f>
        <v>418037.95192999998</v>
      </c>
      <c r="H40" s="172">
        <f>SUM(B40:G40)</f>
        <v>1012192.904274144</v>
      </c>
      <c r="I40" s="91">
        <f>+'RÉSULTsyst  '!I64</f>
        <v>10027.178099999999</v>
      </c>
      <c r="J40" s="178">
        <f>SUM(I40:I40)</f>
        <v>10027.178099999999</v>
      </c>
      <c r="K40" s="91">
        <f>+'RÉSULTsyst  '!K64</f>
        <v>47676</v>
      </c>
      <c r="L40" s="91">
        <f>+'RÉSULTsyst  '!L64</f>
        <v>22326</v>
      </c>
      <c r="M40" s="178">
        <f>SUM(K40:L40)</f>
        <v>70002</v>
      </c>
      <c r="N40" s="246">
        <f>+H40+J40+M40</f>
        <v>1092222.0823741439</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228" t="s">
        <v>211</v>
      </c>
      <c r="B41" s="91">
        <f>+'RÉSULTsyst  '!B68</f>
        <v>25263.932779999999</v>
      </c>
      <c r="C41" s="91">
        <f>+'RÉSULTsyst  '!C68</f>
        <v>4124.0786399999997</v>
      </c>
      <c r="D41" s="91">
        <f>+'RÉSULTsyst  '!D68</f>
        <v>7042.1881800000001</v>
      </c>
      <c r="E41" s="91">
        <f>+'RÉSULTsyst  '!E68</f>
        <v>4936</v>
      </c>
      <c r="F41" s="91">
        <f>+'RÉSULTsyst  '!F68</f>
        <v>77676.665720000005</v>
      </c>
      <c r="G41" s="91">
        <f>+'RÉSULTsyst  '!G68</f>
        <v>12028.613389999999</v>
      </c>
      <c r="H41" s="172">
        <f>SUM(B41:G41)</f>
        <v>131071.47871000001</v>
      </c>
      <c r="I41" s="91">
        <f>+'RÉSULTsyst  '!I68</f>
        <v>2250</v>
      </c>
      <c r="J41" s="178">
        <f>SUM(I41:I41)</f>
        <v>2250</v>
      </c>
      <c r="K41" s="91">
        <f>+'RÉSULTsyst  '!K68</f>
        <v>-16831</v>
      </c>
      <c r="L41" s="91">
        <f>+'RÉSULTsyst  '!L68</f>
        <v>3699.7</v>
      </c>
      <c r="M41" s="178">
        <f>SUM(K41:L41)</f>
        <v>-13131.3</v>
      </c>
      <c r="N41" s="246">
        <f>+H41+J41+M41</f>
        <v>120190.17870999999</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228" t="s">
        <v>332</v>
      </c>
      <c r="B42" s="91">
        <f>+'RÉSULTsyst  '!B78</f>
        <v>248932.25921000002</v>
      </c>
      <c r="C42" s="91">
        <f>+'RÉSULTsyst  '!C78</f>
        <v>32949.520189999996</v>
      </c>
      <c r="D42" s="91">
        <f>+'RÉSULTsyst  '!D78</f>
        <v>80800.986449999997</v>
      </c>
      <c r="E42" s="91">
        <f>+'RÉSULTsyst  '!E78</f>
        <v>169671</v>
      </c>
      <c r="F42" s="91">
        <f>+'RÉSULTsyst  '!F78</f>
        <v>461076.46063999995</v>
      </c>
      <c r="G42" s="91">
        <f>+'RÉSULTsyst  '!G78</f>
        <v>447835.25806999998</v>
      </c>
      <c r="H42" s="172">
        <f>SUM(B42:G42)</f>
        <v>1441265.4845599998</v>
      </c>
      <c r="I42" s="91">
        <f>+'RÉSULTsyst  '!I78</f>
        <v>31769.000900000003</v>
      </c>
      <c r="J42" s="178">
        <f>SUM(I42:I42)</f>
        <v>31769.000900000003</v>
      </c>
      <c r="K42" s="91">
        <f>+'RÉSULTsyst  '!K78</f>
        <v>66069</v>
      </c>
      <c r="L42" s="91">
        <f>+'RÉSULTsyst  '!L78</f>
        <v>59367</v>
      </c>
      <c r="M42" s="178">
        <f>SUM(K42:L42)</f>
        <v>125436</v>
      </c>
      <c r="N42" s="246">
        <f>+H42+J42+M42</f>
        <v>1598470.4854599999</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ht="16.149999999999999" customHeight="1">
      <c r="A43" s="228" t="s">
        <v>333</v>
      </c>
      <c r="B43" s="91">
        <f>+'RÉSULTsyst  '!B84</f>
        <v>119862.40639999995</v>
      </c>
      <c r="C43" s="91">
        <f>+'RÉSULTsyst  '!C84</f>
        <v>6802.3749299999981</v>
      </c>
      <c r="D43" s="91">
        <f>+'RÉSULTsyst  '!D84</f>
        <v>7801.9304575440037</v>
      </c>
      <c r="E43" s="91">
        <f>+'RÉSULTsyst  '!E84</f>
        <v>56803</v>
      </c>
      <c r="F43" s="91">
        <f>+'RÉSULTsyst  '!F84</f>
        <v>100665.4548699999</v>
      </c>
      <c r="G43" s="91">
        <f>+'RÉSULTsyst  '!G84</f>
        <v>254369.32791999995</v>
      </c>
      <c r="H43" s="172">
        <f>SUM(B43:G43)</f>
        <v>546304.49457754381</v>
      </c>
      <c r="I43" s="91">
        <f>+'RÉSULTsyst  '!I84</f>
        <v>11362.516049999987</v>
      </c>
      <c r="J43" s="178">
        <f>SUM(I43:I43)</f>
        <v>11362.516049999987</v>
      </c>
      <c r="K43" s="91">
        <f>+'RÉSULTsyst  '!K84</f>
        <v>21970</v>
      </c>
      <c r="L43" s="91">
        <f>+'RÉSULTsyst  '!L84</f>
        <v>3951.1100000000033</v>
      </c>
      <c r="M43" s="178">
        <f>SUM(K43:L43)</f>
        <v>25921.110000000004</v>
      </c>
      <c r="N43" s="246">
        <f>+H43+J43+M43</f>
        <v>583588.12062754377</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6.149999999999999" customHeight="1">
      <c r="A44" s="228"/>
      <c r="B44" s="230"/>
      <c r="C44" s="92"/>
      <c r="D44" s="91"/>
      <c r="E44" s="92"/>
      <c r="F44" s="91"/>
      <c r="G44" s="91"/>
      <c r="H44" s="172"/>
      <c r="I44" s="91"/>
      <c r="J44" s="178"/>
      <c r="K44" s="91"/>
      <c r="L44" s="92"/>
      <c r="M44" s="178"/>
      <c r="N44" s="246"/>
      <c r="P44" s="64"/>
      <c r="Q44" s="10"/>
      <c r="R44" s="10"/>
      <c r="S44" s="10"/>
      <c r="T44" s="10"/>
      <c r="U44" s="10"/>
      <c r="V44" s="10"/>
      <c r="W44" s="10"/>
      <c r="X44" s="10"/>
      <c r="Y44" s="10"/>
      <c r="Z44" s="10"/>
      <c r="AA44" s="10"/>
      <c r="AB44" s="10"/>
      <c r="AC44" s="10"/>
      <c r="AD44" s="10"/>
      <c r="AE44" s="10"/>
      <c r="AF44" s="10"/>
      <c r="AG44" s="10"/>
      <c r="AH44" s="10"/>
      <c r="AI44" s="10"/>
      <c r="AJ44" s="10"/>
      <c r="AK44" s="10"/>
      <c r="AL44" s="10"/>
      <c r="AM44" s="10"/>
    </row>
    <row r="45" spans="1:39">
      <c r="A45" s="236" t="s">
        <v>972</v>
      </c>
      <c r="B45" s="92" t="s">
        <v>0</v>
      </c>
      <c r="C45" s="91" t="s">
        <v>0</v>
      </c>
      <c r="D45" s="91" t="s">
        <v>0</v>
      </c>
      <c r="E45" s="92" t="s">
        <v>0</v>
      </c>
      <c r="F45" s="91" t="s">
        <v>0</v>
      </c>
      <c r="G45" s="91" t="s">
        <v>0</v>
      </c>
      <c r="H45" s="172" t="s">
        <v>0</v>
      </c>
      <c r="I45" s="91" t="s">
        <v>0</v>
      </c>
      <c r="J45" s="178"/>
      <c r="K45" s="91" t="s">
        <v>0</v>
      </c>
      <c r="L45" s="92" t="s">
        <v>0</v>
      </c>
      <c r="M45" s="178" t="s">
        <v>0</v>
      </c>
      <c r="N45" s="246" t="s">
        <v>0</v>
      </c>
      <c r="P45" s="649" t="s">
        <v>0</v>
      </c>
      <c r="Q45" s="10"/>
      <c r="R45" s="10"/>
      <c r="S45" s="10"/>
      <c r="T45" s="10"/>
      <c r="U45" s="10"/>
      <c r="V45" s="10"/>
      <c r="W45" s="10"/>
      <c r="X45" s="10"/>
      <c r="Y45" s="10"/>
      <c r="Z45" s="10"/>
      <c r="AA45" s="10"/>
      <c r="AB45" s="10"/>
      <c r="AC45" s="10"/>
      <c r="AD45" s="10"/>
      <c r="AE45" s="10"/>
      <c r="AF45" s="10"/>
      <c r="AG45" s="10"/>
      <c r="AH45" s="10"/>
      <c r="AI45" s="10"/>
      <c r="AJ45" s="10"/>
      <c r="AK45" s="10"/>
      <c r="AL45" s="10"/>
      <c r="AM45" s="10"/>
    </row>
    <row r="46" spans="1:39">
      <c r="A46" s="228" t="s">
        <v>209</v>
      </c>
      <c r="B46" s="238">
        <f t="shared" ref="B46:I47" si="5">+(B32-B39)/ABS(B39)</f>
        <v>0.21010891278909022</v>
      </c>
      <c r="C46" s="238">
        <f t="shared" si="5"/>
        <v>-0.23230012004826753</v>
      </c>
      <c r="D46" s="238">
        <f t="shared" si="5"/>
        <v>0.15974791584477824</v>
      </c>
      <c r="E46" s="238">
        <f t="shared" si="5"/>
        <v>0.25687132602510221</v>
      </c>
      <c r="F46" s="238">
        <f t="shared" si="5"/>
        <v>8.3238709266931429E-2</v>
      </c>
      <c r="G46" s="238">
        <f t="shared" si="5"/>
        <v>0.33467800246275353</v>
      </c>
      <c r="H46" s="175">
        <f t="shared" si="5"/>
        <v>0.19803448856839484</v>
      </c>
      <c r="I46" s="238">
        <f t="shared" si="5"/>
        <v>0.31879692787798869</v>
      </c>
      <c r="J46" s="562">
        <f>+I46</f>
        <v>0.31879692787798869</v>
      </c>
      <c r="K46" s="238">
        <f t="shared" ref="K46:N48" si="6">+(K32-K39)/ABS(K39)</f>
        <v>0.1116629932015025</v>
      </c>
      <c r="L46" s="238">
        <f t="shared" si="6"/>
        <v>4.8644594449801775E-3</v>
      </c>
      <c r="M46" s="175">
        <f t="shared" si="6"/>
        <v>4.8479931032734097E-2</v>
      </c>
      <c r="N46" s="247">
        <f t="shared" si="6"/>
        <v>0.19261226771326667</v>
      </c>
      <c r="P46" s="64"/>
      <c r="Q46" s="10"/>
      <c r="R46" s="10"/>
      <c r="S46" s="10"/>
      <c r="T46" s="10"/>
      <c r="U46" s="10"/>
      <c r="V46" s="10"/>
      <c r="W46" s="10"/>
      <c r="X46" s="10"/>
      <c r="Y46" s="10"/>
      <c r="Z46" s="10"/>
      <c r="AA46" s="10"/>
      <c r="AB46" s="10"/>
      <c r="AC46" s="10"/>
      <c r="AD46" s="10"/>
      <c r="AE46" s="10"/>
      <c r="AF46" s="10"/>
      <c r="AG46" s="10"/>
      <c r="AH46" s="10"/>
      <c r="AI46" s="10"/>
      <c r="AJ46" s="10"/>
      <c r="AK46" s="10"/>
      <c r="AL46" s="10"/>
      <c r="AM46" s="10"/>
    </row>
    <row r="47" spans="1:39">
      <c r="A47" s="228" t="s">
        <v>210</v>
      </c>
      <c r="B47" s="238">
        <f t="shared" si="5"/>
        <v>-6.5551124320904805E-2</v>
      </c>
      <c r="C47" s="238">
        <f t="shared" si="5"/>
        <v>0.69131143299624853</v>
      </c>
      <c r="D47" s="238">
        <f t="shared" si="5"/>
        <v>9.2845765992337986E-2</v>
      </c>
      <c r="E47" s="238">
        <f t="shared" si="5"/>
        <v>0.19277187152897693</v>
      </c>
      <c r="F47" s="238">
        <f t="shared" si="5"/>
        <v>0.20328600757470716</v>
      </c>
      <c r="G47" s="238">
        <f t="shared" si="5"/>
        <v>0.1764455683974627</v>
      </c>
      <c r="H47" s="175">
        <f t="shared" si="5"/>
        <v>0.15933051967155107</v>
      </c>
      <c r="I47" s="238">
        <f t="shared" si="5"/>
        <v>0.29534862854385729</v>
      </c>
      <c r="J47" s="562">
        <f>+I47</f>
        <v>0.29534862854385729</v>
      </c>
      <c r="K47" s="238">
        <f t="shared" si="6"/>
        <v>0.11043292222501888</v>
      </c>
      <c r="L47" s="238">
        <f t="shared" si="6"/>
        <v>0.20666487503359313</v>
      </c>
      <c r="M47" s="175">
        <f t="shared" si="6"/>
        <v>0.14112453929887717</v>
      </c>
      <c r="N47" s="247">
        <f t="shared" si="6"/>
        <v>0.15941239199942556</v>
      </c>
      <c r="P47" s="64"/>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228" t="s">
        <v>211</v>
      </c>
      <c r="B48" s="92">
        <v>0</v>
      </c>
      <c r="C48" s="238">
        <f t="shared" ref="C48:H50" si="7">+(C34-C41)/ABS(C41)</f>
        <v>1.788602081554876</v>
      </c>
      <c r="D48" s="238">
        <f>+(D34-D41)/ABS(D41)</f>
        <v>-0.45869920505305217</v>
      </c>
      <c r="E48" s="238">
        <f>+(E34-E41)/ABS(E41)</f>
        <v>1.3146272285251215</v>
      </c>
      <c r="F48" s="238">
        <f t="shared" si="7"/>
        <v>0.32115299824947219</v>
      </c>
      <c r="G48" s="1361">
        <f t="shared" si="7"/>
        <v>0.49703880373862458</v>
      </c>
      <c r="H48" s="175">
        <f t="shared" si="7"/>
        <v>0.12432863808651527</v>
      </c>
      <c r="I48" s="238">
        <f>+(I34-I41)/ABS(I41)</f>
        <v>0.2</v>
      </c>
      <c r="J48" s="562">
        <f>+I48</f>
        <v>0.2</v>
      </c>
      <c r="K48" s="238">
        <f t="shared" si="6"/>
        <v>1.0060008317984672</v>
      </c>
      <c r="L48" s="238">
        <f t="shared" si="6"/>
        <v>-2.5141768251479855</v>
      </c>
      <c r="M48" s="175">
        <f t="shared" si="6"/>
        <v>0.58107727338496562</v>
      </c>
      <c r="N48" s="247">
        <f t="shared" ref="M48:N50" si="8">+(N34-N41)/ABS(N41)</f>
        <v>0.20281389629027868</v>
      </c>
      <c r="P48" s="64"/>
      <c r="Q48" s="10"/>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228" t="s">
        <v>332</v>
      </c>
      <c r="B49" s="238">
        <f>+(B35-B42)/ABS(B42)</f>
        <v>5.449328525378612E-2</v>
      </c>
      <c r="C49" s="238">
        <f t="shared" si="7"/>
        <v>2.8027357748301146E-2</v>
      </c>
      <c r="D49" s="238">
        <f t="shared" si="7"/>
        <v>0.12764914827348622</v>
      </c>
      <c r="E49" s="238">
        <f>+(E35-E42)/ABS(E42)</f>
        <v>0.17268124782667632</v>
      </c>
      <c r="F49" s="238">
        <f t="shared" si="7"/>
        <v>0.20287777914352462</v>
      </c>
      <c r="G49" s="238">
        <f t="shared" si="7"/>
        <v>0.15718437314061851</v>
      </c>
      <c r="H49" s="175">
        <f t="shared" si="7"/>
        <v>0.15128140977202678</v>
      </c>
      <c r="I49" s="238">
        <f>+(I35-I42)/ABS(I42)</f>
        <v>0.10126098299805192</v>
      </c>
      <c r="J49" s="562">
        <f>+I49</f>
        <v>0.10126098299805192</v>
      </c>
      <c r="K49" s="238">
        <f>+(K35-K42)/ABS(K42)</f>
        <v>-9.6459761764216195E-2</v>
      </c>
      <c r="L49" s="238">
        <f>+(L35-L42)/ABS(L42)</f>
        <v>-0.21870736267623428</v>
      </c>
      <c r="M49" s="175">
        <f t="shared" si="8"/>
        <v>-0.15431773972384324</v>
      </c>
      <c r="N49" s="247">
        <f t="shared" si="8"/>
        <v>0.12630613855963635</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ht="18" thickBot="1">
      <c r="A50" s="232" t="s">
        <v>333</v>
      </c>
      <c r="B50" s="243">
        <f>+(B36-B43)/ABS(B43)</f>
        <v>0.50410507576794406</v>
      </c>
      <c r="C50" s="243">
        <f t="shared" si="7"/>
        <v>-1.2246401934213891</v>
      </c>
      <c r="D50" s="243">
        <f t="shared" si="7"/>
        <v>0.71757822610102506</v>
      </c>
      <c r="E50" s="243">
        <f>+(E36-E43)/ABS(E43)</f>
        <v>0.28780170061440419</v>
      </c>
      <c r="F50" s="243">
        <f t="shared" si="7"/>
        <v>-0.17909779271630474</v>
      </c>
      <c r="G50" s="243">
        <f t="shared" si="7"/>
        <v>0.34341508905300588</v>
      </c>
      <c r="H50" s="250">
        <f t="shared" si="7"/>
        <v>0.26242615094856936</v>
      </c>
      <c r="I50" s="243">
        <f>+(I36-I43)/ABS(I43)</f>
        <v>0.76486387801406286</v>
      </c>
      <c r="J50" s="563">
        <f>+I50</f>
        <v>0.76486387801406286</v>
      </c>
      <c r="K50" s="243">
        <f>+(K36-K43)/ABS(K43)</f>
        <v>-0.10473372781065089</v>
      </c>
      <c r="L50" s="243">
        <f>+(L36-L43)/ABS(L43)</f>
        <v>4.8554937726360388</v>
      </c>
      <c r="M50" s="250">
        <f t="shared" si="8"/>
        <v>0.65134517773351486</v>
      </c>
      <c r="N50" s="248">
        <f t="shared" si="8"/>
        <v>0.28948319521347526</v>
      </c>
      <c r="P50" s="68"/>
      <c r="Q50" s="70"/>
      <c r="R50" s="70"/>
      <c r="S50" s="70"/>
      <c r="T50" s="10"/>
      <c r="U50" s="10"/>
      <c r="V50" s="10"/>
      <c r="W50" s="10"/>
      <c r="X50" s="10"/>
      <c r="Y50" s="10"/>
      <c r="Z50" s="10"/>
      <c r="AA50" s="10"/>
      <c r="AB50" s="10"/>
      <c r="AC50" s="10"/>
      <c r="AD50" s="10"/>
      <c r="AE50" s="10"/>
      <c r="AF50" s="10"/>
      <c r="AG50" s="10"/>
      <c r="AH50" s="10"/>
      <c r="AI50" s="10"/>
      <c r="AJ50" s="10"/>
      <c r="AK50" s="10"/>
      <c r="AL50" s="10"/>
      <c r="AM50" s="10"/>
    </row>
    <row r="51" spans="1:39" ht="17.25" thickTop="1" thickBot="1">
      <c r="A51" s="10" t="s">
        <v>54</v>
      </c>
      <c r="B51" s="87" t="s">
        <v>0</v>
      </c>
      <c r="C51" s="87" t="s">
        <v>0</v>
      </c>
      <c r="D51" s="91" t="s">
        <v>0</v>
      </c>
      <c r="E51" s="92" t="s">
        <v>0</v>
      </c>
      <c r="F51" s="87" t="s">
        <v>0</v>
      </c>
      <c r="G51" s="87" t="s">
        <v>0</v>
      </c>
      <c r="H51" s="93" t="s">
        <v>0</v>
      </c>
      <c r="I51" s="91" t="s">
        <v>0</v>
      </c>
      <c r="J51" s="114"/>
      <c r="K51" s="91" t="s">
        <v>0</v>
      </c>
      <c r="L51" s="92" t="s">
        <v>0</v>
      </c>
      <c r="M51" s="114" t="s">
        <v>0</v>
      </c>
      <c r="N51" s="94" t="s">
        <v>0</v>
      </c>
      <c r="P51" s="64" t="s">
        <v>0</v>
      </c>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19.5" thickTop="1">
      <c r="A52" s="264" t="s">
        <v>331</v>
      </c>
      <c r="B52" s="239"/>
      <c r="C52" s="239"/>
      <c r="D52" s="239"/>
      <c r="E52" s="240"/>
      <c r="F52" s="239"/>
      <c r="G52" s="239"/>
      <c r="H52" s="249"/>
      <c r="I52" s="239"/>
      <c r="J52" s="257"/>
      <c r="K52" s="239"/>
      <c r="L52" s="240"/>
      <c r="M52" s="257"/>
      <c r="N52" s="241"/>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c r="A53" s="236" t="s">
        <v>973</v>
      </c>
      <c r="B53" s="230" t="s">
        <v>0</v>
      </c>
      <c r="C53" s="92" t="s">
        <v>0</v>
      </c>
      <c r="D53" s="91"/>
      <c r="E53" s="92" t="s">
        <v>0</v>
      </c>
      <c r="F53" s="91"/>
      <c r="G53" s="91"/>
      <c r="H53" s="172"/>
      <c r="I53" s="91"/>
      <c r="J53" s="178"/>
      <c r="K53" s="91"/>
      <c r="L53" s="92" t="s">
        <v>0</v>
      </c>
      <c r="M53" s="178"/>
      <c r="N53" s="229"/>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228" t="s">
        <v>209</v>
      </c>
      <c r="B54" s="132">
        <f>+'résultsyscumul '!B16</f>
        <v>327287.90830999997</v>
      </c>
      <c r="C54" s="132">
        <f>+'résultsyscumul '!C16</f>
        <v>25237.194809999997</v>
      </c>
      <c r="D54" s="132">
        <f>+'résultsyscumul '!D16</f>
        <v>65910.800005431985</v>
      </c>
      <c r="E54" s="132">
        <f>+'résultsyscumul '!E16</f>
        <v>174044</v>
      </c>
      <c r="F54" s="132">
        <f>+'résultsyscumul '!F16</f>
        <v>377690.66683</v>
      </c>
      <c r="G54" s="132">
        <f>+'résultsyscumul '!G16</f>
        <v>438908.68257</v>
      </c>
      <c r="H54" s="172">
        <f>SUM(B54:G54)</f>
        <v>1409079.252525432</v>
      </c>
      <c r="I54" s="132">
        <f>+'résultsyscumul '!I16</f>
        <v>52167.535710000004</v>
      </c>
      <c r="J54" s="178">
        <f>+I54</f>
        <v>52167.535710000004</v>
      </c>
      <c r="K54" s="132">
        <f>+'résultsyscumul '!K16</f>
        <v>35810</v>
      </c>
      <c r="L54" s="132">
        <f>+'résultsyscumul '!L16</f>
        <v>46892</v>
      </c>
      <c r="M54" s="178">
        <f>SUM(K54:L54)</f>
        <v>82702</v>
      </c>
      <c r="N54" s="229">
        <f>+H54+J54+M54</f>
        <v>1543948.788235432</v>
      </c>
      <c r="P54" s="64" t="s">
        <v>0</v>
      </c>
      <c r="Q54" s="10" t="s">
        <v>0</v>
      </c>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228" t="s">
        <v>210</v>
      </c>
      <c r="B55" s="91">
        <f>+'résultsyscumul '!B22</f>
        <v>115495.14137000001</v>
      </c>
      <c r="C55" s="91">
        <f>+'résultsyscumul '!C22</f>
        <v>18608.140829999997</v>
      </c>
      <c r="D55" s="91">
        <f>+'résultsyscumul '!D22</f>
        <v>42416.731480000002</v>
      </c>
      <c r="E55" s="91">
        <f>+'résultsyscumul '!E22</f>
        <v>127790</v>
      </c>
      <c r="F55" s="91">
        <f>+'résultsyscumul '!F22</f>
        <v>377357.21606999997</v>
      </c>
      <c r="G55" s="91">
        <f>+'résultsyscumul '!G22</f>
        <v>491798.89597000001</v>
      </c>
      <c r="H55" s="172">
        <f>SUM(B55:G55)</f>
        <v>1173466.1257199999</v>
      </c>
      <c r="I55" s="91">
        <f>+'résultsyscumul '!I22</f>
        <v>12988.6914</v>
      </c>
      <c r="J55" s="178">
        <f>+I55</f>
        <v>12988.6914</v>
      </c>
      <c r="K55" s="91">
        <f>+'résultsyscumul '!K22</f>
        <v>52941</v>
      </c>
      <c r="L55" s="91">
        <f>+'résultsyscumul '!L22</f>
        <v>26940</v>
      </c>
      <c r="M55" s="178">
        <f>SUM(K55:L55)</f>
        <v>79881</v>
      </c>
      <c r="N55" s="229">
        <f>+H55+J55+M55</f>
        <v>1266335.8171199998</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228" t="s">
        <v>211</v>
      </c>
      <c r="B56" s="91">
        <f>+'résultsyscumul '!B26</f>
        <v>0</v>
      </c>
      <c r="C56" s="91">
        <f>+'résultsyscumul '!C26</f>
        <v>11500.414280000001</v>
      </c>
      <c r="D56" s="91">
        <f>+'résultsyscumul '!D26</f>
        <v>3811.9420599999999</v>
      </c>
      <c r="E56" s="91">
        <f>+'résultsyscumul '!E26</f>
        <v>11425</v>
      </c>
      <c r="F56" s="91">
        <f>+'résultsyscumul '!F26</f>
        <v>102622.75981</v>
      </c>
      <c r="G56" s="91">
        <f>+'résultsyscumul '!G26</f>
        <v>18007.300999999999</v>
      </c>
      <c r="H56" s="172">
        <f>SUM(B56:G56)</f>
        <v>147367.41714999999</v>
      </c>
      <c r="I56" s="91">
        <f>+'résultsyscumul '!I26</f>
        <v>2700</v>
      </c>
      <c r="J56" s="178">
        <f>+I56</f>
        <v>2700</v>
      </c>
      <c r="K56" s="91">
        <f>+'résultsyscumul '!K26</f>
        <v>101</v>
      </c>
      <c r="L56" s="91">
        <f>+'résultsyscumul '!L26</f>
        <v>-5602</v>
      </c>
      <c r="M56" s="178">
        <f>SUM(K56:L56)</f>
        <v>-5501</v>
      </c>
      <c r="N56" s="229">
        <f>+H56+J56+M56</f>
        <v>144566.41714999999</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228" t="s">
        <v>332</v>
      </c>
      <c r="B57" s="91">
        <f>+'résultsyscumul '!B36</f>
        <v>262497.39581999998</v>
      </c>
      <c r="C57" s="91">
        <f>+'résultsyscumul '!C36</f>
        <v>33873.008179999997</v>
      </c>
      <c r="D57" s="91">
        <f>+'résultsyscumul '!D36</f>
        <v>91115.163549999997</v>
      </c>
      <c r="E57" s="91">
        <f>+'résultsyscumul '!E36</f>
        <v>198970</v>
      </c>
      <c r="F57" s="91">
        <f>+'résultsyscumul '!F36</f>
        <v>554618.62898999988</v>
      </c>
      <c r="G57" s="91">
        <f>+'résultsyscumul '!G36</f>
        <v>518227.96238000004</v>
      </c>
      <c r="H57" s="172">
        <f>SUM(B57:G57)</f>
        <v>1659302.1589199998</v>
      </c>
      <c r="I57" s="91">
        <f>+'résultsyscumul '!I36</f>
        <v>34985.961159999999</v>
      </c>
      <c r="J57" s="178">
        <f>+I57</f>
        <v>34985.961159999999</v>
      </c>
      <c r="K57" s="91">
        <f>+'résultsyscumul '!K36</f>
        <v>59696</v>
      </c>
      <c r="L57" s="91">
        <f>+'résultsyscumul '!L36</f>
        <v>46383</v>
      </c>
      <c r="M57" s="178">
        <f>SUM(K57:L57)</f>
        <v>106079</v>
      </c>
      <c r="N57" s="229">
        <f>+H57+J57+M57</f>
        <v>1800367.1200799998</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c r="A58" s="228" t="s">
        <v>333</v>
      </c>
      <c r="B58" s="91">
        <f>+'résultsyscumul '!B42</f>
        <v>180285.65386000002</v>
      </c>
      <c r="C58" s="91">
        <f>+'résultsyscumul '!C42</f>
        <v>-1528.0868200000077</v>
      </c>
      <c r="D58" s="91">
        <f>+'résultsyscumul '!D42</f>
        <v>13400.425875431989</v>
      </c>
      <c r="E58" s="91">
        <f>+'résultsyscumul '!E42</f>
        <v>73151</v>
      </c>
      <c r="F58" s="91">
        <f>+'résultsyscumul '!F42</f>
        <v>82636.494100000127</v>
      </c>
      <c r="G58" s="91">
        <f>+'résultsyscumul '!G42</f>
        <v>341723.59331999999</v>
      </c>
      <c r="H58" s="172">
        <f>SUM(B58:G58)</f>
        <v>689669.0803354322</v>
      </c>
      <c r="I58" s="91">
        <f>+'résultsyscumul '!I42</f>
        <v>20053.294140000009</v>
      </c>
      <c r="J58" s="178">
        <f>+I58</f>
        <v>20053.294140000009</v>
      </c>
      <c r="K58" s="91">
        <f>+'résultsyscumul '!K42</f>
        <v>19669</v>
      </c>
      <c r="L58" s="91">
        <f>+'résultsyscumul '!L42</f>
        <v>23135.7</v>
      </c>
      <c r="M58" s="178">
        <f>SUM(K58:L58)</f>
        <v>42804.7</v>
      </c>
      <c r="N58" s="229">
        <f>+H58+J58+M58</f>
        <v>752527.07447543216</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c r="A59" s="258"/>
      <c r="B59" s="108"/>
      <c r="C59" s="108"/>
      <c r="D59" s="108"/>
      <c r="E59" s="108"/>
      <c r="F59" s="108"/>
      <c r="G59" s="108"/>
      <c r="H59" s="176"/>
      <c r="I59" s="108"/>
      <c r="J59" s="564"/>
      <c r="K59" s="108"/>
      <c r="L59" s="108"/>
      <c r="M59" s="180"/>
      <c r="N59" s="259"/>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c r="A60" s="236" t="s">
        <v>974</v>
      </c>
      <c r="B60" s="108"/>
      <c r="C60" s="108"/>
      <c r="D60" s="108"/>
      <c r="E60" s="108"/>
      <c r="F60" s="108"/>
      <c r="G60" s="108"/>
      <c r="H60" s="176"/>
      <c r="I60" s="108"/>
      <c r="J60" s="564"/>
      <c r="K60" s="108"/>
      <c r="L60" s="108"/>
      <c r="M60" s="180"/>
      <c r="N60" s="259"/>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c r="A61" s="228" t="s">
        <v>209</v>
      </c>
      <c r="B61" s="91">
        <f>+'résultsyscumul '!B57</f>
        <v>270461.53023999993</v>
      </c>
      <c r="C61" s="91">
        <f>+'résultsyscumul '!C57</f>
        <v>32873.777199999997</v>
      </c>
      <c r="D61" s="91">
        <f>+'résultsyscumul '!D57</f>
        <v>56832.005563399995</v>
      </c>
      <c r="E61" s="91">
        <f>+'résultsyscumul '!E57</f>
        <v>138474</v>
      </c>
      <c r="F61" s="91">
        <f>+'résultsyscumul '!F57</f>
        <v>348667.99311999988</v>
      </c>
      <c r="G61" s="91">
        <f>+'résultsyscumul '!G57</f>
        <v>328849.86622999993</v>
      </c>
      <c r="H61" s="172">
        <f>SUM(B61:G61)</f>
        <v>1176159.1723533999</v>
      </c>
      <c r="I61" s="91">
        <f>+'résultsyscumul '!I57</f>
        <v>39556.913279999993</v>
      </c>
      <c r="J61" s="178">
        <f>SUM(I61:I61)</f>
        <v>39556.913279999993</v>
      </c>
      <c r="K61" s="91">
        <f>+'résultsyscumul '!K57</f>
        <v>32213</v>
      </c>
      <c r="L61" s="91">
        <f>+'résultsyscumul '!L57</f>
        <v>46665</v>
      </c>
      <c r="M61" s="178">
        <f>SUM(K61:L61)</f>
        <v>78878</v>
      </c>
      <c r="N61" s="229">
        <f>+H61+J61+M61</f>
        <v>1294594.0856333999</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c r="A62" s="228" t="s">
        <v>210</v>
      </c>
      <c r="B62" s="91">
        <f>+'résultsyscumul '!B63</f>
        <v>123597.06815000001</v>
      </c>
      <c r="C62" s="91">
        <f>+'résultsyscumul '!C63</f>
        <v>11002.19656</v>
      </c>
      <c r="D62" s="91">
        <f>+'résultsyscumul '!D63</f>
        <v>38813.099524144003</v>
      </c>
      <c r="E62" s="91">
        <f>+'résultsyscumul '!E63</f>
        <v>107137</v>
      </c>
      <c r="F62" s="91">
        <f>+'résultsyscumul '!F63</f>
        <v>313605.58811000001</v>
      </c>
      <c r="G62" s="91">
        <f>+'résultsyscumul '!G63</f>
        <v>418037.95192999998</v>
      </c>
      <c r="H62" s="172">
        <f>SUM(B62:G62)</f>
        <v>1012192.904274144</v>
      </c>
      <c r="I62" s="91">
        <f>+'résultsyscumul '!I63</f>
        <v>10027.178099999999</v>
      </c>
      <c r="J62" s="178">
        <f>SUM(I62:I62)</f>
        <v>10027.178099999999</v>
      </c>
      <c r="K62" s="91">
        <f>+'résultsyscumul '!K63</f>
        <v>47676</v>
      </c>
      <c r="L62" s="91">
        <f>+'résultsyscumul '!L63</f>
        <v>22326</v>
      </c>
      <c r="M62" s="178">
        <f>SUM(K62:L62)</f>
        <v>70002</v>
      </c>
      <c r="N62" s="229">
        <f>+H62+J62+M62</f>
        <v>1092222.0823741439</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c r="A63" s="228" t="s">
        <v>211</v>
      </c>
      <c r="B63" s="91">
        <f>+'résultsyscumul '!B67</f>
        <v>25263.932779999999</v>
      </c>
      <c r="C63" s="91">
        <f>+'résultsyscumul '!C67</f>
        <v>4124.0786399999997</v>
      </c>
      <c r="D63" s="91">
        <f>+'résultsyscumul '!D67</f>
        <v>7042.1881800000001</v>
      </c>
      <c r="E63" s="91">
        <f>+'résultsyscumul '!E67</f>
        <v>4936</v>
      </c>
      <c r="F63" s="91">
        <f>+'résultsyscumul '!F67</f>
        <v>77676.665720000005</v>
      </c>
      <c r="G63" s="91">
        <f>+'résultsyscumul '!G67</f>
        <v>12028.613389999999</v>
      </c>
      <c r="H63" s="172">
        <f>SUM(B63:G63)</f>
        <v>131071.47871000001</v>
      </c>
      <c r="I63" s="91">
        <f>+'résultsyscumul '!I67</f>
        <v>2250</v>
      </c>
      <c r="J63" s="178">
        <f>SUM(I63:I63)</f>
        <v>2250</v>
      </c>
      <c r="K63" s="91">
        <f>+'résultsyscumul '!K67</f>
        <v>-16831</v>
      </c>
      <c r="L63" s="91">
        <f>+'résultsyscumul '!L67</f>
        <v>3699.7</v>
      </c>
      <c r="M63" s="178">
        <f>SUM(K63:L63)</f>
        <v>-13131.3</v>
      </c>
      <c r="N63" s="229">
        <f>+H63+J63+M63</f>
        <v>120190.17870999999</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c r="A64" s="228" t="s">
        <v>332</v>
      </c>
      <c r="B64" s="91">
        <f>+'résultsyscumul '!B77</f>
        <v>248932.25921000002</v>
      </c>
      <c r="C64" s="91">
        <f>+'résultsyscumul '!C77</f>
        <v>32949.520189999996</v>
      </c>
      <c r="D64" s="91">
        <f>+'résultsyscumul '!D77</f>
        <v>80800.986449999997</v>
      </c>
      <c r="E64" s="91">
        <f>+'résultsyscumul '!E77</f>
        <v>169671</v>
      </c>
      <c r="F64" s="91">
        <f>+'résultsyscumul '!F77</f>
        <v>461076.46063999995</v>
      </c>
      <c r="G64" s="91">
        <f>+'résultsyscumul '!G77</f>
        <v>447835.25806999998</v>
      </c>
      <c r="H64" s="172">
        <f>SUM(B64:G64)</f>
        <v>1441265.4845599998</v>
      </c>
      <c r="I64" s="91">
        <f>+'résultsyscumul '!I77</f>
        <v>31769.000900000003</v>
      </c>
      <c r="J64" s="178">
        <f>SUM(I64:I64)</f>
        <v>31769.000900000003</v>
      </c>
      <c r="K64" s="91">
        <f>+'résultsyscumul '!K77</f>
        <v>66069</v>
      </c>
      <c r="L64" s="91">
        <f>+'résultsyscumul '!L77</f>
        <v>59367</v>
      </c>
      <c r="M64" s="178">
        <f>SUM(K64:L64)</f>
        <v>125436</v>
      </c>
      <c r="N64" s="229">
        <f>+H64+J64+M64</f>
        <v>1598470.4854599999</v>
      </c>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c r="A65" s="228" t="s">
        <v>333</v>
      </c>
      <c r="B65" s="91">
        <f>+'résultsyscumul '!B83</f>
        <v>119862.40639999995</v>
      </c>
      <c r="C65" s="91">
        <f>+'résultsyscumul '!C83</f>
        <v>6802.3749299999981</v>
      </c>
      <c r="D65" s="91">
        <f>+'résultsyscumul '!D83</f>
        <v>7801.9304575440037</v>
      </c>
      <c r="E65" s="91">
        <f>+'résultsyscumul '!E83</f>
        <v>56803</v>
      </c>
      <c r="F65" s="91">
        <f>+'résultsyscumul '!F83</f>
        <v>100665.4548699999</v>
      </c>
      <c r="G65" s="91">
        <f>+'résultsyscumul '!G83</f>
        <v>254369.32791999995</v>
      </c>
      <c r="H65" s="172">
        <f>SUM(B65:G65)</f>
        <v>546304.49457754381</v>
      </c>
      <c r="I65" s="91">
        <f>+'résultsyscumul '!I83</f>
        <v>11362.516049999987</v>
      </c>
      <c r="J65" s="178">
        <f>SUM(I65:I65)</f>
        <v>11362.516049999987</v>
      </c>
      <c r="K65" s="91">
        <f>+'résultsyscumul '!K83</f>
        <v>21970</v>
      </c>
      <c r="L65" s="91">
        <f>+'résultsyscumul '!L83</f>
        <v>3951.1100000000033</v>
      </c>
      <c r="M65" s="178">
        <f>SUM(K65:L65)</f>
        <v>25921.110000000004</v>
      </c>
      <c r="N65" s="229">
        <f>+H65+J65+M65</f>
        <v>583588.12062754377</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258"/>
      <c r="B66" s="108"/>
      <c r="C66" s="108"/>
      <c r="D66" s="108"/>
      <c r="E66" s="108"/>
      <c r="F66" s="108"/>
      <c r="G66" s="108"/>
      <c r="H66" s="176"/>
      <c r="I66" s="108"/>
      <c r="J66" s="564"/>
      <c r="K66" s="108"/>
      <c r="L66" s="108"/>
      <c r="M66" s="180"/>
      <c r="N66" s="259"/>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260" t="s">
        <v>975</v>
      </c>
      <c r="B67" s="108"/>
      <c r="C67" s="108"/>
      <c r="D67" s="108"/>
      <c r="E67" s="108"/>
      <c r="F67" s="108"/>
      <c r="G67" s="108"/>
      <c r="H67" s="176"/>
      <c r="I67" s="108"/>
      <c r="J67" s="564"/>
      <c r="K67" s="108"/>
      <c r="L67" s="108"/>
      <c r="M67" s="180"/>
      <c r="N67" s="259"/>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228" t="s">
        <v>209</v>
      </c>
      <c r="B68" s="238">
        <f t="shared" ref="B68:G68" si="9">+(B54-B61)/ABS(B61)</f>
        <v>0.21010891278909022</v>
      </c>
      <c r="C68" s="238">
        <f t="shared" si="9"/>
        <v>-0.23230012004826753</v>
      </c>
      <c r="D68" s="238">
        <f t="shared" si="9"/>
        <v>0.15974791584477824</v>
      </c>
      <c r="E68" s="238">
        <f>+(E54-E61)/ABS(E61)</f>
        <v>0.25687132602510221</v>
      </c>
      <c r="F68" s="238">
        <f t="shared" si="9"/>
        <v>8.3238709266931429E-2</v>
      </c>
      <c r="G68" s="238">
        <f t="shared" si="9"/>
        <v>0.33467800246275353</v>
      </c>
      <c r="H68" s="175">
        <f t="shared" ref="H68:J69" si="10">+(H54-H61)/ABS(H61)</f>
        <v>0.19803448856839484</v>
      </c>
      <c r="I68" s="238">
        <f t="shared" si="10"/>
        <v>0.31879692787798869</v>
      </c>
      <c r="J68" s="175">
        <f t="shared" si="10"/>
        <v>0.31879692787798869</v>
      </c>
      <c r="K68" s="238">
        <f t="shared" ref="K68:N70" si="11">+(K54-K61)/ABS(K61)</f>
        <v>0.1116629932015025</v>
      </c>
      <c r="L68" s="238">
        <f t="shared" si="11"/>
        <v>4.8644594449801775E-3</v>
      </c>
      <c r="M68" s="175">
        <f t="shared" si="11"/>
        <v>4.8479931032734097E-2</v>
      </c>
      <c r="N68" s="242">
        <f t="shared" si="11"/>
        <v>0.19261226771326667</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228" t="s">
        <v>210</v>
      </c>
      <c r="B69" s="238">
        <f>+(B55-B62)/ABS(B62)</f>
        <v>-6.5551124320904805E-2</v>
      </c>
      <c r="C69" s="238">
        <f>+(C55-C62)/ABS(C62)</f>
        <v>0.69131143299624853</v>
      </c>
      <c r="D69" s="238">
        <f>+(D55-D62)/ABS(D62)</f>
        <v>9.2845765992337986E-2</v>
      </c>
      <c r="E69" s="238">
        <f>+(E55-E62)/ABS(E62)</f>
        <v>0.19277187152897693</v>
      </c>
      <c r="F69" s="238">
        <f>+(F55-F62)/ABS(F62)</f>
        <v>0.20328600757470716</v>
      </c>
      <c r="G69" s="238">
        <f>+(G55-G62)/ABS(G62)</f>
        <v>0.1764455683974627</v>
      </c>
      <c r="H69" s="175">
        <f t="shared" si="10"/>
        <v>0.15933051967155107</v>
      </c>
      <c r="I69" s="238">
        <f t="shared" si="10"/>
        <v>0.29534862854385729</v>
      </c>
      <c r="J69" s="175">
        <f t="shared" si="10"/>
        <v>0.29534862854385729</v>
      </c>
      <c r="K69" s="238">
        <f t="shared" si="11"/>
        <v>0.11043292222501888</v>
      </c>
      <c r="L69" s="238">
        <f t="shared" si="11"/>
        <v>0.20666487503359313</v>
      </c>
      <c r="M69" s="175">
        <f t="shared" si="11"/>
        <v>0.14112453929887717</v>
      </c>
      <c r="N69" s="242">
        <f t="shared" si="11"/>
        <v>0.15941239199942556</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c r="A70" s="228" t="s">
        <v>211</v>
      </c>
      <c r="B70" s="92">
        <v>0</v>
      </c>
      <c r="C70" s="238">
        <f t="shared" ref="C70:H72" si="12">+(C56-C63)/ABS(C63)</f>
        <v>1.788602081554876</v>
      </c>
      <c r="D70" s="238">
        <f t="shared" si="12"/>
        <v>-0.45869920505305217</v>
      </c>
      <c r="E70" s="238">
        <f>+(E56-E63)/ABS(E63)</f>
        <v>1.3146272285251215</v>
      </c>
      <c r="F70" s="238">
        <f t="shared" si="12"/>
        <v>0.32115299824947219</v>
      </c>
      <c r="G70" s="238">
        <f>+(G56-G63)/ABS(G63)</f>
        <v>0.49703880373862458</v>
      </c>
      <c r="H70" s="175">
        <f t="shared" si="12"/>
        <v>0.12432863808651527</v>
      </c>
      <c r="I70" s="238">
        <f t="shared" ref="I70:J72" si="13">+(I56-I63)/ABS(I63)</f>
        <v>0.2</v>
      </c>
      <c r="J70" s="175">
        <f t="shared" si="13"/>
        <v>0.2</v>
      </c>
      <c r="K70" s="238">
        <f t="shared" si="11"/>
        <v>1.0060008317984672</v>
      </c>
      <c r="L70" s="238">
        <f t="shared" si="11"/>
        <v>-2.5141768251479855</v>
      </c>
      <c r="M70" s="175">
        <f t="shared" ref="M70:N72" si="14">+(M56-M63)/ABS(M63)</f>
        <v>0.58107727338496562</v>
      </c>
      <c r="N70" s="242">
        <f t="shared" si="14"/>
        <v>0.20281389629027868</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c r="A71" s="228" t="s">
        <v>332</v>
      </c>
      <c r="B71" s="238">
        <f>+(B57-B64)/ABS(B64)</f>
        <v>5.449328525378612E-2</v>
      </c>
      <c r="C71" s="238">
        <f t="shared" si="12"/>
        <v>2.8027357748301146E-2</v>
      </c>
      <c r="D71" s="238">
        <f t="shared" si="12"/>
        <v>0.12764914827348622</v>
      </c>
      <c r="E71" s="238">
        <f>+(E57-E64)/ABS(E64)</f>
        <v>0.17268124782667632</v>
      </c>
      <c r="F71" s="238">
        <f t="shared" si="12"/>
        <v>0.20287777914352462</v>
      </c>
      <c r="G71" s="238">
        <f t="shared" si="12"/>
        <v>0.15718437314061851</v>
      </c>
      <c r="H71" s="175">
        <f t="shared" si="12"/>
        <v>0.15128140977202678</v>
      </c>
      <c r="I71" s="238">
        <f t="shared" si="13"/>
        <v>0.10126098299805192</v>
      </c>
      <c r="J71" s="175">
        <f t="shared" si="13"/>
        <v>0.10126098299805192</v>
      </c>
      <c r="K71" s="238">
        <f>+(K57-K64)/ABS(K64)</f>
        <v>-9.6459761764216195E-2</v>
      </c>
      <c r="L71" s="238">
        <f>+(L57-L64)/ABS(L64)</f>
        <v>-0.21870736267623428</v>
      </c>
      <c r="M71" s="175">
        <f t="shared" si="14"/>
        <v>-0.15431773972384324</v>
      </c>
      <c r="N71" s="242">
        <f t="shared" si="14"/>
        <v>0.12630613855963635</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6.5" thickBot="1">
      <c r="A72" s="232" t="s">
        <v>333</v>
      </c>
      <c r="B72" s="243">
        <f>+(B58-B65)/ABS(B65)</f>
        <v>0.50410507576794406</v>
      </c>
      <c r="C72" s="243">
        <f t="shared" si="12"/>
        <v>-1.2246401934213891</v>
      </c>
      <c r="D72" s="243">
        <f t="shared" si="12"/>
        <v>0.71757822610102506</v>
      </c>
      <c r="E72" s="243">
        <f>+(E58-E65)/ABS(E65)</f>
        <v>0.28780170061440419</v>
      </c>
      <c r="F72" s="243">
        <f t="shared" si="12"/>
        <v>-0.17909779271630474</v>
      </c>
      <c r="G72" s="243">
        <f t="shared" si="12"/>
        <v>0.34341508905300588</v>
      </c>
      <c r="H72" s="250">
        <f t="shared" si="12"/>
        <v>0.26242615094856936</v>
      </c>
      <c r="I72" s="243">
        <f t="shared" si="13"/>
        <v>0.76486387801406286</v>
      </c>
      <c r="J72" s="250">
        <f t="shared" si="13"/>
        <v>0.76486387801406286</v>
      </c>
      <c r="K72" s="243">
        <f>+(K58-K65)/ABS(K65)</f>
        <v>-0.10473372781065089</v>
      </c>
      <c r="L72" s="243">
        <f>+(L58-L65)/ABS(L65)</f>
        <v>4.8554937726360388</v>
      </c>
      <c r="M72" s="250">
        <f t="shared" si="14"/>
        <v>0.65134517773351486</v>
      </c>
      <c r="N72" s="244">
        <f t="shared" si="14"/>
        <v>0.28948319521347526</v>
      </c>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6.5" thickTop="1">
      <c r="B73" s="100"/>
      <c r="C73" s="100"/>
      <c r="D73" s="100"/>
      <c r="E73" s="100"/>
      <c r="F73" s="100"/>
      <c r="G73" s="100"/>
      <c r="H73" s="100"/>
      <c r="I73" s="100"/>
      <c r="J73" s="100"/>
      <c r="K73" s="100"/>
      <c r="L73" s="100"/>
      <c r="M73" s="87"/>
      <c r="N73" s="87"/>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686" t="s">
        <v>0</v>
      </c>
      <c r="B74" s="100"/>
      <c r="C74" s="100"/>
      <c r="D74" s="100"/>
      <c r="E74" s="100"/>
      <c r="F74" s="100"/>
      <c r="G74" s="100"/>
      <c r="H74" s="100"/>
      <c r="I74" s="100"/>
      <c r="J74" s="100"/>
      <c r="K74" s="100"/>
      <c r="L74" s="100"/>
      <c r="M74" s="100"/>
      <c r="N74" s="87"/>
      <c r="O74" s="87"/>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B75" s="100"/>
      <c r="C75" s="100"/>
      <c r="D75" s="100"/>
      <c r="E75" s="100"/>
      <c r="F75" s="100"/>
      <c r="G75" s="100"/>
      <c r="H75" s="100"/>
      <c r="I75" s="100"/>
      <c r="J75" s="100"/>
      <c r="K75" s="100"/>
      <c r="L75" s="100"/>
      <c r="M75" s="100"/>
      <c r="N75" s="87"/>
      <c r="O75" s="87"/>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B76" s="100"/>
      <c r="C76" s="100"/>
      <c r="D76" s="100"/>
      <c r="E76" s="100"/>
      <c r="F76" s="100"/>
      <c r="G76" s="100"/>
      <c r="H76" s="100"/>
      <c r="I76" s="100"/>
      <c r="J76" s="100"/>
      <c r="K76" s="100"/>
      <c r="L76" s="100"/>
      <c r="M76" s="100"/>
      <c r="N76" s="87"/>
      <c r="O76" s="87"/>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c r="B77" s="100"/>
      <c r="C77" s="100"/>
      <c r="D77" s="100"/>
      <c r="E77" s="100"/>
      <c r="F77" s="100"/>
      <c r="G77" s="100"/>
      <c r="H77" s="100"/>
      <c r="I77" s="100"/>
      <c r="J77" s="100"/>
      <c r="K77" s="100"/>
      <c r="L77" s="100"/>
      <c r="M77" s="100"/>
      <c r="N77" s="87"/>
      <c r="O77" s="87"/>
      <c r="P77" s="64"/>
      <c r="Q77" s="10"/>
      <c r="R77" s="10"/>
      <c r="S77" s="10"/>
      <c r="T77" s="10"/>
      <c r="U77" s="10"/>
      <c r="V77" s="10"/>
      <c r="W77" s="10"/>
      <c r="X77" s="10"/>
      <c r="Y77" s="10"/>
      <c r="Z77" s="10"/>
      <c r="AA77" s="10"/>
      <c r="AB77" s="10"/>
      <c r="AC77" s="10"/>
      <c r="AD77" s="10"/>
      <c r="AE77" s="10"/>
      <c r="AF77" s="10"/>
      <c r="AG77" s="10"/>
      <c r="AH77" s="10"/>
      <c r="AI77" s="10"/>
      <c r="AJ77" s="10"/>
      <c r="AK77" s="10"/>
      <c r="AL77" s="10"/>
      <c r="AM77" s="10"/>
    </row>
    <row r="78" spans="1:39">
      <c r="B78" s="100"/>
      <c r="C78" s="100"/>
      <c r="D78" s="100"/>
      <c r="E78" s="100"/>
      <c r="F78" s="100"/>
      <c r="G78" s="100"/>
      <c r="H78" s="100"/>
      <c r="I78" s="100"/>
      <c r="J78" s="100"/>
      <c r="K78" s="100"/>
      <c r="L78" s="100"/>
      <c r="M78" s="100"/>
      <c r="N78" s="87"/>
      <c r="O78" s="87"/>
      <c r="P78" s="64"/>
      <c r="Q78" s="10"/>
      <c r="R78" s="10"/>
      <c r="S78" s="10"/>
      <c r="T78" s="10"/>
      <c r="U78" s="10"/>
      <c r="V78" s="10"/>
      <c r="W78" s="10"/>
      <c r="X78" s="10"/>
      <c r="Y78" s="10"/>
      <c r="Z78" s="10"/>
      <c r="AA78" s="10"/>
      <c r="AB78" s="10"/>
      <c r="AC78" s="10"/>
      <c r="AD78" s="10"/>
      <c r="AE78" s="10"/>
      <c r="AF78" s="10"/>
      <c r="AG78" s="10"/>
      <c r="AH78" s="10"/>
      <c r="AI78" s="10"/>
      <c r="AJ78" s="10"/>
      <c r="AK78" s="10"/>
      <c r="AL78" s="10"/>
      <c r="AM78" s="10"/>
    </row>
    <row r="79" spans="1:39">
      <c r="B79" s="100"/>
      <c r="C79" s="100"/>
      <c r="D79" s="100"/>
      <c r="E79" s="100"/>
      <c r="F79" s="100"/>
      <c r="G79" s="100"/>
      <c r="H79" s="100"/>
      <c r="I79" s="100"/>
      <c r="J79" s="100"/>
      <c r="K79" s="100"/>
      <c r="L79" s="100"/>
      <c r="M79" s="100"/>
      <c r="N79" s="87"/>
      <c r="O79" s="87"/>
      <c r="P79" s="64"/>
      <c r="Q79" s="10"/>
      <c r="R79" s="10"/>
      <c r="S79" s="10"/>
      <c r="T79" s="10"/>
      <c r="U79" s="10"/>
      <c r="V79" s="10"/>
      <c r="W79" s="10"/>
      <c r="X79" s="10"/>
      <c r="Y79" s="10"/>
      <c r="Z79" s="10"/>
      <c r="AA79" s="10"/>
      <c r="AB79" s="10"/>
      <c r="AC79" s="10"/>
      <c r="AD79" s="10"/>
      <c r="AE79" s="10"/>
      <c r="AF79" s="10"/>
      <c r="AG79" s="10"/>
      <c r="AH79" s="10"/>
      <c r="AI79" s="10"/>
      <c r="AJ79" s="10"/>
      <c r="AK79" s="10"/>
      <c r="AL79" s="10"/>
      <c r="AM79" s="10"/>
    </row>
    <row r="80" spans="1:39">
      <c r="B80" s="100"/>
      <c r="C80" s="100"/>
      <c r="D80" s="100"/>
      <c r="E80" s="100"/>
      <c r="F80" s="100"/>
      <c r="G80" s="100"/>
      <c r="H80" s="100"/>
      <c r="I80" s="100"/>
      <c r="J80" s="100"/>
      <c r="K80" s="100"/>
      <c r="L80" s="100"/>
      <c r="M80" s="100"/>
      <c r="N80" s="87"/>
      <c r="O80" s="87"/>
      <c r="P80" s="64"/>
      <c r="Q80" s="10"/>
      <c r="R80" s="10"/>
      <c r="S80" s="10"/>
      <c r="T80" s="10"/>
      <c r="U80" s="10"/>
      <c r="V80" s="10"/>
      <c r="W80" s="10"/>
      <c r="X80" s="10"/>
      <c r="Y80" s="10"/>
      <c r="Z80" s="10"/>
      <c r="AA80" s="10"/>
      <c r="AB80" s="10"/>
      <c r="AC80" s="10"/>
      <c r="AD80" s="10"/>
      <c r="AE80" s="10"/>
      <c r="AF80" s="10"/>
      <c r="AG80" s="10"/>
      <c r="AH80" s="10"/>
      <c r="AI80" s="10"/>
      <c r="AJ80" s="10"/>
      <c r="AK80" s="10"/>
      <c r="AL80" s="10"/>
      <c r="AM80" s="10"/>
    </row>
    <row r="81" spans="2:39">
      <c r="B81" s="100"/>
      <c r="C81" s="100"/>
      <c r="D81" s="100"/>
      <c r="E81" s="100"/>
      <c r="F81" s="100"/>
      <c r="G81" s="100"/>
      <c r="H81" s="100"/>
      <c r="I81" s="100"/>
      <c r="J81" s="100"/>
      <c r="K81" s="100"/>
      <c r="L81" s="100"/>
      <c r="M81" s="100"/>
      <c r="N81" s="87"/>
      <c r="O81" s="87"/>
      <c r="P81" s="64"/>
      <c r="Q81" s="10"/>
      <c r="R81" s="10"/>
      <c r="S81" s="10"/>
      <c r="T81" s="10"/>
      <c r="U81" s="10"/>
      <c r="V81" s="10"/>
      <c r="W81" s="10"/>
      <c r="X81" s="10"/>
      <c r="Y81" s="10"/>
      <c r="Z81" s="10"/>
      <c r="AA81" s="10"/>
      <c r="AB81" s="10"/>
      <c r="AC81" s="10"/>
      <c r="AD81" s="10"/>
      <c r="AE81" s="10"/>
      <c r="AF81" s="10"/>
      <c r="AG81" s="10"/>
      <c r="AH81" s="10"/>
      <c r="AI81" s="10"/>
      <c r="AJ81" s="10"/>
      <c r="AK81" s="10"/>
      <c r="AL81" s="10"/>
      <c r="AM81" s="10"/>
    </row>
    <row r="82" spans="2:39">
      <c r="B82" s="100"/>
      <c r="C82" s="100"/>
      <c r="D82" s="100"/>
      <c r="E82" s="100"/>
      <c r="F82" s="100"/>
      <c r="G82" s="100"/>
      <c r="H82" s="100"/>
      <c r="I82" s="100"/>
      <c r="J82" s="100"/>
      <c r="K82" s="100"/>
      <c r="L82" s="100"/>
      <c r="M82" s="100"/>
      <c r="N82" s="87"/>
      <c r="O82" s="87"/>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2:39">
      <c r="B83" s="100"/>
      <c r="C83" s="100"/>
      <c r="D83" s="100"/>
      <c r="E83" s="100"/>
      <c r="F83" s="100"/>
      <c r="G83" s="100"/>
      <c r="H83" s="100"/>
      <c r="I83" s="100"/>
      <c r="J83" s="100"/>
      <c r="K83" s="100"/>
      <c r="L83" s="100"/>
      <c r="M83" s="100"/>
      <c r="N83" s="87"/>
      <c r="O83" s="87"/>
      <c r="P83" s="64"/>
      <c r="Q83" s="10"/>
      <c r="R83" s="10"/>
      <c r="S83" s="10"/>
      <c r="T83" s="10"/>
      <c r="U83" s="10"/>
      <c r="V83" s="10"/>
      <c r="W83" s="10"/>
      <c r="X83" s="10"/>
      <c r="Y83" s="10"/>
      <c r="Z83" s="10"/>
      <c r="AA83" s="10"/>
      <c r="AB83" s="10"/>
      <c r="AC83" s="10"/>
      <c r="AD83" s="10"/>
      <c r="AE83" s="10"/>
      <c r="AF83" s="10"/>
      <c r="AG83" s="10"/>
      <c r="AH83" s="10"/>
      <c r="AI83" s="10"/>
      <c r="AJ83" s="10"/>
      <c r="AK83" s="10"/>
      <c r="AL83" s="10"/>
      <c r="AM83" s="10"/>
    </row>
    <row r="84" spans="2:39">
      <c r="B84" s="100"/>
      <c r="C84" s="100"/>
      <c r="D84" s="100"/>
      <c r="E84" s="100"/>
      <c r="F84" s="100"/>
      <c r="G84" s="100"/>
      <c r="H84" s="100"/>
      <c r="I84" s="100"/>
      <c r="J84" s="100"/>
      <c r="K84" s="100"/>
      <c r="L84" s="100"/>
      <c r="M84" s="100"/>
      <c r="N84" s="87"/>
      <c r="O84" s="87"/>
      <c r="P84" s="64"/>
      <c r="Q84" s="10"/>
      <c r="R84" s="10"/>
      <c r="S84" s="10"/>
      <c r="T84" s="10"/>
      <c r="U84" s="10"/>
      <c r="V84" s="10"/>
      <c r="W84" s="10"/>
      <c r="X84" s="10"/>
      <c r="Y84" s="10"/>
      <c r="Z84" s="10"/>
      <c r="AA84" s="10"/>
      <c r="AB84" s="10"/>
      <c r="AC84" s="10"/>
      <c r="AD84" s="10"/>
      <c r="AE84" s="10"/>
      <c r="AF84" s="10"/>
      <c r="AG84" s="10"/>
      <c r="AH84" s="10"/>
      <c r="AI84" s="10"/>
      <c r="AJ84" s="10"/>
      <c r="AK84" s="10"/>
      <c r="AL84" s="10"/>
      <c r="AM84" s="10"/>
    </row>
    <row r="85" spans="2:39">
      <c r="B85" s="100"/>
      <c r="C85" s="100"/>
      <c r="D85" s="100"/>
      <c r="E85" s="100"/>
      <c r="F85" s="100"/>
      <c r="G85" s="100"/>
      <c r="H85" s="100"/>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2:39">
      <c r="B86" s="100"/>
      <c r="C86" s="100"/>
      <c r="D86" s="100"/>
      <c r="E86" s="100"/>
      <c r="F86" s="100"/>
      <c r="G86" s="100"/>
      <c r="H86" s="100"/>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2:39">
      <c r="B87" s="100"/>
      <c r="C87" s="100"/>
      <c r="D87" s="100"/>
      <c r="E87" s="100"/>
      <c r="F87" s="100"/>
      <c r="G87" s="100"/>
      <c r="H87" s="100"/>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2:39">
      <c r="B88" s="100"/>
      <c r="C88" s="100"/>
      <c r="D88" s="100"/>
      <c r="E88" s="100"/>
      <c r="F88" s="100"/>
      <c r="G88" s="100"/>
      <c r="H88" s="100"/>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2:39">
      <c r="B89" s="100"/>
      <c r="C89" s="100"/>
      <c r="D89" s="100"/>
      <c r="E89" s="100"/>
      <c r="F89" s="100"/>
      <c r="G89" s="100"/>
      <c r="H89" s="100"/>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2: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2:39">
      <c r="B91" s="100"/>
      <c r="C91" s="100"/>
      <c r="D91" s="100"/>
      <c r="E91" s="100"/>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2:39">
      <c r="B92" s="100"/>
      <c r="C92" s="100"/>
      <c r="D92" s="100"/>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2:39">
      <c r="B93" s="100"/>
      <c r="C93" s="100"/>
      <c r="D93" s="100"/>
      <c r="E93" s="100"/>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2:39">
      <c r="B94" s="100"/>
      <c r="C94" s="100"/>
      <c r="D94" s="100"/>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2:39">
      <c r="B95" s="100"/>
      <c r="C95" s="100"/>
      <c r="D95" s="100"/>
      <c r="E95" s="100"/>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2: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1: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1: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1: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1: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1: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1: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1: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1: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1: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1: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1: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1: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1:39">
      <c r="A141" s="10"/>
      <c r="B141" s="87"/>
      <c r="C141" s="99"/>
      <c r="D141" s="87"/>
      <c r="E141" s="87"/>
      <c r="F141" s="87"/>
      <c r="G141" s="87"/>
      <c r="H141" s="87"/>
      <c r="I141" s="87"/>
      <c r="J141" s="87"/>
      <c r="K141" s="87"/>
      <c r="L141" s="87"/>
      <c r="M141" s="99"/>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1:39">
      <c r="A142" s="10" t="s">
        <v>0</v>
      </c>
      <c r="B142" s="90"/>
      <c r="C142" s="101"/>
      <c r="D142" s="90"/>
      <c r="E142" s="90"/>
      <c r="F142" s="90"/>
      <c r="G142" s="90"/>
      <c r="H142" s="90"/>
      <c r="I142" s="90"/>
      <c r="J142" s="90"/>
      <c r="K142" s="90"/>
      <c r="L142" s="87"/>
      <c r="M142" s="101"/>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1:39">
      <c r="A143" s="10" t="s">
        <v>0</v>
      </c>
      <c r="B143" s="87"/>
      <c r="C143" s="99"/>
      <c r="D143" s="87"/>
      <c r="E143" s="87"/>
      <c r="F143" s="87"/>
      <c r="G143" s="87"/>
      <c r="H143" s="87"/>
      <c r="I143" s="87"/>
      <c r="J143" s="87"/>
      <c r="K143" s="87"/>
      <c r="L143" s="87"/>
      <c r="M143" s="99"/>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1:39">
      <c r="A144" s="10" t="s">
        <v>0</v>
      </c>
      <c r="B144" s="90"/>
      <c r="C144" s="101"/>
      <c r="D144" s="90"/>
      <c r="E144" s="90"/>
      <c r="F144" s="90"/>
      <c r="G144" s="90"/>
      <c r="H144" s="90"/>
      <c r="I144" s="90"/>
      <c r="J144" s="90"/>
      <c r="K144" s="90"/>
      <c r="L144" s="87"/>
      <c r="M144" s="101"/>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A145" s="10" t="s">
        <v>0</v>
      </c>
      <c r="B145" s="87"/>
      <c r="C145" s="99"/>
      <c r="D145" s="87"/>
      <c r="E145" s="87"/>
      <c r="F145" s="87"/>
      <c r="G145" s="87"/>
      <c r="H145" s="87"/>
      <c r="I145" s="87"/>
      <c r="J145" s="87"/>
      <c r="K145" s="87"/>
      <c r="L145" s="87"/>
      <c r="M145" s="99"/>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A146" s="10" t="s">
        <v>0</v>
      </c>
      <c r="B146" s="90"/>
      <c r="C146" s="101"/>
      <c r="D146" s="90"/>
      <c r="E146" s="90"/>
      <c r="F146" s="90"/>
      <c r="G146" s="90"/>
      <c r="H146" s="90"/>
      <c r="I146" s="90"/>
      <c r="J146" s="90"/>
      <c r="K146" s="90"/>
      <c r="L146" s="87"/>
      <c r="M146" s="101"/>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A147" s="10" t="s">
        <v>0</v>
      </c>
      <c r="B147" s="87"/>
      <c r="C147" s="99"/>
      <c r="D147" s="87"/>
      <c r="E147" s="87"/>
      <c r="F147" s="87"/>
      <c r="G147" s="87"/>
      <c r="H147" s="87"/>
      <c r="I147" s="87"/>
      <c r="J147" s="87"/>
      <c r="K147" s="87"/>
      <c r="L147" s="87"/>
      <c r="M147" s="99"/>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A148" s="10" t="s">
        <v>0</v>
      </c>
      <c r="B148" s="87"/>
      <c r="C148" s="99"/>
      <c r="D148" s="87"/>
      <c r="E148" s="87"/>
      <c r="F148" s="87"/>
      <c r="G148" s="87"/>
      <c r="H148" s="87"/>
      <c r="I148" s="87"/>
      <c r="J148" s="87"/>
      <c r="K148" s="87"/>
      <c r="L148" s="87"/>
      <c r="M148" s="99"/>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A149" s="10" t="s">
        <v>0</v>
      </c>
      <c r="B149" s="87"/>
      <c r="C149" s="99"/>
      <c r="D149" s="87"/>
      <c r="E149" s="87"/>
      <c r="F149" s="87"/>
      <c r="G149" s="87"/>
      <c r="H149" s="87"/>
      <c r="I149" s="87"/>
      <c r="J149" s="87"/>
      <c r="K149" s="87"/>
      <c r="L149" s="87"/>
      <c r="M149" s="99"/>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t="s">
        <v>0</v>
      </c>
      <c r="B150" s="87"/>
      <c r="C150" s="99"/>
      <c r="D150" s="87"/>
      <c r="E150" s="87"/>
      <c r="F150" s="87"/>
      <c r="G150" s="87"/>
      <c r="H150" s="87"/>
      <c r="I150" s="87"/>
      <c r="J150" s="87"/>
      <c r="K150" s="87"/>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0</v>
      </c>
      <c r="B151" s="87"/>
      <c r="C151" s="99"/>
      <c r="D151" s="87"/>
      <c r="E151" s="87"/>
      <c r="F151" s="87"/>
      <c r="G151" s="87"/>
      <c r="H151" s="87"/>
      <c r="I151" s="87"/>
      <c r="J151" s="87"/>
      <c r="K151" s="87"/>
      <c r="L151" s="87"/>
      <c r="M151" s="99"/>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t="s">
        <v>0</v>
      </c>
      <c r="B152" s="87"/>
      <c r="C152" s="99"/>
      <c r="D152" s="87"/>
      <c r="E152" s="87"/>
      <c r="F152" s="87"/>
      <c r="G152" s="87"/>
      <c r="H152" s="87"/>
      <c r="I152" s="87"/>
      <c r="J152" s="87"/>
      <c r="K152" s="87"/>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0</v>
      </c>
      <c r="B153" s="90"/>
      <c r="C153" s="101"/>
      <c r="D153" s="90"/>
      <c r="E153" s="90"/>
      <c r="F153" s="90"/>
      <c r="G153" s="90"/>
      <c r="H153" s="90"/>
      <c r="I153" s="90"/>
      <c r="J153" s="90"/>
      <c r="K153" s="90"/>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t="s">
        <v>0</v>
      </c>
      <c r="B154" s="87"/>
      <c r="C154" s="99"/>
      <c r="D154" s="87"/>
      <c r="E154" s="87"/>
      <c r="F154" s="87"/>
      <c r="G154" s="87"/>
      <c r="H154" s="87"/>
      <c r="I154" s="87"/>
      <c r="J154" s="87"/>
      <c r="K154" s="87"/>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0</v>
      </c>
      <c r="B155" s="87"/>
      <c r="C155" s="99"/>
      <c r="D155" s="87"/>
      <c r="E155" s="87"/>
      <c r="F155" s="87"/>
      <c r="G155" s="87"/>
      <c r="H155" s="87"/>
      <c r="I155" s="87"/>
      <c r="J155" s="87"/>
      <c r="K155" s="87"/>
      <c r="L155" s="87"/>
      <c r="M155" s="99"/>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c r="B156" s="87"/>
      <c r="C156" s="99"/>
      <c r="D156" s="87"/>
      <c r="E156" s="87"/>
      <c r="F156" s="87"/>
      <c r="G156" s="87"/>
      <c r="H156" s="87"/>
      <c r="I156" s="87"/>
      <c r="J156" s="87"/>
      <c r="K156" s="87"/>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0</v>
      </c>
      <c r="B157" s="90" t="s">
        <v>0</v>
      </c>
      <c r="C157" s="101" t="s">
        <v>0</v>
      </c>
      <c r="D157" s="90" t="s">
        <v>0</v>
      </c>
      <c r="E157" s="90"/>
      <c r="F157" s="90"/>
      <c r="G157" s="90"/>
      <c r="H157" s="90"/>
      <c r="I157" s="90"/>
      <c r="J157" s="90">
        <f>+J108+J112+J114+J116+J131+J140+J142+J144+J146+J153</f>
        <v>0</v>
      </c>
      <c r="K157" s="90"/>
      <c r="L157" s="87"/>
      <c r="M157" s="101">
        <f>+M108+M112+M114+M116+M131+M140+M142+M144+M146+M153</f>
        <v>0</v>
      </c>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c r="B158" s="87"/>
      <c r="C158" s="99"/>
      <c r="D158" s="87"/>
      <c r="E158" s="87"/>
      <c r="F158" s="87"/>
      <c r="G158" s="87"/>
      <c r="H158" s="87"/>
      <c r="I158" s="87"/>
      <c r="J158" s="87"/>
      <c r="K158" s="87"/>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c r="B159" s="87"/>
      <c r="C159" s="99"/>
      <c r="D159" s="87"/>
      <c r="E159" s="87"/>
      <c r="F159" s="87"/>
      <c r="G159" s="87"/>
      <c r="H159" s="87"/>
      <c r="I159" s="87"/>
      <c r="J159" s="87"/>
      <c r="K159" s="87"/>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c r="B160" s="87"/>
      <c r="C160" s="99"/>
      <c r="D160" s="87"/>
      <c r="E160" s="87"/>
      <c r="F160" s="87"/>
      <c r="G160" s="87"/>
      <c r="H160" s="87"/>
      <c r="I160" s="87"/>
      <c r="J160" s="87"/>
      <c r="K160" s="87"/>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87"/>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c r="B162" s="87"/>
      <c r="C162" s="99"/>
      <c r="D162" s="87"/>
      <c r="E162" s="87"/>
      <c r="F162" s="87"/>
      <c r="G162" s="87"/>
      <c r="H162" s="87"/>
      <c r="I162" s="87"/>
      <c r="J162" s="87"/>
      <c r="K162" s="87"/>
      <c r="L162" s="87"/>
      <c r="M162" s="99"/>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c r="B163" s="87"/>
      <c r="C163" s="99"/>
      <c r="D163" s="87"/>
      <c r="E163" s="87"/>
      <c r="F163" s="87"/>
      <c r="G163" s="87"/>
      <c r="H163" s="87"/>
      <c r="I163" s="87"/>
      <c r="J163" s="87"/>
      <c r="K163" s="87"/>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c r="B164" s="87"/>
      <c r="C164" s="99"/>
      <c r="D164" s="87"/>
      <c r="E164" s="87"/>
      <c r="F164" s="87"/>
      <c r="G164" s="87"/>
      <c r="H164" s="87"/>
      <c r="I164" s="87"/>
      <c r="J164" s="87"/>
      <c r="K164" s="87"/>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87"/>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c r="B166" s="87"/>
      <c r="C166" s="99"/>
      <c r="D166" s="87"/>
      <c r="E166" s="87"/>
      <c r="F166" s="87"/>
      <c r="G166" s="87"/>
      <c r="H166" s="87"/>
      <c r="I166" s="87"/>
      <c r="J166" s="87"/>
      <c r="K166" s="87"/>
      <c r="L166" s="87"/>
      <c r="M166" s="99"/>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87"/>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87"/>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87"/>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87"/>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87"/>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87"/>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87"/>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87"/>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87"/>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87"/>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87"/>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87"/>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87"/>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87"/>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87"/>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87"/>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87"/>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87"/>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87"/>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87"/>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87"/>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87"/>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87"/>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B190" s="87"/>
      <c r="C190" s="99"/>
      <c r="D190" s="87"/>
      <c r="E190" s="87"/>
      <c r="F190" s="87"/>
      <c r="G190" s="87"/>
      <c r="H190" s="87"/>
      <c r="I190" s="87"/>
      <c r="J190" s="87"/>
      <c r="K190" s="87"/>
      <c r="L190" s="87"/>
      <c r="M190" s="99"/>
      <c r="N190" s="87"/>
      <c r="O190" s="87"/>
    </row>
    <row r="191" spans="1:39">
      <c r="B191" s="87"/>
      <c r="C191" s="99"/>
      <c r="D191" s="87"/>
      <c r="E191" s="87"/>
      <c r="F191" s="87"/>
      <c r="G191" s="87"/>
      <c r="H191" s="87"/>
      <c r="I191" s="87"/>
      <c r="J191" s="87"/>
      <c r="K191" s="87"/>
      <c r="L191" s="87"/>
      <c r="M191" s="99"/>
      <c r="N191" s="87"/>
      <c r="O191" s="87"/>
    </row>
    <row r="192" spans="1:39">
      <c r="B192" s="87"/>
      <c r="C192" s="99"/>
      <c r="D192" s="87"/>
      <c r="E192" s="87"/>
      <c r="F192" s="87"/>
      <c r="G192" s="87"/>
      <c r="H192" s="87"/>
      <c r="I192" s="87"/>
      <c r="J192" s="87"/>
      <c r="K192" s="87"/>
      <c r="L192" s="87"/>
      <c r="M192" s="99"/>
      <c r="N192" s="87"/>
      <c r="O192" s="87"/>
    </row>
    <row r="193" spans="2:15">
      <c r="B193" s="87"/>
      <c r="C193" s="99"/>
      <c r="D193" s="87"/>
      <c r="E193" s="87"/>
      <c r="F193" s="87"/>
      <c r="G193" s="87"/>
      <c r="H193" s="87"/>
      <c r="I193" s="87"/>
      <c r="J193" s="87"/>
      <c r="K193" s="87"/>
      <c r="L193" s="87"/>
      <c r="M193" s="99"/>
      <c r="N193" s="87"/>
      <c r="O193" s="87"/>
    </row>
    <row r="194" spans="2:15">
      <c r="B194" s="87"/>
      <c r="C194" s="99"/>
      <c r="D194" s="87"/>
      <c r="E194" s="87"/>
      <c r="F194" s="87"/>
      <c r="G194" s="87"/>
      <c r="H194" s="87"/>
      <c r="I194" s="87"/>
      <c r="J194" s="87"/>
      <c r="K194" s="87"/>
      <c r="L194" s="87"/>
      <c r="M194" s="99"/>
      <c r="N194" s="87"/>
      <c r="O194" s="87"/>
    </row>
    <row r="195" spans="2:15">
      <c r="B195" s="87"/>
      <c r="C195" s="99"/>
      <c r="D195" s="87"/>
      <c r="E195" s="87"/>
      <c r="F195" s="87"/>
      <c r="G195" s="87"/>
      <c r="H195" s="87"/>
      <c r="I195" s="87"/>
      <c r="J195" s="87"/>
      <c r="K195" s="87"/>
      <c r="L195" s="87"/>
      <c r="M195" s="99"/>
      <c r="N195" s="87"/>
      <c r="O195" s="87"/>
    </row>
    <row r="196" spans="2:15">
      <c r="B196" s="87"/>
      <c r="C196" s="99"/>
      <c r="D196" s="87"/>
      <c r="E196" s="87"/>
      <c r="F196" s="87"/>
      <c r="G196" s="87"/>
      <c r="H196" s="87"/>
      <c r="I196" s="87"/>
      <c r="J196" s="87"/>
      <c r="K196" s="87"/>
      <c r="L196" s="87"/>
      <c r="M196" s="99"/>
      <c r="N196" s="87"/>
      <c r="O196" s="87"/>
    </row>
    <row r="197" spans="2:15">
      <c r="B197" s="87"/>
      <c r="C197" s="99"/>
      <c r="D197" s="87"/>
      <c r="E197" s="87"/>
      <c r="F197" s="87"/>
      <c r="G197" s="87"/>
      <c r="H197" s="87"/>
      <c r="I197" s="87"/>
      <c r="J197" s="87"/>
      <c r="K197" s="87"/>
      <c r="L197" s="87"/>
      <c r="M197" s="99"/>
      <c r="N197" s="87"/>
      <c r="O197" s="87"/>
    </row>
    <row r="198" spans="2:15">
      <c r="B198" s="87"/>
      <c r="C198" s="99"/>
      <c r="D198" s="87"/>
      <c r="E198" s="87"/>
      <c r="F198" s="87"/>
      <c r="G198" s="87"/>
      <c r="H198" s="87"/>
      <c r="I198" s="87"/>
      <c r="J198" s="87"/>
      <c r="K198" s="87"/>
      <c r="L198" s="87"/>
      <c r="M198" s="99"/>
      <c r="N198" s="87"/>
      <c r="O198" s="87"/>
    </row>
    <row r="199" spans="2:15">
      <c r="B199" s="87"/>
      <c r="C199" s="99"/>
      <c r="D199" s="87"/>
      <c r="E199" s="87"/>
      <c r="F199" s="87"/>
      <c r="G199" s="87"/>
      <c r="H199" s="87"/>
      <c r="I199" s="87"/>
      <c r="J199" s="87"/>
      <c r="K199" s="87"/>
      <c r="L199" s="87"/>
      <c r="M199" s="99"/>
      <c r="N199" s="87"/>
      <c r="O199" s="87"/>
    </row>
    <row r="200" spans="2:15">
      <c r="B200" s="87"/>
      <c r="C200" s="99"/>
      <c r="D200" s="87"/>
      <c r="E200" s="87"/>
      <c r="F200" s="87"/>
      <c r="G200" s="87"/>
      <c r="H200" s="87"/>
      <c r="I200" s="87"/>
      <c r="J200" s="87"/>
      <c r="K200" s="87"/>
      <c r="L200" s="87"/>
      <c r="M200" s="99"/>
      <c r="N200" s="87"/>
      <c r="O200" s="87"/>
    </row>
    <row r="201" spans="2:15">
      <c r="B201" s="87"/>
      <c r="C201" s="99"/>
      <c r="D201" s="87"/>
      <c r="E201" s="87"/>
      <c r="F201" s="87"/>
      <c r="G201" s="87"/>
      <c r="H201" s="87"/>
      <c r="I201" s="87"/>
      <c r="J201" s="87"/>
      <c r="K201" s="87"/>
      <c r="L201" s="87"/>
      <c r="M201" s="99"/>
      <c r="N201" s="87"/>
      <c r="O201" s="87"/>
    </row>
    <row r="202" spans="2:15">
      <c r="B202" s="87"/>
      <c r="C202" s="99"/>
      <c r="D202" s="87"/>
      <c r="E202" s="87"/>
      <c r="F202" s="87"/>
      <c r="G202" s="87"/>
      <c r="H202" s="87"/>
      <c r="I202" s="87"/>
      <c r="J202" s="87"/>
      <c r="K202" s="87"/>
      <c r="L202" s="87"/>
      <c r="M202" s="99"/>
      <c r="N202" s="87"/>
      <c r="O202" s="87"/>
    </row>
    <row r="203" spans="2:15">
      <c r="B203" s="87"/>
      <c r="C203" s="99"/>
      <c r="D203" s="87"/>
      <c r="E203" s="87"/>
      <c r="F203" s="87"/>
      <c r="G203" s="87"/>
      <c r="H203" s="87"/>
      <c r="I203" s="87"/>
      <c r="J203" s="87"/>
      <c r="K203" s="87"/>
      <c r="L203" s="87"/>
      <c r="M203" s="99"/>
      <c r="N203" s="87"/>
      <c r="O203" s="87"/>
    </row>
    <row r="204" spans="2:15">
      <c r="B204" s="87"/>
      <c r="C204" s="99"/>
      <c r="D204" s="87"/>
      <c r="E204" s="87"/>
      <c r="F204" s="87"/>
      <c r="G204" s="87"/>
      <c r="H204" s="87"/>
      <c r="I204" s="87"/>
      <c r="J204" s="87"/>
      <c r="K204" s="87"/>
      <c r="L204" s="87"/>
      <c r="M204" s="99"/>
      <c r="N204" s="87"/>
      <c r="O204" s="87"/>
    </row>
    <row r="205" spans="2:15">
      <c r="B205" s="87"/>
      <c r="C205" s="99"/>
      <c r="D205" s="87"/>
      <c r="E205" s="87"/>
      <c r="F205" s="87"/>
      <c r="G205" s="87"/>
      <c r="H205" s="87"/>
      <c r="I205" s="87"/>
      <c r="J205" s="87"/>
      <c r="K205" s="87"/>
      <c r="L205" s="87"/>
      <c r="M205" s="99"/>
      <c r="N205" s="87"/>
      <c r="O205" s="87"/>
    </row>
    <row r="206" spans="2:15">
      <c r="B206" s="87"/>
      <c r="C206" s="99"/>
      <c r="D206" s="87"/>
      <c r="E206" s="87"/>
      <c r="F206" s="87"/>
      <c r="G206" s="87"/>
      <c r="H206" s="87"/>
      <c r="I206" s="87"/>
      <c r="J206" s="87"/>
      <c r="K206" s="87"/>
      <c r="L206" s="87"/>
      <c r="M206" s="99"/>
      <c r="N206" s="87"/>
      <c r="O206" s="87"/>
    </row>
    <row r="207" spans="2:15">
      <c r="B207" s="87"/>
      <c r="C207" s="99"/>
      <c r="D207" s="87"/>
      <c r="E207" s="87"/>
      <c r="F207" s="87"/>
      <c r="G207" s="87"/>
      <c r="H207" s="87"/>
      <c r="I207" s="87"/>
      <c r="J207" s="87"/>
      <c r="K207" s="87"/>
      <c r="L207" s="87"/>
      <c r="M207" s="99"/>
      <c r="N207" s="87"/>
      <c r="O207" s="87"/>
    </row>
    <row r="208" spans="2:15">
      <c r="B208" s="87"/>
      <c r="C208" s="99"/>
      <c r="D208" s="87"/>
      <c r="E208" s="87"/>
      <c r="F208" s="87"/>
      <c r="G208" s="87"/>
      <c r="H208" s="87"/>
      <c r="I208" s="87"/>
      <c r="J208" s="87"/>
      <c r="K208" s="87"/>
      <c r="L208" s="87"/>
      <c r="M208" s="99"/>
      <c r="N208" s="87"/>
      <c r="O208" s="87"/>
    </row>
    <row r="209" spans="2:15">
      <c r="B209" s="87"/>
      <c r="C209" s="99"/>
      <c r="D209" s="87"/>
      <c r="E209" s="87"/>
      <c r="F209" s="87"/>
      <c r="G209" s="87"/>
      <c r="H209" s="87"/>
      <c r="I209" s="87"/>
      <c r="J209" s="87"/>
      <c r="K209" s="87"/>
      <c r="L209" s="87"/>
      <c r="M209" s="99"/>
      <c r="N209" s="87"/>
      <c r="O209" s="87"/>
    </row>
    <row r="210" spans="2:15">
      <c r="B210" s="87"/>
      <c r="C210" s="99"/>
      <c r="D210" s="87"/>
      <c r="E210" s="87"/>
      <c r="F210" s="87"/>
      <c r="G210" s="87"/>
      <c r="H210" s="87"/>
      <c r="I210" s="87"/>
      <c r="J210" s="87"/>
      <c r="K210" s="87"/>
      <c r="L210" s="87"/>
      <c r="M210" s="99"/>
      <c r="N210" s="87"/>
      <c r="O210" s="87"/>
    </row>
    <row r="211" spans="2:15">
      <c r="B211" s="87"/>
      <c r="C211" s="99"/>
      <c r="D211" s="87"/>
      <c r="E211" s="87"/>
      <c r="F211" s="87"/>
      <c r="G211" s="87"/>
      <c r="H211" s="87"/>
      <c r="I211" s="87"/>
      <c r="J211" s="87"/>
      <c r="K211" s="87"/>
      <c r="L211" s="87"/>
      <c r="M211" s="99"/>
      <c r="N211" s="87"/>
      <c r="O211" s="87"/>
    </row>
    <row r="212" spans="2:15">
      <c r="B212" s="87"/>
      <c r="C212" s="99"/>
      <c r="D212" s="87"/>
      <c r="E212" s="87"/>
      <c r="F212" s="87"/>
      <c r="G212" s="87"/>
      <c r="H212" s="87"/>
      <c r="I212" s="87"/>
      <c r="J212" s="87"/>
      <c r="K212" s="87"/>
      <c r="L212" s="87"/>
      <c r="M212" s="99"/>
      <c r="N212" s="87"/>
      <c r="O212" s="87"/>
    </row>
    <row r="213" spans="2:15">
      <c r="B213" s="87"/>
      <c r="C213" s="99"/>
      <c r="D213" s="87"/>
      <c r="E213" s="87"/>
      <c r="F213" s="87"/>
      <c r="G213" s="87"/>
      <c r="H213" s="87"/>
      <c r="I213" s="87"/>
      <c r="J213" s="87"/>
      <c r="K213" s="87"/>
      <c r="L213" s="87"/>
      <c r="M213" s="99"/>
      <c r="N213" s="87"/>
      <c r="O213" s="87"/>
    </row>
    <row r="214" spans="2:15">
      <c r="B214" s="87"/>
      <c r="C214" s="99"/>
      <c r="D214" s="87"/>
      <c r="E214" s="87"/>
      <c r="F214" s="87"/>
      <c r="G214" s="87"/>
      <c r="H214" s="87"/>
      <c r="I214" s="87"/>
      <c r="J214" s="87"/>
      <c r="K214" s="87"/>
      <c r="L214" s="87"/>
      <c r="M214" s="99"/>
      <c r="N214" s="87"/>
      <c r="O214" s="87"/>
    </row>
    <row r="215" spans="2:15">
      <c r="B215" s="87"/>
      <c r="C215" s="99"/>
      <c r="D215" s="87"/>
      <c r="E215" s="87"/>
      <c r="F215" s="87"/>
      <c r="G215" s="87"/>
      <c r="H215" s="87"/>
      <c r="I215" s="87"/>
      <c r="J215" s="87"/>
      <c r="K215" s="87"/>
      <c r="L215" s="87"/>
      <c r="M215" s="99"/>
      <c r="N215" s="87"/>
      <c r="O215" s="87"/>
    </row>
    <row r="216" spans="2:15">
      <c r="B216" s="87"/>
      <c r="C216" s="99"/>
      <c r="D216" s="87"/>
      <c r="E216" s="87"/>
      <c r="F216" s="87"/>
      <c r="G216" s="87"/>
      <c r="H216" s="87"/>
      <c r="I216" s="87"/>
      <c r="J216" s="87"/>
      <c r="K216" s="87"/>
      <c r="L216" s="87"/>
      <c r="M216" s="99"/>
      <c r="N216" s="87"/>
      <c r="O216" s="87"/>
    </row>
    <row r="217" spans="2:15">
      <c r="B217" s="87"/>
      <c r="C217" s="99"/>
      <c r="D217" s="87"/>
      <c r="E217" s="87"/>
      <c r="F217" s="87"/>
      <c r="G217" s="87"/>
      <c r="H217" s="87"/>
      <c r="I217" s="87"/>
      <c r="J217" s="87"/>
      <c r="K217" s="87"/>
      <c r="L217" s="87"/>
      <c r="M217" s="99"/>
      <c r="N217" s="87"/>
      <c r="O217" s="87"/>
    </row>
    <row r="218" spans="2:15">
      <c r="B218" s="87"/>
      <c r="C218" s="99"/>
      <c r="D218" s="87"/>
      <c r="E218" s="87"/>
      <c r="F218" s="87"/>
      <c r="G218" s="87"/>
      <c r="H218" s="87"/>
      <c r="I218" s="87"/>
      <c r="J218" s="87"/>
      <c r="K218" s="87"/>
      <c r="L218" s="87"/>
      <c r="M218" s="99"/>
      <c r="N218" s="87"/>
      <c r="O218" s="87"/>
    </row>
    <row r="219" spans="2:15">
      <c r="B219" s="87"/>
      <c r="C219" s="99"/>
      <c r="D219" s="87"/>
      <c r="E219" s="87"/>
      <c r="F219" s="87"/>
      <c r="G219" s="87"/>
      <c r="H219" s="87"/>
      <c r="I219" s="87"/>
      <c r="J219" s="87"/>
      <c r="K219" s="87"/>
      <c r="L219" s="87"/>
      <c r="M219" s="99"/>
      <c r="N219" s="87"/>
      <c r="O219" s="87"/>
    </row>
    <row r="220" spans="2:15">
      <c r="B220" s="87"/>
      <c r="C220" s="99"/>
      <c r="D220" s="87"/>
      <c r="E220" s="87"/>
      <c r="F220" s="87"/>
      <c r="G220" s="87"/>
      <c r="H220" s="87"/>
      <c r="I220" s="87"/>
      <c r="J220" s="87"/>
      <c r="K220" s="87"/>
      <c r="L220" s="87"/>
      <c r="M220" s="99"/>
      <c r="N220" s="87"/>
      <c r="O220" s="87"/>
    </row>
    <row r="221" spans="2:15">
      <c r="B221" s="87"/>
      <c r="C221" s="99"/>
      <c r="D221" s="87"/>
      <c r="E221" s="87"/>
      <c r="F221" s="87"/>
      <c r="G221" s="87"/>
      <c r="H221" s="87"/>
      <c r="I221" s="87"/>
      <c r="J221" s="87"/>
      <c r="K221" s="87"/>
      <c r="L221" s="87"/>
      <c r="M221" s="99"/>
      <c r="N221" s="87"/>
      <c r="O221" s="87"/>
    </row>
    <row r="222" spans="2:15">
      <c r="B222" s="87"/>
      <c r="C222" s="99"/>
      <c r="D222" s="87"/>
      <c r="E222" s="87"/>
      <c r="F222" s="87"/>
      <c r="G222" s="87"/>
      <c r="H222" s="87"/>
      <c r="I222" s="87"/>
      <c r="J222" s="87"/>
      <c r="K222" s="87"/>
      <c r="L222" s="87"/>
      <c r="M222" s="99"/>
      <c r="N222" s="87"/>
      <c r="O222" s="87"/>
    </row>
    <row r="223" spans="2:15">
      <c r="B223" s="87"/>
      <c r="C223" s="99"/>
      <c r="D223" s="87"/>
      <c r="E223" s="87"/>
      <c r="F223" s="87"/>
      <c r="G223" s="87"/>
      <c r="H223" s="87"/>
      <c r="I223" s="87"/>
      <c r="J223" s="87"/>
      <c r="K223" s="87"/>
      <c r="L223" s="87"/>
      <c r="M223" s="99"/>
      <c r="N223" s="87"/>
      <c r="O223" s="87"/>
    </row>
    <row r="224" spans="2:15">
      <c r="B224" s="87"/>
      <c r="C224" s="99"/>
      <c r="D224" s="87"/>
      <c r="E224" s="87"/>
      <c r="F224" s="87"/>
      <c r="G224" s="87"/>
      <c r="H224" s="87"/>
      <c r="I224" s="87"/>
      <c r="J224" s="87"/>
      <c r="K224" s="87"/>
      <c r="L224" s="87"/>
      <c r="M224" s="99"/>
      <c r="N224" s="87"/>
      <c r="O224" s="87"/>
    </row>
    <row r="225" spans="2:15">
      <c r="B225" s="87"/>
      <c r="C225" s="99"/>
      <c r="D225" s="87"/>
      <c r="E225" s="87"/>
      <c r="F225" s="87"/>
      <c r="G225" s="87"/>
      <c r="H225" s="87"/>
      <c r="I225" s="87"/>
      <c r="J225" s="87"/>
      <c r="K225" s="87"/>
      <c r="L225" s="87"/>
      <c r="M225" s="99"/>
      <c r="N225" s="87"/>
      <c r="O225" s="87"/>
    </row>
    <row r="226" spans="2:15">
      <c r="B226" s="87"/>
      <c r="C226" s="99"/>
      <c r="D226" s="87"/>
      <c r="E226" s="87"/>
      <c r="F226" s="87"/>
      <c r="G226" s="87"/>
      <c r="H226" s="87"/>
      <c r="I226" s="87"/>
      <c r="J226" s="87"/>
      <c r="K226" s="87"/>
      <c r="L226" s="87"/>
      <c r="M226" s="99"/>
      <c r="N226" s="87"/>
      <c r="O226" s="87"/>
    </row>
    <row r="227" spans="2:15">
      <c r="B227" s="87"/>
      <c r="C227" s="99"/>
      <c r="D227" s="87"/>
      <c r="E227" s="87"/>
      <c r="F227" s="87"/>
      <c r="G227" s="87"/>
      <c r="H227" s="87"/>
      <c r="I227" s="87"/>
      <c r="J227" s="87"/>
      <c r="K227" s="87"/>
      <c r="L227" s="87"/>
      <c r="M227" s="99"/>
      <c r="N227" s="87"/>
      <c r="O227" s="87"/>
    </row>
    <row r="228" spans="2:15">
      <c r="B228" s="87"/>
      <c r="C228" s="99"/>
      <c r="D228" s="87"/>
      <c r="E228" s="87"/>
      <c r="F228" s="87"/>
      <c r="G228" s="87"/>
      <c r="H228" s="87"/>
      <c r="I228" s="87"/>
      <c r="J228" s="87"/>
      <c r="K228" s="87"/>
      <c r="L228" s="87"/>
      <c r="M228" s="99"/>
      <c r="N228" s="87"/>
      <c r="O228" s="87"/>
    </row>
    <row r="229" spans="2:15">
      <c r="B229" s="87"/>
      <c r="C229" s="99"/>
      <c r="D229" s="87"/>
      <c r="E229" s="87"/>
      <c r="F229" s="87"/>
      <c r="G229" s="87"/>
      <c r="H229" s="87"/>
      <c r="I229" s="87"/>
      <c r="J229" s="87"/>
      <c r="K229" s="87"/>
      <c r="L229" s="87"/>
      <c r="M229" s="99"/>
      <c r="N229" s="87"/>
      <c r="O229" s="87"/>
    </row>
    <row r="230" spans="2:15">
      <c r="B230" s="87"/>
      <c r="C230" s="99"/>
      <c r="D230" s="87"/>
      <c r="E230" s="87"/>
      <c r="F230" s="87"/>
      <c r="G230" s="87"/>
      <c r="H230" s="87"/>
      <c r="I230" s="87"/>
      <c r="J230" s="87"/>
      <c r="K230" s="87"/>
      <c r="L230" s="87"/>
      <c r="M230" s="99"/>
      <c r="N230" s="87"/>
      <c r="O230" s="87"/>
    </row>
    <row r="231" spans="2:15">
      <c r="B231" s="87"/>
      <c r="C231" s="99"/>
      <c r="D231" s="87"/>
      <c r="E231" s="87"/>
      <c r="F231" s="87"/>
      <c r="G231" s="87"/>
      <c r="H231" s="87"/>
      <c r="I231" s="87"/>
      <c r="J231" s="87"/>
      <c r="K231" s="87"/>
      <c r="L231" s="87"/>
      <c r="M231" s="99"/>
      <c r="N231" s="87"/>
      <c r="O231" s="87"/>
    </row>
    <row r="232" spans="2:15">
      <c r="B232" s="87"/>
      <c r="C232" s="99"/>
      <c r="D232" s="87"/>
      <c r="E232" s="87"/>
      <c r="F232" s="87"/>
      <c r="G232" s="87"/>
      <c r="H232" s="87"/>
      <c r="I232" s="87"/>
      <c r="J232" s="87"/>
      <c r="K232" s="87"/>
      <c r="L232" s="87"/>
      <c r="M232" s="99"/>
      <c r="N232" s="87"/>
      <c r="O232" s="87"/>
    </row>
    <row r="233" spans="2:15">
      <c r="B233" s="87"/>
      <c r="C233" s="99"/>
      <c r="D233" s="87"/>
      <c r="E233" s="87"/>
      <c r="F233" s="87"/>
      <c r="G233" s="87"/>
      <c r="H233" s="87"/>
      <c r="I233" s="87"/>
      <c r="J233" s="87"/>
      <c r="K233" s="87"/>
      <c r="L233" s="87"/>
      <c r="M233" s="99"/>
      <c r="N233" s="87"/>
      <c r="O233" s="87"/>
    </row>
    <row r="234" spans="2:15">
      <c r="B234" s="87"/>
      <c r="C234" s="99"/>
      <c r="D234" s="87"/>
      <c r="E234" s="87"/>
      <c r="F234" s="87"/>
      <c r="G234" s="87"/>
      <c r="H234" s="87"/>
      <c r="I234" s="87"/>
      <c r="J234" s="87"/>
      <c r="K234" s="87"/>
      <c r="L234" s="87"/>
      <c r="M234" s="99"/>
      <c r="N234" s="87"/>
      <c r="O234" s="87"/>
    </row>
    <row r="235" spans="2:15">
      <c r="B235" s="87"/>
      <c r="C235" s="99"/>
      <c r="D235" s="87"/>
      <c r="E235" s="87"/>
      <c r="F235" s="87"/>
      <c r="G235" s="87"/>
      <c r="H235" s="87"/>
      <c r="I235" s="87"/>
      <c r="J235" s="87"/>
      <c r="K235" s="87"/>
      <c r="L235" s="87"/>
      <c r="M235" s="99"/>
      <c r="N235" s="87"/>
      <c r="O235" s="87"/>
    </row>
    <row r="236" spans="2:15">
      <c r="B236" s="87"/>
      <c r="C236" s="99"/>
      <c r="D236" s="87"/>
      <c r="E236" s="87"/>
      <c r="F236" s="87"/>
      <c r="G236" s="87"/>
      <c r="H236" s="87"/>
      <c r="I236" s="87"/>
      <c r="J236" s="87"/>
      <c r="K236" s="87"/>
      <c r="L236" s="87"/>
      <c r="M236" s="99"/>
      <c r="N236" s="87"/>
      <c r="O236" s="87"/>
    </row>
    <row r="237" spans="2:15">
      <c r="B237" s="87"/>
      <c r="C237" s="99"/>
      <c r="D237" s="87"/>
      <c r="E237" s="87"/>
      <c r="F237" s="87"/>
      <c r="G237" s="87"/>
      <c r="H237" s="87"/>
      <c r="I237" s="87"/>
      <c r="J237" s="87"/>
      <c r="K237" s="87"/>
      <c r="L237" s="87"/>
      <c r="M237" s="99"/>
      <c r="N237" s="87"/>
      <c r="O237" s="87"/>
    </row>
    <row r="238" spans="2:15">
      <c r="B238" s="87"/>
      <c r="C238" s="99"/>
      <c r="D238" s="87"/>
      <c r="E238" s="87"/>
      <c r="F238" s="87"/>
      <c r="G238" s="87"/>
      <c r="H238" s="87"/>
      <c r="I238" s="87"/>
      <c r="J238" s="87"/>
      <c r="K238" s="87"/>
      <c r="L238" s="87"/>
      <c r="M238" s="99"/>
      <c r="N238" s="87"/>
      <c r="O238" s="87"/>
    </row>
    <row r="239" spans="2:15">
      <c r="B239" s="87"/>
      <c r="C239" s="99"/>
      <c r="D239" s="87"/>
      <c r="E239" s="87"/>
      <c r="F239" s="87"/>
      <c r="G239" s="87"/>
      <c r="H239" s="87"/>
      <c r="I239" s="87"/>
      <c r="J239" s="87"/>
      <c r="K239" s="87"/>
      <c r="L239" s="87"/>
      <c r="M239" s="99"/>
      <c r="N239" s="87"/>
      <c r="O239" s="87"/>
    </row>
    <row r="240" spans="2:15">
      <c r="B240" s="87"/>
      <c r="C240" s="99"/>
      <c r="D240" s="87"/>
      <c r="E240" s="87"/>
      <c r="F240" s="87"/>
      <c r="G240" s="87"/>
      <c r="H240" s="87"/>
      <c r="I240" s="87"/>
      <c r="J240" s="87"/>
      <c r="K240" s="87"/>
      <c r="L240" s="87"/>
      <c r="M240" s="99"/>
      <c r="N240" s="87"/>
      <c r="O240" s="87"/>
    </row>
    <row r="241" spans="2:15">
      <c r="B241" s="87"/>
      <c r="C241" s="99"/>
      <c r="D241" s="87"/>
      <c r="E241" s="87"/>
      <c r="F241" s="87"/>
      <c r="G241" s="87"/>
      <c r="H241" s="87"/>
      <c r="I241" s="87"/>
      <c r="J241" s="87"/>
      <c r="K241" s="87"/>
      <c r="L241" s="87"/>
      <c r="M241" s="99"/>
      <c r="N241" s="87"/>
      <c r="O241" s="87"/>
    </row>
    <row r="242" spans="2:15">
      <c r="B242" s="87"/>
      <c r="C242" s="99"/>
      <c r="D242" s="87"/>
      <c r="E242" s="87"/>
      <c r="F242" s="87"/>
      <c r="G242" s="87"/>
      <c r="H242" s="87"/>
      <c r="I242" s="87"/>
      <c r="J242" s="87"/>
      <c r="K242" s="87"/>
      <c r="L242" s="87"/>
      <c r="M242" s="99"/>
      <c r="N242" s="87"/>
      <c r="O242" s="87"/>
    </row>
    <row r="243" spans="2:15">
      <c r="B243" s="87"/>
      <c r="C243" s="99"/>
      <c r="D243" s="87"/>
      <c r="E243" s="87"/>
      <c r="F243" s="87"/>
      <c r="G243" s="87"/>
      <c r="H243" s="87"/>
      <c r="I243" s="87"/>
      <c r="J243" s="87"/>
      <c r="K243" s="87"/>
      <c r="L243" s="87"/>
      <c r="M243" s="99"/>
      <c r="N243" s="87"/>
      <c r="O243" s="87"/>
    </row>
    <row r="244" spans="2:15">
      <c r="B244" s="87"/>
      <c r="C244" s="99"/>
      <c r="D244" s="87"/>
      <c r="E244" s="87"/>
      <c r="F244" s="87"/>
      <c r="G244" s="87"/>
      <c r="H244" s="87"/>
      <c r="I244" s="87"/>
      <c r="J244" s="87"/>
      <c r="K244" s="87"/>
      <c r="L244" s="87"/>
      <c r="M244" s="99"/>
      <c r="N244" s="87"/>
      <c r="O244" s="87"/>
    </row>
    <row r="245" spans="2:15">
      <c r="B245" s="87"/>
      <c r="C245" s="99"/>
      <c r="D245" s="87"/>
      <c r="E245" s="87"/>
      <c r="F245" s="87"/>
      <c r="G245" s="87"/>
      <c r="H245" s="87"/>
      <c r="I245" s="87"/>
      <c r="J245" s="87"/>
      <c r="K245" s="87"/>
      <c r="L245" s="87"/>
      <c r="M245" s="99"/>
      <c r="N245" s="87"/>
      <c r="O245" s="87"/>
    </row>
    <row r="246" spans="2:15">
      <c r="B246" s="87"/>
      <c r="C246" s="99"/>
      <c r="D246" s="87"/>
      <c r="E246" s="87"/>
      <c r="F246" s="87"/>
      <c r="G246" s="87"/>
      <c r="H246" s="87"/>
      <c r="I246" s="87"/>
      <c r="J246" s="87"/>
      <c r="K246" s="87"/>
      <c r="L246" s="87"/>
      <c r="M246" s="99"/>
      <c r="N246" s="87"/>
      <c r="O246" s="87"/>
    </row>
    <row r="247" spans="2:15">
      <c r="B247" s="87"/>
      <c r="C247" s="99"/>
      <c r="D247" s="87"/>
      <c r="E247" s="87"/>
      <c r="F247" s="87"/>
      <c r="G247" s="87"/>
      <c r="H247" s="87"/>
      <c r="I247" s="87"/>
      <c r="J247" s="87"/>
      <c r="K247" s="87"/>
      <c r="L247" s="87"/>
      <c r="M247" s="99"/>
      <c r="N247" s="87"/>
      <c r="O247" s="87"/>
    </row>
    <row r="248" spans="2:15">
      <c r="B248" s="87"/>
      <c r="C248" s="99"/>
      <c r="D248" s="87"/>
      <c r="E248" s="87"/>
      <c r="F248" s="87"/>
      <c r="G248" s="87"/>
      <c r="H248" s="87"/>
      <c r="I248" s="87"/>
      <c r="J248" s="87"/>
      <c r="K248" s="87"/>
      <c r="L248" s="87"/>
      <c r="M248" s="99"/>
      <c r="N248" s="87"/>
      <c r="O248" s="87"/>
    </row>
    <row r="249" spans="2:15">
      <c r="B249" s="87"/>
      <c r="C249" s="99"/>
      <c r="D249" s="87"/>
      <c r="E249" s="87"/>
      <c r="F249" s="87"/>
      <c r="G249" s="87"/>
      <c r="H249" s="87"/>
      <c r="I249" s="87"/>
      <c r="J249" s="87"/>
      <c r="K249" s="87"/>
      <c r="L249" s="87"/>
      <c r="M249" s="99"/>
      <c r="N249" s="87"/>
      <c r="O249" s="87"/>
    </row>
    <row r="250" spans="2:15">
      <c r="B250" s="87"/>
      <c r="C250" s="99"/>
      <c r="D250" s="87"/>
      <c r="E250" s="87"/>
      <c r="F250" s="87"/>
      <c r="G250" s="87"/>
      <c r="H250" s="87"/>
      <c r="I250" s="87"/>
      <c r="J250" s="87"/>
      <c r="K250" s="87"/>
      <c r="L250" s="87"/>
      <c r="M250" s="99"/>
      <c r="N250" s="87"/>
      <c r="O250" s="87"/>
    </row>
    <row r="251" spans="2:15">
      <c r="B251" s="87"/>
      <c r="C251" s="99"/>
      <c r="D251" s="87"/>
      <c r="E251" s="87"/>
      <c r="F251" s="87"/>
      <c r="G251" s="87"/>
      <c r="H251" s="87"/>
      <c r="I251" s="87"/>
      <c r="J251" s="87"/>
      <c r="K251" s="87"/>
      <c r="L251" s="87"/>
      <c r="M251" s="99"/>
      <c r="N251" s="87"/>
      <c r="O251" s="87"/>
    </row>
    <row r="252" spans="2:15">
      <c r="B252" s="87"/>
      <c r="C252" s="99"/>
      <c r="D252" s="87"/>
      <c r="E252" s="87"/>
      <c r="F252" s="87"/>
      <c r="G252" s="87"/>
      <c r="H252" s="87"/>
      <c r="I252" s="87"/>
      <c r="J252" s="87"/>
      <c r="K252" s="87"/>
      <c r="L252" s="87"/>
      <c r="M252" s="99"/>
      <c r="N252" s="87"/>
      <c r="O252" s="87"/>
    </row>
    <row r="253" spans="2:15">
      <c r="B253" s="87"/>
      <c r="C253" s="99"/>
      <c r="D253" s="87"/>
      <c r="E253" s="87"/>
      <c r="F253" s="87"/>
      <c r="G253" s="87"/>
      <c r="H253" s="87"/>
      <c r="I253" s="87"/>
      <c r="J253" s="87"/>
      <c r="K253" s="87"/>
      <c r="L253" s="87"/>
      <c r="M253" s="99"/>
      <c r="N253" s="87"/>
      <c r="O253" s="87"/>
    </row>
    <row r="254" spans="2:15">
      <c r="B254" s="87"/>
      <c r="C254" s="99"/>
      <c r="D254" s="87"/>
      <c r="E254" s="87"/>
      <c r="F254" s="87"/>
      <c r="G254" s="87"/>
      <c r="H254" s="87"/>
      <c r="I254" s="87"/>
      <c r="J254" s="87"/>
      <c r="K254" s="87"/>
      <c r="L254" s="87"/>
      <c r="M254" s="99"/>
      <c r="N254" s="87"/>
      <c r="O254" s="87"/>
    </row>
    <row r="255" spans="2:15">
      <c r="B255" s="87"/>
      <c r="C255" s="99"/>
      <c r="D255" s="87"/>
      <c r="E255" s="87"/>
      <c r="F255" s="87"/>
      <c r="G255" s="87"/>
      <c r="H255" s="87"/>
      <c r="I255" s="87"/>
      <c r="J255" s="87"/>
      <c r="K255" s="87"/>
      <c r="L255" s="87"/>
      <c r="M255" s="99"/>
      <c r="N255" s="87"/>
      <c r="O255" s="87"/>
    </row>
    <row r="256" spans="2:15">
      <c r="B256" s="87"/>
      <c r="C256" s="99"/>
      <c r="D256" s="87"/>
      <c r="E256" s="87"/>
      <c r="F256" s="87"/>
      <c r="G256" s="87"/>
      <c r="H256" s="87"/>
      <c r="I256" s="87"/>
      <c r="J256" s="87"/>
      <c r="K256" s="87"/>
      <c r="L256" s="87"/>
      <c r="M256" s="99"/>
      <c r="N256" s="87"/>
      <c r="O256" s="87"/>
    </row>
    <row r="257" spans="2:15">
      <c r="B257" s="87"/>
      <c r="C257" s="99"/>
      <c r="D257" s="87"/>
      <c r="E257" s="87"/>
      <c r="F257" s="87"/>
      <c r="G257" s="87"/>
      <c r="H257" s="87"/>
      <c r="I257" s="87"/>
      <c r="J257" s="87"/>
      <c r="K257" s="87"/>
      <c r="L257" s="87"/>
      <c r="M257" s="99"/>
      <c r="N257" s="87"/>
      <c r="O257" s="87"/>
    </row>
    <row r="258" spans="2:15">
      <c r="B258" s="87"/>
      <c r="C258" s="99"/>
      <c r="D258" s="87"/>
      <c r="E258" s="87"/>
      <c r="F258" s="87"/>
      <c r="G258" s="87"/>
      <c r="H258" s="87"/>
      <c r="I258" s="87"/>
      <c r="J258" s="87"/>
      <c r="K258" s="87"/>
      <c r="L258" s="87"/>
      <c r="M258" s="99"/>
      <c r="N258" s="87"/>
      <c r="O258" s="87"/>
    </row>
    <row r="259" spans="2:15">
      <c r="B259" s="87"/>
      <c r="C259" s="99"/>
      <c r="D259" s="87"/>
      <c r="E259" s="87"/>
      <c r="F259" s="87"/>
      <c r="G259" s="87"/>
      <c r="H259" s="87"/>
      <c r="I259" s="87"/>
      <c r="J259" s="87"/>
      <c r="K259" s="87"/>
      <c r="L259" s="87"/>
      <c r="M259" s="99"/>
      <c r="N259" s="87"/>
      <c r="O259" s="87"/>
    </row>
    <row r="260" spans="2:15">
      <c r="B260" s="87"/>
      <c r="C260" s="99"/>
      <c r="D260" s="87"/>
      <c r="E260" s="87"/>
      <c r="F260" s="87"/>
      <c r="G260" s="87"/>
      <c r="H260" s="87"/>
      <c r="I260" s="87"/>
      <c r="J260" s="87"/>
      <c r="K260" s="87"/>
      <c r="L260" s="87"/>
      <c r="M260" s="99"/>
      <c r="N260" s="87"/>
      <c r="O260" s="87"/>
    </row>
    <row r="261" spans="2:15">
      <c r="B261" s="87"/>
      <c r="C261" s="99"/>
      <c r="D261" s="87"/>
      <c r="E261" s="87"/>
      <c r="F261" s="87"/>
      <c r="G261" s="87"/>
      <c r="H261" s="87"/>
      <c r="I261" s="87"/>
      <c r="J261" s="87"/>
      <c r="K261" s="87"/>
      <c r="L261" s="87"/>
      <c r="M261" s="99"/>
      <c r="N261" s="87"/>
      <c r="O261" s="87"/>
    </row>
    <row r="262" spans="2:15">
      <c r="B262" s="87"/>
      <c r="C262" s="99"/>
      <c r="D262" s="87"/>
      <c r="E262" s="87"/>
      <c r="F262" s="87"/>
      <c r="G262" s="87"/>
      <c r="H262" s="87"/>
      <c r="I262" s="87"/>
      <c r="J262" s="87"/>
      <c r="K262" s="87"/>
      <c r="L262" s="87"/>
      <c r="M262" s="99"/>
      <c r="N262" s="87"/>
      <c r="O262" s="87"/>
    </row>
    <row r="263" spans="2:15">
      <c r="B263" s="87"/>
      <c r="C263" s="99"/>
      <c r="D263" s="87"/>
      <c r="E263" s="87"/>
      <c r="F263" s="87"/>
      <c r="G263" s="87"/>
      <c r="H263" s="87"/>
      <c r="I263" s="87"/>
      <c r="J263" s="87"/>
      <c r="K263" s="87"/>
      <c r="L263" s="87"/>
      <c r="M263" s="99"/>
      <c r="N263" s="87"/>
      <c r="O263" s="87"/>
    </row>
    <row r="264" spans="2:15">
      <c r="B264" s="87"/>
      <c r="C264" s="99"/>
      <c r="D264" s="87"/>
      <c r="E264" s="87"/>
      <c r="F264" s="87"/>
      <c r="G264" s="87"/>
      <c r="H264" s="87"/>
      <c r="I264" s="87"/>
      <c r="J264" s="87"/>
      <c r="K264" s="87"/>
      <c r="L264" s="87"/>
      <c r="M264" s="99"/>
      <c r="N264" s="87"/>
      <c r="O264" s="87"/>
    </row>
    <row r="265" spans="2:15">
      <c r="B265" s="87"/>
      <c r="C265" s="99"/>
      <c r="D265" s="87"/>
      <c r="E265" s="87"/>
      <c r="F265" s="87"/>
      <c r="G265" s="87"/>
      <c r="H265" s="87"/>
      <c r="I265" s="87"/>
      <c r="J265" s="87"/>
      <c r="K265" s="87"/>
      <c r="L265" s="87"/>
      <c r="M265" s="99"/>
      <c r="N265" s="87"/>
      <c r="O265" s="87"/>
    </row>
    <row r="266" spans="2:15">
      <c r="B266" s="87"/>
      <c r="C266" s="99"/>
      <c r="D266" s="87"/>
      <c r="E266" s="87"/>
      <c r="F266" s="87"/>
      <c r="G266" s="87"/>
      <c r="H266" s="87"/>
      <c r="I266" s="87"/>
      <c r="J266" s="87"/>
      <c r="K266" s="87"/>
      <c r="L266" s="87"/>
      <c r="M266" s="99"/>
      <c r="N266" s="87"/>
      <c r="O266" s="87"/>
    </row>
    <row r="267" spans="2:15">
      <c r="B267" s="87"/>
      <c r="C267" s="99"/>
      <c r="D267" s="87"/>
      <c r="E267" s="87"/>
      <c r="F267" s="87"/>
      <c r="G267" s="87"/>
      <c r="H267" s="87"/>
      <c r="I267" s="87"/>
      <c r="J267" s="87"/>
      <c r="K267" s="87"/>
      <c r="L267" s="87"/>
      <c r="M267" s="99"/>
      <c r="N267" s="87"/>
      <c r="O267" s="87"/>
    </row>
    <row r="268" spans="2:15">
      <c r="B268" s="87"/>
      <c r="C268" s="99"/>
      <c r="D268" s="87"/>
      <c r="E268" s="87"/>
      <c r="F268" s="87"/>
      <c r="G268" s="87"/>
      <c r="H268" s="87"/>
      <c r="I268" s="87"/>
      <c r="J268" s="87"/>
      <c r="K268" s="87"/>
      <c r="L268" s="87"/>
      <c r="M268" s="99"/>
      <c r="N268" s="87"/>
      <c r="O268" s="87"/>
    </row>
    <row r="269" spans="2:15">
      <c r="B269" s="87"/>
      <c r="C269" s="99"/>
      <c r="D269" s="87"/>
      <c r="E269" s="87"/>
      <c r="F269" s="87"/>
      <c r="G269" s="87"/>
      <c r="H269" s="87"/>
      <c r="I269" s="87"/>
      <c r="J269" s="87"/>
      <c r="K269" s="87"/>
      <c r="L269" s="87"/>
      <c r="M269" s="99"/>
      <c r="N269" s="87"/>
      <c r="O269" s="87"/>
    </row>
    <row r="270" spans="2:15">
      <c r="B270" s="87"/>
      <c r="C270" s="99"/>
      <c r="D270" s="87"/>
      <c r="E270" s="87"/>
      <c r="F270" s="87"/>
      <c r="G270" s="87"/>
      <c r="H270" s="87"/>
      <c r="I270" s="87"/>
      <c r="J270" s="87"/>
      <c r="K270" s="87"/>
      <c r="L270" s="87"/>
      <c r="M270" s="99"/>
      <c r="N270" s="87"/>
      <c r="O270" s="87"/>
    </row>
    <row r="271" spans="2:15">
      <c r="B271" s="87"/>
      <c r="C271" s="99"/>
      <c r="D271" s="87"/>
      <c r="E271" s="87"/>
      <c r="F271" s="87"/>
      <c r="G271" s="87"/>
      <c r="H271" s="87"/>
      <c r="I271" s="87"/>
      <c r="J271" s="87"/>
      <c r="K271" s="87"/>
      <c r="L271" s="87"/>
      <c r="M271" s="99"/>
      <c r="N271" s="87"/>
      <c r="O271" s="87"/>
    </row>
    <row r="272" spans="2:15">
      <c r="B272" s="87"/>
      <c r="C272" s="99"/>
      <c r="D272" s="87"/>
      <c r="E272" s="87"/>
      <c r="F272" s="87"/>
      <c r="G272" s="87"/>
      <c r="H272" s="87"/>
      <c r="I272" s="87"/>
      <c r="J272" s="87"/>
      <c r="K272" s="87"/>
      <c r="L272" s="87"/>
      <c r="M272" s="99"/>
      <c r="N272" s="87"/>
      <c r="O272" s="87"/>
    </row>
    <row r="273" spans="2:15">
      <c r="B273" s="87"/>
      <c r="C273" s="99"/>
      <c r="D273" s="87"/>
      <c r="E273" s="87"/>
      <c r="F273" s="87"/>
      <c r="G273" s="87"/>
      <c r="H273" s="87"/>
      <c r="I273" s="87"/>
      <c r="J273" s="87"/>
      <c r="K273" s="87"/>
      <c r="L273" s="87"/>
      <c r="M273" s="99"/>
      <c r="N273" s="87"/>
      <c r="O273" s="87"/>
    </row>
    <row r="274" spans="2:15">
      <c r="B274" s="87"/>
      <c r="C274" s="99"/>
      <c r="D274" s="87"/>
      <c r="E274" s="87"/>
      <c r="F274" s="87"/>
      <c r="G274" s="87"/>
      <c r="H274" s="87"/>
      <c r="I274" s="87"/>
      <c r="J274" s="87"/>
      <c r="K274" s="87"/>
      <c r="L274" s="87"/>
      <c r="M274" s="99"/>
      <c r="N274" s="87"/>
      <c r="O274" s="87"/>
    </row>
    <row r="275" spans="2:15">
      <c r="B275" s="87"/>
      <c r="C275" s="99"/>
      <c r="D275" s="87"/>
      <c r="E275" s="87"/>
      <c r="F275" s="87"/>
      <c r="G275" s="87"/>
      <c r="H275" s="87"/>
      <c r="I275" s="87"/>
      <c r="J275" s="87"/>
      <c r="K275" s="87"/>
      <c r="L275" s="87"/>
      <c r="M275" s="99"/>
      <c r="N275" s="87"/>
      <c r="O275" s="87"/>
    </row>
    <row r="276" spans="2:15">
      <c r="B276" s="87"/>
      <c r="C276" s="99"/>
      <c r="D276" s="87"/>
      <c r="E276" s="87"/>
      <c r="F276" s="87"/>
      <c r="G276" s="87"/>
      <c r="H276" s="87"/>
      <c r="I276" s="87"/>
      <c r="J276" s="87"/>
      <c r="K276" s="87"/>
      <c r="L276" s="87"/>
      <c r="M276" s="99"/>
      <c r="N276" s="87"/>
      <c r="O276" s="87"/>
    </row>
    <row r="277" spans="2:15">
      <c r="B277" s="87"/>
      <c r="C277" s="99"/>
      <c r="D277" s="87"/>
      <c r="E277" s="87"/>
      <c r="F277" s="87"/>
      <c r="G277" s="87"/>
      <c r="H277" s="87"/>
      <c r="I277" s="87"/>
      <c r="J277" s="87"/>
      <c r="K277" s="87"/>
      <c r="L277" s="87"/>
      <c r="M277" s="99"/>
      <c r="N277" s="87"/>
      <c r="O277" s="87"/>
    </row>
    <row r="278" spans="2:15">
      <c r="B278" s="87"/>
      <c r="C278" s="99"/>
      <c r="D278" s="87"/>
      <c r="E278" s="87"/>
      <c r="F278" s="87"/>
      <c r="G278" s="87"/>
      <c r="H278" s="87"/>
      <c r="I278" s="87"/>
      <c r="J278" s="87"/>
      <c r="K278" s="87"/>
      <c r="L278" s="87"/>
      <c r="M278" s="99"/>
      <c r="N278" s="87"/>
      <c r="O278" s="87"/>
    </row>
  </sheetData>
  <phoneticPr fontId="0" type="noConversion"/>
  <pageMargins left="0.2" right="0.21" top="0.46" bottom="0.44" header="0.36" footer="0.25"/>
  <pageSetup scale="48" orientation="landscape" r:id="rId1"/>
  <headerFooter alignWithMargins="0">
    <oddFooter>&amp;L&amp;"CG Times,Bold"&amp;14
&amp;R&amp;16&amp;P</oddFooter>
  </headerFooter>
  <rowBreaks count="1" manualBreakCount="1">
    <brk id="72" max="65535" man="1"/>
  </rowBreaks>
</worksheet>
</file>

<file path=xl/worksheets/sheet40.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N16" sqref="N1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976</v>
      </c>
      <c r="B10" s="363">
        <f>+'bilsysbandéc. 14  '!B52/'bilsysbandéc. 14  '!B23</f>
        <v>7.4412056808570937E-2</v>
      </c>
      <c r="C10" s="363">
        <f>+'bilsysbandéc. 14  '!C52/'bilsysbandéc. 14  '!C23</f>
        <v>3.9939764088963867E-2</v>
      </c>
      <c r="D10" s="363">
        <f>+'bilsysbandéc. 14  '!D52/'bilsysbandéc. 14  '!D23</f>
        <v>5.0175272001862649E-2</v>
      </c>
      <c r="E10" s="363">
        <f>+'bilsysbandéc. 14  '!E52/'bilsysbandéc. 14  '!E23</f>
        <v>8.7233956172801413E-2</v>
      </c>
      <c r="F10" s="363">
        <f>+'bilsysbandéc. 14  '!F52/'bilsysbandéc. 14  '!F23</f>
        <v>7.3082001731557794E-2</v>
      </c>
      <c r="G10" s="363">
        <f>+'bilsysbandéc. 14  '!G52/'bilsysbandéc. 14  '!G23</f>
        <v>9.8172579598426624E-2</v>
      </c>
      <c r="H10" s="150">
        <f>+'bilsysbandéc. 14  '!H52/'bilsysbandéc. 14  '!H23</f>
        <v>8.146991825074841E-2</v>
      </c>
      <c r="I10" s="363">
        <f>+'bilsysbandéc. 14  '!I52/'bilsysbandéc. 14  '!I23</f>
        <v>8.0748688846270636E-2</v>
      </c>
      <c r="J10" s="150">
        <f>+'bilsysbandéc. 14  '!J52/'bilsysbandéc. 14  '!J23</f>
        <v>8.0748688846270636E-2</v>
      </c>
      <c r="K10" s="363">
        <f>+'bilsysbandéc. 14  '!K52/'bilsysbandéc. 14  '!K23</f>
        <v>6.1347035782927641E-2</v>
      </c>
      <c r="L10" s="363">
        <f>+'bilsysbandéc. 14  '!L52/'bilsysbandéc. 14  '!L23</f>
        <v>4.4469048118242843E-2</v>
      </c>
      <c r="M10" s="150">
        <f>+'bilsysbandéc. 14  '!M52/'bilsysbandéc. 14  '!M23</f>
        <v>5.3060995805122697E-2</v>
      </c>
      <c r="N10" s="148">
        <f>+'bilsysbandéc. 14  '!N52/'bilsysbandéc. 14  '!N23</f>
        <v>7.9625237150012448E-2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945</v>
      </c>
      <c r="B11" s="314">
        <f>+bncvar!J52/bncvar!J23</f>
        <v>6.7968385401295767E-2</v>
      </c>
      <c r="C11" s="363">
        <f>+bphvar!J52/bphvar!J23</f>
        <v>4.2188626937657882E-2</v>
      </c>
      <c r="D11" s="363">
        <f>+buhvar!J52/buhvar!J23</f>
        <v>5.4016636608987333E-2</v>
      </c>
      <c r="E11" s="314">
        <f>+capitalbkvar!J52/capitalbkvar!J23</f>
        <v>8.4222074747748552E-2</v>
      </c>
      <c r="F11" s="314">
        <f>+sogebkvar!J52/sogebkvar!J23</f>
        <v>7.2376468397428159E-2</v>
      </c>
      <c r="G11" s="314">
        <f>+unibkvar!J52/unibkvar!J23</f>
        <v>9.2348232970047239E-2</v>
      </c>
      <c r="H11" s="148">
        <f>+'bilsysbansept. 14  '!H52/'bilsysbansept. 14  '!H23</f>
        <v>7.7726944729359551E-2</v>
      </c>
      <c r="I11" s="314">
        <f>+sgbelvar!J52/sgbelvar!J23</f>
        <v>8.2280674223852129E-2</v>
      </c>
      <c r="J11" s="148">
        <f>+'bilsysbansept. 14.  '!J51/'bilsysbansept. 14.  '!J22</f>
        <v>8.2280674223852129E-2</v>
      </c>
      <c r="K11" s="314">
        <f>+cbnavar!J52/cbnavar!J23</f>
        <v>5.2117556042790482E-2</v>
      </c>
      <c r="L11" s="314">
        <f>+scotiavar!J52/scotiavar!J23</f>
        <v>4.1866274613797778E-2</v>
      </c>
      <c r="M11" s="148">
        <f>+'bilsysbansept. 14.  '!M51/'bilsysbansept. 14.  '!M22</f>
        <v>4.7459139017335679E-2</v>
      </c>
      <c r="N11" s="148">
        <f>+'bilsysbansept. 14  '!N52/'bilsysbansept. 14  '!N23</f>
        <v>7.5837311527064688E-2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976</v>
      </c>
      <c r="B14" s="363">
        <f>+'bilsysbandéc. 14  '!B30/'bilsysbandéc. 14  '!B23</f>
        <v>0.78987654154145204</v>
      </c>
      <c r="C14" s="363">
        <f>+'bilsysbandéc. 14  '!C30/'bilsysbandéc. 14  '!C23</f>
        <v>0.89966058611824484</v>
      </c>
      <c r="D14" s="363">
        <f>+'bilsysbandéc. 14  '!D30/'bilsysbandéc. 14  '!D23</f>
        <v>0.83405671253437108</v>
      </c>
      <c r="E14" s="363">
        <f>+'bilsysbandéc. 14  '!E30/'bilsysbandéc. 14  '!E23</f>
        <v>0.84603755874643949</v>
      </c>
      <c r="F14" s="363">
        <f>+'bilsysbandéc. 14  '!F30/'bilsysbandéc. 14  '!F23</f>
        <v>0.80677553552209658</v>
      </c>
      <c r="G14" s="363">
        <f>+'bilsysbandéc. 14  '!G30/'bilsysbandéc. 14  '!G23</f>
        <v>0.83799932451233694</v>
      </c>
      <c r="H14" s="150">
        <f>+'bilsysbandéc. 14  '!H30/'bilsysbandéc. 14  '!H23</f>
        <v>0.81842978967268176</v>
      </c>
      <c r="I14" s="363">
        <f>+'bilsysbandéc. 14  '!I30/'bilsysbandéc. 14  '!I23</f>
        <v>0.74342300486564517</v>
      </c>
      <c r="J14" s="150">
        <f>+'bilsysbandéc. 14  '!J30/'bilsysbandéc. 14  '!J23</f>
        <v>0.74342300486564517</v>
      </c>
      <c r="K14" s="363">
        <f>+'bilsysbandéc. 14  '!K30/'bilsysbandéc. 14  '!K23</f>
        <v>0.72138139358201592</v>
      </c>
      <c r="L14" s="363">
        <f>+'bilsysbandéc. 14  '!L30/'bilsysbandéc. 14  '!L23</f>
        <v>0.85204873679463655</v>
      </c>
      <c r="M14" s="150">
        <f>+'bilsysbandéc. 14  '!M30/'bilsysbandéc. 14  '!M23</f>
        <v>0.78553091490906302</v>
      </c>
      <c r="N14" s="148">
        <f>+'bilsysbandéc. 14  '!N30/'bilsysbandéc. 14  '!N23</f>
        <v>0.81396565530531495</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945</v>
      </c>
      <c r="B15" s="314">
        <f>+bncvar!J30/bncvar!J23</f>
        <v>0.80491023487171409</v>
      </c>
      <c r="C15" s="363">
        <f>+bphvar!J30/bphvar!J23</f>
        <v>0.89919104182149834</v>
      </c>
      <c r="D15" s="363">
        <f>+buhvar!J30/buhvar!J23</f>
        <v>0.81906822525687106</v>
      </c>
      <c r="E15" s="314">
        <f>+capitalbkvar!J30/capitalbkvar!J23</f>
        <v>0.84674384818912396</v>
      </c>
      <c r="F15" s="314">
        <f>+sogebkvar!J30/sogebkvar!J23</f>
        <v>0.79645240864527034</v>
      </c>
      <c r="G15" s="314">
        <f>+unibkvar!J30/unibkvar!J23</f>
        <v>0.82073737475848796</v>
      </c>
      <c r="H15" s="148">
        <f>+'bilsysbansept. 14  '!H30/'bilsysbansept. 14  '!H23</f>
        <v>0.81261930841775487</v>
      </c>
      <c r="I15" s="314">
        <f>+sgbelvar!J30/sgbelvar!J23</f>
        <v>0.72267755738368278</v>
      </c>
      <c r="J15" s="148">
        <f>+'bilsysbansept. 14.  '!J29/'bilsysbansept. 14.  '!J22</f>
        <v>0.72267755738368278</v>
      </c>
      <c r="K15" s="314">
        <f>+cbnavar!J30/cbnavar!J23</f>
        <v>0.78114979135798202</v>
      </c>
      <c r="L15" s="314">
        <f>+scotiavar!J30/scotiavar!J23</f>
        <v>0.85088748699055738</v>
      </c>
      <c r="M15" s="148">
        <f>+'bilsysbansept. 14.  '!M29/'bilsysbansept. 14.  '!M22</f>
        <v>0.81284019717710077</v>
      </c>
      <c r="N15" s="148">
        <f>+'bilsysbansept. 14  '!N30/'bilsysbansept. 14  '!N23</f>
        <v>0.8100141358999442</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976</v>
      </c>
      <c r="B20" s="363">
        <f>+'bilsysbandéc. 14  '!B63/'bilsysbandéc. 14  '!B61</f>
        <v>4.9830877131959717E-2</v>
      </c>
      <c r="C20" s="363">
        <f>+'bilsysbandéc. 14  '!C63/'bilsysbandéc. 14  '!C61</f>
        <v>0.42149904261516191</v>
      </c>
      <c r="D20" s="363">
        <f>+'bilsysbandéc. 14  '!D63/'bilsysbandéc. 14  '!D61</f>
        <v>2.9074623627164203E-2</v>
      </c>
      <c r="E20" s="363">
        <f>+'bilsysbandéc. 14  '!E63/'bilsysbandéc. 14  '!E61</f>
        <v>1.3055971452746357E-2</v>
      </c>
      <c r="F20" s="363">
        <f>+'bilsysbandéc. 14  '!F63/'bilsysbandéc. 14  '!F61</f>
        <v>6.5720077290665452E-2</v>
      </c>
      <c r="G20" s="363">
        <f>+'bilsysbandéc. 14  '!G63/'bilsysbandéc. 14  '!G61</f>
        <v>2.1438281630590567E-3</v>
      </c>
      <c r="H20" s="150">
        <f>+'bilsysbandéc. 14  '!H63/'bilsysbandéc. 14  '!H61</f>
        <v>4.0173999751973499E-2</v>
      </c>
      <c r="I20" s="363">
        <f>+'bilsysbandéc. 14  '!I63/'bilsysbandéc. 14  '!I61</f>
        <v>9.5682046674758825E-2</v>
      </c>
      <c r="J20" s="150">
        <f>+'bilsysbandéc. 14  '!J63/'bilsysbandéc. 14  '!J61</f>
        <v>9.5682046674758825E-2</v>
      </c>
      <c r="K20" s="363">
        <f>+'bilsysbandéc. 14  '!K63/'bilsysbandéc. 14  '!K61</f>
        <v>1.3896740547298112E-5</v>
      </c>
      <c r="L20" s="363">
        <f>+'bilsysbandéc. 14  '!L63/'bilsysbandéc. 14  '!L61</f>
        <v>6.5941219674271662E-2</v>
      </c>
      <c r="M20" s="150">
        <f>+'bilsysbandéc. 14  '!M63/'bilsysbandéc. 14  '!M61</f>
        <v>3.5865170431261487E-2</v>
      </c>
      <c r="N20" s="148">
        <f>+'bilsysbandéc. 14  '!N63/'bilsysbandéc. 14  '!N61</f>
        <v>4.2586031980094891E-2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945</v>
      </c>
      <c r="B21" s="314">
        <f>+bncvar!J63/bncvar!J61</f>
        <v>4.5163257744616402E-2</v>
      </c>
      <c r="C21" s="363">
        <f>+bphvar!J63/bphvar!J61</f>
        <v>0.37448527940987691</v>
      </c>
      <c r="D21" s="363">
        <f>+buhvar!J63/buhvar!J61</f>
        <v>2.1708347043419968E-2</v>
      </c>
      <c r="E21" s="314">
        <f>+capitalbkvar!J63/capitalbkvar!J61</f>
        <v>5.8630733209055217E-3</v>
      </c>
      <c r="F21" s="314">
        <f>+sogebkvar!J63/sogebkvar!J61</f>
        <v>2.5832544958976522E-2</v>
      </c>
      <c r="G21" s="314">
        <f>+unibkvar!J63/unibkvar!J61</f>
        <v>7.0708098606247496E-4</v>
      </c>
      <c r="H21" s="148">
        <f>+'bilsysbansept. 14.  '!H62/'bilsysbansept. 14.  '!H60</f>
        <v>2.6062674624005581E-2</v>
      </c>
      <c r="I21" s="314">
        <f>+sgbelvar!J63/sgbelvar!J61</f>
        <v>9.3445765179868703E-2</v>
      </c>
      <c r="J21" s="148">
        <f>+'bilsysbansept. 14.  '!J62/'bilsysbansept. 14.  '!J60</f>
        <v>9.3445765179868703E-2</v>
      </c>
      <c r="K21" s="363">
        <f>+'bilsysbansept. 13'!K62/'bilsysbansept. 13'!K60</f>
        <v>2.1383049315746909E-2</v>
      </c>
      <c r="L21" s="314">
        <f>+scotiavar!J63/scotiavar!J61</f>
        <v>6.6298147656161044E-2</v>
      </c>
      <c r="M21" s="148">
        <f>+'bilsysbansept. 14.  '!M62/'bilsysbansept. 14.  '!M60</f>
        <v>4.0410363509380993E-2</v>
      </c>
      <c r="N21" s="148">
        <f>+'bilsysbansept. 14.  '!N62/'bilsysbansept. 14.  '!N60</f>
        <v>2.9963370722775527E-2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976</v>
      </c>
      <c r="B25" s="363">
        <f>+'bilsysbandéc. 14  '!B62/'bilsysbandéc. 14  '!B63</f>
        <v>0.53558220406314383</v>
      </c>
      <c r="C25" s="363">
        <f>+'bilsysbandéc. 14  '!C62/'bilsysbandéc. 14  '!C63</f>
        <v>0.78210492856796243</v>
      </c>
      <c r="D25" s="363">
        <f>+'bilsysbandéc. 14  '!D62/'bilsysbandéc. 14  '!D63</f>
        <v>0.46314319452299446</v>
      </c>
      <c r="E25" s="363">
        <f>+'bilsysbandéc. 14  '!E62/'bilsysbandéc. 14  '!E63</f>
        <v>0.51963244818652854</v>
      </c>
      <c r="F25" s="363">
        <f>+'bilsysbandéc. 14  '!F62/'bilsysbandéc. 14  '!F63</f>
        <v>0.46947134668028628</v>
      </c>
      <c r="G25" s="363">
        <f>+'bilsysbandéc. 14  '!G62/'bilsysbandéc. 14  '!G63</f>
        <v>2.5205575491971759</v>
      </c>
      <c r="H25" s="150">
        <f>+'bilsysbandéc. 14  '!H62/'bilsysbandéc. 14  '!H63</f>
        <v>0.59143995960707052</v>
      </c>
      <c r="I25" s="363">
        <f>+'bilsysbandéc. 14  '!I62/'bilsysbandéc. 14  '!I63</f>
        <v>0.20260584372392962</v>
      </c>
      <c r="J25" s="150">
        <f>+'bilsysbandéc. 14  '!J62/'bilsysbandéc. 14  '!J63</f>
        <v>0.20260584372392962</v>
      </c>
      <c r="K25" s="1414">
        <v>0</v>
      </c>
      <c r="L25" s="363">
        <f>+'bilsysbandéc. 14  '!L62/'bilsysbandéc. 14  '!L63</f>
        <v>0.57150333083461802</v>
      </c>
      <c r="M25" s="150">
        <f>+'bilsysbandéc. 14  '!M62/'bilsysbandéc. 14  '!M63</f>
        <v>0.57211643840459303</v>
      </c>
      <c r="N25" s="150">
        <f>+'bilsysbandéc. 14  '!N62/'bilsysbandéc. 14  '!N63</f>
        <v>0.5488372868420589</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945</v>
      </c>
      <c r="B26" s="314">
        <f>+bncvar!J62/bncvar!J63</f>
        <v>0.49468245311523407</v>
      </c>
      <c r="C26" s="363">
        <f>+bphvar!J62/bphvar!J63</f>
        <v>0.80118869579563157</v>
      </c>
      <c r="D26" s="363">
        <f>+buhvar!J62/buhvar!J63</f>
        <v>0.47717585861117334</v>
      </c>
      <c r="E26" s="314">
        <f>+capitalbkvar!J62/capitalbkvar!J63</f>
        <v>0.97204307807901824</v>
      </c>
      <c r="F26" s="314">
        <f>+sogebkvar!J62/sogebkvar!J63</f>
        <v>1.0276485580418497</v>
      </c>
      <c r="G26" s="314">
        <f>+unibkvar!J62/unibkvar!J63</f>
        <v>6.8760177150536164</v>
      </c>
      <c r="H26" s="148">
        <f>+'bilsysbansept. 14.  '!H61/'bilsysbansept. 14.  '!H62</f>
        <v>0.82625027830344955</v>
      </c>
      <c r="I26" s="314">
        <f>+sgbelvar!J62/sgbelvar!J63</f>
        <v>0.2249315223133197</v>
      </c>
      <c r="J26" s="148">
        <f>+'bilsysbansept. 14.  '!J61/'bilsysbansept. 14.  '!J62</f>
        <v>0.2249315223133197</v>
      </c>
      <c r="K26" s="374">
        <v>0</v>
      </c>
      <c r="L26" s="314">
        <f>+scotiavar!J62/scotiavar!J63</f>
        <v>0.57524531758272102</v>
      </c>
      <c r="M26" s="148">
        <f>+'bilsysbansept. 14.  '!M61/'bilsysbansept. 14.  '!M62</f>
        <v>0.5740039733676976</v>
      </c>
      <c r="N26" s="148">
        <f>+'bilsysbansept. 14.  '!N61/'bilsysbansept. 14.  '!N62</f>
        <v>0.72081909198945415</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976</v>
      </c>
      <c r="B30" s="363">
        <f>+('bilsysbandéc. 14  '!B63-'bilsysbandéc. 14  '!B62)/'bilsysbandéc. 14  '!B52</f>
        <v>7.8413132251119136E-2</v>
      </c>
      <c r="C30" s="363">
        <f>+('bilsysbandéc. 14  '!C63-'bilsysbandéc. 14  '!C62)/'bilsysbandéc. 14  '!C52</f>
        <v>0.92115588061449161</v>
      </c>
      <c r="D30" s="363">
        <f>+('bilsysbandéc. 14  '!D63-'bilsysbandéc. 14  '!D62)/'bilsysbandéc. 14  '!D52</f>
        <v>0.12826987709576068</v>
      </c>
      <c r="E30" s="363">
        <f>+('bilsysbandéc. 14  '!E63-'bilsysbandéc. 14  '!E62)/'bilsysbandéc. 14  '!E52</f>
        <v>3.3137492530311577E-2</v>
      </c>
      <c r="F30" s="363">
        <f>+('bilsysbandéc. 14  '!F63-'bilsysbandéc. 14  '!F62)/'bilsysbandéc. 14  '!F52</f>
        <v>0.17811709151512586</v>
      </c>
      <c r="G30" s="363">
        <f>+('bilsysbandéc. 14  '!G63-'bilsysbandéc. 14  '!G62)/'bilsysbandéc. 14  '!G52</f>
        <v>-1.3600623566944844E-2</v>
      </c>
      <c r="H30" s="150">
        <f>+('bilsysbandéc. 14  '!H63-'bilsysbandéc. 14  '!H62)/'bilsysbandéc. 14  '!H52</f>
        <v>7.3303962734867958E-2</v>
      </c>
      <c r="I30" s="363">
        <f>+('bilsysbandéc. 14  '!I63-'bilsysbandéc. 14  '!I62)/'bilsysbandéc. 14  '!I52</f>
        <v>0.52721385384799613</v>
      </c>
      <c r="J30" s="150">
        <f>+('bilsysbandéc. 14  '!J63-'bilsysbandéc. 14  '!J62)/'bilsysbandéc. 14  '!J52</f>
        <v>0.52721385384799613</v>
      </c>
      <c r="K30" s="363">
        <f>+('bilsysbandéc. 14  '!K63-'bilsysbandéc. 14  '!K62)/'bilsysbandéc. 14  '!K52</f>
        <v>-1.9478439161914524E-4</v>
      </c>
      <c r="L30" s="363">
        <f>+('bilsysbandéc. 14  '!L63-'bilsysbandéc. 14  '!L62)/'bilsysbandéc. 14  '!L52</f>
        <v>0.22214482381882908</v>
      </c>
      <c r="M30" s="150">
        <f>+('bilsysbandéc. 14  '!M63-'bilsysbandéc. 14  '!M62)/'bilsysbandéc. 14  '!M52</f>
        <v>9.1285105304600461E-2</v>
      </c>
      <c r="N30" s="148">
        <f>+('bilsysbandéc. 14  '!N63-'bilsysbandéc. 14  '!N62)/'bilsysbandéc. 14  '!N52</f>
        <v>8.8519626265440327E-2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945</v>
      </c>
      <c r="B31" s="363">
        <f>+('bilsysbansept. 14.  '!B62-'bilsysbansept. 14.  '!B61)/'bilsysbansept. 14.  '!B51</f>
        <v>8.6591542406051963E-2</v>
      </c>
      <c r="C31" s="363">
        <f>+('bilsysbansept. 14.  '!C62-'bilsysbansept. 14.  '!C61)/'bilsysbansept. 14.  '!C51</f>
        <v>0.78862640958988361</v>
      </c>
      <c r="D31" s="363">
        <f>+('bilsysbansept. 14.  '!D62-'bilsysbansept. 14.  '!D61)/'bilsysbansept. 14.  '!D51</f>
        <v>9.699985685611523E-2</v>
      </c>
      <c r="E31" s="363">
        <f>+('bilsysbansept. 14.  '!E62-'bilsysbansept. 14.  '!E61)/'bilsysbansept. 14.  '!E51</f>
        <v>8.8486806250557377E-4</v>
      </c>
      <c r="F31" s="363">
        <f>+('bilsysbansept. 14.  '!F62-'bilsysbansept. 14.  '!F61)/'bilsysbansept. 14.  '!F51</f>
        <v>-3.7004596736536052E-3</v>
      </c>
      <c r="G31" s="363">
        <f>+('bilsysbansept. 14.  '!G62-'bilsysbansept. 14.  '!G61)/'bilsysbansept. 14.  '!G51</f>
        <v>-1.7201643201620008E-2</v>
      </c>
      <c r="H31" s="153">
        <f>+('bilsysbansept. 14.  '!H62-'bilsysbansept. 14.  '!H61)/'bilsysbansept. 14.  '!H51</f>
        <v>2.0789706940208534E-2</v>
      </c>
      <c r="I31" s="363">
        <f>+('bilsysbansept. 14.  '!I62-'bilsysbansept. 14.  '!I61)/'bilsysbansept. 14.  '!I51</f>
        <v>0.50474504464338354</v>
      </c>
      <c r="J31" s="153">
        <f>+('bilsysbansept. 14.  '!J62-'bilsysbansept. 14.  '!J61)/'bilsysbansept. 14.  '!J51</f>
        <v>0.50474504464338354</v>
      </c>
      <c r="K31" s="363">
        <f>+('bilsysbansept. 14.  '!K62-'bilsysbansept. 14.  '!K61)/'bilsysbansept. 14.  '!K51</f>
        <v>1.0879331435313985E-3</v>
      </c>
      <c r="L31" s="363">
        <f>+('bilsysbansept. 14.  '!L62-'bilsysbansept. 14.  '!L61)/'bilsysbansept. 14.  '!L51</f>
        <v>0.25509436404378039</v>
      </c>
      <c r="M31" s="153">
        <f>+('bilsysbansept. 14.  '!M62-'bilsysbansept. 14.  '!M61)/'bilsysbansept. 14.  '!M51</f>
        <v>0.10291175240213898</v>
      </c>
      <c r="N31" s="153">
        <f>+('bilsysbansept. 14.  '!N62-'bilsysbansept. 14.  '!N61)/'bilsysbansept. 14.  '!N51</f>
        <v>3.9518335743521683E-2</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977</v>
      </c>
      <c r="B35" s="314">
        <f>+('RÉSULTsyst  '!B42/((bncvar!J23+'bilsysbandéc. 14  '!B23)/2)*4)</f>
        <v>1.6470933010890653E-2</v>
      </c>
      <c r="C35" s="363">
        <f>+('RÉSULTsyst  '!C42/((bphvar!J23+'bilsysbandéc. 14  '!C23)/2)*4)</f>
        <v>-1.9516703916058161E-3</v>
      </c>
      <c r="D35" s="364">
        <f>+('RÉSULTsyst  '!D42/((buhvar!J23+'bilsysbandéc. 14  '!D23)/2)*4)</f>
        <v>1.0095770779749144E-2</v>
      </c>
      <c r="E35" s="314">
        <f>+('RÉSULTsyst  '!E42/((capitalbkvar!J23+'bilsysbandéc. 14  '!E23)/2)*4)</f>
        <v>2.4084489142538058E-2</v>
      </c>
      <c r="F35" s="314">
        <f>+('RÉSULTsyst  '!F42/((sogebkvar!B23+sogebkvar!J23)/2)*4)</f>
        <v>6.2865714014828586E-3</v>
      </c>
      <c r="G35" s="314">
        <f>+('RÉSULTsyst  '!G42/((unibkvar!B23+unibkvar!J23)/2)*4)</f>
        <v>2.3142508115749857E-2</v>
      </c>
      <c r="H35" s="148">
        <f>+('RÉSULTsyst  '!H42/(('bilsysbandéc. 14  '!H23+'bilsysbansept. 14  '!H23)/2)*4)</f>
        <v>1.5672792231134165E-2</v>
      </c>
      <c r="I35" s="314">
        <f>+('RÉSULTsyst  '!I42/((sgbelvar!B23+sgbelvar!J23)/2)*4)</f>
        <v>1.361901930599662E-2</v>
      </c>
      <c r="J35" s="149">
        <f>+('RÉSULTsyst  '!J42/(('bilsysbandéc. 14  '!J23+'bilsysbansept. 14  '!J23)/2)*4)</f>
        <v>1.361901930599662E-2</v>
      </c>
      <c r="K35" s="314">
        <f>+('RÉSULTsyst  '!K42/((cbnavar!B23+cbnavar!J23)/2)*4)</f>
        <v>1.1699013451501161E-2</v>
      </c>
      <c r="L35" s="314">
        <f>+('RÉSULTsyst  '!L42/((scotiavar!B23+scotiavar!J23)/2)*4)</f>
        <v>1.537382482011807E-2</v>
      </c>
      <c r="M35" s="149">
        <f>+('RÉSULTsyst  '!M42/(('bilsysbandéc. 14  '!M23+'bilsysbansept. 14  '!M23)/2)*4)</f>
        <v>1.3434704520544542E-2</v>
      </c>
      <c r="N35" s="148">
        <f>+('RÉSULTsyst  '!N42/(('bilsysbandéc. 14  '!N23+'bilsysbansept. 14  '!N23)/2)*4)</f>
        <v>1.546411314207231E-2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906</v>
      </c>
      <c r="B36" s="314">
        <v>1.14E-2</v>
      </c>
      <c r="C36" s="363">
        <v>9.7000000000000003E-3</v>
      </c>
      <c r="D36" s="364">
        <v>7.4999999999999997E-3</v>
      </c>
      <c r="E36" s="314">
        <v>2.18E-2</v>
      </c>
      <c r="F36" s="314">
        <v>8.5000000000000006E-3</v>
      </c>
      <c r="G36" s="314">
        <v>1.9099999999999999E-2</v>
      </c>
      <c r="H36" s="148">
        <v>1.3599999999999999E-2</v>
      </c>
      <c r="I36" s="314">
        <v>1.0699999999999999E-2</v>
      </c>
      <c r="J36" s="149">
        <v>1.0699999999999999E-2</v>
      </c>
      <c r="K36" s="314">
        <v>1.6400000000000001E-2</v>
      </c>
      <c r="L36" s="314">
        <v>2.7000000000000001E-3</v>
      </c>
      <c r="M36" s="149">
        <v>9.1999999999999998E-3</v>
      </c>
      <c r="N36" s="148">
        <v>1.3299999999999999E-2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978</v>
      </c>
      <c r="B37" s="314">
        <f>+('résultsyscumul '!B42/(('bilsysbansept. 14  '!B23+'bilsysbandéc. 14  '!B23)/2)*4)</f>
        <v>1.6470933010890653E-2</v>
      </c>
      <c r="C37" s="314">
        <f>+('résultsyscumul '!C42/(('bilsysbansept. 14  '!C23+'bilsysbandéc. 14  '!C23)/2)*4)</f>
        <v>-1.9516703916058161E-3</v>
      </c>
      <c r="D37" s="314">
        <f>+('résultsyscumul '!D42/(('bilsysbansept. 14  '!D23+'bilsysbandéc. 14  '!D23)/2)*4)</f>
        <v>1.0095770779749144E-2</v>
      </c>
      <c r="E37" s="314">
        <f>+('résultsyscumul '!E42/(('bilsysbansept. 14  '!E23+'bilsysbandéc. 14  '!E23)/2)*4/4)</f>
        <v>6.0211222856345146E-3</v>
      </c>
      <c r="F37" s="314">
        <f>+('résultsyscumul '!F42/(('bilsysbansept. 14  '!F23+'bilsysbandéc. 14  '!F23)/2)*4)</f>
        <v>6.2865714014828586E-3</v>
      </c>
      <c r="G37" s="314">
        <f>+('résultsyscumul '!G42/(('bilsysbansept. 14  '!G23+'bilsysbandéc. 14  '!G23)/2)*4)</f>
        <v>2.3142508115749857E-2</v>
      </c>
      <c r="H37" s="153">
        <f>+('résultsyscumul '!H42/(('bilsysbansept. 14  '!H23+'bilsysbandéc. 14  '!H23)/2)*4)</f>
        <v>1.5672792231134165E-2</v>
      </c>
      <c r="I37" s="314">
        <f>+('résultsyscumul '!I42/(('bilsysbansept. 14  '!I23+'bilsysbandéc. 14  '!I23)/2)*4)</f>
        <v>1.361901930599662E-2</v>
      </c>
      <c r="J37" s="153">
        <f>+('résultsyscumul '!J42/(('bilsysbansept. 14  '!J23+'bilsysbandéc. 14  '!J23)/2)*4)</f>
        <v>1.361901930599662E-2</v>
      </c>
      <c r="K37" s="314">
        <f>+('résultsyscumul '!K42/(('bilsysbansept. 14  '!K23+'bilsysbandéc. 14  '!K23)/2)*4)</f>
        <v>1.1699013451501161E-2</v>
      </c>
      <c r="L37" s="314">
        <f>+('résultsyscumul '!L42/(('bilsysbansept. 14  '!L23+'bilsysbandéc. 14  '!L23)/2)*4)</f>
        <v>1.537382482011807E-2</v>
      </c>
      <c r="M37" s="153">
        <f>+('résultsyscumul '!M42/(('bilsysbansept. 14  '!M23+'bilsysbandéc. 14  '!M23)/2)*4)</f>
        <v>1.3434704520544542E-2</v>
      </c>
      <c r="N37" s="153">
        <f>+('résultsyscumul '!N42/(('bilsysbansept. 14  '!N23+'bilsysbandéc. 14  '!N23)/2)*4)</f>
        <v>1.546411314207231E-2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907</v>
      </c>
      <c r="B38" s="314">
        <v>1.14E-2</v>
      </c>
      <c r="C38" s="314">
        <v>9.7000000000000003E-3</v>
      </c>
      <c r="D38" s="314">
        <v>7.4999999999999997E-3</v>
      </c>
      <c r="E38" s="314">
        <v>2.18E-2</v>
      </c>
      <c r="F38" s="314">
        <v>8.5000000000000006E-3</v>
      </c>
      <c r="G38" s="314">
        <v>1.9099999999999999E-2</v>
      </c>
      <c r="H38" s="153">
        <v>1.3599999999999999E-2</v>
      </c>
      <c r="I38" s="314">
        <v>1.0699999999999999E-2</v>
      </c>
      <c r="J38" s="153">
        <v>1.0699999999999999E-2</v>
      </c>
      <c r="K38" s="314">
        <v>1.6400000000000001E-2</v>
      </c>
      <c r="L38" s="314">
        <v>2.7000000000000001E-3</v>
      </c>
      <c r="M38" s="153">
        <v>9.1999999999999998E-3</v>
      </c>
      <c r="N38" s="153">
        <v>1.3299999999999999E-2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977</v>
      </c>
      <c r="B41" s="314">
        <f>+('RÉSULTsyst  '!B42/((bncvar!B52+bncvar!J52)/2)*4)</f>
        <v>0.23157935290562021</v>
      </c>
      <c r="C41" s="363">
        <f>+('RÉSULTsyst  '!C42/((bphvar!B52+bphvar!J52)/2)*4)</f>
        <v>-4.7555169077114698E-2</v>
      </c>
      <c r="D41" s="364">
        <f>+('RÉSULTsyst  '!D42/((buhvar!B52+buhvar!J52)/2)*4)</f>
        <v>0.19422931285036871</v>
      </c>
      <c r="E41" s="314">
        <f>+('RÉSULTsyst  '!E42/((capitalbkvar!B52+capitalbkvar!J52)/2)*4)</f>
        <v>0.28087305594538503</v>
      </c>
      <c r="F41" s="314">
        <f>+('RÉSULTsyst  '!F42/((sogebkvar!B52+sogebkvar!J52)/2)*4)</f>
        <v>8.6433828028614629E-2</v>
      </c>
      <c r="G41" s="314">
        <f>+('RÉSULTsyst  '!G42/((unibkvar!B52+unibkvar!J52)/2)*4)</f>
        <v>0.24294107437720838</v>
      </c>
      <c r="H41" s="148">
        <f>+('RÉSULTsyst  '!H42/(('bilsysbandéc. 14  '!H52+'bilsysbansept. 14  '!H52)/2)*4)</f>
        <v>0.19689362302852487</v>
      </c>
      <c r="I41" s="314">
        <f>+('RÉSULTsyst  '!I42/((sgbelvar!B52+sgbelvar!J52)/2)*4)</f>
        <v>0.16713419586426931</v>
      </c>
      <c r="J41" s="149">
        <f>+('RÉSULTsyst  '!J42/(('bilsysbandéc. 14  '!J52+'bilsysbansept. 14  '!J52)/2)*4)</f>
        <v>0.16713419586426931</v>
      </c>
      <c r="K41" s="314">
        <f>+('RÉSULTsyst  '!K42/((cbnavar!B52+cbnavar!J52)/2)*4)</f>
        <v>0.20712849965051211</v>
      </c>
      <c r="L41" s="314">
        <f>+('RÉSULTsyst  '!L42/((scotiavar!B52+scotiavar!J52)/2)*4)</f>
        <v>0.35593863763550665</v>
      </c>
      <c r="M41" s="149">
        <f>+('RÉSULTsyst  '!M42/(('bilsysbandéc. 14  '!M52+'bilsysbansept. 14  '!M52)/2)*4)</f>
        <v>0.26759711051860002</v>
      </c>
      <c r="N41" s="148">
        <f>+('RÉSULTsyst  '!N42/(('bilsysbandéc. 14  '!N52+'bilsysbansept. 14  '!N52)/2)*4)</f>
        <v>0.19893953706560319</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906</v>
      </c>
      <c r="B42" s="314">
        <v>0.1744</v>
      </c>
      <c r="C42" s="363">
        <v>0.1368</v>
      </c>
      <c r="D42" s="364">
        <v>0.1981</v>
      </c>
      <c r="E42" s="314">
        <v>0.25359999999999999</v>
      </c>
      <c r="F42" s="1477">
        <v>0.113</v>
      </c>
      <c r="G42" s="314">
        <v>0.20830000000000001</v>
      </c>
      <c r="H42" s="148">
        <v>0.17560000000000001</v>
      </c>
      <c r="I42" s="314">
        <v>0.1</v>
      </c>
      <c r="J42" s="149">
        <v>0.1</v>
      </c>
      <c r="K42" s="314">
        <v>0.35320000000000001</v>
      </c>
      <c r="L42" s="314">
        <v>6.1899999999999997E-2</v>
      </c>
      <c r="M42" s="149">
        <v>0.20569999999999999</v>
      </c>
      <c r="N42" s="148">
        <v>0.1741</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978</v>
      </c>
      <c r="B43" s="314">
        <f>+('résultsyscumul '!B42/(('bilsysbansept. 14.  '!B51+'bilsysbandéc. 14  '!B52)/2)*4)</f>
        <v>0.23157935290562021</v>
      </c>
      <c r="C43" s="314">
        <f>+('résultsyscumul '!C42/(('bilsysbansept. 14.  '!C51+'bilsysbandéc. 14  '!C52)/2)*4)</f>
        <v>-4.7555169077114698E-2</v>
      </c>
      <c r="D43" s="314">
        <f>+('résultsyscumul '!D42/(('bilsysbansept. 14.  '!D51+'bilsysbandéc. 14  '!D52)/2)*4)</f>
        <v>0.19422931285036871</v>
      </c>
      <c r="E43" s="314">
        <f>+('résultsyscumul '!E42/(('bilsysbansept. 14.  '!E51+'bilsysbandéc. 14  '!E52)/2)*4)</f>
        <v>0.28087305594538503</v>
      </c>
      <c r="F43" s="314">
        <f>+('résultsyscumul '!F42/(('bilsysbansept. 14.  '!F51+'bilsysbandéc. 14  '!F52)/2)*4)</f>
        <v>8.6433828028614629E-2</v>
      </c>
      <c r="G43" s="314">
        <f>+('résultsyscumul '!G42/(('bilsysbansept. 14.  '!G51+'bilsysbandéc. 14  '!G52)/2)*4)</f>
        <v>0.24294107437720838</v>
      </c>
      <c r="H43" s="153">
        <f>+('résultsyscumul '!H42/(('bilsysbansept. 14.  '!H51+'bilsysbandéc. 14  '!H52)/2)*4)</f>
        <v>0.19689362302852487</v>
      </c>
      <c r="I43" s="314">
        <f>+('résultsyscumul '!I42/(('bilsysbansept. 14.  '!I51+'bilsysbandéc. 14  '!I52)/2)*4)</f>
        <v>0.16713419586426931</v>
      </c>
      <c r="J43" s="153">
        <f>+('résultsyscumul '!J42/(('bilsysbansept. 14.  '!J51+'bilsysbandéc. 14  '!J52)/2)*4)</f>
        <v>0.16713419586426931</v>
      </c>
      <c r="K43" s="314">
        <f>+('résultsyscumul '!K42/(('bilsysbansept. 14.  '!K51+'bilsysbandéc. 14  '!K52)/2)*4)</f>
        <v>0.20712849965051211</v>
      </c>
      <c r="L43" s="314">
        <f>+('résultsyscumul '!L42/(('bilsysbansept. 14.  '!L51+'bilsysbandéc. 14  '!L52)/2)*4)</f>
        <v>0.35593863763550665</v>
      </c>
      <c r="M43" s="153">
        <f>+('résultsyscumul '!M42/(('bilsysbansept. 14.  '!M51+'bilsysbandéc. 14  '!M52)/2)*4)</f>
        <v>0.26759711051860002</v>
      </c>
      <c r="N43" s="153">
        <f>+('résultsyscumul '!N42/(('bilsysbansept. 14.  '!N51+'bilsysbandéc. 14  '!N52)/2)*4)</f>
        <v>0.19893953706560319</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907</v>
      </c>
      <c r="B44" s="314">
        <v>0.1744</v>
      </c>
      <c r="C44" s="314">
        <v>0.1368</v>
      </c>
      <c r="D44" s="314">
        <v>0.1981</v>
      </c>
      <c r="E44" s="314">
        <v>0.25359999999999999</v>
      </c>
      <c r="F44" s="314">
        <v>0.113</v>
      </c>
      <c r="G44" s="314">
        <v>0.20830000000000001</v>
      </c>
      <c r="H44" s="153">
        <v>0.17560000000000001</v>
      </c>
      <c r="I44" s="314">
        <v>0.1</v>
      </c>
      <c r="J44" s="153">
        <v>0.1</v>
      </c>
      <c r="K44" s="314">
        <v>0.35320000000000001</v>
      </c>
      <c r="L44" s="314">
        <v>6.1899999999999997E-2</v>
      </c>
      <c r="M44" s="153">
        <v>0.20569999999999999</v>
      </c>
      <c r="N44" s="153">
        <v>0.1741</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977</v>
      </c>
      <c r="B48" s="314">
        <f>+'RÉSULTsyst  '!B16/'RÉSULTsyst  '!B14</f>
        <v>0.93589610329109452</v>
      </c>
      <c r="C48" s="314">
        <f>+'RÉSULTsyst  '!C16/'RÉSULTsyst  '!C14</f>
        <v>0.86782008472664585</v>
      </c>
      <c r="D48" s="314">
        <f>+'RÉSULTsyst  '!D16/'RÉSULTsyst  '!D14</f>
        <v>0.87683982361659762</v>
      </c>
      <c r="E48" s="314">
        <f>+'RÉSULTsyst  '!E16/'RÉSULTsyst  '!E14</f>
        <v>0.90414815969245954</v>
      </c>
      <c r="F48" s="314">
        <f>+'RÉSULTsyst  '!F16/'RÉSULTsyst  '!F14</f>
        <v>0.84298750492905827</v>
      </c>
      <c r="G48" s="314">
        <f>+'RÉSULTsyst  '!G16/'RÉSULTsyst  '!G14</f>
        <v>0.87822741505292101</v>
      </c>
      <c r="H48" s="150">
        <f>+'RÉSULTsyst  '!H16/'RÉSULTsyst  '!H14</f>
        <v>0.88384814467658479</v>
      </c>
      <c r="I48" s="314">
        <f>+'RÉSULTsyst  '!I16/'RÉSULTsyst  '!I14</f>
        <v>0.65791998424638398</v>
      </c>
      <c r="J48" s="150">
        <f>+'RÉSULTsyst  '!J16/'RÉSULTsyst  '!J14</f>
        <v>0.65791998424638398</v>
      </c>
      <c r="K48" s="314">
        <f>+'RÉSULTsyst  '!K16/'RÉSULTsyst  '!K14</f>
        <v>0.86749031007751942</v>
      </c>
      <c r="L48" s="314">
        <f>+'RÉSULTsyst  '!L16/'RÉSULTsyst  '!L14</f>
        <v>0.99343248167450526</v>
      </c>
      <c r="M48" s="150">
        <f>+'RÉSULTsyst  '!M16/'RÉSULTsyst  '!M14</f>
        <v>0.93467597929522384</v>
      </c>
      <c r="N48" s="148">
        <f>+'RÉSULTsyst  '!N16/'RÉSULTsyst  '!N14</f>
        <v>0.87623370529570543</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906</v>
      </c>
      <c r="B49" s="363">
        <f>+'RÉSULTsyst  '!B58/'RÉSULTsyst  '!B56</f>
        <v>0.93201940718261367</v>
      </c>
      <c r="C49" s="363">
        <f>+'RÉSULTsyst  '!C58/'RÉSULTsyst  '!C56</f>
        <v>0.93785010685086212</v>
      </c>
      <c r="D49" s="363">
        <f>+'RÉSULTsyst  '!D58/'RÉSULTsyst  '!D56</f>
        <v>0.95795613980009886</v>
      </c>
      <c r="E49" s="363">
        <f>+'RÉSULTsyst  '!E58/'RÉSULTsyst  '!E56</f>
        <v>0.92862028728926083</v>
      </c>
      <c r="F49" s="363">
        <f>+'RÉSULTsyst  '!F58/'RÉSULTsyst  '!F56</f>
        <v>0.90562599945455824</v>
      </c>
      <c r="G49" s="363">
        <f>+'RÉSULTsyst  '!G58/'RÉSULTsyst  '!G56</f>
        <v>0.91842699880245504</v>
      </c>
      <c r="H49" s="153">
        <f>+'RÉSULTsyst  '!H58/'RÉSULTsyst  '!H56</f>
        <v>0.9212168240353974</v>
      </c>
      <c r="I49" s="363">
        <f>+'RÉSULTsyst  '!I58/'RÉSULTsyst  '!I56</f>
        <v>0.68143975091567255</v>
      </c>
      <c r="J49" s="153">
        <f>+'RÉSULTsyst  '!J58/'RÉSULTsyst  '!J56</f>
        <v>0.68143975091567255</v>
      </c>
      <c r="K49" s="363">
        <f>+'RÉSULTsyst  '!K58/'RÉSULTsyst  '!K56</f>
        <v>0.91662635517741797</v>
      </c>
      <c r="L49" s="363">
        <f>+'RÉSULTsyst  '!L58/'RÉSULTsyst  '!L56</f>
        <v>0.98229697301393504</v>
      </c>
      <c r="M49" s="153">
        <f>+'RÉSULTsyst  '!M58/'RÉSULTsyst  '!M56</f>
        <v>0.95437331365170786</v>
      </c>
      <c r="N49" s="149">
        <f>+'RÉSULTsyst  '!N58/'RÉSULTsyst  '!N56</f>
        <v>0.91333045911267874</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978</v>
      </c>
      <c r="B50" s="314">
        <f>+'résultsyscumul '!B16/'résultsyscumul '!B14</f>
        <v>0.93589610329109452</v>
      </c>
      <c r="C50" s="363">
        <f>+'résultsyscumul '!C16/'résultsyscumul '!C14</f>
        <v>0.86782008472664585</v>
      </c>
      <c r="D50" s="363">
        <f>+'résultsyscumul '!D16/'résultsyscumul '!D14</f>
        <v>0.87683982361659762</v>
      </c>
      <c r="E50" s="314">
        <f>+'résultsyscumul '!E16/'résultsyscumul '!E14</f>
        <v>0.90414815969245954</v>
      </c>
      <c r="F50" s="314">
        <f>+'résultsyscumul '!F16/'résultsyscumul '!F14</f>
        <v>0.84298750492905827</v>
      </c>
      <c r="G50" s="314">
        <f>+'résultsyscumul '!G16/'résultsyscumul '!G14</f>
        <v>0.87822741505292101</v>
      </c>
      <c r="H50" s="148">
        <f>+'résultsyscumul '!H16/'résultsyscumul '!H14</f>
        <v>0.88384814467658479</v>
      </c>
      <c r="I50" s="314">
        <f>+'résultsyscumul '!I16/'résultsyscumul '!I14</f>
        <v>0.65791998424638398</v>
      </c>
      <c r="J50" s="149">
        <f>+I50</f>
        <v>0.65791998424638398</v>
      </c>
      <c r="K50" s="314">
        <f>+'résultsyscumul '!K16/'résultsyscumul '!K14</f>
        <v>0.86749031007751942</v>
      </c>
      <c r="L50" s="314">
        <f>+'résultsyscumul '!L16/'résultsyscumul '!L14</f>
        <v>0.99343248167450526</v>
      </c>
      <c r="M50" s="149">
        <f>+'résultsyscumul '!M16/'résultsyscumul '!M14</f>
        <v>0.93467597929522384</v>
      </c>
      <c r="N50" s="148">
        <f>+'résultsyscumul '!N16/'résultsyscumul '!N14</f>
        <v>0.87623370529570543</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907</v>
      </c>
      <c r="B51" s="314">
        <f>+'résultsyscumul '!B57/'résultsyscumul '!B55</f>
        <v>0.93201940718261367</v>
      </c>
      <c r="C51" s="363">
        <f>+'résultsyscumul '!C57/'résultsyscumul '!C55</f>
        <v>0.93785010685086212</v>
      </c>
      <c r="D51" s="363">
        <f>+'résultsyscumul '!D57/'résultsyscumul '!D55</f>
        <v>0.95795613980009886</v>
      </c>
      <c r="E51" s="314">
        <f>+'résultsyscumul '!E57/'résultsyscumul '!E55</f>
        <v>0.92862028728926083</v>
      </c>
      <c r="F51" s="314">
        <f>+'résultsyscumul '!F57/'résultsyscumul '!F55</f>
        <v>0.90562599945455824</v>
      </c>
      <c r="G51" s="314">
        <f>+'résultsyscumul '!G57/'résultsyscumul '!G55</f>
        <v>0.91842699880245504</v>
      </c>
      <c r="H51" s="153">
        <f>+'résultsyscumul '!H57/'résultsyscumul '!H55</f>
        <v>0.9212168240353974</v>
      </c>
      <c r="I51" s="314">
        <f>+'résultsyscumul '!I57/'résultsyscumul '!I55</f>
        <v>0.68143975091567255</v>
      </c>
      <c r="J51" s="153">
        <f>+'résultsyscumul '!J57/'résultsyscumul '!J55</f>
        <v>0.68143975091567255</v>
      </c>
      <c r="K51" s="314">
        <f>+'résultsyscumul '!K57/'résultsyscumul '!K55</f>
        <v>0.91662635517741797</v>
      </c>
      <c r="L51" s="314">
        <f>+'résultsyscumul '!L57/'résultsyscumul '!L55</f>
        <v>0.98229697301393504</v>
      </c>
      <c r="M51" s="153">
        <f>+'résultsyscumul '!M57/'résultsyscumul '!M55</f>
        <v>0.95437331365170786</v>
      </c>
      <c r="N51" s="153">
        <f>+'résultsyscumul '!N57/'résultsyscumul '!N55</f>
        <v>0.91333045911267874</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977</v>
      </c>
      <c r="B54" s="314">
        <f>+('RÉSULTsyst  '!B11/((bncvar!B61+bncvar!J61)/2)*4)</f>
        <v>7.8110618426536396E-2</v>
      </c>
      <c r="C54" s="314">
        <f>+('RÉSULTsyst  '!C11/((bphvar!B61+bphvar!J61)/2)*4)</f>
        <v>7.8262741450539769E-2</v>
      </c>
      <c r="D54" s="314">
        <f>+('RÉSULTsyst  '!D11/((buhvar!B61+buhvar!J61)/2)*4)</f>
        <v>0.12499577666655098</v>
      </c>
      <c r="E54" s="314">
        <f>+('RÉSULTsyst  '!E11/((capitalbkvar!B61+capitalbkvar!J61)/2)*4)</f>
        <v>0.12975780708471829</v>
      </c>
      <c r="F54" s="314">
        <f>+('RÉSULTsyst  '!F11/((sogebkvar!B61+sogebkvar!J61)/2)*4)</f>
        <v>7.3167685775969951E-2</v>
      </c>
      <c r="G54" s="314">
        <f>+('RÉSULTsyst  '!G11/((unibkvar!B61+unibkvar!J61)/2)*4)</f>
        <v>8.0621000354003158E-2</v>
      </c>
      <c r="H54" s="150">
        <f>+('RÉSULTsyst  '!H11/((+'bilsysbansept. 14  '!H61+'bilsysbandéc. 14  '!H61)/2)*4)</f>
        <v>8.3744563732439964E-2</v>
      </c>
      <c r="I54" s="314">
        <f>+('RÉSULTsyst  '!I11/((sgbelvar!B61+sgbelvar!J61)/2)*4)</f>
        <v>8.3074542086047712E-2</v>
      </c>
      <c r="J54" s="149">
        <f>+('RÉSULTsyst  '!J11/(('bilsysbandéc. 14  '!J61+'bilsysbansept. 14  '!J61)/2)*4)</f>
        <v>8.3074542086047712E-2</v>
      </c>
      <c r="K54" s="314">
        <f>+('RÉSULTsyst  '!K11/((cbnavar!B61+cbnavar!J61)/2)*4)</f>
        <v>8.301721033661362E-2</v>
      </c>
      <c r="L54" s="314">
        <f>+('RÉSULTsyst  '!L11/((scotiavar!B61+scotiavar!J61)/2)*4)</f>
        <v>8.5286107271408437E-2</v>
      </c>
      <c r="M54" s="150">
        <f>+('RÉSULTsyst  '!M11/(('bilsysbandéc. 14  '!M61+'bilsysbansept. 14  '!M61)/2)*4)</f>
        <v>8.4320800148563968E-2</v>
      </c>
      <c r="N54" s="148">
        <f>+('RÉSULTsyst  '!N11/(('bilsysbandéc. 14  '!N61+'bilsysbansept. 14  '!N61)/2)*4)</f>
        <v>8.3744099007106262E-2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906</v>
      </c>
      <c r="B55" s="314">
        <v>7.7200000000000005E-2</v>
      </c>
      <c r="C55" s="314">
        <v>9.8000000000000004E-2</v>
      </c>
      <c r="D55" s="314">
        <v>0.15110000000000001</v>
      </c>
      <c r="E55" s="314">
        <v>0.12189999999999999</v>
      </c>
      <c r="F55" s="314">
        <v>6.7400000000000002E-2</v>
      </c>
      <c r="G55" s="314">
        <v>6.8400000000000002E-2</v>
      </c>
      <c r="H55" s="150">
        <v>7.6999999999999999E-2</v>
      </c>
      <c r="I55" s="314">
        <v>7.5399999999999995E-2</v>
      </c>
      <c r="J55" s="149">
        <v>7.5399999999999995E-2</v>
      </c>
      <c r="K55" s="314">
        <v>9.0800000000000006E-2</v>
      </c>
      <c r="L55" s="314">
        <v>8.1500000000000003E-2</v>
      </c>
      <c r="M55" s="150">
        <v>8.5199999999999998E-2</v>
      </c>
      <c r="N55" s="148">
        <v>7.7499999999999999E-2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978</v>
      </c>
      <c r="B56" s="363">
        <f>+('résultsyscumul '!B11/(('bilsysbansept. 14.  '!B60+'bilsysbandéc. 14  '!B61)/2)*4)</f>
        <v>7.8110618426536396E-2</v>
      </c>
      <c r="C56" s="363">
        <f>+('résultsyscumul '!C11/(('bilsysbansept. 14.  '!C60+'bilsysbandéc. 14  '!C61)/2)*4)</f>
        <v>7.8262741450539769E-2</v>
      </c>
      <c r="D56" s="363">
        <f>+('résultsyscumul '!D11/(('bilsysbansept. 14.  '!D60+'bilsysbandéc. 14  '!D61)/2)*4)</f>
        <v>0.12499577666655098</v>
      </c>
      <c r="E56" s="363">
        <f>+('résultsyscumul '!E11/(('bilsysbansept. 14.  '!E60+'bilsysbandéc. 14  '!E61)/2)*4)</f>
        <v>0.12975780708471829</v>
      </c>
      <c r="F56" s="363">
        <f>+('résultsyscumul '!F11/(('bilsysbansept. 14.  '!F60+'bilsysbandéc. 14  '!F61)/2)*4)</f>
        <v>7.3167685775969951E-2</v>
      </c>
      <c r="G56" s="363">
        <f>+('résultsyscumul '!G11/(('bilsysbansept. 14.  '!G60+'bilsysbandéc. 14  '!G61)/2)*4)</f>
        <v>8.0621000354003158E-2</v>
      </c>
      <c r="H56" s="153">
        <f>+('résultsyscumul '!H11/(('bilsysbansept. 14.  '!H60+'bilsysbandéc. 14  '!H61)/2)*4)</f>
        <v>8.3744563732439964E-2</v>
      </c>
      <c r="I56" s="363">
        <f>+('résultsyscumul '!I11/(('bilsysbansept. 14.  '!I60+'bilsysbandéc. 14  '!I61)/2)*4)</f>
        <v>8.3074542086047712E-2</v>
      </c>
      <c r="J56" s="153">
        <f>+('résultsyscumul '!J11/(('bilsysbansept. 14.  '!J60+'bilsysbandéc. 14  '!J61)/2)*4)</f>
        <v>8.3074542086047712E-2</v>
      </c>
      <c r="K56" s="363">
        <f>+('résultsyscumul '!K11/(('bilsysbansept. 14.  '!K60+'bilsysbandéc. 14  '!K61)/2)*4)</f>
        <v>8.301721033661362E-2</v>
      </c>
      <c r="L56" s="363">
        <f>+('résultsyscumul '!L11/(('bilsysbansept. 14.  '!L60+'bilsysbandéc. 14  '!L61)/2)*4)</f>
        <v>8.5286107271408437E-2</v>
      </c>
      <c r="M56" s="153">
        <f>+('résultsyscumul '!M11/(('bilsysbansept. 14.  '!M60+'bilsysbandéc. 14  '!M61)/2)*4)</f>
        <v>8.4320800148563968E-2</v>
      </c>
      <c r="N56" s="153">
        <f>+('résultsyscumul '!N11/(('bilsysbansept. 14.  '!N60+'bilsysbandéc. 14  '!N61)/2)*4)</f>
        <v>8.3744099007106262E-2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907</v>
      </c>
      <c r="B57" s="363">
        <v>7.7200000000000005E-2</v>
      </c>
      <c r="C57" s="1517">
        <v>9.8000000000000004E-2</v>
      </c>
      <c r="D57" s="363">
        <v>0.15110000000000001</v>
      </c>
      <c r="E57" s="363">
        <v>0.12189999999999999</v>
      </c>
      <c r="F57" s="363">
        <v>6.7400000000000002E-2</v>
      </c>
      <c r="G57" s="363">
        <v>6.8400000000000002E-2</v>
      </c>
      <c r="H57" s="153">
        <v>7.6999999999999999E-2</v>
      </c>
      <c r="I57" s="363">
        <v>7.5399999999999995E-2</v>
      </c>
      <c r="J57" s="153">
        <v>7.5399999999999995E-2</v>
      </c>
      <c r="K57" s="363">
        <v>9.0800000000000006E-2</v>
      </c>
      <c r="L57" s="363">
        <v>8.1500000000000003E-2</v>
      </c>
      <c r="M57" s="153">
        <v>8.5199999999999998E-2</v>
      </c>
      <c r="N57" s="153">
        <v>7.7499999999999999E-2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977</v>
      </c>
      <c r="B60" s="1520">
        <f>+('RÉSULTsyst  '!B11/(('bilsysbandéc. 14  '!B61-'bilsysbandéc. 14  '!B63+'bilsysbansept. 14  '!B61-'bilsysbansept. 14  '!B63)/2)*4)</f>
        <v>8.1999271830788839E-2</v>
      </c>
      <c r="C60" s="364">
        <f>+('RÉSULTsyst  '!C11/(('bilsysbandéc. 14  '!C61-'bilsysbandéc. 14  '!C63+'bilsysbansept. 14  '!C61-'bilsysbansept. 14  '!C63)/2)*4)</f>
        <v>0.12983421517045293</v>
      </c>
      <c r="D60" s="364">
        <f>+('RÉSULTsyst  '!D11/(('bilsysbandéc. 14  '!D61-'bilsysbandéc. 14  '!D63+'bilsysbansept. 14  '!D61-'bilsysbansept. 14  '!D63)/2)*4)</f>
        <v>0.12825455606717165</v>
      </c>
      <c r="E60" s="364">
        <f>+('RÉSULTsyst  '!E11/(('bilsysbandéc. 14  '!E61-'bilsysbandéc. 14  '!E63+'bilsysbansept. 14  '!E61-'bilsysbansept. 14  '!E63)/2)*4)</f>
        <v>0.13100674551943675</v>
      </c>
      <c r="F60" s="364">
        <f>+('RÉSULTsyst  '!F11/(('bilsysbandéc. 14  '!F61-'bilsysbandéc. 14  '!F63+'bilsysbansept. 14  '!F61-'bilsysbansept. 14  '!F63)/2)*4)</f>
        <v>7.6690238816621389E-2</v>
      </c>
      <c r="G60" s="364">
        <f>+('RÉSULTsyst  '!G11/(('bilsysbandéc. 14  '!G61-'bilsysbandéc. 14  '!G63+'bilsysbansept. 14  '!G61-'bilsysbansept. 14  '!G63)/2)*4)</f>
        <v>8.073807237387845E-2</v>
      </c>
      <c r="H60" s="153">
        <f>+('RÉSULTsyst  '!H11/(('bilsysbandéc. 14  '!H61-'bilsysbandéc. 14  '!H63+'bilsysbansept. 14  '!H61-'bilsysbansept. 14  '!H63)/2)*4)</f>
        <v>8.6619822897874579E-2</v>
      </c>
      <c r="I60" s="364">
        <f>+('RÉSULTsyst  '!I11/(('bilsysbandéc. 14  '!I61-'bilsysbandéc. 14  '!I63+'bilsysbansept. 14  '!I61-'bilsysbansept. 14  '!I63)/2)*4)</f>
        <v>9.1753628980541471E-2</v>
      </c>
      <c r="J60" s="153">
        <f>+('RÉSULTsyst  '!J11/(('bilsysbandéc. 14  '!J61-'bilsysbandéc. 14  '!J63+'bilsysbansept. 14  '!J61-'bilsysbansept. 14  '!J63)/2)*4)</f>
        <v>9.1753628980541471E-2</v>
      </c>
      <c r="K60" s="364">
        <f>+('RÉSULTsyst  '!K11/(('bilsysbandéc. 14  '!K61-'bilsysbandéc. 14  '!K63+'bilsysbansept. 14  '!K61-'bilsysbansept. 14  '!K63)/2)*4)</f>
        <v>8.3030919392808059E-2</v>
      </c>
      <c r="L60" s="364">
        <f>+('RÉSULTsyst  '!L11/(('bilsysbandéc. 14  '!L61-'bilsysbandéc. 14  '!L63+'bilsysbansept. 14  '!L61-'bilsysbansept. 14  '!L63)/2)*4)</f>
        <v>9.1324829945680808E-2</v>
      </c>
      <c r="M60" s="153">
        <f>+('RÉSULTsyst  '!M11/(('bilsysbandéc. 14  '!M61-'bilsysbandéc. 14  '!M63+'bilsysbansept. 14  '!M61-'bilsysbansept. 14  '!M63)/2)*4)</f>
        <v>8.7657153444977903E-2</v>
      </c>
      <c r="N60" s="153">
        <f>+('RÉSULTsyst  '!N11/(('bilsysbandéc. 14  '!N61-'bilsysbandéc. 14  '!N63+'bilsysbansept. 14  '!N61-'bilsysbansept. 14  '!N63)/2)*4)</f>
        <v>8.6903409522339423E-2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906</v>
      </c>
      <c r="B61" s="363">
        <v>8.0299999999999996E-2</v>
      </c>
      <c r="C61" s="363">
        <v>0.14050000000000001</v>
      </c>
      <c r="D61" s="363">
        <v>0.1686</v>
      </c>
      <c r="E61" s="363">
        <v>0.1227</v>
      </c>
      <c r="F61" s="363">
        <v>6.9699999999999998E-2</v>
      </c>
      <c r="G61" s="363">
        <v>6.8500000000000005E-2</v>
      </c>
      <c r="H61" s="153">
        <v>7.9399999999999998E-2</v>
      </c>
      <c r="I61" s="363">
        <v>8.2699999999999996E-2</v>
      </c>
      <c r="J61" s="153">
        <v>8.2699999999999996E-2</v>
      </c>
      <c r="K61" s="363">
        <v>9.1700000000000004E-2</v>
      </c>
      <c r="L61" s="363">
        <v>8.9099999999999999E-2</v>
      </c>
      <c r="M61" s="153">
        <v>9.0200000000000002E-2</v>
      </c>
      <c r="N61" s="153">
        <v>8.0199999999999994E-2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978</v>
      </c>
      <c r="B62" s="363">
        <f>+('résultsyscumul '!B11/(('bilsysbansept. 14  '!B61-'bilsysbansept. 14  '!B63+'bilsysbandéc. 14  '!B61-'bilsysbandéc. 14  '!B63)/2)*4)</f>
        <v>8.1999271830788825E-2</v>
      </c>
      <c r="C62" s="363">
        <f>+('résultsyscumul '!C11/(('bilsysbansept. 14  '!C61-'bilsysbansept. 14  '!C63+'bilsysbandéc. 14  '!C61-'bilsysbandéc. 14  '!C63)/2)*4)</f>
        <v>0.12983421517045296</v>
      </c>
      <c r="D62" s="363">
        <f>+('résultsyscumul '!D11/(('bilsysbansept. 14  '!D61-'bilsysbansept. 14  '!D63+'bilsysbandéc. 14  '!D61-'bilsysbandéc. 14  '!D63)/2)*4)</f>
        <v>0.12825455606717165</v>
      </c>
      <c r="E62" s="363">
        <f>+('résultsyscumul '!E11/(('bilsysbansept. 14  '!E61-'bilsysbansept. 14  '!E63+'bilsysbandéc. 14  '!E61-'bilsysbandéc. 14  '!E63)/2)*4)</f>
        <v>0.13100674551943675</v>
      </c>
      <c r="F62" s="363">
        <f>+('résultsyscumul '!F11/(('bilsysbansept. 14  '!F61-'bilsysbansept. 14  '!F63+'bilsysbandéc. 14  '!F61-'bilsysbandéc. 14  '!F63)/2)*4)</f>
        <v>7.6690238816621389E-2</v>
      </c>
      <c r="G62" s="363">
        <f>+('résultsyscumul '!G11/(('bilsysbansept. 14  '!G61-'bilsysbansept. 14  '!G63+'bilsysbandéc. 14  '!G61-'bilsysbandéc. 14  '!G63)/2)*4)</f>
        <v>8.073807237387845E-2</v>
      </c>
      <c r="H62" s="153">
        <f>+('résultsyscumul '!H11/(('bilsysbansept. 14  '!H61-'bilsysbansept. 14  '!H63+'bilsysbandéc. 14  '!H61-'bilsysbandéc. 14  '!H63)/2)*4)</f>
        <v>8.6619822897874579E-2</v>
      </c>
      <c r="I62" s="363">
        <f>+('résultsyscumul '!I11/(('bilsysbansept. 14  '!I61-'bilsysbansept. 14  '!I63+'bilsysbandéc. 14  '!I61-'bilsysbandéc. 14  '!I63)/2)*4)</f>
        <v>9.1753628980541471E-2</v>
      </c>
      <c r="J62" s="153">
        <f>+('résultsyscumul '!J11/(('bilsysbansept. 14  '!J61-'bilsysbansept. 14  '!J63+'bilsysbandéc. 14  '!J61-'bilsysbandéc. 14  '!J63)/2)*4)</f>
        <v>9.1753628980541471E-2</v>
      </c>
      <c r="K62" s="363">
        <f>+('résultsyscumul '!K11/(('bilsysbansept. 14  '!K61-'bilsysbansept. 14  '!K63+'bilsysbandéc. 14  '!K61-'bilsysbandéc. 14  '!K63)/2)*4)</f>
        <v>8.3030919392808059E-2</v>
      </c>
      <c r="L62" s="363">
        <f>+('résultsyscumul '!L11/(('bilsysbansept. 14  '!L61-'bilsysbansept. 14  '!L63+'bilsysbandéc. 14  '!L61-'bilsysbandéc. 14  '!L63)/2)*4)</f>
        <v>9.1324829945680808E-2</v>
      </c>
      <c r="M62" s="153">
        <f>+('résultsyscumul '!M11/(('bilsysbansept. 14  '!M61-'bilsysbansept. 14  '!M63+'bilsysbandéc. 14  '!M61-'bilsysbandéc. 14  '!M63)/2)*4)</f>
        <v>8.7657153444977903E-2</v>
      </c>
      <c r="N62" s="153">
        <f>+('résultsyscumul '!N11/(('bilsysbansept. 14  '!N61-'bilsysbansept. 14  '!N63+'bilsysbandéc. 14  '!N61-'bilsysbandéc. 14  '!N63)/2)*4)</f>
        <v>8.6903409522339409E-2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907</v>
      </c>
      <c r="B63" s="363">
        <v>8.0299999999999996E-2</v>
      </c>
      <c r="C63" s="1517">
        <v>0.14050000000000001</v>
      </c>
      <c r="D63" s="363">
        <v>0.1686</v>
      </c>
      <c r="E63" s="363">
        <v>0.1227</v>
      </c>
      <c r="F63" s="363">
        <v>6.9699999999999998E-2</v>
      </c>
      <c r="G63" s="363">
        <v>6.8500000000000005E-2</v>
      </c>
      <c r="H63" s="153">
        <v>7.9399999999999998E-2</v>
      </c>
      <c r="I63" s="363">
        <v>8.2699999999999996E-2</v>
      </c>
      <c r="J63" s="153">
        <v>8.2699999999999996E-2</v>
      </c>
      <c r="K63" s="363">
        <v>9.1700000000000004E-2</v>
      </c>
      <c r="L63" s="363">
        <v>8.9099999999999999E-2</v>
      </c>
      <c r="M63" s="153">
        <v>9.0200000000000002E-2</v>
      </c>
      <c r="N63" s="153">
        <v>8.0199999999999994E-2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977</v>
      </c>
      <c r="B66" s="314">
        <f>+('RÉSULTsyst  '!B15/((bncvar!B30+bncvar!J30)/2)*4)</f>
        <v>2.5679553575070108E-3</v>
      </c>
      <c r="C66" s="314">
        <f>+('RÉSULTsyst  '!C15/((bphvar!B30+bphvar!J30)/2)*4)</f>
        <v>5.4584271931614877E-3</v>
      </c>
      <c r="D66" s="314">
        <f>+('RÉSULTsyst  '!D15/((buhvar!B30+buhvar!J30)/2)*4)</f>
        <v>8.433567502497975E-3</v>
      </c>
      <c r="E66" s="314">
        <f>+('RÉSULTsyst  '!E15/((capitalbkvar!B30+capitalbkvar!J30)/2)*4)</f>
        <v>7.1774252839402822E-3</v>
      </c>
      <c r="F66" s="314">
        <f>+('RÉSULTsyst  '!F15/((sogebkvar!B30+sogebkvar!J30)/2)*4)</f>
        <v>6.6757187412966167E-3</v>
      </c>
      <c r="G66" s="314">
        <f>+('RÉSULTsyst  '!G15/((unibkvar!B30+unibkvar!J30)/2)*4)</f>
        <v>4.9694201299825703E-3</v>
      </c>
      <c r="H66" s="150">
        <f>+('RÉSULTsyst  '!H15/(('bilsysbandéc. 14  '!H30+'bilsysbansept. 14  '!H30)/2)*4)</f>
        <v>5.1600148418891071E-3</v>
      </c>
      <c r="I66" s="314">
        <f>+('RÉSULTsyst  '!I15/((sgbelvar!B30+sgbelvar!J30)/2)*4)</f>
        <v>2.5115829213238662E-2</v>
      </c>
      <c r="J66" s="150">
        <f>+('RÉSULTsyst  '!J15/(('bilsysbandéc. 14  '!J30+'bilsysbansept. 14  '!J30)/2)*4)</f>
        <v>2.5115829213238662E-2</v>
      </c>
      <c r="K66" s="314">
        <f>+('RÉSULTsyst  '!K15/((cbnavar!B30+cbnavar!J30)/2)*4)</f>
        <v>4.3213999755884356E-3</v>
      </c>
      <c r="L66" s="314">
        <f>+('RÉSULTsyst  '!L15/((scotiavar!B30+scotiavar!J30)/2)*4)</f>
        <v>2.4192846643496162E-4</v>
      </c>
      <c r="M66" s="150">
        <f>+('RÉSULTsyst  '!M15/(('bilsysbandéc. 14  '!M30+'bilsysbansept. 14  '!M30)/2)*4)</f>
        <v>2.2691903623009747E-3</v>
      </c>
      <c r="N66" s="148">
        <f>+('RÉSULTsyst  '!N15/(('bilsysbandéc. 14  '!N30+'bilsysbansept. 14  '!N30)/2)*4)</f>
        <v>5.5190811246523053E-3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906</v>
      </c>
      <c r="B67" s="314">
        <v>2.3E-3</v>
      </c>
      <c r="C67" s="314">
        <v>3.5999999999999999E-3</v>
      </c>
      <c r="D67" s="314">
        <v>2.7000000000000001E-3</v>
      </c>
      <c r="E67" s="314">
        <v>4.7999999999999996E-3</v>
      </c>
      <c r="F67" s="314">
        <v>3.8E-3</v>
      </c>
      <c r="G67" s="314">
        <v>2.5999999999999999E-3</v>
      </c>
      <c r="H67" s="150">
        <v>3.0000000000000001E-3</v>
      </c>
      <c r="I67" s="314">
        <v>2.63E-2</v>
      </c>
      <c r="J67" s="150">
        <v>2.63E-2</v>
      </c>
      <c r="K67" s="314">
        <v>2.8E-3</v>
      </c>
      <c r="L67" s="314">
        <v>6.9999999999999999E-4</v>
      </c>
      <c r="M67" s="150">
        <v>1.6999999999999999E-3</v>
      </c>
      <c r="N67" s="148">
        <v>3.3999999999999998E-3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978</v>
      </c>
      <c r="B68" s="314">
        <f>+('résultsyscumul '!B15/(('bilsysbansept. 14  '!B30+'bilsysbandéc. 14  '!B30)/2)*4)</f>
        <v>2.5679553575070108E-3</v>
      </c>
      <c r="C68" s="314">
        <f>+('résultsyscumul '!C15/(('bilsysbansept. 14  '!C30+'bilsysbandéc. 14  '!C30)/2)*4)</f>
        <v>5.4584271931614877E-3</v>
      </c>
      <c r="D68" s="314">
        <f>+('résultsyscumul '!D15/(('bilsysbansept. 14  '!D30+'bilsysbandéc. 14  '!D30)/2)*4)</f>
        <v>8.433567502497975E-3</v>
      </c>
      <c r="E68" s="314">
        <f>+('résultsyscumul '!E15/(('bilsysbansept. 14  '!E30+'bilsysbandéc. 14  '!E30)/2)*4)</f>
        <v>7.1774252839402822E-3</v>
      </c>
      <c r="F68" s="314">
        <f>+('résultsyscumul '!F15/(('bilsysbansept. 14  '!F30+'bilsysbandéc. 14  '!F30)/2)*4)</f>
        <v>6.6757187412966167E-3</v>
      </c>
      <c r="G68" s="314">
        <f>+('résultsyscumul '!G15/(('bilsysbansept. 14  '!G30+'bilsysbandéc. 14  '!G30)/2)*4)</f>
        <v>4.9694201299825703E-3</v>
      </c>
      <c r="H68" s="153">
        <f>+('résultsyscumul '!H15/(('bilsysbansept. 14  '!H30+'bilsysbandéc. 14  '!H30)/2)*4)</f>
        <v>5.1600148418891071E-3</v>
      </c>
      <c r="I68" s="314">
        <f>+('résultsyscumul '!I15/(('bilsysbansept. 14  '!I30+'bilsysbandéc. 14  '!I30)/2)*4)</f>
        <v>2.5115829213238662E-2</v>
      </c>
      <c r="J68" s="153">
        <f>+('résultsyscumul '!J15/(('bilsysbansept. 14  '!J30+'bilsysbandéc. 14  '!J30)/2)*4)</f>
        <v>2.5115829213238662E-2</v>
      </c>
      <c r="K68" s="314">
        <f>+('résultsyscumul '!K15/(('bilsysbansept. 14  '!K30+'bilsysbandéc. 14  '!K30)/2)*4)</f>
        <v>4.3213999755884356E-3</v>
      </c>
      <c r="L68" s="314">
        <f>+('résultsyscumul '!L15/(('bilsysbansept. 14  '!L30+'bilsysbandéc. 14  '!L30)/2)*4)</f>
        <v>2.4192846643496162E-4</v>
      </c>
      <c r="M68" s="153">
        <f>+('résultsyscumul '!M15/(('bilsysbansept. 14  '!M30+'bilsysbandéc. 14  '!M30)/2)*4)</f>
        <v>2.2691903623009747E-3</v>
      </c>
      <c r="N68" s="153">
        <f>+('résultsyscumul '!N15/(('bilsysbansept. 14  '!N30+'bilsysbandéc. 14  '!N30)/2)*4)</f>
        <v>5.5190811246523053E-3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907</v>
      </c>
      <c r="B69" s="314">
        <v>2.3E-3</v>
      </c>
      <c r="C69" s="314">
        <v>3.5999999999999999E-3</v>
      </c>
      <c r="D69" s="314">
        <v>2.7000000000000001E-3</v>
      </c>
      <c r="E69" s="314">
        <v>4.7999999999999996E-3</v>
      </c>
      <c r="F69" s="314">
        <v>3.8E-3</v>
      </c>
      <c r="G69" s="314">
        <v>2.5999999999999999E-3</v>
      </c>
      <c r="H69" s="153">
        <v>3.0000000000000001E-3</v>
      </c>
      <c r="I69" s="314">
        <v>2.63E-2</v>
      </c>
      <c r="J69" s="153">
        <v>2.63E-2</v>
      </c>
      <c r="K69" s="314">
        <v>2.8E-3</v>
      </c>
      <c r="L69" s="314">
        <v>6.9999999999999999E-4</v>
      </c>
      <c r="M69" s="153">
        <v>1.6999999999999999E-3</v>
      </c>
      <c r="N69" s="153">
        <v>3.3999999999999998E-3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977</v>
      </c>
      <c r="B74" s="314">
        <f>+'RÉSULTsyst  '!B36/'RÉSULTsyst  '!B24</f>
        <v>0.59283524066629756</v>
      </c>
      <c r="C74" s="314">
        <f>+'RÉSULTsyst  '!C36/'RÉSULTsyst  '!C24</f>
        <v>0.77255670838331403</v>
      </c>
      <c r="D74" s="314">
        <f>+'RÉSULTsyst  '!D36/'RÉSULTsyst  '!D24</f>
        <v>0.84110809413443777</v>
      </c>
      <c r="E74" s="314">
        <f>+'RÉSULTsyst  '!E36/'RÉSULTsyst  '!E24</f>
        <v>0.65920340319513371</v>
      </c>
      <c r="F74" s="314">
        <f>+'RÉSULTsyst  '!F36/'RÉSULTsyst  '!F24</f>
        <v>0.73454762479408831</v>
      </c>
      <c r="G74" s="314">
        <f>+'RÉSULTsyst  '!G36/'RÉSULTsyst  '!G24</f>
        <v>0.55681072587046476</v>
      </c>
      <c r="H74" s="150">
        <f>+'RÉSULTsyst  '!H36/'RÉSULTsyst  '!H24</f>
        <v>0.64250648716473713</v>
      </c>
      <c r="I74" s="314">
        <f>+'RÉSULTsyst  '!I36/'RÉSULTsyst  '!I24</f>
        <v>0.53695498821524679</v>
      </c>
      <c r="J74" s="150">
        <f>+'RÉSULTsyst  '!J36/'RÉSULTsyst  '!J24</f>
        <v>0.53695498821524679</v>
      </c>
      <c r="K74" s="314">
        <f>+'RÉSULTsyst  '!K36/'RÉSULTsyst  '!K24</f>
        <v>0.67262340706020218</v>
      </c>
      <c r="L74" s="314">
        <f>+'RÉSULTsyst  '!L36/'RÉSULTsyst  '!L24</f>
        <v>0.62822353451078128</v>
      </c>
      <c r="M74" s="150">
        <f>+'RÉSULTsyst  '!M36/'RÉSULTsyst  '!M24</f>
        <v>0.65246058936051121</v>
      </c>
      <c r="N74" s="148">
        <f>+'RÉSULTsyst  '!N36/'RÉSULTsyst  '!N24</f>
        <v>0.64063515725386733</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906</v>
      </c>
      <c r="B75" s="363">
        <f>+'RÉSULTsyst  '!B78/'RÉSULTsyst  '!B66</f>
        <v>0.63171381166927787</v>
      </c>
      <c r="C75" s="363">
        <f>+'RÉSULTsyst  '!C78/'RÉSULTsyst  '!C66</f>
        <v>0.75096954816849637</v>
      </c>
      <c r="D75" s="363">
        <f>+'RÉSULTsyst  '!D78/'RÉSULTsyst  '!D66</f>
        <v>0.84480001748173972</v>
      </c>
      <c r="E75" s="363">
        <f>+'RÉSULTsyst  '!E78/'RÉSULTsyst  '!E66</f>
        <v>0.69081189360411377</v>
      </c>
      <c r="F75" s="363">
        <f>+'RÉSULTsyst  '!F78/'RÉSULTsyst  '!F66</f>
        <v>0.6962024059357329</v>
      </c>
      <c r="G75" s="363">
        <f>+'RÉSULTsyst  '!G78/'RÉSULTsyst  '!G66</f>
        <v>0.59960177041482254</v>
      </c>
      <c r="H75" s="153">
        <f>+'RÉSULTsyst  '!H78/'RÉSULTsyst  '!H66</f>
        <v>0.65860768015954962</v>
      </c>
      <c r="I75" s="363">
        <f>+'RÉSULTsyst  '!I78/'RÉSULTsyst  '!I66</f>
        <v>0.6407095504993805</v>
      </c>
      <c r="J75" s="153">
        <f>+'RÉSULTsyst  '!J78/'RÉSULTsyst  '!J66</f>
        <v>0.6407095504993805</v>
      </c>
      <c r="K75" s="363">
        <f>+'RÉSULTsyst  '!K78/'RÉSULTsyst  '!K66</f>
        <v>0.82700997634217477</v>
      </c>
      <c r="L75" s="363">
        <f>+'RÉSULTsyst  '!L78/'RÉSULTsyst  '!L66</f>
        <v>0.86050354394051398</v>
      </c>
      <c r="M75" s="153">
        <f>+'RÉSULTsyst  '!M78/'RÉSULTsyst  '!M66</f>
        <v>0.84253089736700704</v>
      </c>
      <c r="N75" s="149">
        <f>+'RÉSULTsyst  '!N78/'RÉSULTsyst  '!N66</f>
        <v>0.66970825272830459</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978</v>
      </c>
      <c r="B76" s="314">
        <f>+'résultsyscumul '!B36/'résultsyscumul '!B24</f>
        <v>0.59283524066629756</v>
      </c>
      <c r="C76" s="363">
        <f>+'résultsyscumul '!C36/'résultsyscumul '!C24</f>
        <v>0.77255670838331403</v>
      </c>
      <c r="D76" s="363">
        <f>+'résultsyscumul '!D36/'résultsyscumul '!D24</f>
        <v>0.84110809413443777</v>
      </c>
      <c r="E76" s="314">
        <f>+'résultsyscumul '!E36/'résultsyscumul '!E24</f>
        <v>0.65920340319513371</v>
      </c>
      <c r="F76" s="314">
        <f>+'résultsyscumul '!F36/'résultsyscumul '!F24</f>
        <v>0.73454762479408831</v>
      </c>
      <c r="G76" s="314">
        <f>+'résultsyscumul '!G36/'résultsyscumul '!G24</f>
        <v>0.55681072587046476</v>
      </c>
      <c r="H76" s="148">
        <f>+'résultsyscumul '!H36/'résultsyscumul '!H24</f>
        <v>0.64250648716473713</v>
      </c>
      <c r="I76" s="314">
        <f>+'résultsyscumul '!I36/'résultsyscumul '!I24</f>
        <v>0.53695498821524679</v>
      </c>
      <c r="J76" s="149">
        <f>+'résultsyscumul '!J36/'résultsyscumul '!J24</f>
        <v>0.53695498821524679</v>
      </c>
      <c r="K76" s="314">
        <f>+'résultsyscumul '!K36/'résultsyscumul '!K24</f>
        <v>0.67262340706020218</v>
      </c>
      <c r="L76" s="314">
        <f>+'résultsyscumul '!L36/'résultsyscumul '!L24</f>
        <v>0.62822353451078128</v>
      </c>
      <c r="M76" s="149">
        <f>+'résultsyscumul '!M36/'résultsyscumul '!M24</f>
        <v>0.65246058936051121</v>
      </c>
      <c r="N76" s="148">
        <f>+'résultsyscumul '!N36/'résultsyscumul '!N24</f>
        <v>0.64063515725386733</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907</v>
      </c>
      <c r="B77" s="363">
        <f>+'résultsyscumul '!B77/'résultsyscumul '!B65</f>
        <v>0.63171381166927787</v>
      </c>
      <c r="C77" s="363">
        <f>+'résultsyscumul '!C77/'résultsyscumul '!C65</f>
        <v>0.75096954816849637</v>
      </c>
      <c r="D77" s="364">
        <f>+'résultsyscumul '!D77/'résultsyscumul '!D65</f>
        <v>0.84480001748173972</v>
      </c>
      <c r="E77" s="363">
        <f>+'résultsyscumul '!E77/'résultsyscumul '!E65</f>
        <v>0.69081189360411377</v>
      </c>
      <c r="F77" s="363">
        <f>+'résultsyscumul '!F77/'résultsyscumul '!F65</f>
        <v>0.6962024059357329</v>
      </c>
      <c r="G77" s="363">
        <f>+'résultsyscumul '!G77/'résultsyscumul '!G65</f>
        <v>0.59960177041482254</v>
      </c>
      <c r="H77" s="153">
        <f>+'résultsyscumul '!H77/'résultsyscumul '!H65</f>
        <v>0.65860768015954962</v>
      </c>
      <c r="I77" s="363">
        <f>+'résultsyscumul '!I77/'résultsyscumul '!I65</f>
        <v>0.6407095504993805</v>
      </c>
      <c r="J77" s="153">
        <f>+'résultsyscumul '!J77/'résultsyscumul '!J65</f>
        <v>0.6407095504993805</v>
      </c>
      <c r="K77" s="363">
        <f>+'résultsyscumul '!K77/'résultsyscumul '!K65</f>
        <v>0.82700997634217477</v>
      </c>
      <c r="L77" s="363">
        <f>+'résultsyscumul '!L77/'résultsyscumul '!L65</f>
        <v>0.86050354394051398</v>
      </c>
      <c r="M77" s="153">
        <f>+'résultsyscumul '!M77/'résultsyscumul '!M65</f>
        <v>0.84253089736700704</v>
      </c>
      <c r="N77" s="153">
        <f>+'résultsyscumul '!N77/'résultsyscumul '!N65</f>
        <v>0.66970825272830459</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977</v>
      </c>
      <c r="B80" s="1032">
        <f>+('RÉSULTsyst  '!B24/((employés!E136+employés!E138)/2)*4)</f>
        <v>2720.6331777572964</v>
      </c>
      <c r="C80" s="1032">
        <f>+('RÉSULTsyst  '!C24/((employés!G136+employés!G138)/2)*4)</f>
        <v>1131.492532645161</v>
      </c>
      <c r="D80" s="1032">
        <f>+('RÉSULTsyst  '!D24/((employés!I136+employés!I138)/2)*4)</f>
        <v>2262.7160623588925</v>
      </c>
      <c r="E80" s="1032">
        <f>+('RÉSULTsyst  '!E24/((employés!U138+employés!U136)/2)*4)</f>
        <v>2273.7024482109227</v>
      </c>
      <c r="F80" s="1032">
        <f>+('RÉSULTsyst  '!F24/((employés!Q138+employés!Q136)/2)*4)</f>
        <v>2080.0217159779613</v>
      </c>
      <c r="G80" s="1032">
        <f>+('RÉSULTsyst  '!G24/((employés!S138+employés!S136)/2)*4)</f>
        <v>3337.3646922097714</v>
      </c>
      <c r="H80" s="971">
        <f>+('RÉSULTsyst  '!H24/((employés!E136+employés!G136+employés!I136+employés!Q136+employés!S136+employés!U136+employés!U138+employés!S138+employés!Q138+employés!I138+employés!G138+employés!E138)/2)*4)</f>
        <v>2522.0169709428046</v>
      </c>
      <c r="I80" s="1032">
        <f>+('RÉSULTsyst  '!I24/((employés!W138+employés!W136)/2)*4)</f>
        <v>3861.109754666667</v>
      </c>
      <c r="J80" s="379">
        <f>+('RÉSULTsyst  '!J24/((employés!W138+employés!W136)/2)*4)</f>
        <v>3861.109754666667</v>
      </c>
      <c r="K80" s="1053">
        <f>+('RÉSULTsyst  '!K24/((employés!Z138+employés!Z136)/2)*4)</f>
        <v>10923.2</v>
      </c>
      <c r="L80" s="1032">
        <f>+('RÉSULTsyst  '!L24/((employés!AB138+employés!AB136)/2)*4)</f>
        <v>3375.1771428571428</v>
      </c>
      <c r="M80" s="183">
        <f>+('RÉSULTsyst  '!M24/((employés!Z138+employés!AB138+employés!AB136+employés!Z136)/2)*4)</f>
        <v>5419.4333333333334</v>
      </c>
      <c r="N80" s="971">
        <f>+('RÉSULTsyst  '!N24/((employés!AC138+employés!AC136)/2)*4)</f>
        <v>2624.2881805583588</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906</v>
      </c>
      <c r="B81" s="1032">
        <v>2743.66</v>
      </c>
      <c r="C81" s="1032">
        <v>1235.94</v>
      </c>
      <c r="D81" s="1032">
        <v>1848.21</v>
      </c>
      <c r="E81" s="1032">
        <v>1978.74</v>
      </c>
      <c r="F81" s="1032">
        <v>1957.94</v>
      </c>
      <c r="G81" s="1032">
        <v>2882.35</v>
      </c>
      <c r="H81" s="971">
        <v>2297.7800000000002</v>
      </c>
      <c r="I81" s="1032">
        <v>3198.97</v>
      </c>
      <c r="J81" s="379">
        <v>3198.97</v>
      </c>
      <c r="K81" s="1053">
        <v>8409.3700000000008</v>
      </c>
      <c r="L81" s="1032">
        <v>3049.33</v>
      </c>
      <c r="M81" s="183">
        <v>4634.3999999999996</v>
      </c>
      <c r="N81" s="971">
        <v>2386.8200000000002</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978</v>
      </c>
      <c r="B82" s="1032">
        <f>+('résultsyscumul '!B24/((employés!E138+employés!E136)/2)*4)</f>
        <v>2720.6331777572964</v>
      </c>
      <c r="C82" s="1032">
        <f>+('résultsyscumul '!C24/((employés!G136+employés!G138)/2)*4)</f>
        <v>1131.492532645161</v>
      </c>
      <c r="D82" s="1032">
        <f>+('résultsyscumul '!D24/((employés!I136+employés!I138)/2)*4)</f>
        <v>2262.7160623588925</v>
      </c>
      <c r="E82" s="1032">
        <f>+('résultsyscumul '!E24/((employés!U136+employés!U138)/2)*4)</f>
        <v>2273.7024482109227</v>
      </c>
      <c r="F82" s="1032">
        <f>+('résultsyscumul '!F24/((employés!Q136+employés!Q138)/2)*4)</f>
        <v>2080.0217159779613</v>
      </c>
      <c r="G82" s="1032">
        <f>+('résultsyscumul '!G24/((employés!S136+employés!S138)/2)*4)</f>
        <v>3337.3646922097714</v>
      </c>
      <c r="H82" s="971">
        <f>+('résultsyscumul '!H24/((employés!E136+employés!G136+employés!I136+employés!Q136+employés!S136+employés!U136+employés!U138+employés!S138+employés!Q138+employés!I138+employés!G138+employés!E138)/2)*4)</f>
        <v>2522.0169709428046</v>
      </c>
      <c r="I82" s="1032">
        <f>+('résultsyscumul '!I24/((employés!W136+employés!W138)/2)*4)</f>
        <v>3861.109754666667</v>
      </c>
      <c r="J82" s="379">
        <f>+('résultsyscumul '!J24/((employés!W136+employés!W138)/2)*4)</f>
        <v>3861.109754666667</v>
      </c>
      <c r="K82" s="1053">
        <f>+('résultsyscumul '!K24/((employés!Z136+employés!Z138)/2)*4)</f>
        <v>10923.2</v>
      </c>
      <c r="L82" s="1032">
        <f>+('résultsyscumul '!L24/((employés!AB136+employés!AB138)/2)*4)</f>
        <v>3375.1771428571428</v>
      </c>
      <c r="M82" s="183">
        <f>+('résultsyscumul '!M24/((employés!Z136+employés!AB136+employés!AB138+employés!Z138)/2)*4)</f>
        <v>5419.4333333333334</v>
      </c>
      <c r="N82" s="971">
        <f>+('résultsyscumul '!N24/((employés!AC136+employés!AC138)/2)*4)</f>
        <v>2624.2881805583588</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907</v>
      </c>
      <c r="B83" s="1507">
        <v>2743.66</v>
      </c>
      <c r="C83" s="1508">
        <v>1235.94</v>
      </c>
      <c r="D83" s="1508">
        <v>1848.21</v>
      </c>
      <c r="E83" s="1508">
        <v>1978.74</v>
      </c>
      <c r="F83" s="1508">
        <v>1957.94</v>
      </c>
      <c r="G83" s="1508">
        <v>2882.35</v>
      </c>
      <c r="H83" s="1030">
        <v>2297.7800000000002</v>
      </c>
      <c r="I83" s="1508">
        <v>3198.97</v>
      </c>
      <c r="J83" s="1509">
        <v>3198.97</v>
      </c>
      <c r="K83" s="1510">
        <v>8409.3700000000008</v>
      </c>
      <c r="L83" s="1508">
        <v>3049.33</v>
      </c>
      <c r="M83" s="1511">
        <v>4634.3999999999996</v>
      </c>
      <c r="N83" s="1030">
        <v>2386.8200000000002</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honeticPr fontId="0" type="noConversion"/>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1.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945</v>
      </c>
      <c r="B10" s="363">
        <v>6.7968385401295767E-2</v>
      </c>
      <c r="C10" s="363">
        <v>4.2188626937657882E-2</v>
      </c>
      <c r="D10" s="363">
        <v>5.4016636608987333E-2</v>
      </c>
      <c r="E10" s="363">
        <v>8.4222074747748552E-2</v>
      </c>
      <c r="F10" s="363">
        <v>7.2376468397428159E-2</v>
      </c>
      <c r="G10" s="363">
        <v>9.2348232970047239E-2</v>
      </c>
      <c r="H10" s="150">
        <v>7.7726944729359551E-2</v>
      </c>
      <c r="I10" s="363">
        <v>8.2280674223852129E-2</v>
      </c>
      <c r="J10" s="150">
        <v>8.2280674223852129E-2</v>
      </c>
      <c r="K10" s="363">
        <v>5.2117556042790482E-2</v>
      </c>
      <c r="L10" s="363">
        <v>4.1866274613797778E-2</v>
      </c>
      <c r="M10" s="150">
        <v>4.7459139017335679E-2</v>
      </c>
      <c r="N10" s="148">
        <v>7.5837311527064688E-2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884</v>
      </c>
      <c r="B11" s="314">
        <v>6.3061704281495462E-2</v>
      </c>
      <c r="C11" s="363">
        <v>7.1994264930183655E-2</v>
      </c>
      <c r="D11" s="363">
        <v>3.7951487304603577E-2</v>
      </c>
      <c r="E11" s="314">
        <v>8.4552727853309542E-2</v>
      </c>
      <c r="F11" s="314">
        <v>7.3563098542078972E-2</v>
      </c>
      <c r="G11" s="314">
        <v>8.8430520566546489E-2</v>
      </c>
      <c r="H11" s="148">
        <v>7.552922872221414E-2</v>
      </c>
      <c r="I11" s="314">
        <v>0.10472086951684068</v>
      </c>
      <c r="J11" s="148">
        <v>0.10472086951684068</v>
      </c>
      <c r="K11" s="314">
        <v>4.4559653645391252E-2</v>
      </c>
      <c r="L11" s="314">
        <v>4.4255872232356712E-2</v>
      </c>
      <c r="M11" s="148">
        <v>4.4401071881261592E-2</v>
      </c>
      <c r="N11" s="148">
        <v>7.4255460391256217E-2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945</v>
      </c>
      <c r="B14" s="363">
        <v>0.80491023487171409</v>
      </c>
      <c r="C14" s="363">
        <v>0.89919104182149834</v>
      </c>
      <c r="D14" s="363">
        <v>0.81906822525687106</v>
      </c>
      <c r="E14" s="363">
        <v>0.84674384818912396</v>
      </c>
      <c r="F14" s="363">
        <v>0.79645240864527034</v>
      </c>
      <c r="G14" s="363">
        <v>0.82073737475848796</v>
      </c>
      <c r="H14" s="150">
        <v>0.81261930841775487</v>
      </c>
      <c r="I14" s="363">
        <v>0.72267755738368278</v>
      </c>
      <c r="J14" s="150">
        <v>0.72267755738368278</v>
      </c>
      <c r="K14" s="363">
        <v>0.78114979135798202</v>
      </c>
      <c r="L14" s="363">
        <v>0.85088748699055738</v>
      </c>
      <c r="M14" s="150">
        <v>0.81284019717710077</v>
      </c>
      <c r="N14" s="148">
        <v>0.8100141358999442</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884</v>
      </c>
      <c r="B15" s="314">
        <v>0.82097931468806085</v>
      </c>
      <c r="C15" s="363">
        <v>0.8553362319750013</v>
      </c>
      <c r="D15" s="363">
        <v>0.87945242359923315</v>
      </c>
      <c r="E15" s="314">
        <v>0.84740735401513245</v>
      </c>
      <c r="F15" s="314">
        <v>0.81832087329158187</v>
      </c>
      <c r="G15" s="314">
        <v>0.8521191570565092</v>
      </c>
      <c r="H15" s="148">
        <v>0.83435756029461461</v>
      </c>
      <c r="I15" s="314">
        <v>0.66193029691349914</v>
      </c>
      <c r="J15" s="148">
        <v>0.66193029691349914</v>
      </c>
      <c r="K15" s="314">
        <v>0.78551545655783683</v>
      </c>
      <c r="L15" s="314">
        <v>0.8078899525479466</v>
      </c>
      <c r="M15" s="148">
        <v>0.79719552286005047</v>
      </c>
      <c r="N15" s="148">
        <v>0.82785351248968286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945</v>
      </c>
      <c r="B20" s="363">
        <v>4.5163257744616402E-2</v>
      </c>
      <c r="C20" s="363">
        <v>0.37448527940987691</v>
      </c>
      <c r="D20" s="363">
        <v>2.1708347043419968E-2</v>
      </c>
      <c r="E20" s="363">
        <v>5.8630733209055217E-3</v>
      </c>
      <c r="F20" s="363">
        <v>2.5832544958976522E-2</v>
      </c>
      <c r="G20" s="363">
        <v>7.0708098606247496E-4</v>
      </c>
      <c r="H20" s="150">
        <v>2.6062674624005581E-2</v>
      </c>
      <c r="I20" s="363">
        <v>9.3445765179868703E-2</v>
      </c>
      <c r="J20" s="150">
        <v>9.3445765179868703E-2</v>
      </c>
      <c r="K20" s="363">
        <v>3.5305172104077711E-4</v>
      </c>
      <c r="L20" s="363">
        <v>6.6298147656161044E-2</v>
      </c>
      <c r="M20" s="150">
        <v>4.0410363509380993E-2</v>
      </c>
      <c r="N20" s="148">
        <v>2.9963370722775527E-2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884</v>
      </c>
      <c r="B21" s="314">
        <v>2.1136775959121737E-2</v>
      </c>
      <c r="C21" s="363">
        <v>0.33980200018249962</v>
      </c>
      <c r="D21" s="363">
        <v>0.14983205014280504</v>
      </c>
      <c r="E21" s="314">
        <v>6.88337422254502E-3</v>
      </c>
      <c r="F21" s="314">
        <v>8.4593524315222674E-3</v>
      </c>
      <c r="G21" s="314">
        <v>1.8448803603614149E-3</v>
      </c>
      <c r="H21" s="148">
        <v>2.0088749612556519E-2</v>
      </c>
      <c r="I21" s="314">
        <v>6.9668243389532911E-2</v>
      </c>
      <c r="J21" s="148">
        <v>6.9668243389532911E-2</v>
      </c>
      <c r="K21" s="1414">
        <v>0</v>
      </c>
      <c r="L21" s="314">
        <v>8.0917485047803717E-2</v>
      </c>
      <c r="M21" s="148">
        <v>5.8951118903664314E-2</v>
      </c>
      <c r="N21" s="148">
        <v>2.4348233211914871E-2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945</v>
      </c>
      <c r="B25" s="363">
        <v>0.49468245311523407</v>
      </c>
      <c r="C25" s="363">
        <v>0.80118869579563157</v>
      </c>
      <c r="D25" s="363">
        <v>0.47717585861117334</v>
      </c>
      <c r="E25" s="363">
        <v>0.97204307807901824</v>
      </c>
      <c r="F25" s="363">
        <v>1.0276485580418497</v>
      </c>
      <c r="G25" s="363">
        <v>6.8760177150536164</v>
      </c>
      <c r="H25" s="150">
        <v>0.82625027830344955</v>
      </c>
      <c r="I25" s="363">
        <v>0.2249315223133197</v>
      </c>
      <c r="J25" s="150">
        <v>0.2249315223133197</v>
      </c>
      <c r="K25" s="1414">
        <v>0</v>
      </c>
      <c r="L25" s="363">
        <v>0.57524531758272102</v>
      </c>
      <c r="M25" s="150">
        <v>0.5740039733676976</v>
      </c>
      <c r="N25" s="150">
        <v>0.72081909198945415</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884</v>
      </c>
      <c r="B26" s="314">
        <v>0.68482401242595325</v>
      </c>
      <c r="C26" s="363">
        <v>0.68454088476317043</v>
      </c>
      <c r="D26" s="363">
        <v>7.0100516283443243E-2</v>
      </c>
      <c r="E26" s="314">
        <v>0.85436685231654319</v>
      </c>
      <c r="F26" s="314">
        <v>1.9124052382488508</v>
      </c>
      <c r="G26" s="314">
        <v>2.6709495600787991</v>
      </c>
      <c r="H26" s="148">
        <v>0.81131205936338668</v>
      </c>
      <c r="I26" s="314">
        <v>0.39655318884680313</v>
      </c>
      <c r="J26" s="148">
        <v>0.39655318884680313</v>
      </c>
      <c r="K26" s="374">
        <v>0</v>
      </c>
      <c r="L26" s="314">
        <v>0.45626990004703033</v>
      </c>
      <c r="M26" s="148">
        <v>0.51755396357166272</v>
      </c>
      <c r="N26" s="148">
        <v>0.72189271345479644</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945</v>
      </c>
      <c r="B30" s="363">
        <v>8.6591542406051963E-2</v>
      </c>
      <c r="C30" s="363">
        <v>0.78862640958988361</v>
      </c>
      <c r="D30" s="363">
        <v>9.699985685611523E-2</v>
      </c>
      <c r="E30" s="363">
        <v>8.8486806250557377E-4</v>
      </c>
      <c r="F30" s="363">
        <v>-3.7004596736536052E-3</v>
      </c>
      <c r="G30" s="363">
        <v>-1.7201643201620008E-2</v>
      </c>
      <c r="H30" s="150">
        <v>2.0789706940208534E-2</v>
      </c>
      <c r="I30" s="363">
        <v>0.50474504464338354</v>
      </c>
      <c r="J30" s="150">
        <v>0.50474504464338354</v>
      </c>
      <c r="K30" s="363">
        <v>1.0879331435313985E-3</v>
      </c>
      <c r="L30" s="363">
        <v>0.25509436404378039</v>
      </c>
      <c r="M30" s="150">
        <v>0.10291175240213898</v>
      </c>
      <c r="N30" s="148">
        <v>3.9518335743521683E-2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884</v>
      </c>
      <c r="B31" s="363">
        <v>2.5466176311762241E-2</v>
      </c>
      <c r="C31" s="363">
        <v>0.78021680355315493</v>
      </c>
      <c r="D31" s="363">
        <v>1.3007106393281198</v>
      </c>
      <c r="E31" s="363">
        <v>5.4528975751277292E-3</v>
      </c>
      <c r="F31" s="363">
        <v>-4.2320293954818684E-2</v>
      </c>
      <c r="G31" s="363">
        <v>-1.3086362435766703E-2</v>
      </c>
      <c r="H31" s="153">
        <v>1.7837350846472498E-2</v>
      </c>
      <c r="I31" s="363">
        <v>0.24645520594133533</v>
      </c>
      <c r="J31" s="153">
        <v>0.24645520594133533</v>
      </c>
      <c r="K31" s="363">
        <v>1.0314827196158326E-2</v>
      </c>
      <c r="L31" s="363">
        <v>0.38991704140176769</v>
      </c>
      <c r="M31" s="153">
        <v>0.20782898624975543</v>
      </c>
      <c r="N31" s="153">
        <v>3.2799007361478713E-2</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946</v>
      </c>
      <c r="B35" s="314">
        <v>4.504436339437025E-3</v>
      </c>
      <c r="C35" s="363">
        <v>2.855833419768662E-3</v>
      </c>
      <c r="D35" s="364">
        <v>9.9683324552385915E-3</v>
      </c>
      <c r="E35" s="314">
        <v>2.1254318842663891E-2</v>
      </c>
      <c r="F35" s="314">
        <v>1.1141491921435145E-2</v>
      </c>
      <c r="G35" s="314">
        <v>3.2401786400884917E-2</v>
      </c>
      <c r="H35" s="148">
        <v>1.7010622804476992E-2</v>
      </c>
      <c r="I35" s="314">
        <v>1.0782537021730522E-2</v>
      </c>
      <c r="J35" s="149">
        <v>1.0782537021730522E-2</v>
      </c>
      <c r="K35" s="314">
        <v>4.9835763429940758E-3</v>
      </c>
      <c r="L35" s="314">
        <v>-4.7096897734430808E-3</v>
      </c>
      <c r="M35" s="149">
        <v>4.7314366260414048E-4</v>
      </c>
      <c r="N35" s="148">
        <v>1.573201148388411E-2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885</v>
      </c>
      <c r="B36" s="314">
        <v>9.7000000000000003E-3</v>
      </c>
      <c r="C36" s="363">
        <v>-4.1000000000000003E-3</v>
      </c>
      <c r="D36" s="364">
        <v>4.6100000000000002E-2</v>
      </c>
      <c r="E36" s="314">
        <v>1.6799999999999999E-2</v>
      </c>
      <c r="F36" s="314">
        <v>1.06E-2</v>
      </c>
      <c r="G36" s="314">
        <v>3.27E-2</v>
      </c>
      <c r="H36" s="148">
        <v>1.8800000000000001E-2</v>
      </c>
      <c r="I36" s="314">
        <v>1.6199999999999999E-2</v>
      </c>
      <c r="J36" s="149">
        <v>1.6199999999999999E-2</v>
      </c>
      <c r="K36" s="314">
        <v>-9.7000000000000003E-3</v>
      </c>
      <c r="L36" s="314">
        <v>-1.35E-2</v>
      </c>
      <c r="M36" s="149">
        <v>-1.1599999999999999E-2</v>
      </c>
      <c r="N36" s="148">
        <v>1.66E-2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947</v>
      </c>
      <c r="B37" s="314">
        <v>9.402594767414332E-3</v>
      </c>
      <c r="C37" s="314">
        <v>-1.9137370796236731E-3</v>
      </c>
      <c r="D37" s="314">
        <v>2.1185855489140549E-3</v>
      </c>
      <c r="E37" s="314">
        <v>2.1077083666040275E-2</v>
      </c>
      <c r="F37" s="314">
        <v>9.1380605713340286E-3</v>
      </c>
      <c r="G37" s="314">
        <v>2.771575027492474E-2</v>
      </c>
      <c r="H37" s="153">
        <v>1.5845491087009344E-2</v>
      </c>
      <c r="I37" s="314">
        <v>1.1331509113639653E-2</v>
      </c>
      <c r="J37" s="153">
        <v>1.1331509113639653E-2</v>
      </c>
      <c r="K37" s="314">
        <v>2.2338398949436355E-2</v>
      </c>
      <c r="L37" s="314">
        <v>-1.3401712624093896E-3</v>
      </c>
      <c r="M37" s="153">
        <v>1.0838546070714756E-2</v>
      </c>
      <c r="N37" s="153">
        <v>1.5398337683709466E-2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948</v>
      </c>
      <c r="B38" s="314">
        <v>1.04E-2</v>
      </c>
      <c r="C38" s="314">
        <v>1.29E-2</v>
      </c>
      <c r="D38" s="314">
        <v>1.06E-2</v>
      </c>
      <c r="E38" s="314">
        <v>1.9699999999999999E-2</v>
      </c>
      <c r="F38" s="314">
        <v>1.0699999999999999E-2</v>
      </c>
      <c r="G38" s="314">
        <v>2.4E-2</v>
      </c>
      <c r="H38" s="153">
        <v>1.5699999999999999E-2</v>
      </c>
      <c r="I38" s="314">
        <v>1.2999999999999999E-2</v>
      </c>
      <c r="J38" s="153">
        <v>1.2999999999999999E-2</v>
      </c>
      <c r="K38" s="314">
        <v>-2.9999999999999997E-4</v>
      </c>
      <c r="L38" s="314">
        <v>1.47E-2</v>
      </c>
      <c r="M38" s="153">
        <v>7.1999999999999998E-3</v>
      </c>
      <c r="N38" s="153">
        <v>1.5100000000000001E-2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946</v>
      </c>
      <c r="B41" s="314">
        <v>6.6098174372663951E-2</v>
      </c>
      <c r="C41" s="363">
        <v>7.0562670180686571E-2</v>
      </c>
      <c r="D41" s="364">
        <v>0.37240210563340209</v>
      </c>
      <c r="E41" s="314">
        <v>0.25166098313439694</v>
      </c>
      <c r="F41" s="314">
        <v>0.15327288214485399</v>
      </c>
      <c r="G41" s="314">
        <v>0.35026572791454141</v>
      </c>
      <c r="H41" s="148">
        <v>0.2208434687076912</v>
      </c>
      <c r="I41" s="314">
        <v>0.12799582534765128</v>
      </c>
      <c r="J41" s="149">
        <v>0.12799582534765128</v>
      </c>
      <c r="K41" s="314">
        <v>9.097334739726623E-2</v>
      </c>
      <c r="L41" s="314">
        <v>-0.11066834480013193</v>
      </c>
      <c r="M41" s="149">
        <v>9.6377647263002093E-3</v>
      </c>
      <c r="N41" s="148">
        <v>0.20871037818670732</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885</v>
      </c>
      <c r="B42" s="314">
        <v>0.15190000000000001</v>
      </c>
      <c r="C42" s="363">
        <v>-9.1700000000000004E-2</v>
      </c>
      <c r="D42" s="364">
        <v>1.3792</v>
      </c>
      <c r="E42" s="314">
        <v>0.20699999999999999</v>
      </c>
      <c r="F42" s="314">
        <v>0.14799999999999999</v>
      </c>
      <c r="G42" s="314">
        <v>0.37680000000000002</v>
      </c>
      <c r="H42" s="148">
        <v>0.25409999999999999</v>
      </c>
      <c r="I42" s="314">
        <v>0.1575</v>
      </c>
      <c r="J42" s="149">
        <v>0.1575</v>
      </c>
      <c r="K42" s="314">
        <v>-0.2394</v>
      </c>
      <c r="L42" s="314">
        <v>-0.2969</v>
      </c>
      <c r="M42" s="149">
        <v>-0.26979999999999998</v>
      </c>
      <c r="N42" s="148">
        <v>0.2394</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947</v>
      </c>
      <c r="B43" s="314">
        <v>0.14338792488560029</v>
      </c>
      <c r="C43" s="314">
        <v>-3.4058464912516823E-2</v>
      </c>
      <c r="D43" s="314">
        <v>0.12457131153150512</v>
      </c>
      <c r="E43" s="314">
        <v>0.24980219847954527</v>
      </c>
      <c r="F43" s="314">
        <v>0.1252800978873477</v>
      </c>
      <c r="G43" s="314">
        <v>0.30630635045938825</v>
      </c>
      <c r="H43" s="153">
        <v>0.20882968703884447</v>
      </c>
      <c r="I43" s="314">
        <v>0.12333932071595143</v>
      </c>
      <c r="J43" s="153">
        <v>0.12333932071595143</v>
      </c>
      <c r="K43" s="314">
        <v>0.45708282769737912</v>
      </c>
      <c r="L43" s="314">
        <v>-3.1128200255743293E-2</v>
      </c>
      <c r="M43" s="153">
        <v>0.23538578805679017</v>
      </c>
      <c r="N43" s="153">
        <v>0.20708066700194447</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948</v>
      </c>
      <c r="B44" s="314">
        <v>0.17899999999999999</v>
      </c>
      <c r="C44" s="314">
        <v>0.307</v>
      </c>
      <c r="D44" s="314">
        <v>-1.0524</v>
      </c>
      <c r="E44" s="314">
        <v>0.24</v>
      </c>
      <c r="F44" s="314">
        <v>0.1545</v>
      </c>
      <c r="G44" s="314">
        <v>0.28299999999999997</v>
      </c>
      <c r="H44" s="153">
        <v>0.22420000000000001</v>
      </c>
      <c r="I44" s="314">
        <v>0.1283</v>
      </c>
      <c r="J44" s="153">
        <v>0.1283</v>
      </c>
      <c r="K44" s="314">
        <v>-6.1999999999999998E-3</v>
      </c>
      <c r="L44" s="314">
        <v>0.34420000000000001</v>
      </c>
      <c r="M44" s="153">
        <v>0.1673</v>
      </c>
      <c r="N44" s="153">
        <v>0.21859999999999999</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946</v>
      </c>
      <c r="B48" s="314">
        <v>0.93986760311094719</v>
      </c>
      <c r="C48" s="314">
        <v>0.88584206716912439</v>
      </c>
      <c r="D48" s="314">
        <v>0.92880527898211795</v>
      </c>
      <c r="E48" s="314">
        <v>0.90957526800867938</v>
      </c>
      <c r="F48" s="314">
        <v>0.84471268316197445</v>
      </c>
      <c r="G48" s="314">
        <v>0.86247269621478173</v>
      </c>
      <c r="H48" s="150">
        <v>0.88391972175594935</v>
      </c>
      <c r="I48" s="314">
        <v>0.60042082652300566</v>
      </c>
      <c r="J48" s="150">
        <v>0.60042082652300566</v>
      </c>
      <c r="K48" s="314">
        <v>0.83931590217513807</v>
      </c>
      <c r="L48" s="314">
        <v>0.97860214604818174</v>
      </c>
      <c r="M48" s="150">
        <v>0.9193227330503394</v>
      </c>
      <c r="N48" s="148">
        <v>0.87105734645841726</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885</v>
      </c>
      <c r="B49" s="363">
        <v>0.9583423729410312</v>
      </c>
      <c r="C49" s="363">
        <v>0.90003957904365117</v>
      </c>
      <c r="D49" s="363">
        <v>0.95476252528369809</v>
      </c>
      <c r="E49" s="363">
        <v>0.93297282008458371</v>
      </c>
      <c r="F49" s="363">
        <v>0.90638320326946087</v>
      </c>
      <c r="G49" s="363">
        <v>0.92285423693392887</v>
      </c>
      <c r="H49" s="153">
        <v>0.92914578912786328</v>
      </c>
      <c r="I49" s="363">
        <v>0.79707905860901673</v>
      </c>
      <c r="J49" s="153">
        <v>0.79707905860901673</v>
      </c>
      <c r="K49" s="363">
        <v>0.92512658048821883</v>
      </c>
      <c r="L49" s="363">
        <v>0.97883750670351888</v>
      </c>
      <c r="M49" s="153">
        <v>0.95618774974652587</v>
      </c>
      <c r="N49" s="149">
        <v>0.92480086583636534</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947</v>
      </c>
      <c r="B50" s="314">
        <v>0.93468774321755721</v>
      </c>
      <c r="C50" s="363">
        <v>0.9098120276371312</v>
      </c>
      <c r="D50" s="363">
        <v>0.94601952387637978</v>
      </c>
      <c r="E50" s="314">
        <v>0.92055884045837477</v>
      </c>
      <c r="F50" s="314">
        <v>0.877635283056174</v>
      </c>
      <c r="G50" s="314">
        <v>0.88152535699157897</v>
      </c>
      <c r="H50" s="148">
        <v>0.90018395711648447</v>
      </c>
      <c r="I50" s="314">
        <v>0.63434365229599865</v>
      </c>
      <c r="J50" s="149">
        <v>0.63434365229599865</v>
      </c>
      <c r="K50" s="314">
        <v>0.91192442779169336</v>
      </c>
      <c r="L50" s="314">
        <v>0.98155697113129059</v>
      </c>
      <c r="M50" s="149">
        <v>0.95159091921426553</v>
      </c>
      <c r="N50" s="148">
        <v>0.8906179363218174</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948</v>
      </c>
      <c r="B51" s="314">
        <v>0.96016938902597038</v>
      </c>
      <c r="C51" s="363">
        <v>0.93689195070769515</v>
      </c>
      <c r="D51" s="363">
        <v>0.95742562844896062</v>
      </c>
      <c r="E51" s="314">
        <v>0.93866045591981351</v>
      </c>
      <c r="F51" s="314">
        <v>0.90744446037771764</v>
      </c>
      <c r="G51" s="314">
        <v>0.93784710457778508</v>
      </c>
      <c r="H51" s="153">
        <v>0.93443968349975648</v>
      </c>
      <c r="I51" s="314">
        <v>0.78617883557363777</v>
      </c>
      <c r="J51" s="153">
        <v>0.78617883557363777</v>
      </c>
      <c r="K51" s="314">
        <v>0.92861559501553104</v>
      </c>
      <c r="L51" s="314">
        <v>0.97915771756186931</v>
      </c>
      <c r="M51" s="153">
        <v>0.9601541537544207</v>
      </c>
      <c r="N51" s="153">
        <v>0.92956072289438285</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946</v>
      </c>
      <c r="B54" s="314">
        <v>7.9073951760796526E-2</v>
      </c>
      <c r="C54" s="314">
        <v>6.465529767455018E-2</v>
      </c>
      <c r="D54" s="314">
        <v>0.11824747183414595</v>
      </c>
      <c r="E54" s="314">
        <v>0.12999999908410456</v>
      </c>
      <c r="F54" s="314">
        <v>7.1994392776078386E-2</v>
      </c>
      <c r="G54" s="314">
        <v>7.8660264274875644E-2</v>
      </c>
      <c r="H54" s="150">
        <v>8.233830348886749E-2</v>
      </c>
      <c r="I54" s="314">
        <v>8.8788938484209434E-2</v>
      </c>
      <c r="J54" s="149">
        <v>8.8788938484209434E-2</v>
      </c>
      <c r="K54" s="314">
        <v>9.5334399448635324E-2</v>
      </c>
      <c r="L54" s="314">
        <v>8.0995297422012585E-2</v>
      </c>
      <c r="M54" s="150">
        <v>8.6406411070909461E-2</v>
      </c>
      <c r="N54" s="148">
        <v>8.2862279957970242E-2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885</v>
      </c>
      <c r="B55" s="314">
        <v>8.3400000000000002E-2</v>
      </c>
      <c r="C55" s="314">
        <v>7.5200000000000003E-2</v>
      </c>
      <c r="D55" s="314">
        <v>0.14710000000000001</v>
      </c>
      <c r="E55" s="314">
        <v>0.1206</v>
      </c>
      <c r="F55" s="314">
        <v>6.4199999999999993E-2</v>
      </c>
      <c r="G55" s="314">
        <v>6.88E-2</v>
      </c>
      <c r="H55" s="150">
        <v>7.6399999999999996E-2</v>
      </c>
      <c r="I55" s="314">
        <v>9.0399999999999994E-2</v>
      </c>
      <c r="J55" s="149">
        <v>9.0399999999999994E-2</v>
      </c>
      <c r="K55" s="314">
        <v>9.3700000000000006E-2</v>
      </c>
      <c r="L55" s="314">
        <v>8.3299999999999999E-2</v>
      </c>
      <c r="M55" s="150">
        <v>8.7300000000000003E-2</v>
      </c>
      <c r="N55" s="148">
        <v>7.7700000000000005E-2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947</v>
      </c>
      <c r="B56" s="363">
        <v>7.3883637197909122E-2</v>
      </c>
      <c r="C56" s="363">
        <v>8.0100188868556563E-2</v>
      </c>
      <c r="D56" s="363">
        <v>0.12701144854886312</v>
      </c>
      <c r="E56" s="363">
        <v>0.12750818336585298</v>
      </c>
      <c r="F56" s="363">
        <v>7.2215750362616224E-2</v>
      </c>
      <c r="G56" s="363">
        <v>7.1249526301048444E-2</v>
      </c>
      <c r="H56" s="153">
        <v>7.877198896851155E-2</v>
      </c>
      <c r="I56" s="363">
        <v>8.2557802290236001E-2</v>
      </c>
      <c r="J56" s="153">
        <v>8.2557802290236001E-2</v>
      </c>
      <c r="K56" s="363">
        <v>0.10182490311925643</v>
      </c>
      <c r="L56" s="363">
        <v>8.2999942108582206E-2</v>
      </c>
      <c r="M56" s="153">
        <v>9.0169822541142336E-2</v>
      </c>
      <c r="N56" s="153">
        <v>7.9565043606694363E-2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948</v>
      </c>
      <c r="B57" s="363">
        <v>8.8599999999999998E-2</v>
      </c>
      <c r="C57" s="1517">
        <v>9.6600000000000005E-2</v>
      </c>
      <c r="D57" s="363">
        <v>0.13469999999999999</v>
      </c>
      <c r="E57" s="363">
        <v>0.1212</v>
      </c>
      <c r="F57" s="363">
        <v>6.3600000000000004E-2</v>
      </c>
      <c r="G57" s="363">
        <v>6.3799999999999996E-2</v>
      </c>
      <c r="H57" s="153">
        <v>7.5399999999999995E-2</v>
      </c>
      <c r="I57" s="363">
        <v>8.8499999999999995E-2</v>
      </c>
      <c r="J57" s="153">
        <v>8.8499999999999995E-2</v>
      </c>
      <c r="K57" s="363">
        <v>8.6999999999999994E-2</v>
      </c>
      <c r="L57" s="363">
        <v>9.8500000000000004E-2</v>
      </c>
      <c r="M57" s="153">
        <v>9.4E-2</v>
      </c>
      <c r="N57" s="153">
        <v>7.7100000000000002E-2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946</v>
      </c>
      <c r="B60" s="1520">
        <v>8.2204144826903344E-2</v>
      </c>
      <c r="C60" s="364">
        <v>9.9428128417788433E-2</v>
      </c>
      <c r="D60" s="364">
        <v>0.1204467433181131</v>
      </c>
      <c r="E60" s="364">
        <v>0.13090510132727881</v>
      </c>
      <c r="F60" s="364">
        <v>7.4417614970899618E-2</v>
      </c>
      <c r="G60" s="1519">
        <v>7.8813570544953235E-2</v>
      </c>
      <c r="H60" s="153">
        <v>8.4642010910693108E-2</v>
      </c>
      <c r="I60" s="1518">
        <v>9.8504839228091751E-2</v>
      </c>
      <c r="J60" s="153">
        <v>9.8504839228091751E-2</v>
      </c>
      <c r="K60" s="1520">
        <v>9.5351889775765947E-2</v>
      </c>
      <c r="L60" s="1519">
        <v>8.670521442823137E-2</v>
      </c>
      <c r="M60" s="153">
        <v>9.0107324101836056E-2</v>
      </c>
      <c r="N60" s="153">
        <v>8.5541220637117221E-2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885</v>
      </c>
      <c r="B61" s="363">
        <v>8.5300000000000001E-2</v>
      </c>
      <c r="C61" s="363">
        <v>0.1074</v>
      </c>
      <c r="D61" s="363">
        <v>0.16020000000000001</v>
      </c>
      <c r="E61" s="363">
        <v>0.1215</v>
      </c>
      <c r="F61" s="363">
        <v>6.5600000000000006E-2</v>
      </c>
      <c r="G61" s="363">
        <v>6.8900000000000003E-2</v>
      </c>
      <c r="H61" s="153">
        <v>7.8200000000000006E-2</v>
      </c>
      <c r="I61" s="363">
        <v>9.7600000000000006E-2</v>
      </c>
      <c r="J61" s="153">
        <v>9.7600000000000006E-2</v>
      </c>
      <c r="K61" s="363">
        <v>9.4600000000000004E-2</v>
      </c>
      <c r="L61" s="363">
        <v>9.1300000000000006E-2</v>
      </c>
      <c r="M61" s="153">
        <v>9.2700000000000005E-2</v>
      </c>
      <c r="N61" s="153">
        <v>7.9799999999999996E-2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947</v>
      </c>
      <c r="B62" s="363">
        <v>7.6471882751855527E-2</v>
      </c>
      <c r="C62" s="363">
        <v>0.12453649692041639</v>
      </c>
      <c r="D62" s="363">
        <v>0.13670346608427125</v>
      </c>
      <c r="E62" s="363">
        <v>0.1283215064777489</v>
      </c>
      <c r="F62" s="363">
        <v>7.348336615279534E-2</v>
      </c>
      <c r="G62" s="363">
        <v>7.1338226300248608E-2</v>
      </c>
      <c r="H62" s="153">
        <v>8.0644352670682498E-2</v>
      </c>
      <c r="I62" s="363">
        <v>9.0018868914091013E-2</v>
      </c>
      <c r="J62" s="153">
        <v>9.0018868914091013E-2</v>
      </c>
      <c r="K62" s="363">
        <v>0.10290021883855494</v>
      </c>
      <c r="L62" s="363">
        <v>8.960208919037671E-2</v>
      </c>
      <c r="M62" s="153">
        <v>9.4875594570221725E-2</v>
      </c>
      <c r="N62" s="153">
        <v>8.1797379928034528E-2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948</v>
      </c>
      <c r="B63" s="363">
        <v>9.0499999999999997E-2</v>
      </c>
      <c r="C63" s="363">
        <v>0.14299999999999999</v>
      </c>
      <c r="D63" s="363">
        <v>0.1477</v>
      </c>
      <c r="E63" s="363">
        <v>0.122</v>
      </c>
      <c r="F63" s="363">
        <v>6.4399999999999999E-2</v>
      </c>
      <c r="G63" s="363">
        <v>6.3899999999999998E-2</v>
      </c>
      <c r="H63" s="153">
        <v>7.6899999999999996E-2</v>
      </c>
      <c r="I63" s="363">
        <v>9.4600000000000004E-2</v>
      </c>
      <c r="J63" s="153">
        <v>9.4600000000000004E-2</v>
      </c>
      <c r="K63" s="363">
        <v>8.7800000000000003E-2</v>
      </c>
      <c r="L63" s="363">
        <v>0.1099</v>
      </c>
      <c r="M63" s="153">
        <v>0.1007</v>
      </c>
      <c r="N63" s="153">
        <v>7.9100000000000004E-2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946</v>
      </c>
      <c r="B66" s="314">
        <v>2.2807972443572989E-3</v>
      </c>
      <c r="C66" s="314">
        <v>4.0020597359762588E-3</v>
      </c>
      <c r="D66" s="314">
        <v>4.7022996064612892E-3</v>
      </c>
      <c r="E66" s="314">
        <v>6.8287376448155981E-3</v>
      </c>
      <c r="F66" s="314">
        <v>6.5230051060894533E-3</v>
      </c>
      <c r="G66" s="314">
        <v>5.1344112957051984E-3</v>
      </c>
      <c r="H66" s="150">
        <v>4.9124333051533461E-3</v>
      </c>
      <c r="I66" s="314">
        <v>3.5213393111772844E-2</v>
      </c>
      <c r="J66" s="150">
        <v>3.5213393111772844E-2</v>
      </c>
      <c r="K66" s="314">
        <v>4.3517430006939093E-3</v>
      </c>
      <c r="L66" s="314">
        <v>8.2973679534602653E-4</v>
      </c>
      <c r="M66" s="150">
        <v>2.6427417620906884E-3</v>
      </c>
      <c r="N66" s="148">
        <v>5.523714518831194E-3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885</v>
      </c>
      <c r="B67" s="314">
        <v>1.5E-3</v>
      </c>
      <c r="C67" s="314">
        <v>4.8999999999999998E-3</v>
      </c>
      <c r="D67" s="314">
        <v>2.5999999999999999E-3</v>
      </c>
      <c r="E67" s="314">
        <v>4.4000000000000003E-3</v>
      </c>
      <c r="F67" s="314">
        <v>3.3999999999999998E-3</v>
      </c>
      <c r="G67" s="314">
        <v>2.3E-3</v>
      </c>
      <c r="H67" s="150">
        <v>2.5999999999999999E-3</v>
      </c>
      <c r="I67" s="314">
        <v>1.7999999999999999E-2</v>
      </c>
      <c r="J67" s="150">
        <v>1.7999999999999999E-2</v>
      </c>
      <c r="K67" s="314">
        <v>2.2000000000000001E-3</v>
      </c>
      <c r="L67" s="314">
        <v>8.0000000000000004E-4</v>
      </c>
      <c r="M67" s="150">
        <v>1.5E-3</v>
      </c>
      <c r="N67" s="148">
        <v>2.8E-3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947</v>
      </c>
      <c r="B68" s="314">
        <v>2.1957282675551353E-3</v>
      </c>
      <c r="C68" s="314">
        <v>4.1363189249723946E-3</v>
      </c>
      <c r="D68" s="314">
        <v>3.3556219815742113E-3</v>
      </c>
      <c r="E68" s="314">
        <v>5.6250540544860754E-3</v>
      </c>
      <c r="F68" s="314">
        <v>5.0482331121639579E-3</v>
      </c>
      <c r="G68" s="314">
        <v>3.9765227153369092E-3</v>
      </c>
      <c r="H68" s="153">
        <v>3.9288702731499585E-3</v>
      </c>
      <c r="I68" s="314">
        <v>3.0071443498115833E-2</v>
      </c>
      <c r="J68" s="153">
        <v>3.0071443498115833E-2</v>
      </c>
      <c r="K68" s="314">
        <v>2.6234945197760491E-3</v>
      </c>
      <c r="L68" s="314">
        <v>7.2694980450639017E-4</v>
      </c>
      <c r="M68" s="153">
        <v>1.6750619273024974E-3</v>
      </c>
      <c r="N68" s="153">
        <v>4.3786301479154426E-3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948</v>
      </c>
      <c r="B69" s="314">
        <v>1.1000000000000001E-3</v>
      </c>
      <c r="C69" s="314">
        <v>4.0000000000000001E-3</v>
      </c>
      <c r="D69" s="314">
        <v>2.5000000000000001E-3</v>
      </c>
      <c r="E69" s="314">
        <v>4.1000000000000003E-3</v>
      </c>
      <c r="F69" s="314">
        <v>3.3999999999999998E-3</v>
      </c>
      <c r="G69" s="314">
        <v>1.8E-3</v>
      </c>
      <c r="H69" s="153">
        <v>2.3E-3</v>
      </c>
      <c r="I69" s="314">
        <v>1.66E-2</v>
      </c>
      <c r="J69" s="153">
        <v>1.66E-2</v>
      </c>
      <c r="K69" s="314">
        <v>2.2000000000000001E-3</v>
      </c>
      <c r="L69" s="314">
        <v>1.1000000000000001E-3</v>
      </c>
      <c r="M69" s="153">
        <v>1.6000000000000001E-3</v>
      </c>
      <c r="N69" s="153">
        <v>2.5000000000000001E-3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946</v>
      </c>
      <c r="B74" s="314">
        <v>0.76461246797037163</v>
      </c>
      <c r="C74" s="314">
        <v>0.73567114445568416</v>
      </c>
      <c r="D74" s="314">
        <v>1.0632189982968676</v>
      </c>
      <c r="E74" s="314">
        <v>0.72323977246808535</v>
      </c>
      <c r="F74" s="314">
        <v>0.63385831424811179</v>
      </c>
      <c r="G74" s="314">
        <v>0.50145728494788233</v>
      </c>
      <c r="H74" s="150">
        <v>0.63557783688031477</v>
      </c>
      <c r="I74" s="314">
        <v>0.59524445964807271</v>
      </c>
      <c r="J74" s="150">
        <v>0.59524445964807271</v>
      </c>
      <c r="K74" s="314">
        <v>0.86856808731808732</v>
      </c>
      <c r="L74" s="314">
        <v>1.2783329063113844</v>
      </c>
      <c r="M74" s="150">
        <v>1.0641175431684486</v>
      </c>
      <c r="N74" s="148">
        <v>0.65579062329429605</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885</v>
      </c>
      <c r="B75" s="363">
        <v>0.72065367513294165</v>
      </c>
      <c r="C75" s="363">
        <v>0.80804926472183869</v>
      </c>
      <c r="D75" s="363">
        <v>0.81159846488939413</v>
      </c>
      <c r="E75" s="363">
        <v>0.74038838073018221</v>
      </c>
      <c r="F75" s="363">
        <v>0.69447483281007916</v>
      </c>
      <c r="G75" s="363">
        <v>0.51187653112799847</v>
      </c>
      <c r="H75" s="153">
        <v>0.64373257889123214</v>
      </c>
      <c r="I75" s="363">
        <v>0.55456068882276099</v>
      </c>
      <c r="J75" s="153">
        <v>0.55456068882276099</v>
      </c>
      <c r="K75" s="363">
        <v>0.91473078766576132</v>
      </c>
      <c r="L75" s="363">
        <v>1.6944996042381237</v>
      </c>
      <c r="M75" s="153">
        <v>1.3319093928069954</v>
      </c>
      <c r="N75" s="149">
        <v>0.67599561052760371</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947</v>
      </c>
      <c r="B76" s="314">
        <v>0.67652882073594045</v>
      </c>
      <c r="C76" s="363">
        <v>0.79589864636409424</v>
      </c>
      <c r="D76" s="363">
        <v>1.0056598916110797</v>
      </c>
      <c r="E76" s="314">
        <v>0.69663456643197907</v>
      </c>
      <c r="F76" s="314">
        <v>0.67956976107042855</v>
      </c>
      <c r="G76" s="314">
        <v>0.52684502673209954</v>
      </c>
      <c r="H76" s="148">
        <v>0.63928462223975702</v>
      </c>
      <c r="I76" s="314">
        <v>0.60762585179813555</v>
      </c>
      <c r="J76" s="149">
        <v>0.60762585179813555</v>
      </c>
      <c r="K76" s="314">
        <v>0.55416344381041338</v>
      </c>
      <c r="L76" s="314">
        <v>0.98115351294542041</v>
      </c>
      <c r="M76" s="149">
        <v>0.7277552434429897</v>
      </c>
      <c r="N76" s="148">
        <v>0.64429073601449083</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948</v>
      </c>
      <c r="B77" s="363">
        <v>0.66385530449447272</v>
      </c>
      <c r="C77" s="363">
        <v>0.65822892698892765</v>
      </c>
      <c r="D77" s="364">
        <v>0.91448382989541699</v>
      </c>
      <c r="E77" s="363">
        <v>0.70337629617176989</v>
      </c>
      <c r="F77" s="363">
        <v>0.65999555026417389</v>
      </c>
      <c r="G77" s="363">
        <v>0.55463786354578171</v>
      </c>
      <c r="H77" s="153">
        <v>0.63835830758934509</v>
      </c>
      <c r="I77" s="363">
        <v>0.51632219157233139</v>
      </c>
      <c r="J77" s="153">
        <v>0.51632219157233139</v>
      </c>
      <c r="K77" s="363">
        <v>0.93042418482010092</v>
      </c>
      <c r="L77" s="363">
        <v>0.84693373871595856</v>
      </c>
      <c r="M77" s="153">
        <v>0.88378525138417352</v>
      </c>
      <c r="N77" s="153">
        <v>0.6505758523215176</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946</v>
      </c>
      <c r="B80" s="1032">
        <v>2928.572767837627</v>
      </c>
      <c r="C80" s="1032">
        <v>1091.1039997394139</v>
      </c>
      <c r="D80" s="1032">
        <v>2431.6270966279062</v>
      </c>
      <c r="E80" s="1032">
        <v>2269.5372549019608</v>
      </c>
      <c r="F80" s="1032">
        <v>2351.2508350418293</v>
      </c>
      <c r="G80" s="1032">
        <v>3738.6765651086957</v>
      </c>
      <c r="H80" s="971">
        <v>2767.6872081885444</v>
      </c>
      <c r="I80" s="1032">
        <v>3579.6744823880595</v>
      </c>
      <c r="J80" s="379">
        <v>3579.6744823880595</v>
      </c>
      <c r="K80" s="1053">
        <v>9328.484848484848</v>
      </c>
      <c r="L80" s="1032">
        <v>3122.4</v>
      </c>
      <c r="M80" s="183">
        <v>4787.4471544715443</v>
      </c>
      <c r="N80" s="971">
        <v>2839.3044769042058</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885</v>
      </c>
      <c r="B81" s="1032">
        <v>2990.4</v>
      </c>
      <c r="C81" s="1032">
        <v>1131.95</v>
      </c>
      <c r="D81" s="1032">
        <v>2845.45</v>
      </c>
      <c r="E81" s="1032">
        <v>2013.25</v>
      </c>
      <c r="F81" s="1032">
        <v>2108.38</v>
      </c>
      <c r="G81" s="1032">
        <v>3595.32</v>
      </c>
      <c r="H81" s="971">
        <v>2646.42</v>
      </c>
      <c r="I81" s="1032">
        <v>4420.7</v>
      </c>
      <c r="J81" s="379">
        <v>4420.7</v>
      </c>
      <c r="K81" s="1053">
        <v>6766.49</v>
      </c>
      <c r="L81" s="1032">
        <v>3182.9</v>
      </c>
      <c r="M81" s="183">
        <v>4222.84</v>
      </c>
      <c r="N81" s="971">
        <v>2723.22</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947</v>
      </c>
      <c r="B82" s="1032">
        <v>2676.4013162245733</v>
      </c>
      <c r="C82" s="1032">
        <v>1069.7496281756758</v>
      </c>
      <c r="D82" s="1032">
        <v>1929.707924212677</v>
      </c>
      <c r="E82" s="1032">
        <v>2082.6867704280157</v>
      </c>
      <c r="F82" s="1032">
        <v>2154.8660453316106</v>
      </c>
      <c r="G82" s="1032">
        <v>3397.9238623496499</v>
      </c>
      <c r="H82" s="971">
        <v>2512.500441609096</v>
      </c>
      <c r="I82" s="1032">
        <v>3548.1153692063485</v>
      </c>
      <c r="J82" s="379">
        <v>3548.1153692063485</v>
      </c>
      <c r="K82" s="1053">
        <v>11746.457142857143</v>
      </c>
      <c r="L82" s="1032">
        <v>3129.3777777777777</v>
      </c>
      <c r="M82" s="183">
        <v>5542.16</v>
      </c>
      <c r="N82" s="971">
        <v>2619.9036556498581</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948</v>
      </c>
      <c r="B83" s="1507">
        <v>2699.7</v>
      </c>
      <c r="C83" s="1508">
        <v>1295.8900000000001</v>
      </c>
      <c r="D83" s="1508">
        <v>1787.18</v>
      </c>
      <c r="E83" s="1508">
        <v>1896.61</v>
      </c>
      <c r="F83" s="1508">
        <v>2059.84</v>
      </c>
      <c r="G83" s="1508">
        <v>3033.68</v>
      </c>
      <c r="H83" s="1030">
        <v>2359.7600000000002</v>
      </c>
      <c r="I83" s="1508">
        <v>3910.93</v>
      </c>
      <c r="J83" s="1509">
        <v>3910.93</v>
      </c>
      <c r="K83" s="1510">
        <v>6957.97</v>
      </c>
      <c r="L83" s="1508">
        <v>3710.37</v>
      </c>
      <c r="M83" s="1511">
        <v>4673.1000000000004</v>
      </c>
      <c r="N83" s="1030">
        <v>2457.61</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2.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10" sqref="B10"/>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934</v>
      </c>
      <c r="B10" s="363">
        <v>6.833493698775292E-2</v>
      </c>
      <c r="C10" s="363">
        <v>3.8863119571471115E-2</v>
      </c>
      <c r="D10" s="363">
        <v>5.5605232022362866E-2</v>
      </c>
      <c r="E10" s="363">
        <v>8.4706874452890504E-2</v>
      </c>
      <c r="F10" s="363">
        <v>7.302000093478006E-2</v>
      </c>
      <c r="G10" s="363">
        <v>9.2677361579369136E-2</v>
      </c>
      <c r="H10" s="150">
        <v>7.7904612134093359E-2</v>
      </c>
      <c r="I10" s="363">
        <v>8.6366240079533224E-2</v>
      </c>
      <c r="J10" s="150">
        <v>8.6366240079533224E-2</v>
      </c>
      <c r="K10" s="363">
        <v>5.7758755850720003E-2</v>
      </c>
      <c r="L10" s="363">
        <v>4.3262030124861899E-2</v>
      </c>
      <c r="M10" s="150">
        <v>5.084390333319419E-2</v>
      </c>
      <c r="N10" s="148">
        <v>7.6357407570585331E-2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884</v>
      </c>
      <c r="B11" s="314">
        <v>6.3061704281495462E-2</v>
      </c>
      <c r="C11" s="363">
        <v>7.1994264930183655E-2</v>
      </c>
      <c r="D11" s="363">
        <v>3.7951487304603577E-2</v>
      </c>
      <c r="E11" s="314">
        <v>8.4552727853309542E-2</v>
      </c>
      <c r="F11" s="314">
        <v>7.3563098542078972E-2</v>
      </c>
      <c r="G11" s="314">
        <v>8.8430520566546489E-2</v>
      </c>
      <c r="H11" s="148">
        <v>7.552922872221414E-2</v>
      </c>
      <c r="I11" s="314">
        <v>0.10472086951684068</v>
      </c>
      <c r="J11" s="148">
        <v>0.10472086951684068</v>
      </c>
      <c r="K11" s="314">
        <v>4.4559653645391252E-2</v>
      </c>
      <c r="L11" s="314">
        <v>4.4255872232356712E-2</v>
      </c>
      <c r="M11" s="148">
        <v>4.4401071881261592E-2</v>
      </c>
      <c r="N11" s="148">
        <v>7.4255460391256217E-2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934</v>
      </c>
      <c r="B14" s="363">
        <v>0.80028962152678507</v>
      </c>
      <c r="C14" s="363">
        <v>0.87248261195119647</v>
      </c>
      <c r="D14" s="363">
        <v>0.85068983909909357</v>
      </c>
      <c r="E14" s="363">
        <v>0.85612158821110151</v>
      </c>
      <c r="F14" s="363">
        <v>0.82565043212494527</v>
      </c>
      <c r="G14" s="363">
        <v>0.84034497951961751</v>
      </c>
      <c r="H14" s="150">
        <v>0.82762112778828334</v>
      </c>
      <c r="I14" s="363">
        <v>0.69891997264087236</v>
      </c>
      <c r="J14" s="150">
        <v>0.69891997264087236</v>
      </c>
      <c r="K14" s="363">
        <v>0.78011782041692679</v>
      </c>
      <c r="L14" s="363">
        <v>0.84016376147772731</v>
      </c>
      <c r="M14" s="150">
        <v>0.80875937952229549</v>
      </c>
      <c r="N14" s="148">
        <v>0.82270654188237591</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884</v>
      </c>
      <c r="B15" s="314">
        <v>0.82097931468806085</v>
      </c>
      <c r="C15" s="363">
        <v>0.8553362319750013</v>
      </c>
      <c r="D15" s="363">
        <v>0.87945242359923315</v>
      </c>
      <c r="E15" s="314">
        <v>0.84740735401513245</v>
      </c>
      <c r="F15" s="314">
        <v>0.81832087329158187</v>
      </c>
      <c r="G15" s="314">
        <v>0.8521191570565092</v>
      </c>
      <c r="H15" s="148">
        <v>0.83435756029461461</v>
      </c>
      <c r="I15" s="314">
        <v>0.66193029691349914</v>
      </c>
      <c r="J15" s="148">
        <v>0.66193029691349914</v>
      </c>
      <c r="K15" s="314">
        <v>0.78551545655783683</v>
      </c>
      <c r="L15" s="314">
        <v>0.8078899525479466</v>
      </c>
      <c r="M15" s="148">
        <v>0.79719552286005047</v>
      </c>
      <c r="N15" s="148">
        <v>0.82785351248968286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934</v>
      </c>
      <c r="B20" s="363">
        <v>2.9892626326198411E-2</v>
      </c>
      <c r="C20" s="363">
        <v>0.32612986204396305</v>
      </c>
      <c r="D20" s="363">
        <v>1.4612971405087473E-2</v>
      </c>
      <c r="E20" s="363">
        <v>7.9610169934597515E-3</v>
      </c>
      <c r="F20" s="363">
        <v>3.9304479799887444E-2</v>
      </c>
      <c r="G20" s="363">
        <v>3.3189606937650694E-3</v>
      </c>
      <c r="H20" s="150">
        <v>2.8446926424954597E-2</v>
      </c>
      <c r="I20" s="363">
        <v>0.10408606390790066</v>
      </c>
      <c r="J20" s="150">
        <v>0.10408606390790066</v>
      </c>
      <c r="K20" s="1414">
        <v>0</v>
      </c>
      <c r="L20" s="363">
        <v>6.5432659261207893E-2</v>
      </c>
      <c r="M20" s="150">
        <v>4.1732708568150235E-2</v>
      </c>
      <c r="N20" s="148">
        <v>3.2754164772496951E-2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884</v>
      </c>
      <c r="B21" s="314">
        <v>2.1136775959121737E-2</v>
      </c>
      <c r="C21" s="363">
        <v>0.33980200018249962</v>
      </c>
      <c r="D21" s="363">
        <v>0.14983205014280504</v>
      </c>
      <c r="E21" s="314">
        <v>6.88337422254502E-3</v>
      </c>
      <c r="F21" s="314">
        <v>8.4593524315222674E-3</v>
      </c>
      <c r="G21" s="314">
        <v>1.8448803603614149E-3</v>
      </c>
      <c r="H21" s="148">
        <v>2.0088749612556519E-2</v>
      </c>
      <c r="I21" s="314">
        <v>6.9668243389532911E-2</v>
      </c>
      <c r="J21" s="148">
        <v>6.9668243389532911E-2</v>
      </c>
      <c r="K21" s="1414">
        <v>0</v>
      </c>
      <c r="L21" s="314">
        <v>8.0917485047803717E-2</v>
      </c>
      <c r="M21" s="148">
        <v>5.8951118903664314E-2</v>
      </c>
      <c r="N21" s="148">
        <v>2.4348233211914871E-2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934</v>
      </c>
      <c r="B25" s="363">
        <v>0.71569251028947511</v>
      </c>
      <c r="C25" s="363">
        <v>0.88237344601231438</v>
      </c>
      <c r="D25" s="363">
        <v>0.80376253864102487</v>
      </c>
      <c r="E25" s="363">
        <v>0.79567843119244985</v>
      </c>
      <c r="F25" s="363">
        <v>0.6406890130840146</v>
      </c>
      <c r="G25" s="363">
        <v>2.192712402297941</v>
      </c>
      <c r="H25" s="150">
        <v>0.79133985627984282</v>
      </c>
      <c r="I25" s="363">
        <v>0.19866799788030845</v>
      </c>
      <c r="J25" s="150">
        <v>0.19866799788030845</v>
      </c>
      <c r="K25" s="1414">
        <v>0</v>
      </c>
      <c r="L25" s="363">
        <v>0.64673535953518835</v>
      </c>
      <c r="M25" s="150">
        <v>0.6608003216330659</v>
      </c>
      <c r="N25" s="150">
        <v>0.69334483374782641</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884</v>
      </c>
      <c r="B26" s="314">
        <v>0.68482401242595325</v>
      </c>
      <c r="C26" s="363">
        <v>0.68454088476317043</v>
      </c>
      <c r="D26" s="363">
        <v>7.0100516283443243E-2</v>
      </c>
      <c r="E26" s="314">
        <v>0.85436685231654319</v>
      </c>
      <c r="F26" s="314">
        <v>1.9124052382488508</v>
      </c>
      <c r="G26" s="314">
        <v>2.6709495600787991</v>
      </c>
      <c r="H26" s="148">
        <v>0.81131205936338668</v>
      </c>
      <c r="I26" s="314">
        <v>0.39655318884680313</v>
      </c>
      <c r="J26" s="148">
        <v>0.39655318884680313</v>
      </c>
      <c r="K26" s="374">
        <v>0</v>
      </c>
      <c r="L26" s="314">
        <v>0.45626990004703033</v>
      </c>
      <c r="M26" s="148">
        <v>0.51755396357166272</v>
      </c>
      <c r="N26" s="148">
        <v>0.72189271345479644</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934</v>
      </c>
      <c r="B30" s="363">
        <v>2.8997561164033774E-2</v>
      </c>
      <c r="C30" s="363">
        <v>0.43387749357918248</v>
      </c>
      <c r="D30" s="363">
        <v>2.4261419700000092E-2</v>
      </c>
      <c r="E30" s="363">
        <v>9.389710995712475E-3</v>
      </c>
      <c r="F30" s="363">
        <v>7.5931609701654329E-2</v>
      </c>
      <c r="G30" s="363">
        <v>-1.5927901560554729E-2</v>
      </c>
      <c r="H30" s="150">
        <v>2.7021421303586361E-2</v>
      </c>
      <c r="I30" s="363">
        <v>0.57107332704737568</v>
      </c>
      <c r="J30" s="150">
        <v>0.57107332704737568</v>
      </c>
      <c r="K30" s="363">
        <v>-5.9233164017696216E-3</v>
      </c>
      <c r="L30" s="363">
        <v>0.21778655494435206</v>
      </c>
      <c r="M30" s="150">
        <v>8.4872567026434143E-2</v>
      </c>
      <c r="N30" s="148">
        <v>4.7105492996127249E-2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884</v>
      </c>
      <c r="B31" s="363">
        <v>2.5466176311762241E-2</v>
      </c>
      <c r="C31" s="363">
        <v>0.78021680355315493</v>
      </c>
      <c r="D31" s="363">
        <v>1.3007106393281198</v>
      </c>
      <c r="E31" s="363">
        <v>5.4528975751277292E-3</v>
      </c>
      <c r="F31" s="363">
        <v>-4.2320293954818684E-2</v>
      </c>
      <c r="G31" s="363">
        <v>-1.3086362435766703E-2</v>
      </c>
      <c r="H31" s="153">
        <v>1.7837350846472498E-2</v>
      </c>
      <c r="I31" s="363">
        <v>0.24645520594133533</v>
      </c>
      <c r="J31" s="153">
        <v>0.24645520594133533</v>
      </c>
      <c r="K31" s="363">
        <v>1.0314827196158326E-2</v>
      </c>
      <c r="L31" s="363">
        <v>0.38991704140176769</v>
      </c>
      <c r="M31" s="153">
        <v>0.20782898624975543</v>
      </c>
      <c r="N31" s="153">
        <v>3.2799007361478713E-2</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935</v>
      </c>
      <c r="B35" s="314">
        <v>1.3322830045721107E-2</v>
      </c>
      <c r="C35" s="363">
        <v>-9.6662836636660799E-3</v>
      </c>
      <c r="D35" s="364">
        <v>1.1008860734992077E-3</v>
      </c>
      <c r="E35" s="314">
        <v>2.2954072583923239E-2</v>
      </c>
      <c r="F35" s="314">
        <v>1.0426833461705077E-2</v>
      </c>
      <c r="G35" s="314">
        <v>3.2768439475096084E-2</v>
      </c>
      <c r="H35" s="148">
        <v>1.8822586178623507E-2</v>
      </c>
      <c r="I35" s="314">
        <v>1.0366166897591005E-2</v>
      </c>
      <c r="J35" s="149">
        <v>1.0366166897591005E-2</v>
      </c>
      <c r="K35" s="314">
        <v>7.1396142486214051E-2</v>
      </c>
      <c r="L35" s="314">
        <v>-9.8421266683920584E-3</v>
      </c>
      <c r="M35" s="149">
        <v>3.1100497658420809E-2</v>
      </c>
      <c r="N35" s="148">
        <v>1.9375692763600651E-2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873</v>
      </c>
      <c r="B36" s="314">
        <v>1.2716704104397035E-2</v>
      </c>
      <c r="C36" s="363">
        <v>3.7362557727393414E-2</v>
      </c>
      <c r="D36" s="364">
        <v>-2.8733344606773206E-2</v>
      </c>
      <c r="E36" s="314">
        <v>2.147890300822905E-2</v>
      </c>
      <c r="F36" s="314">
        <v>1.4597072738131595E-2</v>
      </c>
      <c r="G36" s="314">
        <v>2.9674700359892288E-2</v>
      </c>
      <c r="H36" s="148">
        <v>1.9023387139234529E-2</v>
      </c>
      <c r="I36" s="314">
        <v>1.7412140634384291E-2</v>
      </c>
      <c r="J36" s="149">
        <v>1.7412140634384291E-2</v>
      </c>
      <c r="K36" s="314">
        <v>1.7481196493725199E-4</v>
      </c>
      <c r="L36" s="314">
        <v>8.4158385143777333E-3</v>
      </c>
      <c r="M36" s="149">
        <v>4.0331983678306453E-3</v>
      </c>
      <c r="N36" s="148">
        <v>1.7887615447555745E-2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936</v>
      </c>
      <c r="B37" s="314">
        <v>1.1278125579922227E-2</v>
      </c>
      <c r="C37" s="314">
        <v>-3.472205403363291E-3</v>
      </c>
      <c r="D37" s="314">
        <v>-7.4044165285873517E-4</v>
      </c>
      <c r="E37" s="314">
        <v>2.151012251588616E-2</v>
      </c>
      <c r="F37" s="314">
        <v>8.5907933374905782E-3</v>
      </c>
      <c r="G37" s="314">
        <v>2.7144061589946145E-2</v>
      </c>
      <c r="H37" s="153">
        <v>1.5823261976216741E-2</v>
      </c>
      <c r="I37" s="314">
        <v>1.1668548603281967E-2</v>
      </c>
      <c r="J37" s="153">
        <v>1.1668548603281967E-2</v>
      </c>
      <c r="K37" s="314">
        <v>2.9787217521914156E-2</v>
      </c>
      <c r="L37" s="314">
        <v>-2.2562479155719683E-4</v>
      </c>
      <c r="M37" s="153">
        <v>1.4823247060945328E-2</v>
      </c>
      <c r="N37" s="153">
        <v>1.5649113884682053E-2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937</v>
      </c>
      <c r="B38" s="314">
        <v>1.0970940171173067E-2</v>
      </c>
      <c r="C38" s="314">
        <v>1.9568066134870336E-2</v>
      </c>
      <c r="D38" s="314">
        <v>-2.6584986935804526E-3</v>
      </c>
      <c r="E38" s="314">
        <v>1.9947785471126685E-2</v>
      </c>
      <c r="F38" s="314">
        <v>1.0621252982166811E-2</v>
      </c>
      <c r="G38" s="314">
        <v>2.1751306932746059E-2</v>
      </c>
      <c r="H38" s="153">
        <v>1.4877681568161943E-2</v>
      </c>
      <c r="I38" s="314">
        <v>1.198543784270735E-2</v>
      </c>
      <c r="J38" s="153">
        <v>1.198543784270735E-2</v>
      </c>
      <c r="K38" s="314">
        <v>2.8551403191436103E-3</v>
      </c>
      <c r="L38" s="314">
        <v>2.3908334976044571E-2</v>
      </c>
      <c r="M38" s="153">
        <v>1.2876977156557917E-2</v>
      </c>
      <c r="N38" s="153">
        <v>1.4670389193682081E-2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935</v>
      </c>
      <c r="B41" s="314">
        <v>0.1996670519474108</v>
      </c>
      <c r="C41" s="363">
        <v>-0.23330870763270256</v>
      </c>
      <c r="D41" s="364">
        <v>1.9457655567696644E-2</v>
      </c>
      <c r="E41" s="314">
        <v>0.27969199063150002</v>
      </c>
      <c r="F41" s="314">
        <v>0.1437071661052999</v>
      </c>
      <c r="G41" s="314">
        <v>0.34396354641510785</v>
      </c>
      <c r="H41" s="148">
        <v>0.24056143589599274</v>
      </c>
      <c r="I41" s="314">
        <v>0.11698359039944044</v>
      </c>
      <c r="J41" s="149">
        <v>0.11698359039944044</v>
      </c>
      <c r="K41" s="314">
        <v>1.3181741837149543</v>
      </c>
      <c r="L41" s="314">
        <v>-0.22156931382387032</v>
      </c>
      <c r="M41" s="149">
        <v>0.63045440924192742</v>
      </c>
      <c r="N41" s="148">
        <v>0.25268642310890993</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873</v>
      </c>
      <c r="B42" s="314">
        <v>0.21057017032759659</v>
      </c>
      <c r="C42" s="363">
        <v>3.3431883705953833</v>
      </c>
      <c r="D42" s="364">
        <v>2.2417986558766372</v>
      </c>
      <c r="E42" s="314">
        <v>0.27297954640875882</v>
      </c>
      <c r="F42" s="314">
        <v>0.21715614584380744</v>
      </c>
      <c r="G42" s="314">
        <v>0.37062680678300614</v>
      </c>
      <c r="H42" s="148">
        <v>0.27919278010495158</v>
      </c>
      <c r="I42" s="314">
        <v>0.17284692080560576</v>
      </c>
      <c r="J42" s="149">
        <v>0.17284692080560576</v>
      </c>
      <c r="K42" s="314">
        <v>4.743206095898205E-3</v>
      </c>
      <c r="L42" s="314">
        <v>0.17375145147960327</v>
      </c>
      <c r="M42" s="149">
        <v>9.5398682841774385E-2</v>
      </c>
      <c r="N42" s="148">
        <v>0.26691335029575319</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936</v>
      </c>
      <c r="B43" s="314">
        <v>0.17164848608429381</v>
      </c>
      <c r="C43" s="314">
        <v>-6.4424607388750055E-2</v>
      </c>
      <c r="D43" s="314">
        <v>-1.5631736925679963E-2</v>
      </c>
      <c r="E43" s="314">
        <v>0.25415792307100715</v>
      </c>
      <c r="F43" s="314">
        <v>0.11722466452016433</v>
      </c>
      <c r="G43" s="314">
        <v>0.29969446598675892</v>
      </c>
      <c r="H43" s="153">
        <v>0.2062010618019755</v>
      </c>
      <c r="I43" s="314">
        <v>0.12337850642981678</v>
      </c>
      <c r="J43" s="153">
        <v>0.12337850642981678</v>
      </c>
      <c r="K43" s="314">
        <v>0.57586539358347977</v>
      </c>
      <c r="L43" s="314">
        <v>-5.1558473593332566E-3</v>
      </c>
      <c r="M43" s="153">
        <v>0.31040364284770122</v>
      </c>
      <c r="N43" s="153">
        <v>0.20774536741377933</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937</v>
      </c>
      <c r="B44" s="314">
        <v>0.18802179183277204</v>
      </c>
      <c r="C44" s="314">
        <v>1.9957515927859377</v>
      </c>
      <c r="D44" s="314">
        <v>0.16848816336974146</v>
      </c>
      <c r="E44" s="314">
        <v>0.25372822537864642</v>
      </c>
      <c r="F44" s="314">
        <v>0.15733949986866128</v>
      </c>
      <c r="G44" s="314">
        <v>0.26114113327706728</v>
      </c>
      <c r="H44" s="153">
        <v>0.21764765174181114</v>
      </c>
      <c r="I44" s="314">
        <v>0.12055145734662644</v>
      </c>
      <c r="J44" s="153">
        <v>0.12055145734662644</v>
      </c>
      <c r="K44" s="314">
        <v>7.2551183236401154E-2</v>
      </c>
      <c r="L44" s="314">
        <v>0.53965853289203292</v>
      </c>
      <c r="M44" s="153">
        <v>0.30873062814376095</v>
      </c>
      <c r="N44" s="153">
        <v>0.21793705731086702</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935</v>
      </c>
      <c r="B48" s="314">
        <v>0.93762965415584265</v>
      </c>
      <c r="C48" s="314">
        <v>0.91945332057157547</v>
      </c>
      <c r="D48" s="314">
        <v>0.9445528440501495</v>
      </c>
      <c r="E48" s="314">
        <v>0.92134107392186682</v>
      </c>
      <c r="F48" s="314">
        <v>0.87370336693932249</v>
      </c>
      <c r="G48" s="314">
        <v>0.83904192950741074</v>
      </c>
      <c r="H48" s="150">
        <v>0.88691213518927092</v>
      </c>
      <c r="I48" s="314">
        <v>0.61788198346527257</v>
      </c>
      <c r="J48" s="150">
        <v>0.61788198346527257</v>
      </c>
      <c r="K48" s="314">
        <v>0.93655422446406056</v>
      </c>
      <c r="L48" s="314">
        <v>0.98105416061423534</v>
      </c>
      <c r="M48" s="150">
        <v>0.96141628214343677</v>
      </c>
      <c r="N48" s="148">
        <v>0.87878575474097631</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873</v>
      </c>
      <c r="B49" s="363">
        <v>0.95971379162126691</v>
      </c>
      <c r="C49" s="363">
        <v>0.94032133116795336</v>
      </c>
      <c r="D49" s="363">
        <v>0.96466694968767497</v>
      </c>
      <c r="E49" s="363">
        <v>0.93151073423896091</v>
      </c>
      <c r="F49" s="363">
        <v>0.90427642109670336</v>
      </c>
      <c r="G49" s="363">
        <v>0.93700521303594053</v>
      </c>
      <c r="H49" s="153">
        <v>0.93321071250400656</v>
      </c>
      <c r="I49" s="363">
        <v>0.80488892811059409</v>
      </c>
      <c r="J49" s="153">
        <v>0.80488892811059409</v>
      </c>
      <c r="K49" s="363">
        <v>0.67072123105763182</v>
      </c>
      <c r="L49" s="363">
        <v>0.97616750487529513</v>
      </c>
      <c r="M49" s="153">
        <v>0.84122821522980051</v>
      </c>
      <c r="N49" s="149">
        <v>0.92129403169973634</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936</v>
      </c>
      <c r="B50" s="314">
        <v>0.93268116291683578</v>
      </c>
      <c r="C50" s="363">
        <v>0.91622340546704739</v>
      </c>
      <c r="D50" s="363">
        <v>0.9526710351923604</v>
      </c>
      <c r="E50" s="314">
        <v>0.92479547210776114</v>
      </c>
      <c r="F50" s="314">
        <v>0.889317575561553</v>
      </c>
      <c r="G50" s="314">
        <v>0.88888160333206911</v>
      </c>
      <c r="H50" s="148">
        <v>0.90626646338160255</v>
      </c>
      <c r="I50" s="314">
        <v>0.6489565671539016</v>
      </c>
      <c r="J50" s="149">
        <v>0.6489565671539016</v>
      </c>
      <c r="K50" s="314">
        <v>0.9354741430516591</v>
      </c>
      <c r="L50" s="314">
        <v>0.98254036628407859</v>
      </c>
      <c r="M50" s="149">
        <v>0.96221202158185359</v>
      </c>
      <c r="N50" s="148">
        <v>0.89793274546177404</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937</v>
      </c>
      <c r="B51" s="314">
        <v>0.96097012624668299</v>
      </c>
      <c r="C51" s="363">
        <v>0.94701782956260183</v>
      </c>
      <c r="D51" s="363">
        <v>0.95835284587354219</v>
      </c>
      <c r="E51" s="314">
        <v>0.94074161689041336</v>
      </c>
      <c r="F51" s="314">
        <v>0.90779867060257258</v>
      </c>
      <c r="G51" s="314">
        <v>0.94304688097613787</v>
      </c>
      <c r="H51" s="153">
        <v>0.93635635787080229</v>
      </c>
      <c r="I51" s="314">
        <v>0.7822448281078842</v>
      </c>
      <c r="J51" s="153">
        <v>0.7822448281078842</v>
      </c>
      <c r="K51" s="314">
        <v>0.92982353056387956</v>
      </c>
      <c r="L51" s="314">
        <v>0.9792441277969498</v>
      </c>
      <c r="M51" s="153">
        <v>0.96133426079056261</v>
      </c>
      <c r="N51" s="153">
        <v>0.93126139182930567</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935</v>
      </c>
      <c r="B54" s="314">
        <v>8.408650949685588E-2</v>
      </c>
      <c r="C54" s="314">
        <v>7.6887791440000533E-2</v>
      </c>
      <c r="D54" s="314">
        <v>0.11893182763615713</v>
      </c>
      <c r="E54" s="314">
        <v>0.13428888844822306</v>
      </c>
      <c r="F54" s="314">
        <v>8.0814318235450558E-2</v>
      </c>
      <c r="G54" s="314">
        <v>7.8903361976377359E-2</v>
      </c>
      <c r="H54" s="150">
        <v>8.6643807530963041E-2</v>
      </c>
      <c r="I54" s="314">
        <v>8.1180715457445499E-2</v>
      </c>
      <c r="J54" s="149">
        <v>8.1180715457445499E-2</v>
      </c>
      <c r="K54" s="314">
        <v>0.10406981271489854</v>
      </c>
      <c r="L54" s="314">
        <v>8.0136798544021476E-2</v>
      </c>
      <c r="M54" s="150">
        <v>8.9259032416828837E-2</v>
      </c>
      <c r="N54" s="148">
        <v>8.6542737515555163E-2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873</v>
      </c>
      <c r="B55" s="314">
        <v>7.9182120748056264E-2</v>
      </c>
      <c r="C55" s="314">
        <v>0.10687335628570079</v>
      </c>
      <c r="D55" s="314">
        <v>0.13640679319576371</v>
      </c>
      <c r="E55" s="314">
        <v>0.1198430349475515</v>
      </c>
      <c r="F55" s="314">
        <v>6.3757379189159302E-2</v>
      </c>
      <c r="G55" s="314">
        <v>7.1000107507773025E-2</v>
      </c>
      <c r="H55" s="150">
        <v>7.700394003565024E-2</v>
      </c>
      <c r="I55" s="314">
        <v>8.8997838462198831E-2</v>
      </c>
      <c r="J55" s="149">
        <v>8.8997838462198831E-2</v>
      </c>
      <c r="K55" s="314">
        <v>8.5194926413403288E-2</v>
      </c>
      <c r="L55" s="314">
        <v>8.4281427582189303E-2</v>
      </c>
      <c r="M55" s="150">
        <v>8.4659048631548189E-2</v>
      </c>
      <c r="N55" s="148">
        <v>7.8019957487713412E-2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936</v>
      </c>
      <c r="B56" s="363">
        <v>7.8053530969437443E-2</v>
      </c>
      <c r="C56" s="363">
        <v>8.3137849042391049E-2</v>
      </c>
      <c r="D56" s="363">
        <v>0.12630539126969625</v>
      </c>
      <c r="E56" s="363">
        <v>0.12333545580192416</v>
      </c>
      <c r="F56" s="363">
        <v>7.2088023065670886E-2</v>
      </c>
      <c r="G56" s="363">
        <v>7.2427377823372066E-2</v>
      </c>
      <c r="H56" s="153">
        <v>7.9724078319933653E-2</v>
      </c>
      <c r="I56" s="363">
        <v>8.0135744430139363E-2</v>
      </c>
      <c r="J56" s="153">
        <v>8.0135744430139363E-2</v>
      </c>
      <c r="K56" s="363">
        <v>0.10820286080122171</v>
      </c>
      <c r="L56" s="363">
        <v>8.1144579615052739E-2</v>
      </c>
      <c r="M56" s="153">
        <v>9.1035813047863456E-2</v>
      </c>
      <c r="N56" s="153">
        <v>8.0384131135286002E-2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937</v>
      </c>
      <c r="B57" s="363">
        <v>8.7874605482984425E-2</v>
      </c>
      <c r="C57" s="363">
        <v>9.5476019039599805E-2</v>
      </c>
      <c r="D57" s="363">
        <v>0.13581305876452454</v>
      </c>
      <c r="E57" s="363">
        <v>0.11951234381234001</v>
      </c>
      <c r="F57" s="363">
        <v>6.3820186277659147E-2</v>
      </c>
      <c r="G57" s="363">
        <v>6.5345166984043732E-2</v>
      </c>
      <c r="H57" s="153">
        <v>7.5986995532829657E-2</v>
      </c>
      <c r="I57" s="363">
        <v>8.6317657958669677E-2</v>
      </c>
      <c r="J57" s="153">
        <v>8.6317657958669677E-2</v>
      </c>
      <c r="K57" s="363">
        <v>7.9209646724925323E-2</v>
      </c>
      <c r="L57" s="363">
        <v>0.10308362308151582</v>
      </c>
      <c r="M57" s="153">
        <v>9.3266001359770187E-2</v>
      </c>
      <c r="N57" s="153">
        <v>7.7599349103133874E-2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935</v>
      </c>
      <c r="B60" s="363">
        <v>8.7786589121102779E-2</v>
      </c>
      <c r="C60" s="363">
        <v>0.11314333844997787</v>
      </c>
      <c r="D60" s="363">
        <v>0.12203034293170577</v>
      </c>
      <c r="E60" s="363">
        <v>0.13528535076855402</v>
      </c>
      <c r="F60" s="363">
        <v>8.5580922358929223E-2</v>
      </c>
      <c r="G60" s="363">
        <v>7.9167994691777072E-2</v>
      </c>
      <c r="H60" s="153">
        <v>8.9894605487539136E-2</v>
      </c>
      <c r="I60" s="363">
        <v>9.0434471993928539E-2</v>
      </c>
      <c r="J60" s="153">
        <v>9.0434471993928539E-2</v>
      </c>
      <c r="K60" s="363">
        <v>0.10406981271489854</v>
      </c>
      <c r="L60" s="363">
        <v>8.6040208275783472E-2</v>
      </c>
      <c r="M60" s="153">
        <v>9.3217046681262197E-2</v>
      </c>
      <c r="N60" s="153">
        <v>9.010941851009828E-2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873</v>
      </c>
      <c r="B61" s="363">
        <v>8.085597546139775E-2</v>
      </c>
      <c r="C61" s="363">
        <v>0.14901302678142064</v>
      </c>
      <c r="D61" s="363">
        <v>0.13769626732326221</v>
      </c>
      <c r="E61" s="363">
        <v>0.12075707126949385</v>
      </c>
      <c r="F61" s="363">
        <v>6.554405037741956E-2</v>
      </c>
      <c r="G61" s="363">
        <v>7.1169771913811047E-2</v>
      </c>
      <c r="H61" s="153">
        <v>7.8780120722262786E-2</v>
      </c>
      <c r="I61" s="363">
        <v>9.8807453034978607E-2</v>
      </c>
      <c r="J61" s="153">
        <v>9.8807453034978607E-2</v>
      </c>
      <c r="K61" s="363">
        <v>8.5194926413403288E-2</v>
      </c>
      <c r="L61" s="363">
        <v>9.2447057643414085E-2</v>
      </c>
      <c r="M61" s="153">
        <v>8.9285357273761523E-2</v>
      </c>
      <c r="N61" s="153">
        <v>8.0246637601007656E-2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936</v>
      </c>
      <c r="B62" s="363">
        <v>8.0092067486475696E-2</v>
      </c>
      <c r="C62" s="363">
        <v>0.12463179355409677</v>
      </c>
      <c r="D62" s="363">
        <v>0.13556686262138035</v>
      </c>
      <c r="E62" s="363">
        <v>0.12426249342425406</v>
      </c>
      <c r="F62" s="363">
        <v>7.3864729546115879E-2</v>
      </c>
      <c r="G62" s="363">
        <v>7.26151524656478E-2</v>
      </c>
      <c r="H62" s="153">
        <v>8.1712478113951562E-2</v>
      </c>
      <c r="I62" s="363">
        <v>8.7904156387731733E-2</v>
      </c>
      <c r="J62" s="153">
        <v>8.7904156387731733E-2</v>
      </c>
      <c r="K62" s="363">
        <v>0.10937145570453273</v>
      </c>
      <c r="L62" s="363">
        <v>8.7540004942988733E-2</v>
      </c>
      <c r="M62" s="153">
        <v>9.5853073477073822E-2</v>
      </c>
      <c r="N62" s="153">
        <v>8.2753325867353636E-2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937</v>
      </c>
      <c r="B63" s="363">
        <v>8.9960832647314956E-2</v>
      </c>
      <c r="C63" s="363">
        <v>0.13303030421182058</v>
      </c>
      <c r="D63" s="363">
        <v>0.13837364763043103</v>
      </c>
      <c r="E63" s="363">
        <v>0.12038596426827346</v>
      </c>
      <c r="F63" s="363">
        <v>6.5454441960630425E-2</v>
      </c>
      <c r="G63" s="363">
        <v>6.5509363054318454E-2</v>
      </c>
      <c r="H63" s="153">
        <v>7.7706510079673954E-2</v>
      </c>
      <c r="I63" s="363">
        <v>9.2731642773264511E-2</v>
      </c>
      <c r="J63" s="153">
        <v>9.2731642773264511E-2</v>
      </c>
      <c r="K63" s="363">
        <v>7.9209646724925323E-2</v>
      </c>
      <c r="L63" s="363">
        <v>0.1152545317956442</v>
      </c>
      <c r="M63" s="153">
        <v>9.9449215721645098E-2</v>
      </c>
      <c r="N63" s="153">
        <v>7.9738526124077155E-2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935</v>
      </c>
      <c r="B66" s="314">
        <v>2.2728750977015289E-3</v>
      </c>
      <c r="C66" s="314">
        <v>3.4625018131110514E-3</v>
      </c>
      <c r="D66" s="314">
        <v>3.3839093129849947E-3</v>
      </c>
      <c r="E66" s="314">
        <v>5.8000509041478019E-3</v>
      </c>
      <c r="F66" s="314">
        <v>5.6738633940289166E-3</v>
      </c>
      <c r="G66" s="314">
        <v>5.7489340485861497E-3</v>
      </c>
      <c r="H66" s="150">
        <v>4.7615049749920105E-3</v>
      </c>
      <c r="I66" s="314">
        <v>3.1695080579507401E-2</v>
      </c>
      <c r="J66" s="150">
        <v>3.1695080579507401E-2</v>
      </c>
      <c r="K66" s="314">
        <v>2.0790231087938157E-3</v>
      </c>
      <c r="L66" s="314">
        <v>7.5023139153440296E-4</v>
      </c>
      <c r="M66" s="150">
        <v>1.3991652201075977E-3</v>
      </c>
      <c r="N66" s="148">
        <v>5.173756600274939E-3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873</v>
      </c>
      <c r="B67" s="314">
        <v>1.2025246685935164E-3</v>
      </c>
      <c r="C67" s="314">
        <v>4.4223503872408924E-3</v>
      </c>
      <c r="D67" s="314">
        <v>1.9915695678406771E-3</v>
      </c>
      <c r="E67" s="314">
        <v>4.4596739694405E-3</v>
      </c>
      <c r="F67" s="314">
        <v>3.3824861610969505E-3</v>
      </c>
      <c r="G67" s="314">
        <v>1.970590645590894E-3</v>
      </c>
      <c r="H67" s="150">
        <v>2.3802016757242081E-3</v>
      </c>
      <c r="I67" s="314">
        <v>1.6900674698940781E-2</v>
      </c>
      <c r="J67" s="150">
        <v>1.6900674698940781E-2</v>
      </c>
      <c r="K67" s="314">
        <v>1.7885346027258068E-3</v>
      </c>
      <c r="L67" s="314">
        <v>9.7429356635817183E-4</v>
      </c>
      <c r="M67" s="150">
        <v>1.4210481489422835E-3</v>
      </c>
      <c r="N67" s="148">
        <v>2.5896194731955054E-3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936</v>
      </c>
      <c r="B68" s="314">
        <v>2.2294755292203779E-3</v>
      </c>
      <c r="C68" s="314">
        <v>3.9667722598538905E-3</v>
      </c>
      <c r="D68" s="314">
        <v>2.8849285130231844E-3</v>
      </c>
      <c r="E68" s="314">
        <v>5.282695940145357E-3</v>
      </c>
      <c r="F68" s="314">
        <v>4.5209887019068556E-3</v>
      </c>
      <c r="G68" s="314">
        <v>3.6899917675809264E-3</v>
      </c>
      <c r="H68" s="153">
        <v>3.6521560195065437E-3</v>
      </c>
      <c r="I68" s="314">
        <v>2.874101495266659E-2</v>
      </c>
      <c r="J68" s="153">
        <v>2.874101495266659E-2</v>
      </c>
      <c r="K68" s="314">
        <v>2.0605376687209301E-3</v>
      </c>
      <c r="L68" s="314">
        <v>7.0046793794768325E-4</v>
      </c>
      <c r="M68" s="153">
        <v>1.3649109049559602E-3</v>
      </c>
      <c r="N68" s="153">
        <v>4.0538728896159773E-3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937</v>
      </c>
      <c r="B69" s="314">
        <v>1.0498429889061534E-3</v>
      </c>
      <c r="C69" s="314">
        <v>3.5310052091721074E-3</v>
      </c>
      <c r="D69" s="314">
        <v>2.4223228609896209E-3</v>
      </c>
      <c r="E69" s="314">
        <v>3.7585387367797935E-3</v>
      </c>
      <c r="F69" s="314">
        <v>3.3552796768993739E-3</v>
      </c>
      <c r="G69" s="314">
        <v>1.6330829925971736E-3</v>
      </c>
      <c r="H69" s="153">
        <v>2.1631347035900327E-3</v>
      </c>
      <c r="I69" s="314">
        <v>1.6455805870331838E-2</v>
      </c>
      <c r="J69" s="153">
        <v>1.6455805870331838E-2</v>
      </c>
      <c r="K69" s="314">
        <v>1.8740389412922193E-3</v>
      </c>
      <c r="L69" s="314">
        <v>1.0859199190845512E-3</v>
      </c>
      <c r="M69" s="153">
        <v>1.5011474236307611E-3</v>
      </c>
      <c r="N69" s="153">
        <v>2.4179986256735076E-3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935</v>
      </c>
      <c r="B74" s="314">
        <v>0.59975269527086306</v>
      </c>
      <c r="C74" s="314">
        <v>0.88121941638140722</v>
      </c>
      <c r="D74" s="314">
        <v>1.0087220184853003</v>
      </c>
      <c r="E74" s="314">
        <v>0.65595767465940436</v>
      </c>
      <c r="F74" s="314">
        <v>0.66767869074771957</v>
      </c>
      <c r="G74" s="314">
        <v>0.50298101219678437</v>
      </c>
      <c r="H74" s="150">
        <v>0.60741902748247978</v>
      </c>
      <c r="I74" s="314">
        <v>0.62496010503932908</v>
      </c>
      <c r="J74" s="150">
        <v>0.62496010503932908</v>
      </c>
      <c r="K74" s="314">
        <v>0.31315363087347181</v>
      </c>
      <c r="L74" s="314">
        <v>0.93461899622990563</v>
      </c>
      <c r="M74" s="150">
        <v>0.49708805521910104</v>
      </c>
      <c r="N74" s="148">
        <v>0.59858172556673228</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873</v>
      </c>
      <c r="B75" s="363">
        <v>0.59869955088733473</v>
      </c>
      <c r="C75" s="363">
        <v>0.51265863121679089</v>
      </c>
      <c r="D75" s="363">
        <v>1.4168077403024997</v>
      </c>
      <c r="E75" s="363">
        <v>0.67879299538227356</v>
      </c>
      <c r="F75" s="363">
        <v>0.58393553081617844</v>
      </c>
      <c r="G75" s="363">
        <v>0.53073195466932188</v>
      </c>
      <c r="H75" s="153">
        <v>0.59552899313636087</v>
      </c>
      <c r="I75" s="363">
        <v>0.48340005914533596</v>
      </c>
      <c r="J75" s="153">
        <v>0.48340005914533596</v>
      </c>
      <c r="K75" s="363">
        <v>0.88661694186084272</v>
      </c>
      <c r="L75" s="363">
        <v>0.76316947909024213</v>
      </c>
      <c r="M75" s="153">
        <v>0.80618606322120545</v>
      </c>
      <c r="N75" s="149">
        <v>0.60294554732852379</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936</v>
      </c>
      <c r="B76" s="314">
        <v>0.64139625165596481</v>
      </c>
      <c r="C76" s="363">
        <v>0.81755388991229205</v>
      </c>
      <c r="D76" s="363">
        <v>0.98070967616853622</v>
      </c>
      <c r="E76" s="314">
        <v>0.68677885384728632</v>
      </c>
      <c r="F76" s="314">
        <v>0.69743340595260095</v>
      </c>
      <c r="G76" s="314">
        <v>0.5368729639483506</v>
      </c>
      <c r="H76" s="148">
        <v>0.6407396495605463</v>
      </c>
      <c r="I76" s="314">
        <v>0.61216442771237101</v>
      </c>
      <c r="J76" s="149">
        <v>0.61216442771237101</v>
      </c>
      <c r="K76" s="314">
        <v>0.48175457706648789</v>
      </c>
      <c r="L76" s="314">
        <v>0.88238800321680311</v>
      </c>
      <c r="M76" s="149">
        <v>0.63699051976332399</v>
      </c>
      <c r="N76" s="148">
        <v>0.63988124788396272</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937</v>
      </c>
      <c r="B77" s="363">
        <v>0.64088667548331735</v>
      </c>
      <c r="C77" s="363">
        <v>0.61749239383870469</v>
      </c>
      <c r="D77" s="364">
        <v>0.98251425098673228</v>
      </c>
      <c r="E77" s="363">
        <v>0.69004374385640854</v>
      </c>
      <c r="F77" s="363">
        <v>0.64786750474118515</v>
      </c>
      <c r="G77" s="363">
        <v>0.57279004880974083</v>
      </c>
      <c r="H77" s="153">
        <v>0.63622837926560394</v>
      </c>
      <c r="I77" s="363">
        <v>0.50126025585463874</v>
      </c>
      <c r="J77" s="153">
        <v>0.50126025585463874</v>
      </c>
      <c r="K77" s="363">
        <v>0.93537668780945271</v>
      </c>
      <c r="L77" s="363">
        <v>0.61055342550637082</v>
      </c>
      <c r="M77" s="153">
        <v>0.75166468073175863</v>
      </c>
      <c r="N77" s="153">
        <v>0.64067327660006612</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935</v>
      </c>
      <c r="B80" s="1032">
        <v>2709.8527120697859</v>
      </c>
      <c r="C80" s="1032">
        <v>975.68272976271192</v>
      </c>
      <c r="D80" s="1032">
        <v>1801.840831418956</v>
      </c>
      <c r="E80" s="1032">
        <v>2274.2419354838707</v>
      </c>
      <c r="F80" s="1032">
        <v>2237.2641633424164</v>
      </c>
      <c r="G80" s="1032">
        <v>3608.0478646407323</v>
      </c>
      <c r="H80" s="971">
        <v>2625.6278751157165</v>
      </c>
      <c r="I80" s="1032">
        <v>3220.0987825563925</v>
      </c>
      <c r="J80" s="379">
        <v>3220.0987825563925</v>
      </c>
      <c r="K80" s="1053">
        <v>18858.333333333332</v>
      </c>
      <c r="L80" s="1032">
        <v>3171.1555555555556</v>
      </c>
      <c r="M80" s="183">
        <v>7653.2063492063489</v>
      </c>
      <c r="N80" s="971">
        <v>2787.1366831503274</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873</v>
      </c>
      <c r="B81" s="1032">
        <v>2708.6184435345581</v>
      </c>
      <c r="C81" s="1032">
        <v>1757.2889783512542</v>
      </c>
      <c r="D81" s="1032">
        <v>1015.2739378794045</v>
      </c>
      <c r="E81" s="1032">
        <v>2017.4709677419355</v>
      </c>
      <c r="F81" s="1032">
        <v>2144.498655198141</v>
      </c>
      <c r="G81" s="1032">
        <v>3143.1670041727316</v>
      </c>
      <c r="H81" s="971">
        <v>2412.6886225629282</v>
      </c>
      <c r="I81" s="1032">
        <v>3978.1019354385962</v>
      </c>
      <c r="J81" s="379">
        <v>3978.1019354385962</v>
      </c>
      <c r="K81" s="1053">
        <v>8017.7894736842109</v>
      </c>
      <c r="L81" s="1032">
        <v>3277.1584699453551</v>
      </c>
      <c r="M81" s="183">
        <v>4668.2316602316605</v>
      </c>
      <c r="N81" s="971">
        <v>2510.4884128199205</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936</v>
      </c>
      <c r="B82" s="1032">
        <v>2612.6908763777774</v>
      </c>
      <c r="C82" s="1032">
        <v>1059.8573741069397</v>
      </c>
      <c r="D82" s="1032">
        <v>1790.4172241957867</v>
      </c>
      <c r="E82" s="1032">
        <v>2112.6031102096008</v>
      </c>
      <c r="F82" s="1032">
        <v>2082.2370153169427</v>
      </c>
      <c r="G82" s="1032">
        <v>3256.8472624590927</v>
      </c>
      <c r="H82" s="971">
        <v>2436.8829421656242</v>
      </c>
      <c r="I82" s="1032">
        <v>3461.8353583068783</v>
      </c>
      <c r="J82" s="379">
        <v>3461.8353583068783</v>
      </c>
      <c r="K82" s="1053">
        <v>12730.133333333333</v>
      </c>
      <c r="L82" s="1032">
        <v>3131.7037037037039</v>
      </c>
      <c r="M82" s="183">
        <v>5819.2640000000001</v>
      </c>
      <c r="N82" s="971">
        <v>2556.2485151379965</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937</v>
      </c>
      <c r="B83" s="1507">
        <v>2560.7894980108499</v>
      </c>
      <c r="C83" s="1508">
        <v>1372.9309844917254</v>
      </c>
      <c r="D83" s="1508">
        <v>1417.5949555418717</v>
      </c>
      <c r="E83" s="1508">
        <v>1918.7065527065527</v>
      </c>
      <c r="F83" s="1508">
        <v>2065.1166152970832</v>
      </c>
      <c r="G83" s="1508">
        <v>2828.6098853974358</v>
      </c>
      <c r="H83" s="1030">
        <v>2271.9095539388413</v>
      </c>
      <c r="I83" s="1508">
        <v>3806.6461286549711</v>
      </c>
      <c r="J83" s="1509">
        <v>3806.6461286549711</v>
      </c>
      <c r="K83" s="1510">
        <v>7051.8755555555554</v>
      </c>
      <c r="L83" s="1508">
        <v>3846.7039106145253</v>
      </c>
      <c r="M83" s="1511">
        <v>4793.1128608923882</v>
      </c>
      <c r="N83" s="1030">
        <v>2377.0069513974436</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3.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914</v>
      </c>
      <c r="B10" s="363">
        <v>6.5086213466009582E-2</v>
      </c>
      <c r="C10" s="363">
        <v>4.4185734457917347E-2</v>
      </c>
      <c r="D10" s="363">
        <v>5.7586176119218305E-2</v>
      </c>
      <c r="E10" s="363">
        <v>7.9416887473853434E-2</v>
      </c>
      <c r="F10" s="363">
        <v>7.208221332595692E-2</v>
      </c>
      <c r="G10" s="363">
        <v>9.7799832843537882E-2</v>
      </c>
      <c r="H10" s="150">
        <v>7.8586296778836523E-2</v>
      </c>
      <c r="I10" s="363">
        <v>9.1050125404171858E-2</v>
      </c>
      <c r="J10" s="150">
        <v>9.1050125404171858E-2</v>
      </c>
      <c r="K10" s="363">
        <v>4.9958485194651139E-2</v>
      </c>
      <c r="L10" s="363">
        <v>4.5575735651482346E-2</v>
      </c>
      <c r="M10" s="150">
        <v>4.7694452939094398E-2</v>
      </c>
      <c r="N10" s="148">
        <v>7.7004350496632401E-2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884</v>
      </c>
      <c r="B11" s="314">
        <v>6.3061704281495462E-2</v>
      </c>
      <c r="C11" s="363">
        <v>7.1994264930183655E-2</v>
      </c>
      <c r="D11" s="363">
        <v>3.7951487304603577E-2</v>
      </c>
      <c r="E11" s="314">
        <v>8.4552727853309542E-2</v>
      </c>
      <c r="F11" s="314">
        <v>7.3563098542078972E-2</v>
      </c>
      <c r="G11" s="314">
        <v>8.8430520566546489E-2</v>
      </c>
      <c r="H11" s="148">
        <v>7.552922872221414E-2</v>
      </c>
      <c r="I11" s="314">
        <v>0.10472086951684068</v>
      </c>
      <c r="J11" s="148">
        <v>0.10472086951684068</v>
      </c>
      <c r="K11" s="314">
        <v>4.4559653645391252E-2</v>
      </c>
      <c r="L11" s="314">
        <v>4.4255872232356712E-2</v>
      </c>
      <c r="M11" s="148">
        <v>4.4401071881261592E-2</v>
      </c>
      <c r="N11" s="148">
        <v>7.4255460391256217E-2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914</v>
      </c>
      <c r="B14" s="363">
        <v>0.80244387290377839</v>
      </c>
      <c r="C14" s="363">
        <v>0.86804106997588648</v>
      </c>
      <c r="D14" s="363">
        <v>0.85561750002104942</v>
      </c>
      <c r="E14" s="363">
        <v>0.86420423175052308</v>
      </c>
      <c r="F14" s="363">
        <v>0.82267390765855974</v>
      </c>
      <c r="G14" s="363">
        <v>0.86768851587498097</v>
      </c>
      <c r="H14" s="150">
        <v>0.83727892528756531</v>
      </c>
      <c r="I14" s="363">
        <v>0.69335729553496372</v>
      </c>
      <c r="J14" s="150">
        <v>0.69335729553496372</v>
      </c>
      <c r="K14" s="363">
        <v>0.80171359690101474</v>
      </c>
      <c r="L14" s="363">
        <v>0.84186030215835284</v>
      </c>
      <c r="M14" s="150">
        <v>0.82245250400982151</v>
      </c>
      <c r="N14" s="148">
        <v>0.83253310645518463</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884</v>
      </c>
      <c r="B15" s="314">
        <v>0.82097931468806085</v>
      </c>
      <c r="C15" s="363">
        <v>0.8553362319750013</v>
      </c>
      <c r="D15" s="363">
        <v>0.87945242359923315</v>
      </c>
      <c r="E15" s="314">
        <v>0.84740735401513245</v>
      </c>
      <c r="F15" s="314">
        <v>0.81832087329158187</v>
      </c>
      <c r="G15" s="314">
        <v>0.8521191570565092</v>
      </c>
      <c r="H15" s="148">
        <v>0.83435756029461461</v>
      </c>
      <c r="I15" s="314">
        <v>0.66193029691349914</v>
      </c>
      <c r="J15" s="148">
        <v>0.66193029691349914</v>
      </c>
      <c r="K15" s="314">
        <v>0.78551545655783683</v>
      </c>
      <c r="L15" s="314">
        <v>0.8078899525479466</v>
      </c>
      <c r="M15" s="148">
        <v>0.79719552286005047</v>
      </c>
      <c r="N15" s="148">
        <v>0.82785351248968286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914</v>
      </c>
      <c r="B20" s="363">
        <v>5.442506855539557E-2</v>
      </c>
      <c r="C20" s="363">
        <v>0.31478098996230286</v>
      </c>
      <c r="D20" s="363">
        <v>3.8401485515895908E-2</v>
      </c>
      <c r="E20" s="363">
        <v>6.7101166798296781E-3</v>
      </c>
      <c r="F20" s="363">
        <v>7.2111396314350013E-2</v>
      </c>
      <c r="G20" s="363">
        <v>3.3657073790817203E-3</v>
      </c>
      <c r="H20" s="150">
        <v>4.3918605717530888E-2</v>
      </c>
      <c r="I20" s="363">
        <v>0.10048908499405608</v>
      </c>
      <c r="J20" s="150">
        <v>0.10048908499405608</v>
      </c>
      <c r="K20" s="1414">
        <v>0</v>
      </c>
      <c r="L20" s="363">
        <v>7.1822238823744097E-2</v>
      </c>
      <c r="M20" s="150">
        <v>4.3152073315235129E-2</v>
      </c>
      <c r="N20" s="148">
        <v>4.6435050386389516E-2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884</v>
      </c>
      <c r="B21" s="314">
        <v>2.1136775959121737E-2</v>
      </c>
      <c r="C21" s="363">
        <v>0.33980200018249962</v>
      </c>
      <c r="D21" s="363">
        <v>0.14983205014280504</v>
      </c>
      <c r="E21" s="314">
        <v>6.88337422254502E-3</v>
      </c>
      <c r="F21" s="314">
        <v>8.4593524315222674E-3</v>
      </c>
      <c r="G21" s="314">
        <v>1.8448803603614149E-3</v>
      </c>
      <c r="H21" s="148">
        <v>2.0088749612556519E-2</v>
      </c>
      <c r="I21" s="314">
        <v>6.9668243389532911E-2</v>
      </c>
      <c r="J21" s="148">
        <v>6.9668243389532911E-2</v>
      </c>
      <c r="K21" s="1414">
        <v>0</v>
      </c>
      <c r="L21" s="314">
        <v>8.0917485047803717E-2</v>
      </c>
      <c r="M21" s="148">
        <v>5.8951118903664314E-2</v>
      </c>
      <c r="N21" s="148">
        <v>2.4348233211914871E-2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914</v>
      </c>
      <c r="B25" s="363">
        <v>0.42337038822520862</v>
      </c>
      <c r="C25" s="363">
        <v>0.88276095821598211</v>
      </c>
      <c r="D25" s="363">
        <v>0.35590136939867739</v>
      </c>
      <c r="E25" s="363">
        <v>0.76082066048771713</v>
      </c>
      <c r="F25" s="363">
        <v>0.28886829936273045</v>
      </c>
      <c r="G25" s="363">
        <v>1.8947149953163389</v>
      </c>
      <c r="H25" s="150">
        <v>0.47412794187084151</v>
      </c>
      <c r="I25" s="363">
        <v>0.20528726502377548</v>
      </c>
      <c r="J25" s="150">
        <v>0.20528726502377548</v>
      </c>
      <c r="K25" s="1414">
        <v>0</v>
      </c>
      <c r="L25" s="363">
        <v>0.50306561855116716</v>
      </c>
      <c r="M25" s="150">
        <v>0.783522002075555</v>
      </c>
      <c r="N25" s="150">
        <v>0.46485220722976817</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884</v>
      </c>
      <c r="B26" s="314">
        <v>0.68482401242595325</v>
      </c>
      <c r="C26" s="363">
        <v>0.68454088476317043</v>
      </c>
      <c r="D26" s="363">
        <v>7.0100516283443243E-2</v>
      </c>
      <c r="E26" s="314">
        <v>0.85436685231654319</v>
      </c>
      <c r="F26" s="314">
        <v>1.9124052382488508</v>
      </c>
      <c r="G26" s="314">
        <v>2.6709495600787991</v>
      </c>
      <c r="H26" s="148">
        <v>0.81131205936338668</v>
      </c>
      <c r="I26" s="314">
        <v>0.39655318884680313</v>
      </c>
      <c r="J26" s="148">
        <v>0.39655318884680313</v>
      </c>
      <c r="K26" s="374">
        <v>0</v>
      </c>
      <c r="L26" s="314">
        <v>0.45626990004703033</v>
      </c>
      <c r="M26" s="148">
        <v>0.51755396357166272</v>
      </c>
      <c r="N26" s="148">
        <v>0.72189271345479644</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914</v>
      </c>
      <c r="B30" s="363">
        <v>0.11427944531677703</v>
      </c>
      <c r="C30" s="363">
        <v>0.39601902281196266</v>
      </c>
      <c r="D30" s="363">
        <v>0.17330211422429537</v>
      </c>
      <c r="E30" s="363">
        <v>9.0243433188850284E-3</v>
      </c>
      <c r="F30" s="363">
        <v>0.28495418752473411</v>
      </c>
      <c r="G30" s="363">
        <v>-1.1558919762307654E-2</v>
      </c>
      <c r="H30" s="150">
        <v>0.10431820963109567</v>
      </c>
      <c r="I30" s="363">
        <v>0.53973159612117627</v>
      </c>
      <c r="J30" s="150">
        <v>0.53973159612117627</v>
      </c>
      <c r="K30" s="363">
        <v>-0.1735915505956446</v>
      </c>
      <c r="L30" s="363">
        <v>0.31552100216610873</v>
      </c>
      <c r="M30" s="150">
        <v>6.7849204880446989E-2</v>
      </c>
      <c r="N30" s="148">
        <v>0.11661073969908937</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884</v>
      </c>
      <c r="B31" s="363">
        <v>2.5466176311762241E-2</v>
      </c>
      <c r="C31" s="363">
        <v>0.78021680355315493</v>
      </c>
      <c r="D31" s="363">
        <v>1.3007106393281198</v>
      </c>
      <c r="E31" s="363">
        <v>5.4528975751277292E-3</v>
      </c>
      <c r="F31" s="363">
        <v>-4.2320293954818684E-2</v>
      </c>
      <c r="G31" s="363">
        <v>-1.3086362435766703E-2</v>
      </c>
      <c r="H31" s="153">
        <v>1.7837350846472498E-2</v>
      </c>
      <c r="I31" s="363">
        <v>0.24645520594133533</v>
      </c>
      <c r="J31" s="153">
        <v>0.24645520594133533</v>
      </c>
      <c r="K31" s="363">
        <v>1.0314827196158326E-2</v>
      </c>
      <c r="L31" s="363">
        <v>0.38991704140176769</v>
      </c>
      <c r="M31" s="153">
        <v>0.20782898624975543</v>
      </c>
      <c r="N31" s="153">
        <v>3.2799007361478713E-2</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915</v>
      </c>
      <c r="B35" s="314">
        <v>9.550026160036789E-3</v>
      </c>
      <c r="C35" s="363">
        <v>-9.3715104071115402E-3</v>
      </c>
      <c r="D35" s="364">
        <v>-1.047850009389995E-2</v>
      </c>
      <c r="E35" s="314">
        <v>1.9428263599632369E-2</v>
      </c>
      <c r="F35" s="314">
        <v>6.9249591431309E-3</v>
      </c>
      <c r="G35" s="314">
        <v>2.906011203983928E-2</v>
      </c>
      <c r="H35" s="148">
        <v>1.5072541408737011E-2</v>
      </c>
      <c r="I35" s="314">
        <v>1.4940139508983591E-2</v>
      </c>
      <c r="J35" s="149">
        <v>1.4940139508983591E-2</v>
      </c>
      <c r="K35" s="314">
        <v>2.58578103666161E-3</v>
      </c>
      <c r="L35" s="314">
        <v>6.3402001465816217E-3</v>
      </c>
      <c r="M35" s="149">
        <v>4.5751766855141032E-3</v>
      </c>
      <c r="N35" s="148">
        <v>1.440365359604406E-2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865</v>
      </c>
      <c r="B36" s="314">
        <v>0.01</v>
      </c>
      <c r="C36" s="363">
        <v>9.7000000000000003E-3</v>
      </c>
      <c r="D36" s="363">
        <v>2.2599999999999999E-2</v>
      </c>
      <c r="E36" s="314">
        <v>1.9400000000000001E-2</v>
      </c>
      <c r="F36" s="314">
        <v>8.3000000000000001E-3</v>
      </c>
      <c r="G36" s="314">
        <v>1.9400000000000001E-2</v>
      </c>
      <c r="H36" s="148">
        <v>1.3299999999999999E-2</v>
      </c>
      <c r="I36" s="314">
        <v>1.2699999999999999E-2</v>
      </c>
      <c r="J36" s="149">
        <v>1.2699999999999999E-2</v>
      </c>
      <c r="K36" s="314">
        <v>2.7000000000000001E-3</v>
      </c>
      <c r="L36" s="314">
        <v>3.6299999999999999E-2</v>
      </c>
      <c r="M36" s="149">
        <v>1.8599999999999998E-2</v>
      </c>
      <c r="N36" s="148">
        <v>1.37E-2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916</v>
      </c>
      <c r="B37" s="314">
        <v>1.0392318600126956E-2</v>
      </c>
      <c r="C37" s="314">
        <v>-1.1049232563235361E-4</v>
      </c>
      <c r="D37" s="314">
        <v>-1.7190810050276254E-3</v>
      </c>
      <c r="E37" s="314">
        <v>2.0416866742206986E-2</v>
      </c>
      <c r="F37" s="314">
        <v>7.6839800594012209E-3</v>
      </c>
      <c r="G37" s="314">
        <v>2.3732268852096464E-2</v>
      </c>
      <c r="H37" s="153">
        <v>1.4237955481915303E-2</v>
      </c>
      <c r="I37" s="314">
        <v>1.2544878255944603E-2</v>
      </c>
      <c r="J37" s="153">
        <v>1.2544878255944603E-2</v>
      </c>
      <c r="K37" s="314">
        <v>9.4662016967930456E-3</v>
      </c>
      <c r="L37" s="314">
        <v>4.563175784588311E-3</v>
      </c>
      <c r="M37" s="153">
        <v>6.9200807309481157E-3</v>
      </c>
      <c r="N37" s="153">
        <v>1.3736288290721512E-2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917</v>
      </c>
      <c r="B38" s="314">
        <v>9.9000000000000008E-3</v>
      </c>
      <c r="C38" s="363">
        <v>1.0500000000000001E-2</v>
      </c>
      <c r="D38" s="363">
        <v>1.15E-2</v>
      </c>
      <c r="E38" s="314">
        <v>1.9800000000000002E-2</v>
      </c>
      <c r="F38" s="314">
        <v>8.3999999999999995E-3</v>
      </c>
      <c r="G38" s="314">
        <v>1.7500000000000002E-2</v>
      </c>
      <c r="H38" s="148">
        <v>1.2699999999999999E-2</v>
      </c>
      <c r="I38" s="314">
        <v>9.5999999999999992E-3</v>
      </c>
      <c r="J38" s="149">
        <v>9.5999999999999992E-3</v>
      </c>
      <c r="K38" s="314">
        <v>4.1000000000000003E-3</v>
      </c>
      <c r="L38" s="314">
        <v>3.2500000000000001E-2</v>
      </c>
      <c r="M38" s="149">
        <v>1.72E-2</v>
      </c>
      <c r="N38" s="148">
        <v>1.29E-2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915</v>
      </c>
      <c r="B41" s="314">
        <v>0.14400119978241888</v>
      </c>
      <c r="C41" s="363">
        <v>-0.16528537797747711</v>
      </c>
      <c r="D41" s="364">
        <v>-0.21895151492264497</v>
      </c>
      <c r="E41" s="314">
        <v>0.23374718621826626</v>
      </c>
      <c r="F41" s="314">
        <v>9.3321314076752426E-2</v>
      </c>
      <c r="G41" s="314">
        <v>0.30152666612404816</v>
      </c>
      <c r="H41" s="148">
        <v>0.19040952476323533</v>
      </c>
      <c r="I41" s="314">
        <v>0.15034044954381628</v>
      </c>
      <c r="J41" s="149">
        <v>0.15034044954381628</v>
      </c>
      <c r="K41" s="314">
        <v>5.2643480620505632E-2</v>
      </c>
      <c r="L41" s="314">
        <v>0.14411292835343134</v>
      </c>
      <c r="M41" s="149">
        <v>9.7769197646319708E-2</v>
      </c>
      <c r="N41" s="148">
        <v>0.18559614577682676</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865</v>
      </c>
      <c r="B42" s="314">
        <v>0.19170000000000001</v>
      </c>
      <c r="C42" s="363">
        <v>1.4350000000000001</v>
      </c>
      <c r="D42" s="363">
        <v>-0.34510000000000002</v>
      </c>
      <c r="E42" s="314">
        <v>0.24110000000000001</v>
      </c>
      <c r="F42" s="314">
        <v>0.12640000000000001</v>
      </c>
      <c r="G42" s="314">
        <v>0.23250000000000001</v>
      </c>
      <c r="H42" s="148">
        <v>0.20530000000000001</v>
      </c>
      <c r="I42" s="314">
        <v>0.13339999999999999</v>
      </c>
      <c r="J42" s="149">
        <v>0.13339999999999999</v>
      </c>
      <c r="K42" s="314">
        <v>6.9099999999999995E-2</v>
      </c>
      <c r="L42" s="314">
        <v>0.73899999999999999</v>
      </c>
      <c r="M42" s="149">
        <v>0.42149999999999999</v>
      </c>
      <c r="N42" s="148">
        <v>0.21260000000000001</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916</v>
      </c>
      <c r="B43" s="314">
        <v>0.16220939222624989</v>
      </c>
      <c r="C43" s="314">
        <v>-1.9287445616628198E-3</v>
      </c>
      <c r="D43" s="314">
        <v>-3.5624882513477868E-2</v>
      </c>
      <c r="E43" s="314">
        <v>0.24932516566962185</v>
      </c>
      <c r="F43" s="314">
        <v>0.10553131359326963</v>
      </c>
      <c r="G43" s="314">
        <v>0.25461542794634479</v>
      </c>
      <c r="H43" s="153">
        <v>0.18471908147516319</v>
      </c>
      <c r="I43" s="314">
        <v>0.12874114169093442</v>
      </c>
      <c r="J43" s="153">
        <v>0.12874114169093442</v>
      </c>
      <c r="K43" s="314">
        <v>0.20021388019563746</v>
      </c>
      <c r="L43" s="314">
        <v>0.10159845832024336</v>
      </c>
      <c r="M43" s="153">
        <v>0.15026839386683535</v>
      </c>
      <c r="N43" s="153">
        <v>0.18157746446154233</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917</v>
      </c>
      <c r="B44" s="314">
        <v>0.1807</v>
      </c>
      <c r="C44" s="363">
        <v>2.0710000000000002</v>
      </c>
      <c r="D44" s="363">
        <v>-0.1772</v>
      </c>
      <c r="E44" s="314">
        <v>0.25019999999999998</v>
      </c>
      <c r="F44" s="314">
        <v>0.12859999999999999</v>
      </c>
      <c r="G44" s="314">
        <v>0.2203</v>
      </c>
      <c r="H44" s="148">
        <v>0.19639999999999999</v>
      </c>
      <c r="I44" s="314">
        <v>9.7699999999999995E-2</v>
      </c>
      <c r="J44" s="149">
        <v>9.7699999999999995E-2</v>
      </c>
      <c r="K44" s="314">
        <v>0.10580000000000001</v>
      </c>
      <c r="L44" s="314">
        <v>0.7056</v>
      </c>
      <c r="M44" s="149">
        <v>0.40860000000000002</v>
      </c>
      <c r="N44" s="148">
        <v>0.2021</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915</v>
      </c>
      <c r="B48" s="314">
        <v>0.92751818796918872</v>
      </c>
      <c r="C48" s="314">
        <v>0.88494060756366844</v>
      </c>
      <c r="D48" s="314">
        <v>0.95583430935318314</v>
      </c>
      <c r="E48" s="314">
        <v>0.9250555286068064</v>
      </c>
      <c r="F48" s="314">
        <v>0.89146980843626478</v>
      </c>
      <c r="G48" s="314">
        <v>0.9176759708156087</v>
      </c>
      <c r="H48" s="150">
        <v>0.91352870191210522</v>
      </c>
      <c r="I48" s="314">
        <v>0.65439218965022905</v>
      </c>
      <c r="J48" s="150">
        <v>0.65439218965022905</v>
      </c>
      <c r="K48" s="314">
        <v>0.95262547622991556</v>
      </c>
      <c r="L48" s="314">
        <v>0.98426486441661831</v>
      </c>
      <c r="M48" s="150">
        <v>0.97069549361812968</v>
      </c>
      <c r="N48" s="148">
        <v>0.90440152824944875</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865</v>
      </c>
      <c r="B49" s="363">
        <v>0.96760393016357271</v>
      </c>
      <c r="C49" s="363">
        <v>0.94334587345300358</v>
      </c>
      <c r="D49" s="363">
        <v>0.95590157605296855</v>
      </c>
      <c r="E49" s="363">
        <v>0.94735141881722407</v>
      </c>
      <c r="F49" s="363">
        <v>0.91157025484923038</v>
      </c>
      <c r="G49" s="363">
        <v>0.94222534695135274</v>
      </c>
      <c r="H49" s="153">
        <v>0.93914275841536676</v>
      </c>
      <c r="I49" s="363">
        <v>0.75964648922632727</v>
      </c>
      <c r="J49" s="153">
        <v>0.75964648922632727</v>
      </c>
      <c r="K49" s="363">
        <v>0.93223232947687595</v>
      </c>
      <c r="L49" s="363">
        <v>0.98178761140952575</v>
      </c>
      <c r="M49" s="153">
        <v>0.96514983790622277</v>
      </c>
      <c r="N49" s="149">
        <v>0.93318813096366204</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916</v>
      </c>
      <c r="B50" s="314">
        <v>0.92989479372969475</v>
      </c>
      <c r="C50" s="363">
        <v>0.91469268709985141</v>
      </c>
      <c r="D50" s="363">
        <v>0.95695679946751744</v>
      </c>
      <c r="E50" s="314">
        <v>0.92679385468648834</v>
      </c>
      <c r="F50" s="314">
        <v>0.89859160786094627</v>
      </c>
      <c r="G50" s="314">
        <v>0.91804973755743502</v>
      </c>
      <c r="H50" s="148">
        <v>0.9174321777303901</v>
      </c>
      <c r="I50" s="314">
        <v>0.66688927558936717</v>
      </c>
      <c r="J50" s="149">
        <v>0.66688927558936717</v>
      </c>
      <c r="K50" s="314">
        <v>0.93489805927275271</v>
      </c>
      <c r="L50" s="314">
        <v>0.98328842096467595</v>
      </c>
      <c r="M50" s="149">
        <v>0.96262275069267</v>
      </c>
      <c r="N50" s="148">
        <v>0.90890975728529966</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917</v>
      </c>
      <c r="B51" s="314">
        <v>0.96170655263355276</v>
      </c>
      <c r="C51" s="363">
        <v>0.95115750496171458</v>
      </c>
      <c r="D51" s="363">
        <v>0.95523885083867754</v>
      </c>
      <c r="E51" s="314">
        <v>0.94565890653090201</v>
      </c>
      <c r="F51" s="314">
        <v>0.90947158285701823</v>
      </c>
      <c r="G51" s="314">
        <v>0.94632979183682631</v>
      </c>
      <c r="H51" s="153">
        <v>0.93801920048161302</v>
      </c>
      <c r="I51" s="314">
        <v>0.77008050337409928</v>
      </c>
      <c r="J51" s="153">
        <v>0.77008050337409928</v>
      </c>
      <c r="K51" s="314">
        <v>0.92924200009279734</v>
      </c>
      <c r="L51" s="314">
        <v>0.98038871281835882</v>
      </c>
      <c r="M51" s="153">
        <v>0.96348196848702983</v>
      </c>
      <c r="N51" s="153">
        <v>0.93251778045300759</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915</v>
      </c>
      <c r="B54" s="314">
        <v>7.507806082782871E-2</v>
      </c>
      <c r="C54" s="314">
        <v>7.3741853225727585E-2</v>
      </c>
      <c r="D54" s="314">
        <v>0.12037614990826055</v>
      </c>
      <c r="E54" s="314">
        <v>0.12311582048763477</v>
      </c>
      <c r="F54" s="314">
        <v>6.5555331115223617E-2</v>
      </c>
      <c r="G54" s="314">
        <v>6.7571278717737965E-2</v>
      </c>
      <c r="H54" s="150">
        <v>7.4596155555784305E-2</v>
      </c>
      <c r="I54" s="314">
        <v>8.248622996883509E-2</v>
      </c>
      <c r="J54" s="149">
        <v>8.248622996883509E-2</v>
      </c>
      <c r="K54" s="314">
        <v>8.7878750989104637E-2</v>
      </c>
      <c r="L54" s="314">
        <v>8.2001357489868421E-2</v>
      </c>
      <c r="M54" s="150">
        <v>8.4438572942280521E-2</v>
      </c>
      <c r="N54" s="148">
        <v>7.5542036714224242E-2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865</v>
      </c>
      <c r="B55" s="363">
        <v>0.08</v>
      </c>
      <c r="C55" s="363">
        <v>8.1699999999999995E-2</v>
      </c>
      <c r="D55" s="363">
        <v>0.1358</v>
      </c>
      <c r="E55" s="363">
        <v>0.1168</v>
      </c>
      <c r="F55" s="363">
        <v>6.4899999999999999E-2</v>
      </c>
      <c r="G55" s="363">
        <v>6.3E-2</v>
      </c>
      <c r="H55" s="153">
        <v>7.3800000000000004E-2</v>
      </c>
      <c r="I55" s="363">
        <v>8.4199999999999997E-2</v>
      </c>
      <c r="J55" s="153">
        <v>8.4199999999999997E-2</v>
      </c>
      <c r="K55" s="363">
        <v>7.9100000000000004E-2</v>
      </c>
      <c r="L55" s="363">
        <v>0.11749999999999999</v>
      </c>
      <c r="M55" s="153">
        <v>0.1019</v>
      </c>
      <c r="N55" s="149">
        <v>7.6100000000000001E-2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916</v>
      </c>
      <c r="B56" s="363">
        <v>7.5732355956002695E-2</v>
      </c>
      <c r="C56" s="363">
        <v>8.5713009561195708E-2</v>
      </c>
      <c r="D56" s="363">
        <v>0.13820232406247224</v>
      </c>
      <c r="E56" s="363">
        <v>0.12241812321290707</v>
      </c>
      <c r="F56" s="363">
        <v>6.734761526219836E-2</v>
      </c>
      <c r="G56" s="363">
        <v>6.7396407377519313E-2</v>
      </c>
      <c r="H56" s="153">
        <v>7.5896465337006627E-2</v>
      </c>
      <c r="I56" s="363">
        <v>7.8765807444999253E-2</v>
      </c>
      <c r="J56" s="153">
        <v>7.8765807444999253E-2</v>
      </c>
      <c r="K56" s="363">
        <v>9.8290590891162349E-2</v>
      </c>
      <c r="L56" s="363">
        <v>8.1624437813718934E-2</v>
      </c>
      <c r="M56" s="153">
        <v>8.8034308698373795E-2</v>
      </c>
      <c r="N56" s="153">
        <v>7.672845239347538E-2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917</v>
      </c>
      <c r="B57" s="314">
        <v>8.9300000000000004E-2</v>
      </c>
      <c r="C57" s="363">
        <v>9.2999999999999999E-2</v>
      </c>
      <c r="D57" s="363">
        <v>0.1348</v>
      </c>
      <c r="E57" s="314">
        <v>0.1195</v>
      </c>
      <c r="F57" s="314">
        <v>6.5000000000000002E-2</v>
      </c>
      <c r="G57" s="314">
        <v>6.2700000000000006E-2</v>
      </c>
      <c r="H57" s="148">
        <v>7.5600000000000001E-2</v>
      </c>
      <c r="I57" s="314">
        <v>8.3400000000000002E-2</v>
      </c>
      <c r="J57" s="149">
        <v>8.3400000000000002E-2</v>
      </c>
      <c r="K57" s="314">
        <v>7.4099999999999999E-2</v>
      </c>
      <c r="L57" s="314">
        <v>0.1137</v>
      </c>
      <c r="M57" s="149">
        <v>9.7100000000000006E-2</v>
      </c>
      <c r="N57" s="148">
        <v>7.7399999999999997E-2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915</v>
      </c>
      <c r="B60" s="363">
        <v>7.9421837421353073E-2</v>
      </c>
      <c r="C60" s="363">
        <v>0.10387979225175298</v>
      </c>
      <c r="D60" s="363">
        <v>0.12690400224063481</v>
      </c>
      <c r="E60" s="363">
        <v>0.1238550402818438</v>
      </c>
      <c r="F60" s="363">
        <v>7.0112005922109477E-2</v>
      </c>
      <c r="G60" s="363">
        <v>6.7777599960537505E-2</v>
      </c>
      <c r="H60" s="153">
        <v>7.7827852338667153E-2</v>
      </c>
      <c r="I60" s="363">
        <v>9.1924380344865095E-2</v>
      </c>
      <c r="J60" s="153">
        <v>9.1924380344865095E-2</v>
      </c>
      <c r="K60" s="363">
        <v>8.7878750989104637E-2</v>
      </c>
      <c r="L60" s="363">
        <v>8.9191614224692892E-2</v>
      </c>
      <c r="M60" s="153">
        <v>8.8620239956195321E-2</v>
      </c>
      <c r="N60" s="153">
        <v>7.9064880039825439E-2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865</v>
      </c>
      <c r="B61" s="363">
        <v>8.1500000000000003E-2</v>
      </c>
      <c r="C61" s="363">
        <v>0.1171</v>
      </c>
      <c r="D61" s="363">
        <v>0.13730000000000001</v>
      </c>
      <c r="E61" s="363">
        <v>0.1177</v>
      </c>
      <c r="F61" s="363">
        <v>6.6000000000000003E-2</v>
      </c>
      <c r="G61" s="363">
        <v>6.3200000000000006E-2</v>
      </c>
      <c r="H61" s="153">
        <v>7.5300000000000006E-2</v>
      </c>
      <c r="I61" s="363">
        <v>9.3799999999999994E-2</v>
      </c>
      <c r="J61" s="153">
        <v>9.3799999999999994E-2</v>
      </c>
      <c r="K61" s="363">
        <v>7.9100000000000004E-2</v>
      </c>
      <c r="L61" s="363">
        <v>0.1308</v>
      </c>
      <c r="M61" s="153">
        <v>0.1085</v>
      </c>
      <c r="N61" s="149">
        <v>7.8100000000000003E-2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916</v>
      </c>
      <c r="B62" s="363">
        <v>7.8685434771356463E-2</v>
      </c>
      <c r="C62" s="363">
        <v>0.12739628935586172</v>
      </c>
      <c r="D62" s="363">
        <v>0.15149804601874925</v>
      </c>
      <c r="E62" s="363">
        <v>0.12325561729986595</v>
      </c>
      <c r="F62" s="363">
        <v>7.019898197011834E-2</v>
      </c>
      <c r="G62" s="363">
        <v>6.7573477748236715E-2</v>
      </c>
      <c r="H62" s="153">
        <v>7.8418492303627838E-2</v>
      </c>
      <c r="I62" s="363">
        <v>8.6186018076773688E-2</v>
      </c>
      <c r="J62" s="153">
        <v>8.6186018076773688E-2</v>
      </c>
      <c r="K62" s="363">
        <v>9.9273208027588711E-2</v>
      </c>
      <c r="L62" s="363">
        <v>8.8368958772461745E-2</v>
      </c>
      <c r="M62" s="153">
        <v>9.2743379321414826E-2</v>
      </c>
      <c r="N62" s="153">
        <v>7.9558900383196435E-2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917</v>
      </c>
      <c r="B63" s="314">
        <v>9.11E-2</v>
      </c>
      <c r="C63" s="363">
        <v>0.1338</v>
      </c>
      <c r="D63" s="363">
        <v>0.13730000000000001</v>
      </c>
      <c r="E63" s="314">
        <v>0.1203</v>
      </c>
      <c r="F63" s="314">
        <v>6.6100000000000006E-2</v>
      </c>
      <c r="G63" s="314">
        <v>6.2799999999999995E-2</v>
      </c>
      <c r="H63" s="148">
        <v>7.6999999999999999E-2</v>
      </c>
      <c r="I63" s="314">
        <v>9.1800000000000007E-2</v>
      </c>
      <c r="J63" s="149">
        <v>9.1800000000000007E-2</v>
      </c>
      <c r="K63" s="314">
        <v>7.4099999999999999E-2</v>
      </c>
      <c r="L63" s="314">
        <v>0.12770000000000001</v>
      </c>
      <c r="M63" s="149">
        <v>0.1037</v>
      </c>
      <c r="N63" s="148">
        <v>7.9399999999999998E-2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915</v>
      </c>
      <c r="B66" s="314">
        <v>2.2281779553125084E-3</v>
      </c>
      <c r="C66" s="314">
        <v>4.8730679724535344E-3</v>
      </c>
      <c r="D66" s="314">
        <v>2.4552460812381103E-3</v>
      </c>
      <c r="E66" s="314">
        <v>5.0449001267025249E-3</v>
      </c>
      <c r="F66" s="314">
        <v>4.2298862726349662E-3</v>
      </c>
      <c r="G66" s="314">
        <v>2.5244811977003911E-3</v>
      </c>
      <c r="H66" s="150">
        <v>3.1572463727636995E-3</v>
      </c>
      <c r="I66" s="314">
        <v>3.0359850224953095E-2</v>
      </c>
      <c r="J66" s="150">
        <v>3.0359850224953095E-2</v>
      </c>
      <c r="K66" s="314">
        <v>1.5911492785004994E-3</v>
      </c>
      <c r="L66" s="314">
        <v>6.2429192680115472E-4</v>
      </c>
      <c r="M66" s="150">
        <v>1.0787871490298136E-3</v>
      </c>
      <c r="N66" s="148">
        <v>3.5944200531892682E-3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865</v>
      </c>
      <c r="B67" s="363">
        <v>8.0000000000000004E-4</v>
      </c>
      <c r="C67" s="363">
        <v>3.5000000000000001E-3</v>
      </c>
      <c r="D67" s="363">
        <v>2.7000000000000001E-3</v>
      </c>
      <c r="E67" s="363">
        <v>3.5000000000000001E-3</v>
      </c>
      <c r="F67" s="363">
        <v>3.3999999999999998E-3</v>
      </c>
      <c r="G67" s="363">
        <v>1.6999999999999999E-3</v>
      </c>
      <c r="H67" s="153">
        <v>2.0999999999999999E-3</v>
      </c>
      <c r="I67" s="363">
        <v>1.8100000000000002E-2</v>
      </c>
      <c r="J67" s="153">
        <v>1.8100000000000002E-2</v>
      </c>
      <c r="K67" s="363">
        <v>1.6999999999999999E-3</v>
      </c>
      <c r="L67" s="363">
        <v>1.1000000000000001E-3</v>
      </c>
      <c r="M67" s="153">
        <v>1.4E-3</v>
      </c>
      <c r="N67" s="149">
        <v>2.3999999999999998E-3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916</v>
      </c>
      <c r="B68" s="314">
        <v>2.2449950692803684E-3</v>
      </c>
      <c r="C68" s="314">
        <v>4.2814983409671875E-3</v>
      </c>
      <c r="D68" s="314">
        <v>2.6147942766082534E-3</v>
      </c>
      <c r="E68" s="314">
        <v>4.8765385202920895E-3</v>
      </c>
      <c r="F68" s="314">
        <v>3.9481256820526021E-3</v>
      </c>
      <c r="G68" s="314">
        <v>2.5049786252711137E-3</v>
      </c>
      <c r="H68" s="153">
        <v>3.0517693627513253E-3</v>
      </c>
      <c r="I68" s="314">
        <v>2.7269274855116724E-2</v>
      </c>
      <c r="J68" s="153">
        <v>2.7269274855116724E-2</v>
      </c>
      <c r="K68" s="314">
        <v>2.1762948743712001E-3</v>
      </c>
      <c r="L68" s="314">
        <v>6.675822975115974E-4</v>
      </c>
      <c r="M68" s="153">
        <v>1.3783426422768869E-3</v>
      </c>
      <c r="N68" s="153">
        <v>3.4510060461999661E-3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917</v>
      </c>
      <c r="B69" s="1477">
        <v>8.9999999999999998E-4</v>
      </c>
      <c r="C69" s="363">
        <v>3.3E-3</v>
      </c>
      <c r="D69" s="363">
        <v>2.7000000000000001E-3</v>
      </c>
      <c r="E69" s="314">
        <v>3.5999999999999999E-3</v>
      </c>
      <c r="F69" s="314">
        <v>3.3999999999999998E-3</v>
      </c>
      <c r="G69" s="1477">
        <v>1.5E-3</v>
      </c>
      <c r="H69" s="148">
        <v>2.0999999999999999E-3</v>
      </c>
      <c r="I69" s="314">
        <v>1.72E-2</v>
      </c>
      <c r="J69" s="149">
        <v>1.72E-2</v>
      </c>
      <c r="K69" s="314">
        <v>1.6999999999999999E-3</v>
      </c>
      <c r="L69" s="314">
        <v>1.1999999999999999E-3</v>
      </c>
      <c r="M69" s="149">
        <v>1.5E-3</v>
      </c>
      <c r="N69" s="148">
        <v>2.3E-3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915</v>
      </c>
      <c r="B74" s="314">
        <v>0.70233386200438652</v>
      </c>
      <c r="C74" s="314">
        <v>0.83479207387784549</v>
      </c>
      <c r="D74" s="314">
        <v>1.103823405632522</v>
      </c>
      <c r="E74" s="314">
        <v>0.71715617825953182</v>
      </c>
      <c r="F74" s="314">
        <v>0.73168621550912616</v>
      </c>
      <c r="G74" s="314">
        <v>0.52158698198470865</v>
      </c>
      <c r="H74" s="150">
        <v>0.66134194250312228</v>
      </c>
      <c r="I74" s="314">
        <v>0.57742053302736995</v>
      </c>
      <c r="J74" s="150">
        <v>0.57742053302736995</v>
      </c>
      <c r="K74" s="314">
        <v>0.4939800359542057</v>
      </c>
      <c r="L74" s="314">
        <v>0.8511851142889314</v>
      </c>
      <c r="M74" s="150">
        <v>0.65708226221079691</v>
      </c>
      <c r="N74" s="148">
        <v>0.65908144160230642</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865</v>
      </c>
      <c r="B75" s="363">
        <v>0.63780650268464978</v>
      </c>
      <c r="C75" s="363">
        <v>0.67555975859072348</v>
      </c>
      <c r="D75" s="363">
        <v>0.76756628281459205</v>
      </c>
      <c r="E75" s="363">
        <v>0.71589488546940905</v>
      </c>
      <c r="F75" s="363">
        <v>0.68025658786935328</v>
      </c>
      <c r="G75" s="363">
        <v>0.58183931804266564</v>
      </c>
      <c r="H75" s="153">
        <v>0.64688446811483458</v>
      </c>
      <c r="I75" s="363">
        <v>0.50832735236296722</v>
      </c>
      <c r="J75" s="153">
        <v>0.50832735236296722</v>
      </c>
      <c r="K75" s="363">
        <v>0.89981438294226834</v>
      </c>
      <c r="L75" s="363">
        <v>0.48296124557791859</v>
      </c>
      <c r="M75" s="153">
        <v>0.64406280847828623</v>
      </c>
      <c r="N75" s="149">
        <v>0.64352235344851894</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916</v>
      </c>
      <c r="B76" s="314">
        <v>0.6651584146224413</v>
      </c>
      <c r="C76" s="363">
        <v>0.78909015157743745</v>
      </c>
      <c r="D76" s="363">
        <v>0.96724942835625871</v>
      </c>
      <c r="E76" s="314">
        <v>0.70419270368982767</v>
      </c>
      <c r="F76" s="314">
        <v>0.71457456638996886</v>
      </c>
      <c r="G76" s="314">
        <v>0.55740140521171944</v>
      </c>
      <c r="H76" s="148">
        <v>0.66001517502469587</v>
      </c>
      <c r="I76" s="314">
        <v>0.60593923064633004</v>
      </c>
      <c r="J76" s="149">
        <v>0.60593923064633004</v>
      </c>
      <c r="K76" s="314">
        <v>0.65577319524935995</v>
      </c>
      <c r="L76" s="314">
        <v>0.85577589100179241</v>
      </c>
      <c r="M76" s="149">
        <v>0.74776011560693645</v>
      </c>
      <c r="N76" s="148">
        <v>0.66423219842453518</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917</v>
      </c>
      <c r="B77" s="363">
        <v>0.66507022362737678</v>
      </c>
      <c r="C77" s="363">
        <v>0.69406726404664465</v>
      </c>
      <c r="D77" s="364">
        <v>0.84463628482463116</v>
      </c>
      <c r="E77" s="363">
        <v>0.69605522457767099</v>
      </c>
      <c r="F77" s="363">
        <v>0.68215961403422143</v>
      </c>
      <c r="G77" s="363">
        <v>0.59717636988866241</v>
      </c>
      <c r="H77" s="153">
        <v>0.65869392999954812</v>
      </c>
      <c r="I77" s="363">
        <v>0.51080758782960667</v>
      </c>
      <c r="J77" s="153">
        <v>0.51080758782960667</v>
      </c>
      <c r="K77" s="363">
        <v>0.89857160397822622</v>
      </c>
      <c r="L77" s="363">
        <v>0.54811863898059976</v>
      </c>
      <c r="M77" s="153">
        <v>0.68830097246324617</v>
      </c>
      <c r="N77" s="153">
        <v>0.65720776553926785</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915</v>
      </c>
      <c r="B80" s="1032">
        <v>2343.8794197685947</v>
      </c>
      <c r="C80" s="1032">
        <v>1023.7078198601398</v>
      </c>
      <c r="D80" s="1032">
        <v>1710.791587469965</v>
      </c>
      <c r="E80" s="1032">
        <v>2030.1741741741741</v>
      </c>
      <c r="F80" s="1032">
        <v>2058.8034931017014</v>
      </c>
      <c r="G80" s="1032">
        <v>3322.5586378857956</v>
      </c>
      <c r="H80" s="971">
        <v>2387.7631481223266</v>
      </c>
      <c r="I80" s="1032">
        <v>3691.8160024427475</v>
      </c>
      <c r="J80" s="379">
        <v>3691.8160024427475</v>
      </c>
      <c r="K80" s="1053">
        <v>8672</v>
      </c>
      <c r="L80" s="1032">
        <v>3140.243093922652</v>
      </c>
      <c r="M80" s="183">
        <v>4806.1776061776063</v>
      </c>
      <c r="N80" s="971">
        <v>2485.3635727736846</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865</v>
      </c>
      <c r="B81" s="1032">
        <v>2525.21</v>
      </c>
      <c r="C81" s="1032">
        <v>1157.4000000000001</v>
      </c>
      <c r="D81" s="1032">
        <v>1823.18</v>
      </c>
      <c r="E81" s="1032">
        <v>1890.64</v>
      </c>
      <c r="F81" s="1032">
        <v>2095.3000000000002</v>
      </c>
      <c r="G81" s="1032">
        <v>2855.38</v>
      </c>
      <c r="H81" s="379">
        <v>2293.7399999999998</v>
      </c>
      <c r="I81" s="374">
        <v>3749.99</v>
      </c>
      <c r="J81" s="379">
        <v>3749.99</v>
      </c>
      <c r="K81" s="1053">
        <v>6548.88</v>
      </c>
      <c r="L81" s="1032">
        <v>4350.7</v>
      </c>
      <c r="M81" s="183">
        <v>4999.2</v>
      </c>
      <c r="N81" s="379">
        <v>2405.87</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916</v>
      </c>
      <c r="B82" s="1032">
        <v>2476.6595885194374</v>
      </c>
      <c r="C82" s="1032">
        <v>1133.4299763380282</v>
      </c>
      <c r="D82" s="1032">
        <v>1800.4817211858658</v>
      </c>
      <c r="E82" s="1032">
        <v>1996.5160000000001</v>
      </c>
      <c r="F82" s="1032">
        <v>2001.2136067905283</v>
      </c>
      <c r="G82" s="1032">
        <v>3066.824764128181</v>
      </c>
      <c r="H82" s="971">
        <v>2323.7690570086183</v>
      </c>
      <c r="I82" s="1032">
        <v>3521.2025094400001</v>
      </c>
      <c r="J82" s="379">
        <v>3521.2025094400001</v>
      </c>
      <c r="K82" s="1053">
        <v>8654.78947368421</v>
      </c>
      <c r="L82" s="1032">
        <v>3111.9777777777776</v>
      </c>
      <c r="M82" s="183">
        <v>4757.5</v>
      </c>
      <c r="N82" s="971">
        <v>2418.6504792777387</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917</v>
      </c>
      <c r="B83" s="375">
        <v>2457.12</v>
      </c>
      <c r="C83" s="375">
        <v>1177.57</v>
      </c>
      <c r="D83" s="375">
        <v>1598.98</v>
      </c>
      <c r="E83" s="375">
        <v>1883.84</v>
      </c>
      <c r="F83" s="375">
        <v>2033.69</v>
      </c>
      <c r="G83" s="1306">
        <v>2726.32</v>
      </c>
      <c r="H83" s="646">
        <v>2212.87</v>
      </c>
      <c r="I83" s="1307">
        <v>3720.92</v>
      </c>
      <c r="J83" s="646">
        <v>3720.92</v>
      </c>
      <c r="K83" s="375">
        <v>6346.23</v>
      </c>
      <c r="L83" s="1306">
        <v>4072.11</v>
      </c>
      <c r="M83" s="646">
        <v>4753.46</v>
      </c>
      <c r="N83" s="1030">
        <v>2319.94</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4.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905</v>
      </c>
      <c r="B10" s="363">
        <v>6.756273498718765E-2</v>
      </c>
      <c r="C10" s="363">
        <v>6.9873517845933028E-2</v>
      </c>
      <c r="D10" s="363">
        <v>3.7701707092379681E-2</v>
      </c>
      <c r="E10" s="363">
        <v>8.7013513107967497E-2</v>
      </c>
      <c r="F10" s="363">
        <v>7.6364503255185817E-2</v>
      </c>
      <c r="G10" s="363">
        <v>9.4876122375988747E-2</v>
      </c>
      <c r="H10" s="150">
        <v>7.9748467806413648E-2</v>
      </c>
      <c r="I10" s="363">
        <v>0.10871970751419446</v>
      </c>
      <c r="J10" s="150">
        <v>0.10871970751419446</v>
      </c>
      <c r="K10" s="363">
        <v>4.8272640325617011E-2</v>
      </c>
      <c r="L10" s="363">
        <v>4.2455281044486384E-2</v>
      </c>
      <c r="M10" s="150">
        <v>4.5217812410186263E-2</v>
      </c>
      <c r="N10" s="148">
        <v>7.8229028809479614E-2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884</v>
      </c>
      <c r="B11" s="314">
        <v>6.3061704281495462E-2</v>
      </c>
      <c r="C11" s="363">
        <v>7.1994264930183655E-2</v>
      </c>
      <c r="D11" s="363">
        <v>3.7951487304603577E-2</v>
      </c>
      <c r="E11" s="314">
        <v>8.4552727853309542E-2</v>
      </c>
      <c r="F11" s="314">
        <v>7.3563098542078972E-2</v>
      </c>
      <c r="G11" s="314">
        <v>8.8430520566546489E-2</v>
      </c>
      <c r="H11" s="148">
        <v>7.552922872221414E-2</v>
      </c>
      <c r="I11" s="314">
        <v>0.10472086951684068</v>
      </c>
      <c r="J11" s="148">
        <v>0.10472086951684068</v>
      </c>
      <c r="K11" s="314">
        <v>4.4559653645391252E-2</v>
      </c>
      <c r="L11" s="314">
        <v>4.4255872232356712E-2</v>
      </c>
      <c r="M11" s="148">
        <v>4.4401071881261592E-2</v>
      </c>
      <c r="N11" s="148">
        <v>7.4255460391256217E-2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905</v>
      </c>
      <c r="B14" s="363">
        <v>0.8117420239083275</v>
      </c>
      <c r="C14" s="363">
        <v>0.86628158103503294</v>
      </c>
      <c r="D14" s="363">
        <v>0.88202435197967621</v>
      </c>
      <c r="E14" s="363">
        <v>0.85247187755224529</v>
      </c>
      <c r="F14" s="363">
        <v>0.79724980697053793</v>
      </c>
      <c r="G14" s="363">
        <v>0.86589698759308653</v>
      </c>
      <c r="H14" s="150">
        <v>0.83087938103379388</v>
      </c>
      <c r="I14" s="363">
        <v>0.65633146655095909</v>
      </c>
      <c r="J14" s="150">
        <v>0.65633146655095909</v>
      </c>
      <c r="K14" s="363">
        <v>0.79544282609224837</v>
      </c>
      <c r="L14" s="363">
        <v>0.8147346034511499</v>
      </c>
      <c r="M14" s="150">
        <v>0.8055733779743377</v>
      </c>
      <c r="N14" s="148">
        <v>0.82498576875185659</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884</v>
      </c>
      <c r="B15" s="314">
        <v>0.82097931468806085</v>
      </c>
      <c r="C15" s="363">
        <v>0.8553362319750013</v>
      </c>
      <c r="D15" s="363">
        <v>0.87945242359923315</v>
      </c>
      <c r="E15" s="314">
        <v>0.84740735401513245</v>
      </c>
      <c r="F15" s="314">
        <v>0.81832087329158187</v>
      </c>
      <c r="G15" s="314">
        <v>0.8521191570565092</v>
      </c>
      <c r="H15" s="148">
        <v>0.83435756029461461</v>
      </c>
      <c r="I15" s="314">
        <v>0.66193029691349914</v>
      </c>
      <c r="J15" s="148">
        <v>0.66193029691349914</v>
      </c>
      <c r="K15" s="314">
        <v>0.78551545655783683</v>
      </c>
      <c r="L15" s="314">
        <v>0.8078899525479466</v>
      </c>
      <c r="M15" s="148">
        <v>0.79719552286005047</v>
      </c>
      <c r="N15" s="148">
        <v>0.82785351248968286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905</v>
      </c>
      <c r="B20" s="363">
        <v>5.4958814873550303E-2</v>
      </c>
      <c r="C20" s="363">
        <v>0.26520396111000499</v>
      </c>
      <c r="D20" s="363">
        <v>6.5281253033484657E-2</v>
      </c>
      <c r="E20" s="363">
        <v>5.2085996638256251E-3</v>
      </c>
      <c r="F20" s="363">
        <v>5.7985681150842759E-2</v>
      </c>
      <c r="G20" s="363">
        <v>2.7105435923003669E-3</v>
      </c>
      <c r="H20" s="150">
        <v>3.9102626496680296E-2</v>
      </c>
      <c r="I20" s="363">
        <v>0.10501826389970001</v>
      </c>
      <c r="J20" s="150">
        <v>0.10501826389970001</v>
      </c>
      <c r="K20" s="363">
        <v>0</v>
      </c>
      <c r="L20" s="363">
        <v>8.9527565276356039E-2</v>
      </c>
      <c r="M20" s="150">
        <v>5.1067973089693096E-2</v>
      </c>
      <c r="N20" s="148">
        <v>4.2657882290272418E-2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884</v>
      </c>
      <c r="B21" s="314">
        <v>2.1136775959121737E-2</v>
      </c>
      <c r="C21" s="363">
        <v>0.33980200018249962</v>
      </c>
      <c r="D21" s="363">
        <v>0.14983205014280504</v>
      </c>
      <c r="E21" s="314">
        <v>6.88337422254502E-3</v>
      </c>
      <c r="F21" s="314">
        <v>8.4593524315222674E-3</v>
      </c>
      <c r="G21" s="314">
        <v>1.8448803603614149E-3</v>
      </c>
      <c r="H21" s="148">
        <v>2.0088749612556519E-2</v>
      </c>
      <c r="I21" s="314">
        <v>6.9668243389532911E-2</v>
      </c>
      <c r="J21" s="148">
        <v>6.9668243389532911E-2</v>
      </c>
      <c r="K21" s="1414">
        <v>0</v>
      </c>
      <c r="L21" s="314">
        <v>8.0917485047803717E-2</v>
      </c>
      <c r="M21" s="148">
        <v>5.8951118903664314E-2</v>
      </c>
      <c r="N21" s="148">
        <v>2.4348233211914871E-2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905</v>
      </c>
      <c r="B25" s="363">
        <v>0.29968643833112418</v>
      </c>
      <c r="C25" s="363">
        <v>0.8820343312270964</v>
      </c>
      <c r="D25" s="363">
        <v>0.20196535145315178</v>
      </c>
      <c r="E25" s="363">
        <v>1.1628201575551245</v>
      </c>
      <c r="F25" s="363">
        <v>0.28709748221677872</v>
      </c>
      <c r="G25" s="363">
        <v>2.0359016327263086</v>
      </c>
      <c r="H25" s="150">
        <v>0.43756778273212288</v>
      </c>
      <c r="I25" s="363">
        <v>0.20081171778993706</v>
      </c>
      <c r="J25" s="150">
        <v>0.20081171778993706</v>
      </c>
      <c r="K25" s="363" t="e">
        <v>#DIV/0!</v>
      </c>
      <c r="L25" s="363">
        <v>0.42850631340070211</v>
      </c>
      <c r="M25" s="150">
        <v>0.47359718369959464</v>
      </c>
      <c r="N25" s="150">
        <v>0.41541851744729041</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884</v>
      </c>
      <c r="B26" s="314">
        <v>0.68482401242595325</v>
      </c>
      <c r="C26" s="363">
        <v>0.68454088476317043</v>
      </c>
      <c r="D26" s="363">
        <v>7.0100516283443243E-2</v>
      </c>
      <c r="E26" s="314">
        <v>0.85436685231654319</v>
      </c>
      <c r="F26" s="314">
        <v>1.9124052382488508</v>
      </c>
      <c r="G26" s="314">
        <v>2.6709495600787991</v>
      </c>
      <c r="H26" s="148">
        <v>0.81131205936338668</v>
      </c>
      <c r="I26" s="314">
        <v>0.39655318884680313</v>
      </c>
      <c r="J26" s="148">
        <v>0.39655318884680313</v>
      </c>
      <c r="K26" s="374">
        <v>0</v>
      </c>
      <c r="L26" s="314">
        <v>0.45626990004703033</v>
      </c>
      <c r="M26" s="148">
        <v>0.51755396357166272</v>
      </c>
      <c r="N26" s="148">
        <v>0.72189271345479644</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905</v>
      </c>
      <c r="B30" s="363">
        <v>0.13674048326773747</v>
      </c>
      <c r="C30" s="363">
        <v>0.22116966381111081</v>
      </c>
      <c r="D30" s="363">
        <v>0.54821288092951781</v>
      </c>
      <c r="E30" s="363">
        <v>-4.474913069400864E-3</v>
      </c>
      <c r="F30" s="363">
        <v>0.224060811280408</v>
      </c>
      <c r="G30" s="363">
        <v>-1.1293756854838055E-2</v>
      </c>
      <c r="H30" s="150">
        <v>9.9824298307799694E-2</v>
      </c>
      <c r="I30" s="363">
        <v>0.49650430698885067</v>
      </c>
      <c r="J30" s="150">
        <v>0.49650430698885067</v>
      </c>
      <c r="K30" s="363">
        <v>-3.5795535470261493E-2</v>
      </c>
      <c r="L30" s="363">
        <v>0.46648908169040842</v>
      </c>
      <c r="M30" s="150">
        <v>0.2118513748219269</v>
      </c>
      <c r="N30" s="148">
        <v>0.11746019600354837</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884</v>
      </c>
      <c r="B31" s="363">
        <v>2.5466176311762241E-2</v>
      </c>
      <c r="C31" s="363">
        <v>0.78021680355315493</v>
      </c>
      <c r="D31" s="363">
        <v>1.3007106393281198</v>
      </c>
      <c r="E31" s="363">
        <v>5.4528975751277292E-3</v>
      </c>
      <c r="F31" s="363">
        <v>-4.2320293954818684E-2</v>
      </c>
      <c r="G31" s="363">
        <v>-1.3086362435766703E-2</v>
      </c>
      <c r="H31" s="153">
        <v>1.7837350846472498E-2</v>
      </c>
      <c r="I31" s="363">
        <v>0.24645520594133533</v>
      </c>
      <c r="J31" s="153">
        <v>0.24645520594133533</v>
      </c>
      <c r="K31" s="363">
        <v>1.0314827196158326E-2</v>
      </c>
      <c r="L31" s="363">
        <v>0.38991704140176769</v>
      </c>
      <c r="M31" s="153">
        <v>0.20782898624975543</v>
      </c>
      <c r="N31" s="153">
        <v>3.2799007361478713E-2</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906</v>
      </c>
      <c r="B35" s="314">
        <v>1.1387712449046601E-2</v>
      </c>
      <c r="C35" s="363">
        <v>9.7003623778287792E-3</v>
      </c>
      <c r="D35" s="364">
        <v>7.4933976426536236E-3</v>
      </c>
      <c r="E35" s="314">
        <v>2.1758465159254312E-2</v>
      </c>
      <c r="F35" s="314">
        <v>8.475184410803225E-3</v>
      </c>
      <c r="G35" s="314">
        <v>1.9090549750373605E-2</v>
      </c>
      <c r="H35" s="148">
        <v>1.3630126985895044E-2</v>
      </c>
      <c r="I35" s="314">
        <v>1.0668567610105564E-2</v>
      </c>
      <c r="J35" s="149">
        <v>1.0668567610105564E-2</v>
      </c>
      <c r="K35" s="314">
        <v>1.6397824508011621E-2</v>
      </c>
      <c r="L35" s="314">
        <v>2.683317805306131E-3</v>
      </c>
      <c r="M35" s="149">
        <v>9.2171033595027478E-3</v>
      </c>
      <c r="N35" s="148">
        <v>1.3276041832199019E-2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849</v>
      </c>
      <c r="B36" s="314">
        <v>8.5000000000000006E-3</v>
      </c>
      <c r="C36" s="363">
        <v>1.17E-2</v>
      </c>
      <c r="D36" s="363">
        <v>6.9999999999999999E-4</v>
      </c>
      <c r="E36" s="314">
        <v>2.0199999999999999E-2</v>
      </c>
      <c r="F36" s="314">
        <v>8.2000000000000007E-3</v>
      </c>
      <c r="G36" s="314">
        <v>1.6400000000000001E-2</v>
      </c>
      <c r="H36" s="148">
        <v>1.1599999999999999E-2</v>
      </c>
      <c r="I36" s="314">
        <v>5.4999999999999997E-3</v>
      </c>
      <c r="J36" s="149">
        <v>5.4999999999999997E-3</v>
      </c>
      <c r="K36" s="314">
        <v>6.1000000000000004E-3</v>
      </c>
      <c r="L36" s="314">
        <v>2.8199999999999999E-2</v>
      </c>
      <c r="M36" s="149">
        <v>1.6799999999999999E-2</v>
      </c>
      <c r="N36" s="148">
        <v>1.17E-2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907</v>
      </c>
      <c r="B37" s="314">
        <v>1.1387712449046601E-2</v>
      </c>
      <c r="C37" s="314">
        <v>9.7003623778287792E-3</v>
      </c>
      <c r="D37" s="314">
        <v>7.4933976426536236E-3</v>
      </c>
      <c r="E37" s="314">
        <v>2.1758465159254312E-2</v>
      </c>
      <c r="F37" s="314">
        <v>8.475184410803225E-3</v>
      </c>
      <c r="G37" s="314">
        <v>1.9090549750373605E-2</v>
      </c>
      <c r="H37" s="153">
        <v>1.3630126985895044E-2</v>
      </c>
      <c r="I37" s="314">
        <v>1.0668567610105564E-2</v>
      </c>
      <c r="J37" s="153">
        <v>1.0668567610105564E-2</v>
      </c>
      <c r="K37" s="314">
        <v>1.6397824508011621E-2</v>
      </c>
      <c r="L37" s="314">
        <v>2.683317805306131E-3</v>
      </c>
      <c r="M37" s="153">
        <v>9.2171033595027478E-3</v>
      </c>
      <c r="N37" s="153">
        <v>1.3276041832199019E-2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908</v>
      </c>
      <c r="B38" s="314">
        <v>8.5000000000000006E-3</v>
      </c>
      <c r="C38" s="363">
        <v>1.17E-2</v>
      </c>
      <c r="D38" s="363">
        <v>6.9999999999999999E-4</v>
      </c>
      <c r="E38" s="314">
        <v>2.0199999999999999E-2</v>
      </c>
      <c r="F38" s="314">
        <v>8.2000000000000007E-3</v>
      </c>
      <c r="G38" s="314">
        <v>1.6400000000000001E-2</v>
      </c>
      <c r="H38" s="148">
        <v>1.1599999999999999E-2</v>
      </c>
      <c r="I38" s="314">
        <v>5.4999999999999997E-3</v>
      </c>
      <c r="J38" s="149">
        <v>5.4999999999999997E-3</v>
      </c>
      <c r="K38" s="314">
        <v>6.1000000000000004E-3</v>
      </c>
      <c r="L38" s="314">
        <v>2.8199999999999999E-2</v>
      </c>
      <c r="M38" s="149">
        <v>1.6799999999999999E-2</v>
      </c>
      <c r="N38" s="148">
        <v>1.17E-2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906</v>
      </c>
      <c r="B41" s="314">
        <v>0.17442378768489986</v>
      </c>
      <c r="C41" s="363">
        <v>0.13681768877552919</v>
      </c>
      <c r="D41" s="364">
        <v>0.19811700250644249</v>
      </c>
      <c r="E41" s="314">
        <v>0.25360307745367833</v>
      </c>
      <c r="F41" s="314">
        <v>0.11304511849889846</v>
      </c>
      <c r="G41" s="314">
        <v>0.20833878233275999</v>
      </c>
      <c r="H41" s="148">
        <v>0.17556444068879312</v>
      </c>
      <c r="I41" s="314">
        <v>9.9954195812555741E-2</v>
      </c>
      <c r="J41" s="149">
        <v>9.9954195812555741E-2</v>
      </c>
      <c r="K41" s="314">
        <v>0.35321969316350277</v>
      </c>
      <c r="L41" s="314">
        <v>6.1904275091116741E-2</v>
      </c>
      <c r="M41" s="149">
        <v>0.20568167323445763</v>
      </c>
      <c r="N41" s="148">
        <v>0.17413231715693769</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849</v>
      </c>
      <c r="B42" s="314">
        <v>0.16889999999999999</v>
      </c>
      <c r="C42" s="363">
        <v>2.2982999999999998</v>
      </c>
      <c r="D42" s="363">
        <v>-9.4000000000000004E-3</v>
      </c>
      <c r="E42" s="314">
        <v>0.25159999999999999</v>
      </c>
      <c r="F42" s="314">
        <v>0.12470000000000001</v>
      </c>
      <c r="G42" s="314">
        <v>0.19120000000000001</v>
      </c>
      <c r="H42" s="148">
        <v>0.17749999999999999</v>
      </c>
      <c r="I42" s="314">
        <v>5.8500000000000003E-2</v>
      </c>
      <c r="J42" s="149">
        <v>5.8500000000000003E-2</v>
      </c>
      <c r="K42" s="314">
        <v>0.14369999999999999</v>
      </c>
      <c r="L42" s="314">
        <v>0.63009999999999999</v>
      </c>
      <c r="M42" s="149">
        <v>0.3836</v>
      </c>
      <c r="N42" s="148">
        <v>0.18160000000000001</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907</v>
      </c>
      <c r="B43" s="314">
        <v>0.17442378768489986</v>
      </c>
      <c r="C43" s="314">
        <v>0.13681768877552919</v>
      </c>
      <c r="D43" s="314">
        <v>0.19811700250644249</v>
      </c>
      <c r="E43" s="314">
        <v>0.25360307745367833</v>
      </c>
      <c r="F43" s="314">
        <v>0.11304511849889846</v>
      </c>
      <c r="G43" s="314">
        <v>0.20833878233275999</v>
      </c>
      <c r="H43" s="153">
        <v>0.17556444068879312</v>
      </c>
      <c r="I43" s="314">
        <v>9.9954195812555741E-2</v>
      </c>
      <c r="J43" s="153">
        <v>9.9954195812555741E-2</v>
      </c>
      <c r="K43" s="314">
        <v>0.35321969316350277</v>
      </c>
      <c r="L43" s="314">
        <v>6.1904275091116741E-2</v>
      </c>
      <c r="M43" s="153">
        <v>0.20568167323445763</v>
      </c>
      <c r="N43" s="153">
        <v>0.17413231715693769</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908</v>
      </c>
      <c r="B44" s="314">
        <v>0.16889999999999999</v>
      </c>
      <c r="C44" s="363">
        <v>2.2982999999999998</v>
      </c>
      <c r="D44" s="363">
        <v>-9.4000000000000004E-3</v>
      </c>
      <c r="E44" s="314">
        <v>0.25159999999999999</v>
      </c>
      <c r="F44" s="314">
        <v>0.12470000000000001</v>
      </c>
      <c r="G44" s="314">
        <v>0.19120000000000001</v>
      </c>
      <c r="H44" s="148">
        <v>0.17749999999999999</v>
      </c>
      <c r="I44" s="314">
        <v>5.8500000000000003E-2</v>
      </c>
      <c r="J44" s="149">
        <v>5.8500000000000003E-2</v>
      </c>
      <c r="K44" s="314">
        <v>0.14369999999999999</v>
      </c>
      <c r="L44" s="314">
        <v>0.63009999999999999</v>
      </c>
      <c r="M44" s="149">
        <v>0.3836</v>
      </c>
      <c r="N44" s="148">
        <v>0.18160000000000001</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906</v>
      </c>
      <c r="B48" s="314">
        <v>0.93201940718261367</v>
      </c>
      <c r="C48" s="314">
        <v>0.93785010685086212</v>
      </c>
      <c r="D48" s="314">
        <v>0.95795613980009886</v>
      </c>
      <c r="E48" s="314">
        <v>0.92862028728926083</v>
      </c>
      <c r="F48" s="314">
        <v>0.90562599945455824</v>
      </c>
      <c r="G48" s="314">
        <v>0.91842699880245504</v>
      </c>
      <c r="H48" s="150">
        <v>0.9212168240353974</v>
      </c>
      <c r="I48" s="314">
        <v>0.68143975091567255</v>
      </c>
      <c r="J48" s="150">
        <v>0.68143975091567255</v>
      </c>
      <c r="K48" s="314">
        <v>0.91662635517741797</v>
      </c>
      <c r="L48" s="314">
        <v>0.98229697301393504</v>
      </c>
      <c r="M48" s="150">
        <v>0.95437331365170786</v>
      </c>
      <c r="N48" s="148">
        <v>0.91333045911267874</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849</v>
      </c>
      <c r="B49" s="363">
        <v>0.95468767550623435</v>
      </c>
      <c r="C49" s="363">
        <v>0.95767945619331452</v>
      </c>
      <c r="D49" s="363">
        <v>0.95452635816200848</v>
      </c>
      <c r="E49" s="363">
        <v>0.94386584426796927</v>
      </c>
      <c r="F49" s="363">
        <v>0.90730824873771854</v>
      </c>
      <c r="G49" s="363">
        <v>0.95057310773513815</v>
      </c>
      <c r="H49" s="153">
        <v>0.93682710673340586</v>
      </c>
      <c r="I49" s="363">
        <v>0.7811309255702974</v>
      </c>
      <c r="J49" s="153">
        <v>0.7811309255702974</v>
      </c>
      <c r="K49" s="363">
        <v>0.92593196037539105</v>
      </c>
      <c r="L49" s="363">
        <v>0.97891367786877526</v>
      </c>
      <c r="M49" s="153">
        <v>0.96169487217503657</v>
      </c>
      <c r="N49" s="149">
        <v>0.93180605723624255</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907</v>
      </c>
      <c r="B50" s="314">
        <v>0.93201940718261367</v>
      </c>
      <c r="C50" s="363">
        <v>0.93785010685086212</v>
      </c>
      <c r="D50" s="363">
        <v>0.95795613980009886</v>
      </c>
      <c r="E50" s="314">
        <v>0.92862028728926083</v>
      </c>
      <c r="F50" s="314">
        <v>0.90562599945455824</v>
      </c>
      <c r="G50" s="314">
        <v>0.91842699880245504</v>
      </c>
      <c r="H50" s="148">
        <v>0.9212168240353974</v>
      </c>
      <c r="I50" s="314">
        <v>0.68143975091567255</v>
      </c>
      <c r="J50" s="149">
        <v>0.68143975091567255</v>
      </c>
      <c r="K50" s="314">
        <v>0.91662635517741797</v>
      </c>
      <c r="L50" s="314">
        <v>0.98229697301393504</v>
      </c>
      <c r="M50" s="149">
        <v>0.95437331365170786</v>
      </c>
      <c r="N50" s="148">
        <v>0.91333045911267874</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908</v>
      </c>
      <c r="B51" s="314">
        <v>0.95468767550623435</v>
      </c>
      <c r="C51" s="363">
        <v>0.95767945619331452</v>
      </c>
      <c r="D51" s="363">
        <v>0.95452635816200848</v>
      </c>
      <c r="E51" s="314">
        <v>0.94386584426796927</v>
      </c>
      <c r="F51" s="314">
        <v>0.90730824873771854</v>
      </c>
      <c r="G51" s="314">
        <v>0.95057310773513815</v>
      </c>
      <c r="H51" s="153">
        <v>0.93682710673340586</v>
      </c>
      <c r="I51" s="314">
        <v>0.7811309255702974</v>
      </c>
      <c r="J51" s="153">
        <v>0.7811309255702974</v>
      </c>
      <c r="K51" s="314">
        <v>0.92593196037539105</v>
      </c>
      <c r="L51" s="314">
        <v>0.97891367786877526</v>
      </c>
      <c r="M51" s="153">
        <v>0.96169487217503657</v>
      </c>
      <c r="N51" s="153">
        <v>0.93180605723624255</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906</v>
      </c>
      <c r="B54" s="314">
        <v>7.7219206996604534E-2</v>
      </c>
      <c r="C54" s="314">
        <v>9.8016638818426732E-2</v>
      </c>
      <c r="D54" s="314">
        <v>0.15108256609386136</v>
      </c>
      <c r="E54" s="314">
        <v>0.12190998562608332</v>
      </c>
      <c r="F54" s="314">
        <v>6.7357933844323342E-2</v>
      </c>
      <c r="G54" s="314">
        <v>6.8357897424583133E-2</v>
      </c>
      <c r="H54" s="150">
        <v>7.7038397548396489E-2</v>
      </c>
      <c r="I54" s="314">
        <v>7.5394076051366332E-2</v>
      </c>
      <c r="J54" s="149">
        <v>7.5394076051366332E-2</v>
      </c>
      <c r="K54" s="314">
        <v>9.0808962257240181E-2</v>
      </c>
      <c r="L54" s="314">
        <v>8.1484510853046421E-2</v>
      </c>
      <c r="M54" s="150">
        <v>8.5222870341944063E-2</v>
      </c>
      <c r="N54" s="148">
        <v>7.7459347675285589E-2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849</v>
      </c>
      <c r="B55" s="363">
        <v>9.6199999999999994E-2</v>
      </c>
      <c r="C55" s="363">
        <v>0.10390000000000001</v>
      </c>
      <c r="D55" s="363">
        <v>0.13339999999999999</v>
      </c>
      <c r="E55" s="363">
        <v>0.1178</v>
      </c>
      <c r="F55" s="363">
        <v>6.1600000000000002E-2</v>
      </c>
      <c r="G55" s="363">
        <v>6.4899999999999999E-2</v>
      </c>
      <c r="H55" s="153">
        <v>7.6200000000000004E-2</v>
      </c>
      <c r="I55" s="363">
        <v>8.2000000000000003E-2</v>
      </c>
      <c r="J55" s="153">
        <v>8.2000000000000003E-2</v>
      </c>
      <c r="K55" s="363">
        <v>7.8100000000000003E-2</v>
      </c>
      <c r="L55" s="363">
        <v>0.10979999999999999</v>
      </c>
      <c r="M55" s="153">
        <v>9.7000000000000003E-2</v>
      </c>
      <c r="N55" s="149">
        <v>7.7899999999999997E-2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907</v>
      </c>
      <c r="B56" s="363">
        <v>7.7219206996604534E-2</v>
      </c>
      <c r="C56" s="363">
        <v>9.8016638818426732E-2</v>
      </c>
      <c r="D56" s="363">
        <v>0.15108256609386136</v>
      </c>
      <c r="E56" s="363">
        <v>0.12190998562608332</v>
      </c>
      <c r="F56" s="363">
        <v>6.7357933844323342E-2</v>
      </c>
      <c r="G56" s="363">
        <v>6.8357897424583133E-2</v>
      </c>
      <c r="H56" s="153">
        <v>7.7038397548396489E-2</v>
      </c>
      <c r="I56" s="363">
        <v>7.5394076051366332E-2</v>
      </c>
      <c r="J56" s="153">
        <v>7.5394076051366332E-2</v>
      </c>
      <c r="K56" s="363">
        <v>9.0808962257240181E-2</v>
      </c>
      <c r="L56" s="363">
        <v>8.1484510853046421E-2</v>
      </c>
      <c r="M56" s="153">
        <v>8.5222870341944063E-2</v>
      </c>
      <c r="N56" s="153">
        <v>7.7459347675285589E-2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908</v>
      </c>
      <c r="B57" s="314">
        <v>9.6199999999999994E-2</v>
      </c>
      <c r="C57" s="363">
        <v>0.10390000000000001</v>
      </c>
      <c r="D57" s="363">
        <v>0.13339999999999999</v>
      </c>
      <c r="E57" s="314">
        <v>0.1178</v>
      </c>
      <c r="F57" s="314">
        <v>6.1600000000000002E-2</v>
      </c>
      <c r="G57" s="314">
        <v>6.4899999999999999E-2</v>
      </c>
      <c r="H57" s="148">
        <v>7.6200000000000004E-2</v>
      </c>
      <c r="I57" s="314">
        <v>8.2000000000000003E-2</v>
      </c>
      <c r="J57" s="149">
        <v>8.2000000000000003E-2</v>
      </c>
      <c r="K57" s="314">
        <v>7.8100000000000003E-2</v>
      </c>
      <c r="L57" s="314">
        <v>0.10979999999999999</v>
      </c>
      <c r="M57" s="149">
        <v>9.7000000000000003E-2</v>
      </c>
      <c r="N57" s="148">
        <v>7.7899999999999997E-2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906</v>
      </c>
      <c r="B60" s="363">
        <v>8.0254981019515892E-2</v>
      </c>
      <c r="C60" s="363">
        <v>0.14050721769351976</v>
      </c>
      <c r="D60" s="363">
        <v>0.16861651029446265</v>
      </c>
      <c r="E60" s="363">
        <v>0.12265043180290054</v>
      </c>
      <c r="F60" s="363">
        <v>6.9705765064492026E-2</v>
      </c>
      <c r="G60" s="363">
        <v>6.8514002079972963E-2</v>
      </c>
      <c r="H60" s="153">
        <v>7.9394005625740297E-2</v>
      </c>
      <c r="I60" s="363">
        <v>8.2658135272343725E-2</v>
      </c>
      <c r="J60" s="153">
        <v>8.2658135272343725E-2</v>
      </c>
      <c r="K60" s="363">
        <v>9.1661956278837428E-2</v>
      </c>
      <c r="L60" s="363">
        <v>8.9077361996828336E-2</v>
      </c>
      <c r="M60" s="153">
        <v>9.0163447694334944E-2</v>
      </c>
      <c r="N60" s="153">
        <v>8.0153181071118462E-2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849</v>
      </c>
      <c r="B61" s="363">
        <v>9.8199999999999996E-2</v>
      </c>
      <c r="C61" s="363">
        <v>0.14899999999999999</v>
      </c>
      <c r="D61" s="363">
        <v>0.13600000000000001</v>
      </c>
      <c r="E61" s="363">
        <v>0.1187</v>
      </c>
      <c r="F61" s="363">
        <v>6.25E-2</v>
      </c>
      <c r="G61" s="363">
        <v>6.5100000000000005E-2</v>
      </c>
      <c r="H61" s="153">
        <v>7.7600000000000002E-2</v>
      </c>
      <c r="I61" s="363">
        <v>8.8300000000000003E-2</v>
      </c>
      <c r="J61" s="153">
        <v>8.8300000000000003E-2</v>
      </c>
      <c r="K61" s="363">
        <v>7.8100000000000003E-2</v>
      </c>
      <c r="L61" s="363">
        <v>0.1246</v>
      </c>
      <c r="M61" s="153">
        <v>0.10440000000000001</v>
      </c>
      <c r="N61" s="149">
        <v>7.9799999999999996E-2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907</v>
      </c>
      <c r="B62" s="363">
        <v>8.0254981019515892E-2</v>
      </c>
      <c r="C62" s="363">
        <v>0.14050721769351976</v>
      </c>
      <c r="D62" s="363">
        <v>0.16861651029446265</v>
      </c>
      <c r="E62" s="363">
        <v>0.12265043180290054</v>
      </c>
      <c r="F62" s="363">
        <v>6.9705765064492026E-2</v>
      </c>
      <c r="G62" s="363">
        <v>6.8514002079972963E-2</v>
      </c>
      <c r="H62" s="153">
        <v>7.9394005625740297E-2</v>
      </c>
      <c r="I62" s="363">
        <v>8.2658135272343725E-2</v>
      </c>
      <c r="J62" s="153">
        <v>8.2658135272343725E-2</v>
      </c>
      <c r="K62" s="363">
        <v>9.1661956278837428E-2</v>
      </c>
      <c r="L62" s="363">
        <v>8.9077361996828336E-2</v>
      </c>
      <c r="M62" s="153">
        <v>9.0163447694334944E-2</v>
      </c>
      <c r="N62" s="153">
        <v>8.0153181071118462E-2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908</v>
      </c>
      <c r="B63" s="314">
        <v>9.8199999999999996E-2</v>
      </c>
      <c r="C63" s="363">
        <v>0.14899999999999999</v>
      </c>
      <c r="D63" s="363">
        <v>0.13600000000000001</v>
      </c>
      <c r="E63" s="314">
        <v>0.1187</v>
      </c>
      <c r="F63" s="314">
        <v>6.25E-2</v>
      </c>
      <c r="G63" s="314">
        <v>6.5100000000000005E-2</v>
      </c>
      <c r="H63" s="148">
        <v>7.7600000000000002E-2</v>
      </c>
      <c r="I63" s="314">
        <v>8.8300000000000003E-2</v>
      </c>
      <c r="J63" s="149">
        <v>8.8300000000000003E-2</v>
      </c>
      <c r="K63" s="314">
        <v>7.8100000000000003E-2</v>
      </c>
      <c r="L63" s="314">
        <v>0.1246</v>
      </c>
      <c r="M63" s="149">
        <v>0.10440000000000001</v>
      </c>
      <c r="N63" s="148">
        <v>7.9799999999999996E-2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906</v>
      </c>
      <c r="B66" s="314">
        <v>2.2956731424848449E-3</v>
      </c>
      <c r="C66" s="314">
        <v>3.6081845241800036E-3</v>
      </c>
      <c r="D66" s="314">
        <v>2.7199562772000562E-3</v>
      </c>
      <c r="E66" s="314">
        <v>4.7968798648950943E-3</v>
      </c>
      <c r="F66" s="314">
        <v>3.7872173309496642E-3</v>
      </c>
      <c r="G66" s="314">
        <v>2.5519884047612218E-3</v>
      </c>
      <c r="H66" s="150">
        <v>3.0140857310062292E-3</v>
      </c>
      <c r="I66" s="314">
        <v>2.6342660113051052E-2</v>
      </c>
      <c r="J66" s="150">
        <v>2.6342660113051052E-2</v>
      </c>
      <c r="K66" s="314">
        <v>2.7664450048672435E-3</v>
      </c>
      <c r="L66" s="314">
        <v>7.0395021958684985E-4</v>
      </c>
      <c r="M66" s="150">
        <v>1.6731684412745497E-3</v>
      </c>
      <c r="N66" s="148">
        <v>3.3816860315593737E-3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849</v>
      </c>
      <c r="B67" s="363">
        <v>8.9999999999999998E-4</v>
      </c>
      <c r="C67" s="363">
        <v>3.3E-3</v>
      </c>
      <c r="D67" s="363">
        <v>2.7000000000000001E-3</v>
      </c>
      <c r="E67" s="363">
        <v>3.5999999999999999E-3</v>
      </c>
      <c r="F67" s="363">
        <v>3.3999999999999998E-3</v>
      </c>
      <c r="G67" s="363">
        <v>1.4E-3</v>
      </c>
      <c r="H67" s="153">
        <v>2E-3</v>
      </c>
      <c r="I67" s="363">
        <v>1.44E-2</v>
      </c>
      <c r="J67" s="153">
        <v>1.44E-2</v>
      </c>
      <c r="K67" s="363">
        <v>1.9E-3</v>
      </c>
      <c r="L67" s="363">
        <v>1.2999999999999999E-3</v>
      </c>
      <c r="M67" s="153">
        <v>1.6000000000000001E-3</v>
      </c>
      <c r="N67" s="149">
        <v>2.3E-3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907</v>
      </c>
      <c r="B68" s="314">
        <v>2.2956731424848449E-3</v>
      </c>
      <c r="C68" s="314">
        <v>3.6081845241800036E-3</v>
      </c>
      <c r="D68" s="314">
        <v>2.7199562772000562E-3</v>
      </c>
      <c r="E68" s="314">
        <v>4.7968798648950943E-3</v>
      </c>
      <c r="F68" s="314">
        <v>3.7872173309496642E-3</v>
      </c>
      <c r="G68" s="314">
        <v>2.5519884047612218E-3</v>
      </c>
      <c r="H68" s="153">
        <v>3.0140857310062292E-3</v>
      </c>
      <c r="I68" s="314">
        <v>2.6342660113051052E-2</v>
      </c>
      <c r="J68" s="153">
        <v>2.6342660113051052E-2</v>
      </c>
      <c r="K68" s="314">
        <v>2.7664450048672435E-3</v>
      </c>
      <c r="L68" s="314">
        <v>7.0395021958684985E-4</v>
      </c>
      <c r="M68" s="153">
        <v>1.6731684412745497E-3</v>
      </c>
      <c r="N68" s="153">
        <v>3.3816860315593737E-3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908</v>
      </c>
      <c r="B69" s="314">
        <v>8.9999999999999998E-4</v>
      </c>
      <c r="C69" s="363">
        <v>3.3E-3</v>
      </c>
      <c r="D69" s="363">
        <v>2.7000000000000001E-3</v>
      </c>
      <c r="E69" s="314">
        <v>3.5999999999999999E-3</v>
      </c>
      <c r="F69" s="314">
        <v>3.3999999999999998E-3</v>
      </c>
      <c r="G69" s="314">
        <v>1.4E-3</v>
      </c>
      <c r="H69" s="148">
        <v>2E-3</v>
      </c>
      <c r="I69" s="314">
        <v>1.44E-2</v>
      </c>
      <c r="J69" s="149">
        <v>1.44E-2</v>
      </c>
      <c r="K69" s="314">
        <v>1.9E-3</v>
      </c>
      <c r="L69" s="314">
        <v>1.2999999999999999E-3</v>
      </c>
      <c r="M69" s="149">
        <v>1.6000000000000001E-3</v>
      </c>
      <c r="N69" s="148">
        <v>2.3E-3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906</v>
      </c>
      <c r="B74" s="314">
        <v>0.63171381166927787</v>
      </c>
      <c r="C74" s="314">
        <v>0.75096954816849637</v>
      </c>
      <c r="D74" s="314">
        <v>0.84480001748173972</v>
      </c>
      <c r="E74" s="314">
        <v>0.69081189360411377</v>
      </c>
      <c r="F74" s="314">
        <v>0.6962024059357329</v>
      </c>
      <c r="G74" s="314">
        <v>0.59960177041482254</v>
      </c>
      <c r="H74" s="150">
        <v>0.65860768015954962</v>
      </c>
      <c r="I74" s="314">
        <v>0.6407095504993805</v>
      </c>
      <c r="J74" s="150">
        <v>0.6407095504993805</v>
      </c>
      <c r="K74" s="314">
        <v>0.82700997634217477</v>
      </c>
      <c r="L74" s="314">
        <v>0.86050354394051398</v>
      </c>
      <c r="M74" s="150">
        <v>0.84253089736700704</v>
      </c>
      <c r="N74" s="148">
        <v>0.66970825272830459</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849</v>
      </c>
      <c r="B75" s="363">
        <v>0.69684062972810035</v>
      </c>
      <c r="C75" s="363">
        <v>0.71195144781767705</v>
      </c>
      <c r="D75" s="363">
        <v>0.94574500235952674</v>
      </c>
      <c r="E75" s="363">
        <v>0.67568079279978199</v>
      </c>
      <c r="F75" s="363">
        <v>0.68421469081350794</v>
      </c>
      <c r="G75" s="363">
        <v>0.61388294734211168</v>
      </c>
      <c r="H75" s="153">
        <v>0.67165360503231919</v>
      </c>
      <c r="I75" s="363">
        <v>0.51332688758976308</v>
      </c>
      <c r="J75" s="153">
        <v>0.51332688758976308</v>
      </c>
      <c r="K75" s="363">
        <v>0.89724683758371104</v>
      </c>
      <c r="L75" s="363">
        <v>0.62650428593755636</v>
      </c>
      <c r="M75" s="153">
        <v>0.73900120159369265</v>
      </c>
      <c r="N75" s="149">
        <v>0.67224302097871846</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907</v>
      </c>
      <c r="B76" s="314">
        <v>0.63171381166927787</v>
      </c>
      <c r="C76" s="363">
        <v>0.75096954816849637</v>
      </c>
      <c r="D76" s="363">
        <v>0.84480001748173972</v>
      </c>
      <c r="E76" s="314">
        <v>0.69081189360411377</v>
      </c>
      <c r="F76" s="314">
        <v>0.6962024059357329</v>
      </c>
      <c r="G76" s="314">
        <v>0.59960177041482254</v>
      </c>
      <c r="H76" s="148">
        <v>0.65860768015954962</v>
      </c>
      <c r="I76" s="314">
        <v>0.6407095504993805</v>
      </c>
      <c r="J76" s="149">
        <v>0.6407095504993805</v>
      </c>
      <c r="K76" s="314">
        <v>0.82700997634217477</v>
      </c>
      <c r="L76" s="314">
        <v>0.86050354394051398</v>
      </c>
      <c r="M76" s="149">
        <v>0.84253089736700704</v>
      </c>
      <c r="N76" s="148">
        <v>0.66970825272830459</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908</v>
      </c>
      <c r="B77" s="363">
        <v>0.69684062972810035</v>
      </c>
      <c r="C77" s="363">
        <v>0.71195144781767705</v>
      </c>
      <c r="D77" s="364">
        <v>0.94574500235952674</v>
      </c>
      <c r="E77" s="363">
        <v>0.67568079279978199</v>
      </c>
      <c r="F77" s="363">
        <v>0.68421469081350794</v>
      </c>
      <c r="G77" s="363">
        <v>0.61388294734211168</v>
      </c>
      <c r="H77" s="153">
        <v>0.67165360503231919</v>
      </c>
      <c r="I77" s="363">
        <v>0.51332688758976308</v>
      </c>
      <c r="J77" s="153">
        <v>0.51332688758976308</v>
      </c>
      <c r="K77" s="363">
        <v>0.89724683758371104</v>
      </c>
      <c r="L77" s="363">
        <v>0.62650428593755636</v>
      </c>
      <c r="M77" s="153">
        <v>0.73900120159369265</v>
      </c>
      <c r="N77" s="153">
        <v>0.67224302097871846</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906</v>
      </c>
      <c r="B80" s="1032">
        <v>2743.6630001044382</v>
      </c>
      <c r="C80" s="1032">
        <v>1235.9429228169013</v>
      </c>
      <c r="D80" s="1032">
        <v>1848.2145910636521</v>
      </c>
      <c r="E80" s="1032">
        <v>1978.7391742195368</v>
      </c>
      <c r="F80" s="1032">
        <v>1957.9411122838135</v>
      </c>
      <c r="G80" s="1032">
        <v>2882.3456561890976</v>
      </c>
      <c r="H80" s="971">
        <v>2297.7840416091813</v>
      </c>
      <c r="I80" s="1032">
        <v>3198.9736374193544</v>
      </c>
      <c r="J80" s="379">
        <v>3198.9736374193544</v>
      </c>
      <c r="K80" s="1053">
        <v>8409.3684210526317</v>
      </c>
      <c r="L80" s="1032">
        <v>3049.3259668508285</v>
      </c>
      <c r="M80" s="183">
        <v>4634.3968871595334</v>
      </c>
      <c r="N80" s="971">
        <v>2386.8161680075441</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849</v>
      </c>
      <c r="B81" s="1032">
        <v>2338.98</v>
      </c>
      <c r="C81" s="1032">
        <v>1185.27</v>
      </c>
      <c r="D81" s="1032">
        <v>1402.83</v>
      </c>
      <c r="E81" s="1032">
        <v>1829.35</v>
      </c>
      <c r="F81" s="1032">
        <v>1957.11</v>
      </c>
      <c r="G81" s="1032">
        <v>2597.12</v>
      </c>
      <c r="H81" s="379">
        <v>2100.09</v>
      </c>
      <c r="I81" s="374">
        <v>3691.84</v>
      </c>
      <c r="J81" s="379">
        <v>3691.84</v>
      </c>
      <c r="K81" s="1053">
        <v>6224.42</v>
      </c>
      <c r="L81" s="1032">
        <v>3696.84</v>
      </c>
      <c r="M81" s="183">
        <v>4447.22</v>
      </c>
      <c r="N81" s="379">
        <v>2201.19</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907</v>
      </c>
      <c r="B82" s="1032">
        <v>2743.6630001044382</v>
      </c>
      <c r="C82" s="1032">
        <v>1235.9429228169013</v>
      </c>
      <c r="D82" s="1032">
        <v>1848.2145910636521</v>
      </c>
      <c r="E82" s="1032">
        <v>1978.7391742195368</v>
      </c>
      <c r="F82" s="1032">
        <v>1957.9411122838135</v>
      </c>
      <c r="G82" s="1032">
        <v>2882.3456561890976</v>
      </c>
      <c r="H82" s="971">
        <v>2297.7840416091813</v>
      </c>
      <c r="I82" s="1032">
        <v>3198.9736374193544</v>
      </c>
      <c r="J82" s="379">
        <v>3198.9736374193544</v>
      </c>
      <c r="K82" s="1053">
        <v>8409.3684210526317</v>
      </c>
      <c r="L82" s="1032">
        <v>3049.3259668508285</v>
      </c>
      <c r="M82" s="183">
        <v>4634.3968871595334</v>
      </c>
      <c r="N82" s="971">
        <v>2386.8161680075441</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908</v>
      </c>
      <c r="B83" s="375">
        <v>2238.98</v>
      </c>
      <c r="C83" s="375">
        <v>1185.27</v>
      </c>
      <c r="D83" s="375">
        <v>1402.83</v>
      </c>
      <c r="E83" s="375">
        <v>1829.35</v>
      </c>
      <c r="F83" s="375">
        <v>1957.11</v>
      </c>
      <c r="G83" s="1306">
        <v>2597.12</v>
      </c>
      <c r="H83" s="646">
        <v>2100.09</v>
      </c>
      <c r="I83" s="1307">
        <v>3691.84</v>
      </c>
      <c r="J83" s="646">
        <v>3691.84</v>
      </c>
      <c r="K83" s="375">
        <v>6224.42</v>
      </c>
      <c r="L83" s="1306">
        <v>3696.84</v>
      </c>
      <c r="M83" s="646">
        <v>4447.22</v>
      </c>
      <c r="N83" s="1030">
        <v>2201.19</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5.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16"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884</v>
      </c>
      <c r="B10" s="363">
        <v>6.3061704281495462E-2</v>
      </c>
      <c r="C10" s="363">
        <v>7.1994264930183655E-2</v>
      </c>
      <c r="D10" s="363">
        <v>3.7951487304603577E-2</v>
      </c>
      <c r="E10" s="363">
        <v>8.4552727853309542E-2</v>
      </c>
      <c r="F10" s="363">
        <v>7.3563098542078972E-2</v>
      </c>
      <c r="G10" s="363">
        <v>8.8430520566546489E-2</v>
      </c>
      <c r="H10" s="150">
        <v>7.552922872221414E-2</v>
      </c>
      <c r="I10" s="363">
        <v>0.10472086951684068</v>
      </c>
      <c r="J10" s="150">
        <v>0.10472086951684068</v>
      </c>
      <c r="K10" s="363">
        <v>4.4559653645391252E-2</v>
      </c>
      <c r="L10" s="363">
        <v>4.4255872232356712E-2</v>
      </c>
      <c r="M10" s="150">
        <v>4.4401071881261592E-2</v>
      </c>
      <c r="N10" s="148">
        <v>7.4255460391256217E-2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840</v>
      </c>
      <c r="B11" s="314">
        <v>5.2669736823670869E-2</v>
      </c>
      <c r="C11" s="363">
        <v>3.3013247238037392E-3</v>
      </c>
      <c r="D11" s="363">
        <v>-6.9479205357430115E-2</v>
      </c>
      <c r="E11" s="314">
        <v>7.9254753255018434E-2</v>
      </c>
      <c r="F11" s="314">
        <v>6.5225071101102067E-2</v>
      </c>
      <c r="G11" s="314">
        <v>8.140650062483315E-2</v>
      </c>
      <c r="H11" s="148">
        <v>6.4606202076634686E-2</v>
      </c>
      <c r="I11" s="314">
        <v>9.7404893290136296E-2</v>
      </c>
      <c r="J11" s="148">
        <v>9.7404893290136296E-2</v>
      </c>
      <c r="K11" s="314">
        <v>4.1784240476476567E-2</v>
      </c>
      <c r="L11" s="314">
        <v>4.1194093535387451E-2</v>
      </c>
      <c r="M11" s="148">
        <v>4.1506720745132883E-2</v>
      </c>
      <c r="N11" s="148">
        <v>6.4009624424137074E-2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884</v>
      </c>
      <c r="B14" s="363">
        <v>0.82097931468806085</v>
      </c>
      <c r="C14" s="363">
        <v>0.8553362319750013</v>
      </c>
      <c r="D14" s="363">
        <v>0.87945242359923315</v>
      </c>
      <c r="E14" s="363">
        <v>0.84740735401513245</v>
      </c>
      <c r="F14" s="363">
        <v>0.81832087329158187</v>
      </c>
      <c r="G14" s="363">
        <v>0.8521191570565092</v>
      </c>
      <c r="H14" s="150">
        <v>0.83435756029461461</v>
      </c>
      <c r="I14" s="363">
        <v>0.66193029691349914</v>
      </c>
      <c r="J14" s="150">
        <v>0.66193029691349914</v>
      </c>
      <c r="K14" s="363">
        <v>0.78551545655783683</v>
      </c>
      <c r="L14" s="363">
        <v>0.8078899525479466</v>
      </c>
      <c r="M14" s="150">
        <v>0.79719552286005047</v>
      </c>
      <c r="N14" s="148">
        <v>0.82785351248968286</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840</v>
      </c>
      <c r="B15" s="314">
        <v>0.88007673151203025</v>
      </c>
      <c r="C15" s="363">
        <v>0.87213099354355861</v>
      </c>
      <c r="D15" s="363">
        <v>0.98577651708481884</v>
      </c>
      <c r="E15" s="314">
        <v>0.83951833682479915</v>
      </c>
      <c r="F15" s="314">
        <v>0.84174470003594482</v>
      </c>
      <c r="G15" s="314">
        <v>0.86936858467587175</v>
      </c>
      <c r="H15" s="148">
        <v>0.8647728542368357</v>
      </c>
      <c r="I15" s="314">
        <v>0.75895021477154923</v>
      </c>
      <c r="J15" s="148">
        <v>0.75895021477154923</v>
      </c>
      <c r="K15" s="314">
        <v>0.84947318205214195</v>
      </c>
      <c r="L15" s="314">
        <v>0.84207284267953841</v>
      </c>
      <c r="M15" s="148">
        <v>0.84599313318372482</v>
      </c>
      <c r="N15" s="148">
        <v>0.86093921561972786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884</v>
      </c>
      <c r="B20" s="363">
        <v>2.1136775959121737E-2</v>
      </c>
      <c r="C20" s="363">
        <v>0.33980200018249962</v>
      </c>
      <c r="D20" s="363">
        <v>0.14983205014280504</v>
      </c>
      <c r="E20" s="363">
        <v>6.88337422254502E-3</v>
      </c>
      <c r="F20" s="363">
        <v>8.4593524315222674E-3</v>
      </c>
      <c r="G20" s="363">
        <v>1.8448803603614149E-3</v>
      </c>
      <c r="H20" s="150">
        <v>2.0088749612556519E-2</v>
      </c>
      <c r="I20" s="363">
        <v>6.9668243389532911E-2</v>
      </c>
      <c r="J20" s="150">
        <v>6.9668243389532911E-2</v>
      </c>
      <c r="K20" s="363">
        <v>2.1383049315746909E-2</v>
      </c>
      <c r="L20" s="363">
        <v>8.0917485047803717E-2</v>
      </c>
      <c r="M20" s="150">
        <v>5.8951118903664314E-2</v>
      </c>
      <c r="N20" s="148">
        <v>2.4348233211914871E-2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840</v>
      </c>
      <c r="B21" s="314">
        <v>2.250378175349875E-2</v>
      </c>
      <c r="C21" s="363">
        <v>0.30632818111126214</v>
      </c>
      <c r="D21" s="363">
        <v>2.6702420605065683E-2</v>
      </c>
      <c r="E21" s="314">
        <v>6.0281961910442512E-3</v>
      </c>
      <c r="F21" s="314">
        <v>1.5073409300106743E-2</v>
      </c>
      <c r="G21" s="314">
        <v>2.5836322998953882E-3</v>
      </c>
      <c r="H21" s="148">
        <v>1.8517675657580994E-2</v>
      </c>
      <c r="I21" s="314">
        <v>5.8063921735295086E-2</v>
      </c>
      <c r="J21" s="148">
        <v>5.8063921735295086E-2</v>
      </c>
      <c r="K21" s="1414">
        <v>0</v>
      </c>
      <c r="L21" s="314">
        <v>0.12749213522542441</v>
      </c>
      <c r="M21" s="148">
        <v>7.4295907094771532E-2</v>
      </c>
      <c r="N21" s="148">
        <v>2.4200329348311928E-2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884</v>
      </c>
      <c r="B25" s="363">
        <v>0.68482401242595325</v>
      </c>
      <c r="C25" s="363">
        <v>0.68454088476317043</v>
      </c>
      <c r="D25" s="363">
        <v>7.0100516283443243E-2</v>
      </c>
      <c r="E25" s="363">
        <v>0.85436685231654319</v>
      </c>
      <c r="F25" s="363">
        <v>1.9124052382488508</v>
      </c>
      <c r="G25" s="363">
        <v>2.6709495600787991</v>
      </c>
      <c r="H25" s="150">
        <v>0.81131205936338668</v>
      </c>
      <c r="I25" s="363">
        <v>0.39655318884680313</v>
      </c>
      <c r="J25" s="150">
        <v>0.39655318884680313</v>
      </c>
      <c r="K25" s="363">
        <v>0.91417975719833466</v>
      </c>
      <c r="L25" s="363">
        <v>0.45626990004703033</v>
      </c>
      <c r="M25" s="150">
        <v>0.51755396357166272</v>
      </c>
      <c r="N25" s="150">
        <v>0.72189271345479644</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840</v>
      </c>
      <c r="B26" s="314">
        <v>1.312977127654505</v>
      </c>
      <c r="C26" s="363">
        <v>0.89334788653841624</v>
      </c>
      <c r="D26" s="363">
        <v>1.2885172502918723</v>
      </c>
      <c r="E26" s="314">
        <v>1.1623702040652688</v>
      </c>
      <c r="F26" s="314">
        <v>1.2322488431461607</v>
      </c>
      <c r="G26" s="314">
        <v>1.2760734157295166</v>
      </c>
      <c r="H26" s="148">
        <v>1.1056620010890224</v>
      </c>
      <c r="I26" s="314">
        <v>0.58729845105705603</v>
      </c>
      <c r="J26" s="148">
        <v>0.58729845105705603</v>
      </c>
      <c r="K26" s="374">
        <v>0</v>
      </c>
      <c r="L26" s="314">
        <v>0.59813389818737417</v>
      </c>
      <c r="M26" s="148">
        <v>0.71112438363775266</v>
      </c>
      <c r="N26" s="148">
        <v>0.96657730338067271</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884</v>
      </c>
      <c r="B30" s="363">
        <v>2.5466176311762241E-2</v>
      </c>
      <c r="C30" s="363">
        <v>0.78021680355315493</v>
      </c>
      <c r="D30" s="363">
        <v>1.3007106393281198</v>
      </c>
      <c r="E30" s="363">
        <v>5.4528975751277292E-3</v>
      </c>
      <c r="F30" s="363">
        <v>-4.2320293954818684E-2</v>
      </c>
      <c r="G30" s="363">
        <v>-1.3086362435766703E-2</v>
      </c>
      <c r="H30" s="150">
        <v>1.7837350846472498E-2</v>
      </c>
      <c r="I30" s="363">
        <v>0.24645520594133533</v>
      </c>
      <c r="J30" s="150">
        <v>0.24645520594133533</v>
      </c>
      <c r="K30" s="363">
        <v>1.0314827196158326E-2</v>
      </c>
      <c r="L30" s="363">
        <v>0.38991704140176769</v>
      </c>
      <c r="M30" s="150">
        <v>0.20782898624975543</v>
      </c>
      <c r="N30" s="148">
        <v>3.2799007361478713E-2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840</v>
      </c>
      <c r="B31" s="363">
        <v>-2.1023748538564913E-2</v>
      </c>
      <c r="C31" s="363">
        <v>5.6511865138428883</v>
      </c>
      <c r="D31" s="363">
        <v>4.8540959506853637E-2</v>
      </c>
      <c r="E31" s="363">
        <v>-5.420279070763416E-3</v>
      </c>
      <c r="F31" s="363">
        <v>-1.9334169306543664E-2</v>
      </c>
      <c r="G31" s="363">
        <v>-2.824560966788583E-3</v>
      </c>
      <c r="H31" s="150">
        <v>-9.1530423262672599E-3</v>
      </c>
      <c r="I31" s="363">
        <v>0.12347074373197214</v>
      </c>
      <c r="J31" s="150">
        <v>0.12347074373197214</v>
      </c>
      <c r="K31" s="363">
        <v>-0.13966075214819776</v>
      </c>
      <c r="L31" s="363">
        <v>0.56757642189101576</v>
      </c>
      <c r="M31" s="150">
        <v>0.1904162861334853</v>
      </c>
      <c r="N31" s="148">
        <v>3.9342742841683084E-3</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885</v>
      </c>
      <c r="B35" s="314">
        <v>9.6683340724900545E-3</v>
      </c>
      <c r="C35" s="363">
        <v>-4.1103485896386302E-3</v>
      </c>
      <c r="D35" s="364">
        <v>4.6134199921076667E-2</v>
      </c>
      <c r="E35" s="314">
        <v>1.6817301247975334E-2</v>
      </c>
      <c r="F35" s="314">
        <v>1.0599173196819772E-2</v>
      </c>
      <c r="G35" s="314">
        <v>3.2734165068634906E-2</v>
      </c>
      <c r="H35" s="148">
        <v>1.8759847196948665E-2</v>
      </c>
      <c r="I35" s="314">
        <v>1.6244697430057031E-2</v>
      </c>
      <c r="J35" s="149">
        <v>1.6244697430057031E-2</v>
      </c>
      <c r="K35" s="314">
        <v>-9.7048421314822296E-3</v>
      </c>
      <c r="L35" s="314">
        <v>-1.3524875672847176E-2</v>
      </c>
      <c r="M35" s="149">
        <v>-1.1614611932214847E-2</v>
      </c>
      <c r="N35" s="148">
        <v>1.6612970827087986E-2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841</v>
      </c>
      <c r="B36" s="314">
        <v>3.5999999999999999E-3</v>
      </c>
      <c r="C36" s="363">
        <v>1.8200000000000001E-2</v>
      </c>
      <c r="D36" s="363">
        <v>-1.1999999999999999E-3</v>
      </c>
      <c r="E36" s="314">
        <v>2.01E-2</v>
      </c>
      <c r="F36" s="314">
        <v>8.8999999999999999E-3</v>
      </c>
      <c r="G36" s="314">
        <v>3.39E-2</v>
      </c>
      <c r="H36" s="148">
        <v>1.6199999999999999E-2</v>
      </c>
      <c r="I36" s="314">
        <v>1.2200000000000001E-2</v>
      </c>
      <c r="J36" s="149">
        <v>1.2200000000000001E-2</v>
      </c>
      <c r="K36" s="314">
        <v>1.6000000000000001E-3</v>
      </c>
      <c r="L36" s="314">
        <v>-8.2000000000000007E-3</v>
      </c>
      <c r="M36" s="149">
        <v>-3.0999999999999999E-3</v>
      </c>
      <c r="N36" s="148">
        <v>1.49E-2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886</v>
      </c>
      <c r="B37" s="314">
        <v>1.0369323065274858E-2</v>
      </c>
      <c r="C37" s="314">
        <v>1.2900300422932586E-2</v>
      </c>
      <c r="D37" s="314">
        <v>1.0619770909858391E-2</v>
      </c>
      <c r="E37" s="314">
        <v>1.9688930593089224E-2</v>
      </c>
      <c r="F37" s="314">
        <v>1.0733247409257412E-2</v>
      </c>
      <c r="G37" s="314">
        <v>2.4032051220887769E-2</v>
      </c>
      <c r="H37" s="153">
        <v>1.5729636818717588E-2</v>
      </c>
      <c r="I37" s="314">
        <v>1.2959608702168971E-2</v>
      </c>
      <c r="J37" s="153">
        <v>1.2959608702168971E-2</v>
      </c>
      <c r="K37" s="314">
        <v>-2.6665718552229252E-4</v>
      </c>
      <c r="L37" s="314">
        <v>1.4748598936002231E-2</v>
      </c>
      <c r="M37" s="153">
        <v>7.1944904456044097E-3</v>
      </c>
      <c r="N37" s="153">
        <v>1.5127025130990981E-2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842</v>
      </c>
      <c r="B38" s="314">
        <v>1.03E-2</v>
      </c>
      <c r="C38" s="363">
        <v>1.3899999999999999E-2</v>
      </c>
      <c r="D38" s="363">
        <v>-7.1000000000000004E-3</v>
      </c>
      <c r="E38" s="314">
        <v>2.07E-2</v>
      </c>
      <c r="F38" s="314">
        <v>8.6999999999999994E-3</v>
      </c>
      <c r="G38" s="314">
        <v>2.3E-2</v>
      </c>
      <c r="H38" s="148">
        <v>1.4500000000000001E-2</v>
      </c>
      <c r="I38" s="314">
        <v>1.23E-2</v>
      </c>
      <c r="J38" s="149">
        <v>1.23E-2</v>
      </c>
      <c r="K38" s="314">
        <v>2.3E-3</v>
      </c>
      <c r="L38" s="314">
        <v>7.7999999999999996E-3</v>
      </c>
      <c r="M38" s="149">
        <v>4.8999999999999998E-3</v>
      </c>
      <c r="N38" s="148">
        <v>1.38E-2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885</v>
      </c>
      <c r="B41" s="314">
        <v>0.15194541925191846</v>
      </c>
      <c r="C41" s="363">
        <v>-9.1707061111349325E-2</v>
      </c>
      <c r="D41" s="364">
        <v>1.3791513507558417</v>
      </c>
      <c r="E41" s="314">
        <v>0.20697852936122899</v>
      </c>
      <c r="F41" s="314">
        <v>0.14801014307543239</v>
      </c>
      <c r="G41" s="314">
        <v>0.37680972673219387</v>
      </c>
      <c r="H41" s="148">
        <v>0.25410697984499642</v>
      </c>
      <c r="I41" s="314">
        <v>0.15754122002382304</v>
      </c>
      <c r="J41" s="149">
        <v>0.15754122002382304</v>
      </c>
      <c r="K41" s="314">
        <v>-0.23939985748052678</v>
      </c>
      <c r="L41" s="314">
        <v>-0.29685038938347463</v>
      </c>
      <c r="M41" s="149">
        <v>-0.26979725325839521</v>
      </c>
      <c r="N41" s="148">
        <v>0.2294032467914294</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841</v>
      </c>
      <c r="B42" s="314">
        <v>7.0099999999999996E-2</v>
      </c>
      <c r="C42" s="363">
        <v>2.81</v>
      </c>
      <c r="D42" s="363">
        <v>1.7999999999999999E-2</v>
      </c>
      <c r="E42" s="314">
        <v>0.25840000000000002</v>
      </c>
      <c r="F42" s="314">
        <v>0.1363</v>
      </c>
      <c r="G42" s="314">
        <v>0.41689999999999999</v>
      </c>
      <c r="H42" s="148">
        <v>0.25480000000000003</v>
      </c>
      <c r="I42" s="314">
        <v>0.12609999999999999</v>
      </c>
      <c r="J42" s="149">
        <v>0.12609999999999999</v>
      </c>
      <c r="K42" s="314">
        <v>3.9399999999999998E-2</v>
      </c>
      <c r="L42" s="314">
        <v>-0.185</v>
      </c>
      <c r="M42" s="149">
        <v>-7.2499999999999995E-2</v>
      </c>
      <c r="N42" s="148">
        <v>0.2361</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886</v>
      </c>
      <c r="B43" s="314">
        <v>0.17901364482309468</v>
      </c>
      <c r="C43" s="314">
        <v>0.30696032540925366</v>
      </c>
      <c r="D43" s="314">
        <v>-1.0523957400851942</v>
      </c>
      <c r="E43" s="314">
        <v>0.24003960638072622</v>
      </c>
      <c r="F43" s="314">
        <v>0.15453267255859063</v>
      </c>
      <c r="G43" s="314">
        <v>0.28298023812009088</v>
      </c>
      <c r="H43" s="153">
        <v>0.22422571176636202</v>
      </c>
      <c r="I43" s="314">
        <v>0.12827717051344426</v>
      </c>
      <c r="J43" s="153">
        <v>0.12827717051344426</v>
      </c>
      <c r="K43" s="314">
        <v>-6.180981692824326E-3</v>
      </c>
      <c r="L43" s="314">
        <v>0.34419264670539412</v>
      </c>
      <c r="M43" s="153">
        <v>0.16732695730491287</v>
      </c>
      <c r="N43" s="153">
        <v>0.21856062469687987</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842</v>
      </c>
      <c r="B44" s="314">
        <v>0.1976</v>
      </c>
      <c r="C44" s="363">
        <v>4.7069000000000001</v>
      </c>
      <c r="D44" s="363">
        <v>0.1153</v>
      </c>
      <c r="E44" s="314">
        <v>0.26379999999999998</v>
      </c>
      <c r="F44" s="314">
        <v>0.13900000000000001</v>
      </c>
      <c r="G44" s="314">
        <v>0.2878</v>
      </c>
      <c r="H44" s="148">
        <v>0.22839999999999999</v>
      </c>
      <c r="I44" s="314">
        <v>0.12379999999999999</v>
      </c>
      <c r="J44" s="149">
        <v>0.12379999999999999</v>
      </c>
      <c r="K44" s="314">
        <v>5.5599999999999997E-2</v>
      </c>
      <c r="L44" s="314">
        <v>0.17649999999999999</v>
      </c>
      <c r="M44" s="149">
        <v>0.11409999999999999</v>
      </c>
      <c r="N44" s="148">
        <v>0.21929999999999999</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885</v>
      </c>
      <c r="B48" s="314">
        <v>0.9583423729410312</v>
      </c>
      <c r="C48" s="314">
        <v>0.90003957904365117</v>
      </c>
      <c r="D48" s="314">
        <v>0.95476252528369809</v>
      </c>
      <c r="E48" s="314">
        <v>0.93297282008458371</v>
      </c>
      <c r="F48" s="314">
        <v>0.90638320326946087</v>
      </c>
      <c r="G48" s="314">
        <v>0.92285423693392887</v>
      </c>
      <c r="H48" s="150">
        <v>0.92914578912786328</v>
      </c>
      <c r="I48" s="314">
        <v>0.79707905860901673</v>
      </c>
      <c r="J48" s="150">
        <v>0.79707905860901673</v>
      </c>
      <c r="K48" s="314">
        <v>0.92512658048821883</v>
      </c>
      <c r="L48" s="314">
        <v>0.97883750670351888</v>
      </c>
      <c r="M48" s="150">
        <v>0.95618774974652587</v>
      </c>
      <c r="N48" s="148">
        <v>0.92480086583636534</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841</v>
      </c>
      <c r="B49" s="363">
        <v>0.94688451593676748</v>
      </c>
      <c r="C49" s="363">
        <v>0.95221133771652522</v>
      </c>
      <c r="D49" s="363">
        <v>0.95345384207376882</v>
      </c>
      <c r="E49" s="363">
        <v>0.9477186239584362</v>
      </c>
      <c r="F49" s="363">
        <v>0.90673651070038674</v>
      </c>
      <c r="G49" s="363">
        <v>0.94116067019208827</v>
      </c>
      <c r="H49" s="153">
        <v>0.93352815710203163</v>
      </c>
      <c r="I49" s="363">
        <v>0.78412354141646545</v>
      </c>
      <c r="J49" s="153">
        <v>0.78412354141646545</v>
      </c>
      <c r="K49" s="363">
        <v>0.90974717659137572</v>
      </c>
      <c r="L49" s="363">
        <v>0.96651954352061709</v>
      </c>
      <c r="M49" s="153">
        <v>0.94479905727542779</v>
      </c>
      <c r="N49" s="149">
        <v>0.92694753737652802</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886</v>
      </c>
      <c r="B50" s="314">
        <v>0.96016938902597038</v>
      </c>
      <c r="C50" s="363">
        <v>0.93689195070769515</v>
      </c>
      <c r="D50" s="363">
        <v>0.95742562844896062</v>
      </c>
      <c r="E50" s="314">
        <v>0.93866045591981351</v>
      </c>
      <c r="F50" s="314">
        <v>0.90744446037771764</v>
      </c>
      <c r="G50" s="314">
        <v>0.93784710457778508</v>
      </c>
      <c r="H50" s="148">
        <v>0.93443968349975648</v>
      </c>
      <c r="I50" s="314">
        <v>0.78617883557363777</v>
      </c>
      <c r="J50" s="149">
        <v>0.78617883557363777</v>
      </c>
      <c r="K50" s="314">
        <v>0.92861559501553104</v>
      </c>
      <c r="L50" s="314">
        <v>0.97915771756186931</v>
      </c>
      <c r="M50" s="149">
        <v>0.9601541537544207</v>
      </c>
      <c r="N50" s="148">
        <v>0.92956072289438285</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842</v>
      </c>
      <c r="B51" s="314">
        <v>0.94424737315063811</v>
      </c>
      <c r="C51" s="363">
        <v>0.95828103769393524</v>
      </c>
      <c r="D51" s="363">
        <v>0.9551556293214003</v>
      </c>
      <c r="E51" s="314">
        <v>0.95039151341540307</v>
      </c>
      <c r="F51" s="314">
        <v>0.89777377239403633</v>
      </c>
      <c r="G51" s="314">
        <v>0.94119596326687993</v>
      </c>
      <c r="H51" s="153">
        <v>0.93070814953392511</v>
      </c>
      <c r="I51" s="314">
        <v>0.77173077056841133</v>
      </c>
      <c r="J51" s="153">
        <v>0.77173077056841133</v>
      </c>
      <c r="K51" s="314">
        <v>0.920714081282198</v>
      </c>
      <c r="L51" s="314">
        <v>0.96556672130758081</v>
      </c>
      <c r="M51" s="153">
        <v>0.94766792776072528</v>
      </c>
      <c r="N51" s="153">
        <v>0.92438167200939558</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885</v>
      </c>
      <c r="B54" s="314">
        <v>8.3394263506516145E-2</v>
      </c>
      <c r="C54" s="314">
        <v>7.515286453569972E-2</v>
      </c>
      <c r="D54" s="314">
        <v>0.14705375029874362</v>
      </c>
      <c r="E54" s="314">
        <v>0.12060543251251825</v>
      </c>
      <c r="F54" s="314">
        <v>6.4236711632442003E-2</v>
      </c>
      <c r="G54" s="314">
        <v>6.8772903387132128E-2</v>
      </c>
      <c r="H54" s="150">
        <v>7.6449887707443057E-2</v>
      </c>
      <c r="I54" s="314">
        <v>9.0393989718769094E-2</v>
      </c>
      <c r="J54" s="149">
        <v>9.0393989718769094E-2</v>
      </c>
      <c r="K54" s="314">
        <v>9.3709748633284615E-2</v>
      </c>
      <c r="L54" s="314">
        <v>8.331847768477936E-2</v>
      </c>
      <c r="M54" s="150">
        <v>8.7346672203596543E-2</v>
      </c>
      <c r="N54" s="148">
        <v>7.7693348240470167E-2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841</v>
      </c>
      <c r="B55" s="363">
        <v>9.3200000000000005E-2</v>
      </c>
      <c r="C55" s="363">
        <v>0.1022</v>
      </c>
      <c r="D55" s="363">
        <v>0.1323</v>
      </c>
      <c r="E55" s="363">
        <v>0.1245</v>
      </c>
      <c r="F55" s="363">
        <v>5.79E-2</v>
      </c>
      <c r="G55" s="363">
        <v>6.6000000000000003E-2</v>
      </c>
      <c r="H55" s="153">
        <v>7.5399999999999995E-2</v>
      </c>
      <c r="I55" s="363">
        <v>8.8499999999999995E-2</v>
      </c>
      <c r="J55" s="153">
        <v>8.8499999999999995E-2</v>
      </c>
      <c r="K55" s="363">
        <v>7.4200000000000002E-2</v>
      </c>
      <c r="L55" s="363">
        <v>8.8800000000000004E-2</v>
      </c>
      <c r="M55" s="153">
        <v>8.2600000000000007E-2</v>
      </c>
      <c r="N55" s="149">
        <v>7.6499999999999999E-2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886</v>
      </c>
      <c r="B56" s="363">
        <v>8.8584355267926684E-2</v>
      </c>
      <c r="C56" s="363">
        <v>9.6582146461069288E-2</v>
      </c>
      <c r="D56" s="363">
        <v>0.13465427128983312</v>
      </c>
      <c r="E56" s="363">
        <v>0.12119184212045712</v>
      </c>
      <c r="F56" s="363">
        <v>6.3648972587482172E-2</v>
      </c>
      <c r="G56" s="363">
        <v>6.3770361358319164E-2</v>
      </c>
      <c r="H56" s="153">
        <v>7.5411731087099476E-2</v>
      </c>
      <c r="I56" s="363">
        <v>8.8521681635059496E-2</v>
      </c>
      <c r="J56" s="153">
        <v>8.8521681635059496E-2</v>
      </c>
      <c r="K56" s="363">
        <v>8.6999145912243919E-2</v>
      </c>
      <c r="L56" s="363">
        <v>9.8499755221483298E-2</v>
      </c>
      <c r="M56" s="153">
        <v>9.3969372261784784E-2</v>
      </c>
      <c r="N56" s="153">
        <v>7.7143708351074286E-2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842</v>
      </c>
      <c r="B57" s="314">
        <v>0.1159</v>
      </c>
      <c r="C57" s="363">
        <v>0.126</v>
      </c>
      <c r="D57" s="363">
        <v>0.1358</v>
      </c>
      <c r="E57" s="314">
        <v>0.129</v>
      </c>
      <c r="F57" s="314">
        <v>5.8000000000000003E-2</v>
      </c>
      <c r="G57" s="314">
        <v>6.6900000000000001E-2</v>
      </c>
      <c r="H57" s="148">
        <v>7.9500000000000001E-2</v>
      </c>
      <c r="I57" s="314">
        <v>8.7999999999999995E-2</v>
      </c>
      <c r="J57" s="149">
        <v>8.7999999999999995E-2</v>
      </c>
      <c r="K57" s="314">
        <v>8.0399999999999999E-2</v>
      </c>
      <c r="L57" s="314">
        <v>9.7500000000000003E-2</v>
      </c>
      <c r="M57" s="149">
        <v>8.9800000000000005E-2</v>
      </c>
      <c r="N57" s="148">
        <v>8.0699999999999994E-2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885</v>
      </c>
      <c r="B60" s="363">
        <v>8.5301663283040077E-2</v>
      </c>
      <c r="C60" s="363">
        <v>0.10737433961863577</v>
      </c>
      <c r="D60" s="363">
        <v>0.16017005857606614</v>
      </c>
      <c r="E60" s="363">
        <v>0.1215299525110268</v>
      </c>
      <c r="F60" s="363">
        <v>6.5609136474807497E-2</v>
      </c>
      <c r="G60" s="363">
        <v>6.8919174446145884E-2</v>
      </c>
      <c r="H60" s="153">
        <v>7.8218585081050757E-2</v>
      </c>
      <c r="I60" s="363">
        <v>9.7627006795399304E-2</v>
      </c>
      <c r="J60" s="153">
        <v>9.7627006795399304E-2</v>
      </c>
      <c r="K60" s="363">
        <v>9.4642143532461961E-2</v>
      </c>
      <c r="L60" s="363">
        <v>9.1297225970006723E-2</v>
      </c>
      <c r="M60" s="153">
        <v>9.2659202371248278E-2</v>
      </c>
      <c r="N60" s="153">
        <v>7.9838483711585348E-2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841</v>
      </c>
      <c r="B61" s="363">
        <v>9.6699999999999994E-2</v>
      </c>
      <c r="C61" s="363">
        <v>0.1404</v>
      </c>
      <c r="D61" s="363">
        <v>0.13969999999999999</v>
      </c>
      <c r="E61" s="363">
        <v>0.12540000000000001</v>
      </c>
      <c r="F61" s="363">
        <v>5.8999999999999997E-2</v>
      </c>
      <c r="G61" s="363">
        <v>6.6299999999999998E-2</v>
      </c>
      <c r="H61" s="153">
        <v>7.7200000000000005E-2</v>
      </c>
      <c r="I61" s="363">
        <v>9.2299999999999993E-2</v>
      </c>
      <c r="J61" s="153">
        <v>9.2299999999999993E-2</v>
      </c>
      <c r="K61" s="363">
        <v>7.5700000000000003E-2</v>
      </c>
      <c r="L61" s="363">
        <v>9.5600000000000004E-2</v>
      </c>
      <c r="M61" s="153">
        <v>8.6900000000000005E-2</v>
      </c>
      <c r="N61" s="149">
        <v>7.85E-2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886</v>
      </c>
      <c r="B62" s="363">
        <v>9.054640350229598E-2</v>
      </c>
      <c r="C62" s="363">
        <v>0.1429761094981622</v>
      </c>
      <c r="D62" s="363">
        <v>0.14769282298487635</v>
      </c>
      <c r="E62" s="363">
        <v>0.12198291653271001</v>
      </c>
      <c r="F62" s="363">
        <v>6.4391441708779362E-2</v>
      </c>
      <c r="G62" s="363">
        <v>6.3910038305841924E-2</v>
      </c>
      <c r="H62" s="153">
        <v>7.6901986003638526E-2</v>
      </c>
      <c r="I62" s="363">
        <v>9.4614276699364036E-2</v>
      </c>
      <c r="J62" s="153">
        <v>9.4614276699364036E-2</v>
      </c>
      <c r="K62" s="363">
        <v>8.7849168981413428E-2</v>
      </c>
      <c r="L62" s="363">
        <v>0.10994072139250945</v>
      </c>
      <c r="M62" s="153">
        <v>0.10070477565680072</v>
      </c>
      <c r="N62" s="153">
        <v>7.9063427459865832E-2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842</v>
      </c>
      <c r="B63" s="314">
        <v>0.1221</v>
      </c>
      <c r="C63" s="363">
        <v>0.19750000000000001</v>
      </c>
      <c r="D63" s="363">
        <v>0.14249999999999999</v>
      </c>
      <c r="E63" s="314">
        <v>0.1298</v>
      </c>
      <c r="F63" s="314">
        <v>5.8900000000000001E-2</v>
      </c>
      <c r="G63" s="314">
        <v>6.7100000000000007E-2</v>
      </c>
      <c r="H63" s="148">
        <v>8.14E-2</v>
      </c>
      <c r="I63" s="314">
        <v>9.3799999999999994E-2</v>
      </c>
      <c r="J63" s="149">
        <v>9.3799999999999994E-2</v>
      </c>
      <c r="K63" s="314">
        <v>8.0399999999999999E-2</v>
      </c>
      <c r="L63" s="314">
        <v>0.11360000000000001</v>
      </c>
      <c r="M63" s="149">
        <v>9.7500000000000003E-2</v>
      </c>
      <c r="N63" s="148">
        <v>8.3199999999999996E-2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885</v>
      </c>
      <c r="B66" s="314">
        <v>1.5090652708862236E-3</v>
      </c>
      <c r="C66" s="314">
        <v>4.9050595548801972E-3</v>
      </c>
      <c r="D66" s="314">
        <v>2.6194882363284417E-3</v>
      </c>
      <c r="E66" s="314">
        <v>4.4497455216555978E-3</v>
      </c>
      <c r="F66" s="314">
        <v>3.4085428649676635E-3</v>
      </c>
      <c r="G66" s="314">
        <v>2.3208381569114252E-3</v>
      </c>
      <c r="H66" s="150">
        <v>2.6227386753060753E-3</v>
      </c>
      <c r="I66" s="314">
        <v>1.7991397670844712E-2</v>
      </c>
      <c r="J66" s="150">
        <v>1.7991397670844712E-2</v>
      </c>
      <c r="K66" s="314">
        <v>2.1938287481283406E-3</v>
      </c>
      <c r="L66" s="314">
        <v>8.4634209667231234E-4</v>
      </c>
      <c r="M66" s="150">
        <v>1.5184951353532426E-3</v>
      </c>
      <c r="N66" s="148">
        <v>2.8469998633033444E-3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841</v>
      </c>
      <c r="B67" s="363">
        <v>1E-3</v>
      </c>
      <c r="C67" s="363">
        <v>3.2000000000000002E-3</v>
      </c>
      <c r="D67" s="363">
        <v>2.5999999999999999E-3</v>
      </c>
      <c r="E67" s="363">
        <v>3.5000000000000001E-3</v>
      </c>
      <c r="F67" s="363">
        <v>2.8999999999999998E-3</v>
      </c>
      <c r="G67" s="363">
        <v>1.5E-3</v>
      </c>
      <c r="H67" s="153">
        <v>1.9E-3</v>
      </c>
      <c r="I67" s="363">
        <v>1.46E-2</v>
      </c>
      <c r="J67" s="153">
        <v>1.46E-2</v>
      </c>
      <c r="K67" s="363">
        <v>2.3999999999999998E-3</v>
      </c>
      <c r="L67" s="363">
        <v>1.6000000000000001E-3</v>
      </c>
      <c r="M67" s="153">
        <v>2E-3</v>
      </c>
      <c r="N67" s="149">
        <v>2.2000000000000001E-3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886</v>
      </c>
      <c r="B68" s="314">
        <v>1.1404003173934244E-3</v>
      </c>
      <c r="C68" s="314">
        <v>3.965639821830882E-3</v>
      </c>
      <c r="D68" s="314">
        <v>2.4903566743890767E-3</v>
      </c>
      <c r="E68" s="314">
        <v>4.0813497106678238E-3</v>
      </c>
      <c r="F68" s="314">
        <v>3.3801482480082701E-3</v>
      </c>
      <c r="G68" s="314">
        <v>1.781914095235012E-3</v>
      </c>
      <c r="H68" s="153">
        <v>2.2650216198874212E-3</v>
      </c>
      <c r="I68" s="314">
        <v>1.6615420672558334E-2</v>
      </c>
      <c r="J68" s="153">
        <v>1.6615420672558334E-2</v>
      </c>
      <c r="K68" s="314">
        <v>2.1980394822814007E-3</v>
      </c>
      <c r="L68" s="314">
        <v>1.0712939958533825E-3</v>
      </c>
      <c r="M68" s="153">
        <v>1.6363041160158489E-3</v>
      </c>
      <c r="N68" s="153">
        <v>2.5246368645317776E-3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842</v>
      </c>
      <c r="B69" s="314">
        <v>1.1999999999999999E-3</v>
      </c>
      <c r="C69" s="363">
        <v>3.0000000000000001E-3</v>
      </c>
      <c r="D69" s="363">
        <v>2.5000000000000001E-3</v>
      </c>
      <c r="E69" s="314">
        <v>3.3E-3</v>
      </c>
      <c r="F69" s="314">
        <v>3.0999999999999999E-3</v>
      </c>
      <c r="G69" s="314">
        <v>1.4E-3</v>
      </c>
      <c r="H69" s="148">
        <v>2E-3</v>
      </c>
      <c r="I69" s="314">
        <v>1.5100000000000001E-2</v>
      </c>
      <c r="J69" s="149">
        <v>1.5100000000000001E-2</v>
      </c>
      <c r="K69" s="314">
        <v>2.5000000000000001E-3</v>
      </c>
      <c r="L69" s="314">
        <v>1.8E-3</v>
      </c>
      <c r="M69" s="149">
        <v>2.2000000000000001E-3</v>
      </c>
      <c r="N69" s="148">
        <v>2.3E-3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885</v>
      </c>
      <c r="B74" s="314">
        <v>0.72065367513294165</v>
      </c>
      <c r="C74" s="314">
        <v>0.80804926472183869</v>
      </c>
      <c r="D74" s="314">
        <v>0.81159846488939413</v>
      </c>
      <c r="E74" s="314">
        <v>0.74038838073018221</v>
      </c>
      <c r="F74" s="314">
        <v>0.69447483281007916</v>
      </c>
      <c r="G74" s="314">
        <v>0.51187653112799847</v>
      </c>
      <c r="H74" s="150">
        <v>0.64373257889123214</v>
      </c>
      <c r="I74" s="314">
        <v>0.55456068882276099</v>
      </c>
      <c r="J74" s="150">
        <v>0.55456068882276099</v>
      </c>
      <c r="K74" s="314">
        <v>0.91473078766576132</v>
      </c>
      <c r="L74" s="314">
        <v>1.6944996042381237</v>
      </c>
      <c r="M74" s="150">
        <v>1.3319093928069954</v>
      </c>
      <c r="N74" s="148">
        <v>0.67599561052760371</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841</v>
      </c>
      <c r="B75" s="363">
        <v>0.77993883158577104</v>
      </c>
      <c r="C75" s="363">
        <v>0.61125544220274941</v>
      </c>
      <c r="D75" s="363">
        <v>0.95421671301357591</v>
      </c>
      <c r="E75" s="363">
        <v>0.71591037522603973</v>
      </c>
      <c r="F75" s="363">
        <v>0.66995950348034794</v>
      </c>
      <c r="G75" s="363">
        <v>0.60827090306220732</v>
      </c>
      <c r="H75" s="153">
        <v>0.67931185990034582</v>
      </c>
      <c r="I75" s="363">
        <v>0.54400948618196709</v>
      </c>
      <c r="J75" s="153">
        <v>0.54400948618196709</v>
      </c>
      <c r="K75" s="363">
        <v>0.95132904863921286</v>
      </c>
      <c r="L75" s="363">
        <v>0.69608038069484768</v>
      </c>
      <c r="M75" s="153">
        <v>0.81225082336626797</v>
      </c>
      <c r="N75" s="149">
        <v>0.68460367959487722</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886</v>
      </c>
      <c r="B76" s="314">
        <v>0.66385530449447272</v>
      </c>
      <c r="C76" s="363">
        <v>0.65822892698892765</v>
      </c>
      <c r="D76" s="363">
        <v>0.91448382989541699</v>
      </c>
      <c r="E76" s="314">
        <v>0.70337629617176989</v>
      </c>
      <c r="F76" s="314">
        <v>0.65999555026417389</v>
      </c>
      <c r="G76" s="314">
        <v>0.55463786354578171</v>
      </c>
      <c r="H76" s="148">
        <v>0.63835830758934509</v>
      </c>
      <c r="I76" s="314">
        <v>0.51632219157233139</v>
      </c>
      <c r="J76" s="149">
        <v>0.51632219157233139</v>
      </c>
      <c r="K76" s="314">
        <v>0.93042418482010092</v>
      </c>
      <c r="L76" s="314">
        <v>0.84693373871595856</v>
      </c>
      <c r="M76" s="149">
        <v>0.88378525138417352</v>
      </c>
      <c r="N76" s="148">
        <v>0.6505758523215176</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842</v>
      </c>
      <c r="B77" s="363">
        <v>0.65946380648529457</v>
      </c>
      <c r="C77" s="363">
        <v>0.64040228756498674</v>
      </c>
      <c r="D77" s="364">
        <v>1.0313565832278175</v>
      </c>
      <c r="E77" s="363">
        <v>0.70042681439030285</v>
      </c>
      <c r="F77" s="363">
        <v>0.70288886603537937</v>
      </c>
      <c r="G77" s="363">
        <v>0.58595268316028415</v>
      </c>
      <c r="H77" s="153">
        <v>0.6642116933850003</v>
      </c>
      <c r="I77" s="363">
        <v>0.52057380149355126</v>
      </c>
      <c r="J77" s="153">
        <v>0.52057380149355126</v>
      </c>
      <c r="K77" s="363">
        <v>0.81160083238034531</v>
      </c>
      <c r="L77" s="363">
        <v>0.70406303135112813</v>
      </c>
      <c r="M77" s="153">
        <v>0.7538004252175512</v>
      </c>
      <c r="N77" s="153">
        <v>0.66721925207838095</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885</v>
      </c>
      <c r="B80" s="1032">
        <v>2990.4009966231501</v>
      </c>
      <c r="C80" s="1032">
        <v>1131.9523888172046</v>
      </c>
      <c r="D80" s="1032">
        <v>2845.4468221176594</v>
      </c>
      <c r="E80" s="1032">
        <v>2013.2531120331951</v>
      </c>
      <c r="F80" s="1032">
        <v>2108.3784043537412</v>
      </c>
      <c r="G80" s="1032">
        <v>3595.3205421497119</v>
      </c>
      <c r="H80" s="971">
        <v>2646.4154635385835</v>
      </c>
      <c r="I80" s="1032">
        <v>4420.6954462068943</v>
      </c>
      <c r="J80" s="379">
        <v>4420.6954462068943</v>
      </c>
      <c r="K80" s="1053">
        <v>6766.4864864864867</v>
      </c>
      <c r="L80" s="1032">
        <v>3182.8950276243095</v>
      </c>
      <c r="M80" s="183">
        <v>4222.8392156862747</v>
      </c>
      <c r="N80" s="971">
        <v>2723.2166430669113</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841</v>
      </c>
      <c r="B81" s="1032">
        <v>2336.04</v>
      </c>
      <c r="C81" s="1032">
        <v>1190.1300000000001</v>
      </c>
      <c r="D81" s="1032">
        <v>1364.85</v>
      </c>
      <c r="E81" s="1032">
        <v>1801.5</v>
      </c>
      <c r="F81" s="1032">
        <v>2005.36</v>
      </c>
      <c r="G81" s="1032">
        <v>2754.43</v>
      </c>
      <c r="H81" s="379">
        <v>2171.12</v>
      </c>
      <c r="I81" s="374">
        <v>3774.2</v>
      </c>
      <c r="J81" s="379">
        <v>3774.2</v>
      </c>
      <c r="K81" s="1053">
        <v>6547.01</v>
      </c>
      <c r="L81" s="1032">
        <v>3550.16</v>
      </c>
      <c r="M81" s="183">
        <v>4484.3999999999996</v>
      </c>
      <c r="N81" s="379">
        <v>2268.94</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886</v>
      </c>
      <c r="B82" s="1032">
        <v>2699.6991627873299</v>
      </c>
      <c r="C82" s="1032">
        <v>1295.8897625964912</v>
      </c>
      <c r="D82" s="1032">
        <v>1787.1849556377947</v>
      </c>
      <c r="E82" s="1032">
        <v>1896.6107660455486</v>
      </c>
      <c r="F82" s="1032">
        <v>2059.8448177749424</v>
      </c>
      <c r="G82" s="1032">
        <v>3033.6840847876447</v>
      </c>
      <c r="H82" s="971">
        <v>2359.7552896354732</v>
      </c>
      <c r="I82" s="1032">
        <v>3910.9345856896543</v>
      </c>
      <c r="J82" s="379">
        <v>3910.9345856896543</v>
      </c>
      <c r="K82" s="1053">
        <v>6957.9733333333334</v>
      </c>
      <c r="L82" s="1032">
        <v>3710.370786516854</v>
      </c>
      <c r="M82" s="183">
        <v>4673.098814229249</v>
      </c>
      <c r="N82" s="971">
        <v>2457.6085773675081</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842</v>
      </c>
      <c r="B83" s="375">
        <v>2395</v>
      </c>
      <c r="C83" s="375">
        <v>1179.46</v>
      </c>
      <c r="D83" s="375">
        <v>1196.18</v>
      </c>
      <c r="E83" s="375">
        <v>1782.68</v>
      </c>
      <c r="F83" s="375">
        <v>1933.62</v>
      </c>
      <c r="G83" s="1306">
        <v>2693.36</v>
      </c>
      <c r="H83" s="646">
        <v>2118.27</v>
      </c>
      <c r="I83" s="1307">
        <v>3501.3</v>
      </c>
      <c r="J83" s="646">
        <v>3501.3</v>
      </c>
      <c r="K83" s="375">
        <v>6927.4</v>
      </c>
      <c r="L83" s="1306">
        <v>3646.36</v>
      </c>
      <c r="M83" s="646">
        <v>4669.2</v>
      </c>
      <c r="N83" s="1030">
        <v>2223.36</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6.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878</v>
      </c>
      <c r="B10" s="363">
        <v>6.4232880133582082E-2</v>
      </c>
      <c r="C10" s="363">
        <v>1.5276754759909687E-2</v>
      </c>
      <c r="D10" s="363">
        <v>2.8829929219432799E-2</v>
      </c>
      <c r="E10" s="363">
        <v>7.805647888501889E-2</v>
      </c>
      <c r="F10" s="363">
        <v>6.9687035378245804E-2</v>
      </c>
      <c r="G10" s="363">
        <v>8.52498021486119E-2</v>
      </c>
      <c r="H10" s="150">
        <v>7.2082723958478548E-2</v>
      </c>
      <c r="I10" s="363">
        <v>0.10149396745876403</v>
      </c>
      <c r="J10" s="150">
        <v>0.10149396745876403</v>
      </c>
      <c r="K10" s="363">
        <v>3.7322982566788364E-2</v>
      </c>
      <c r="L10" s="363">
        <v>4.6792415339864613E-2</v>
      </c>
      <c r="M10" s="150">
        <v>4.1875395407735626E-2</v>
      </c>
      <c r="N10" s="148">
        <v>7.05583594670917E-2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840</v>
      </c>
      <c r="B11" s="314">
        <v>5.2669736823670869E-2</v>
      </c>
      <c r="C11" s="363">
        <v>3.3013247238037392E-3</v>
      </c>
      <c r="D11" s="363">
        <v>-6.9479205357430115E-2</v>
      </c>
      <c r="E11" s="314">
        <v>7.9254753255018434E-2</v>
      </c>
      <c r="F11" s="314">
        <v>6.5225071101102067E-2</v>
      </c>
      <c r="G11" s="314">
        <v>8.140650062483315E-2</v>
      </c>
      <c r="H11" s="148">
        <v>6.4606202076634686E-2</v>
      </c>
      <c r="I11" s="314">
        <v>9.7404893290136296E-2</v>
      </c>
      <c r="J11" s="148">
        <v>9.7404893290136296E-2</v>
      </c>
      <c r="K11" s="314">
        <v>4.1784240476476567E-2</v>
      </c>
      <c r="L11" s="314">
        <v>4.1194093535387451E-2</v>
      </c>
      <c r="M11" s="148">
        <v>4.1506720745132883E-2</v>
      </c>
      <c r="N11" s="148">
        <v>6.4009624424137074E-2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878</v>
      </c>
      <c r="B14" s="363">
        <v>0.84642245702190089</v>
      </c>
      <c r="C14" s="363">
        <v>0.90697865301397385</v>
      </c>
      <c r="D14" s="363">
        <v>0.8938231545208557</v>
      </c>
      <c r="E14" s="363">
        <v>0.85764138004490742</v>
      </c>
      <c r="F14" s="363">
        <v>0.81184274422519365</v>
      </c>
      <c r="G14" s="363">
        <v>0.8686188078657634</v>
      </c>
      <c r="H14" s="150">
        <v>0.84606910264016622</v>
      </c>
      <c r="I14" s="363">
        <v>0.67807693151153203</v>
      </c>
      <c r="J14" s="150">
        <v>0.67807693151153203</v>
      </c>
      <c r="K14" s="363">
        <v>0.81799439416705744</v>
      </c>
      <c r="L14" s="363">
        <v>0.80727858644308426</v>
      </c>
      <c r="M14" s="150">
        <v>0.81284278880137617</v>
      </c>
      <c r="N14" s="148">
        <v>0.83955584278756845</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840</v>
      </c>
      <c r="B15" s="314">
        <v>0.88007673151203025</v>
      </c>
      <c r="C15" s="363">
        <v>0.87213099354355861</v>
      </c>
      <c r="D15" s="363">
        <v>0.98577651708481884</v>
      </c>
      <c r="E15" s="314">
        <v>0.83951833682479915</v>
      </c>
      <c r="F15" s="314">
        <v>0.84174470003594482</v>
      </c>
      <c r="G15" s="314">
        <v>0.86936858467587175</v>
      </c>
      <c r="H15" s="148">
        <v>0.8647728542368357</v>
      </c>
      <c r="I15" s="314">
        <v>0.75895021477154923</v>
      </c>
      <c r="J15" s="148">
        <v>0.75895021477154923</v>
      </c>
      <c r="K15" s="314">
        <v>0.84947318205214195</v>
      </c>
      <c r="L15" s="314">
        <v>0.84207284267953841</v>
      </c>
      <c r="M15" s="148">
        <v>0.84599313318372482</v>
      </c>
      <c r="N15" s="148">
        <v>0.86093921561972786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878</v>
      </c>
      <c r="B20" s="363">
        <v>2.3652413349181629E-2</v>
      </c>
      <c r="C20" s="363">
        <v>0.26376823896250812</v>
      </c>
      <c r="D20" s="363">
        <v>9.8124605865737204E-3</v>
      </c>
      <c r="E20" s="363">
        <v>8.338885069483614E-3</v>
      </c>
      <c r="F20" s="363">
        <v>3.3916276218893524E-2</v>
      </c>
      <c r="G20" s="363">
        <v>2.43261073531971E-3</v>
      </c>
      <c r="H20" s="150">
        <v>2.5298419592813818E-2</v>
      </c>
      <c r="I20" s="363">
        <v>7.8590664732506366E-2</v>
      </c>
      <c r="J20" s="150">
        <v>7.8590664732506366E-2</v>
      </c>
      <c r="K20" s="1449">
        <v>0</v>
      </c>
      <c r="L20" s="363">
        <v>8.4071220275905426E-2</v>
      </c>
      <c r="M20" s="150">
        <v>5.0007251143349925E-2</v>
      </c>
      <c r="N20" s="148">
        <v>2.915192641279573E-2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840</v>
      </c>
      <c r="B21" s="314">
        <v>2.250378175349875E-2</v>
      </c>
      <c r="C21" s="363">
        <v>0.30632818111126214</v>
      </c>
      <c r="D21" s="363">
        <v>2.6702420605065683E-2</v>
      </c>
      <c r="E21" s="314">
        <v>6.0281961910442512E-3</v>
      </c>
      <c r="F21" s="314">
        <v>1.5073409300106743E-2</v>
      </c>
      <c r="G21" s="314">
        <v>2.5836322998953882E-3</v>
      </c>
      <c r="H21" s="148">
        <v>1.8517675657580994E-2</v>
      </c>
      <c r="I21" s="314">
        <v>5.8063921735295086E-2</v>
      </c>
      <c r="J21" s="148">
        <v>5.8063921735295086E-2</v>
      </c>
      <c r="K21" s="1414">
        <v>0</v>
      </c>
      <c r="L21" s="314">
        <v>0.12749213522542441</v>
      </c>
      <c r="M21" s="148">
        <v>7.4295907094771532E-2</v>
      </c>
      <c r="N21" s="148">
        <v>2.4200329348311928E-2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878</v>
      </c>
      <c r="B25" s="363">
        <v>0.68714558697885597</v>
      </c>
      <c r="C25" s="363">
        <v>0.85521882071178279</v>
      </c>
      <c r="D25" s="363">
        <v>1.2397731606332456</v>
      </c>
      <c r="E25" s="363">
        <v>0.9324110470161826</v>
      </c>
      <c r="F25" s="363">
        <v>0.55369179694549775</v>
      </c>
      <c r="G25" s="363">
        <v>2.1574089088942094</v>
      </c>
      <c r="H25" s="150">
        <v>0.73704245359504217</v>
      </c>
      <c r="I25" s="363">
        <v>0.33272910809651463</v>
      </c>
      <c r="J25" s="150">
        <v>0.33272910809651463</v>
      </c>
      <c r="K25" s="374">
        <v>0</v>
      </c>
      <c r="L25" s="363">
        <v>0.66985101061102736</v>
      </c>
      <c r="M25" s="150">
        <v>0.6737660602482638</v>
      </c>
      <c r="N25" s="150">
        <v>0.68375958747941834</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840</v>
      </c>
      <c r="B26" s="314">
        <v>1.312977127654505</v>
      </c>
      <c r="C26" s="363">
        <v>0.89334788653841624</v>
      </c>
      <c r="D26" s="363">
        <v>1.2885172502918723</v>
      </c>
      <c r="E26" s="314">
        <v>1.1623702040652688</v>
      </c>
      <c r="F26" s="314">
        <v>1.2322488431461607</v>
      </c>
      <c r="G26" s="314">
        <v>1.2760734157295166</v>
      </c>
      <c r="H26" s="148">
        <v>1.1056620010890224</v>
      </c>
      <c r="I26" s="314">
        <v>0.58729845105705603</v>
      </c>
      <c r="J26" s="148">
        <v>0.58729845105705603</v>
      </c>
      <c r="K26" s="374">
        <v>0</v>
      </c>
      <c r="L26" s="314">
        <v>0.59813389818737417</v>
      </c>
      <c r="M26" s="148">
        <v>0.71112438363775266</v>
      </c>
      <c r="N26" s="148">
        <v>0.96657730338067271</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878</v>
      </c>
      <c r="B30" s="363">
        <v>2.7883138973861674E-2</v>
      </c>
      <c r="C30" s="363">
        <v>1.5574721133437173</v>
      </c>
      <c r="D30" s="363">
        <v>-2.7986950391897168E-2</v>
      </c>
      <c r="E30" s="363">
        <v>3.1807349323493233E-3</v>
      </c>
      <c r="F30" s="363">
        <v>8.2780078199898466E-2</v>
      </c>
      <c r="G30" s="363">
        <v>-1.1539396705680166E-2</v>
      </c>
      <c r="H30" s="150">
        <v>3.1560513574510188E-2</v>
      </c>
      <c r="I30" s="363">
        <v>0.31392774506287169</v>
      </c>
      <c r="J30" s="150">
        <v>0.31392774506287169</v>
      </c>
      <c r="K30" s="363">
        <v>-3.0344628278303589E-3</v>
      </c>
      <c r="L30" s="363">
        <v>0.22045285576460907</v>
      </c>
      <c r="M30" s="150">
        <v>0.11702243068778155</v>
      </c>
      <c r="N30" s="148">
        <v>4.5117683295268024E-2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840</v>
      </c>
      <c r="B31" s="363">
        <v>-2.1023748538564913E-2</v>
      </c>
      <c r="C31" s="363">
        <v>5.6511865138428883</v>
      </c>
      <c r="D31" s="363">
        <v>4.8540959506853637E-2</v>
      </c>
      <c r="E31" s="363">
        <v>-5.420279070763416E-3</v>
      </c>
      <c r="F31" s="363">
        <v>-1.9334169306543664E-2</v>
      </c>
      <c r="G31" s="363">
        <v>-2.824560966788583E-3</v>
      </c>
      <c r="H31" s="150">
        <v>-9.1530423262672599E-3</v>
      </c>
      <c r="I31" s="363">
        <v>0.12347074373197214</v>
      </c>
      <c r="J31" s="150">
        <v>0.12347074373197214</v>
      </c>
      <c r="K31" s="363">
        <v>-0.13966075214819776</v>
      </c>
      <c r="L31" s="363">
        <v>0.56757642189101576</v>
      </c>
      <c r="M31" s="150">
        <v>0.1904162861334853</v>
      </c>
      <c r="N31" s="148">
        <v>3.9342742841683084E-3</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873</v>
      </c>
      <c r="B35" s="314">
        <v>1.2716704104397035E-2</v>
      </c>
      <c r="C35" s="363">
        <v>3.7362557727393414E-2</v>
      </c>
      <c r="D35" s="364">
        <v>-2.8733344606773206E-2</v>
      </c>
      <c r="E35" s="314">
        <v>2.147890300822905E-2</v>
      </c>
      <c r="F35" s="314">
        <v>1.4597072738131595E-2</v>
      </c>
      <c r="G35" s="314">
        <v>2.9674700359892288E-2</v>
      </c>
      <c r="H35" s="148">
        <v>1.9023387139234529E-2</v>
      </c>
      <c r="I35" s="314">
        <v>1.7412140634384291E-2</v>
      </c>
      <c r="J35" s="149">
        <v>1.7412140634384291E-2</v>
      </c>
      <c r="K35" s="314">
        <v>1.7481196493725199E-4</v>
      </c>
      <c r="L35" s="314">
        <v>8.4158385143777333E-3</v>
      </c>
      <c r="M35" s="149">
        <v>4.0331983678306453E-3</v>
      </c>
      <c r="N35" s="148">
        <v>1.7887615447555745E-2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831</v>
      </c>
      <c r="B36" s="314">
        <v>1.4200000000000001E-2</v>
      </c>
      <c r="C36" s="363">
        <v>6.8999999999999999E-3</v>
      </c>
      <c r="D36" s="363">
        <v>-7.9000000000000008E-3</v>
      </c>
      <c r="E36" s="314">
        <v>2.3199999999999998E-2</v>
      </c>
      <c r="F36" s="314">
        <v>8.2000000000000007E-3</v>
      </c>
      <c r="G36" s="314">
        <v>1.7100000000000001E-2</v>
      </c>
      <c r="H36" s="148">
        <v>1.3299999999999999E-2</v>
      </c>
      <c r="I36" s="314">
        <v>1.1900000000000001E-2</v>
      </c>
      <c r="J36" s="149">
        <v>1.1900000000000001E-2</v>
      </c>
      <c r="K36" s="314">
        <v>1E-3</v>
      </c>
      <c r="L36" s="314">
        <v>1.01E-2</v>
      </c>
      <c r="M36" s="149">
        <v>5.4000000000000003E-3</v>
      </c>
      <c r="N36" s="148">
        <v>1.2699999999999999E-2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874</v>
      </c>
      <c r="B37" s="314">
        <v>1.0970940171173067E-2</v>
      </c>
      <c r="C37" s="314">
        <v>1.9568066134870336E-2</v>
      </c>
      <c r="D37" s="314">
        <v>-2.6584986935804526E-3</v>
      </c>
      <c r="E37" s="314">
        <v>1.9947785471126685E-2</v>
      </c>
      <c r="F37" s="314">
        <v>1.0621252982166811E-2</v>
      </c>
      <c r="G37" s="314">
        <v>2.1751306932746059E-2</v>
      </c>
      <c r="H37" s="153">
        <v>1.4877681568161943E-2</v>
      </c>
      <c r="I37" s="314">
        <v>1.198543784270735E-2</v>
      </c>
      <c r="J37" s="153">
        <v>1.198543784270735E-2</v>
      </c>
      <c r="K37" s="314">
        <v>2.8551403191436103E-3</v>
      </c>
      <c r="L37" s="314">
        <v>2.3908334976044571E-2</v>
      </c>
      <c r="M37" s="153">
        <v>1.2876977156557917E-2</v>
      </c>
      <c r="N37" s="153">
        <v>1.4670389193682081E-2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832</v>
      </c>
      <c r="B38" s="314">
        <v>1.1900000000000001E-2</v>
      </c>
      <c r="C38" s="363">
        <v>1.23E-2</v>
      </c>
      <c r="D38" s="363">
        <v>-8.9999999999999993E-3</v>
      </c>
      <c r="E38" s="314">
        <v>2.0899999999999998E-2</v>
      </c>
      <c r="F38" s="314">
        <v>8.8999999999999999E-3</v>
      </c>
      <c r="G38" s="314">
        <v>2.06E-2</v>
      </c>
      <c r="H38" s="148">
        <v>1.3899999999999999E-2</v>
      </c>
      <c r="I38" s="314">
        <v>1.23E-2</v>
      </c>
      <c r="J38" s="149">
        <v>1.23E-2</v>
      </c>
      <c r="K38" s="314">
        <v>2.5999999999999999E-3</v>
      </c>
      <c r="L38" s="314">
        <v>1.3100000000000001E-2</v>
      </c>
      <c r="M38" s="149">
        <v>7.6E-3</v>
      </c>
      <c r="N38" s="148">
        <v>1.35E-2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873</v>
      </c>
      <c r="B41" s="314">
        <v>0.21057017032759659</v>
      </c>
      <c r="C41" s="363">
        <v>3.3431883705953833</v>
      </c>
      <c r="D41" s="364">
        <v>2.2417986558766372</v>
      </c>
      <c r="E41" s="314">
        <v>0.27297954640875882</v>
      </c>
      <c r="F41" s="314">
        <v>0.21715614584380744</v>
      </c>
      <c r="G41" s="314">
        <v>0.37062680678300614</v>
      </c>
      <c r="H41" s="148">
        <v>0.27919278010495158</v>
      </c>
      <c r="I41" s="314">
        <v>0.17284692080560576</v>
      </c>
      <c r="J41" s="149">
        <v>0.17284692080560576</v>
      </c>
      <c r="K41" s="314">
        <v>4.743206095898205E-3</v>
      </c>
      <c r="L41" s="314">
        <v>0.17375145147960327</v>
      </c>
      <c r="M41" s="149">
        <v>9.5398682841774385E-2</v>
      </c>
      <c r="N41" s="148">
        <v>0.26691335029575319</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831</v>
      </c>
      <c r="B42" s="314">
        <v>0.29139999999999999</v>
      </c>
      <c r="C42" s="363">
        <v>0.75249999999999995</v>
      </c>
      <c r="D42" s="363">
        <v>0.13250000000000001</v>
      </c>
      <c r="E42" s="314">
        <v>0.30719999999999997</v>
      </c>
      <c r="F42" s="314">
        <v>0.124</v>
      </c>
      <c r="G42" s="314">
        <v>0.2031</v>
      </c>
      <c r="H42" s="148">
        <v>0.20930000000000001</v>
      </c>
      <c r="I42" s="314">
        <v>0.1239</v>
      </c>
      <c r="J42" s="149">
        <v>0.1239</v>
      </c>
      <c r="K42" s="314">
        <v>3.4599999999999999E-2</v>
      </c>
      <c r="L42" s="314">
        <v>0.21740000000000001</v>
      </c>
      <c r="M42" s="149">
        <v>0.125</v>
      </c>
      <c r="N42" s="148">
        <v>0.20230000000000001</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874</v>
      </c>
      <c r="B43" s="314">
        <v>0.18802179183277204</v>
      </c>
      <c r="C43" s="314">
        <v>1.9957515927859377</v>
      </c>
      <c r="D43" s="314">
        <v>0.16848816336974146</v>
      </c>
      <c r="E43" s="314">
        <v>0.25372822537864642</v>
      </c>
      <c r="F43" s="314">
        <v>0.15733949986866128</v>
      </c>
      <c r="G43" s="314">
        <v>0.26114113327706728</v>
      </c>
      <c r="H43" s="153">
        <v>0.21764765174181114</v>
      </c>
      <c r="I43" s="314">
        <v>0.12055145734662644</v>
      </c>
      <c r="J43" s="153">
        <v>0.12055145734662644</v>
      </c>
      <c r="K43" s="314">
        <v>7.2551183236401154E-2</v>
      </c>
      <c r="L43" s="314">
        <v>0.53965853289203292</v>
      </c>
      <c r="M43" s="153">
        <v>0.30873062814376095</v>
      </c>
      <c r="N43" s="153">
        <v>0.21793705731086702</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832</v>
      </c>
      <c r="B44" s="314">
        <v>0.2374</v>
      </c>
      <c r="C44" s="363">
        <v>1.8672</v>
      </c>
      <c r="D44" s="363">
        <v>0.15679999999999999</v>
      </c>
      <c r="E44" s="314">
        <v>0.27150000000000002</v>
      </c>
      <c r="F44" s="314">
        <v>0.1404</v>
      </c>
      <c r="G44" s="314">
        <v>0.2581</v>
      </c>
      <c r="H44" s="148">
        <v>0.22309999999999999</v>
      </c>
      <c r="I44" s="314">
        <v>0.125</v>
      </c>
      <c r="J44" s="149">
        <v>0.125</v>
      </c>
      <c r="K44" s="314">
        <v>6.4199999999999993E-2</v>
      </c>
      <c r="L44" s="314">
        <v>0.27789999999999998</v>
      </c>
      <c r="M44" s="149">
        <v>0.17430000000000001</v>
      </c>
      <c r="N44" s="148">
        <v>0.21690000000000001</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873</v>
      </c>
      <c r="B48" s="314">
        <v>0.95971379162126691</v>
      </c>
      <c r="C48" s="314">
        <v>0.94032133116795336</v>
      </c>
      <c r="D48" s="314">
        <v>0.96466694968767497</v>
      </c>
      <c r="E48" s="314">
        <v>0.93151073423896091</v>
      </c>
      <c r="F48" s="314">
        <v>0.90427642109670336</v>
      </c>
      <c r="G48" s="314">
        <v>0.93700521303594053</v>
      </c>
      <c r="H48" s="150">
        <v>0.93321071250400656</v>
      </c>
      <c r="I48" s="314">
        <v>0.80488892811059409</v>
      </c>
      <c r="J48" s="150">
        <v>0.80488892811059409</v>
      </c>
      <c r="K48" s="314">
        <v>0.93082734869316819</v>
      </c>
      <c r="L48" s="314">
        <v>0.97616750487529513</v>
      </c>
      <c r="M48" s="150">
        <v>0.95645917467390795</v>
      </c>
      <c r="N48" s="148">
        <v>0.92885547711551653</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831</v>
      </c>
      <c r="B49" s="363">
        <f>+'RÉSULTsyst  '!B58/'RÉSULTsyst  '!B56</f>
        <v>0.93201940718261367</v>
      </c>
      <c r="C49" s="363">
        <f>+'RÉSULTsyst  '!C58/'RÉSULTsyst  '!C56</f>
        <v>0.93785010685086212</v>
      </c>
      <c r="D49" s="363">
        <f>+'RÉSULTsyst  '!D58/'RÉSULTsyst  '!D56</f>
        <v>0.95795613980009886</v>
      </c>
      <c r="E49" s="363">
        <f>+'RÉSULTsyst  '!E58/'RÉSULTsyst  '!E56</f>
        <v>0.92862028728926083</v>
      </c>
      <c r="F49" s="363">
        <f>+'RÉSULTsyst  '!F58/'RÉSULTsyst  '!F56</f>
        <v>0.90562599945455824</v>
      </c>
      <c r="G49" s="363">
        <f>+'RÉSULTsyst  '!G58/'RÉSULTsyst  '!G56</f>
        <v>0.91842699880245504</v>
      </c>
      <c r="H49" s="153">
        <f>+'RÉSULTsyst  '!H58/'RÉSULTsyst  '!H56</f>
        <v>0.9212168240353974</v>
      </c>
      <c r="I49" s="363">
        <f>+'RÉSULTsyst  '!I58/'RÉSULTsyst  '!I56</f>
        <v>0.68143975091567255</v>
      </c>
      <c r="J49" s="153">
        <f>+'RÉSULTsyst  '!J58/'RÉSULTsyst  '!J56</f>
        <v>0.68143975091567255</v>
      </c>
      <c r="K49" s="363">
        <f>+'RÉSULTsyst  '!K58/'RÉSULTsyst  '!K56</f>
        <v>0.91662635517741797</v>
      </c>
      <c r="L49" s="363">
        <f>+'RÉSULTsyst  '!L58/'RÉSULTsyst  '!L56</f>
        <v>0.98229697301393504</v>
      </c>
      <c r="M49" s="153">
        <f>+'RÉSULTsyst  '!M58/'RÉSULTsyst  '!M56</f>
        <v>0.95437331365170786</v>
      </c>
      <c r="N49" s="149">
        <f>+'RÉSULTsyst  '!N58/'RÉSULTsyst  '!N56</f>
        <v>0.91333045911267874</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874</v>
      </c>
      <c r="B50" s="314">
        <v>0.96097012624668299</v>
      </c>
      <c r="C50" s="363">
        <v>0.94701782956260183</v>
      </c>
      <c r="D50" s="363">
        <v>0.95835284587354219</v>
      </c>
      <c r="E50" s="314">
        <v>0.94074161689041336</v>
      </c>
      <c r="F50" s="314">
        <v>0.90779867060257258</v>
      </c>
      <c r="G50" s="314">
        <v>0.94304688097613787</v>
      </c>
      <c r="H50" s="148">
        <v>0.93635635787080229</v>
      </c>
      <c r="I50" s="314">
        <v>0.7822448281078842</v>
      </c>
      <c r="J50" s="149">
        <v>0.7822448281078842</v>
      </c>
      <c r="K50" s="314">
        <v>0.92982353056387956</v>
      </c>
      <c r="L50" s="314">
        <v>0.9792441277969498</v>
      </c>
      <c r="M50" s="149">
        <v>0.96133426079056261</v>
      </c>
      <c r="N50" s="148">
        <v>0.93126139182930567</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832</v>
      </c>
      <c r="B51" s="314">
        <f>+'résultsyscumul '!B57/'résultsyscumul '!B55</f>
        <v>0.93201940718261367</v>
      </c>
      <c r="C51" s="363">
        <f>+'résultsyscumul '!C57/'résultsyscumul '!C55</f>
        <v>0.93785010685086212</v>
      </c>
      <c r="D51" s="363">
        <f>+'résultsyscumul '!D57/'résultsyscumul '!D55</f>
        <v>0.95795613980009886</v>
      </c>
      <c r="E51" s="314">
        <f>+'résultsyscumul '!E57/'résultsyscumul '!E55</f>
        <v>0.92862028728926083</v>
      </c>
      <c r="F51" s="314">
        <f>+'résultsyscumul '!F57/'résultsyscumul '!F55</f>
        <v>0.90562599945455824</v>
      </c>
      <c r="G51" s="314">
        <f>+'résultsyscumul '!G57/'résultsyscumul '!G55</f>
        <v>0.91842699880245504</v>
      </c>
      <c r="H51" s="153">
        <f>+'résultsyscumul '!H57/'résultsyscumul '!H55</f>
        <v>0.9212168240353974</v>
      </c>
      <c r="I51" s="314">
        <f>+'résultsyscumul '!I57/'résultsyscumul '!I55</f>
        <v>0.68143975091567255</v>
      </c>
      <c r="J51" s="153">
        <f>+'résultsyscumul '!J57/'résultsyscumul '!J55</f>
        <v>0.68143975091567255</v>
      </c>
      <c r="K51" s="314">
        <f>+'résultsyscumul '!K57/'résultsyscumul '!K55</f>
        <v>0.91662635517741797</v>
      </c>
      <c r="L51" s="314">
        <f>+'résultsyscumul '!L57/'résultsyscumul '!L55</f>
        <v>0.98229697301393504</v>
      </c>
      <c r="M51" s="153">
        <f>+'résultsyscumul '!M57/'résultsyscumul '!M55</f>
        <v>0.95437331365170786</v>
      </c>
      <c r="N51" s="153">
        <f>+'résultsyscumul '!N57/'résultsyscumul '!N55</f>
        <v>0.91333045911267874</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873</v>
      </c>
      <c r="B54" s="314">
        <v>7.9182120748056264E-2</v>
      </c>
      <c r="C54" s="314">
        <v>0.10687335628570079</v>
      </c>
      <c r="D54" s="314">
        <v>0.13640679319576371</v>
      </c>
      <c r="E54" s="314">
        <v>0.1198430349475515</v>
      </c>
      <c r="F54" s="314">
        <v>6.3757379189159302E-2</v>
      </c>
      <c r="G54" s="314">
        <v>7.1000107507773025E-2</v>
      </c>
      <c r="H54" s="150">
        <v>7.700394003565024E-2</v>
      </c>
      <c r="I54" s="314">
        <v>8.8997838462198831E-2</v>
      </c>
      <c r="J54" s="149">
        <v>8.8997838462198831E-2</v>
      </c>
      <c r="K54" s="314">
        <v>8.5194926413403288E-2</v>
      </c>
      <c r="L54" s="314">
        <v>8.4281427582189303E-2</v>
      </c>
      <c r="M54" s="150">
        <v>8.4659048631548189E-2</v>
      </c>
      <c r="N54" s="148">
        <v>7.8019957487713412E-2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831</v>
      </c>
      <c r="B55" s="363">
        <v>0.13700000000000001</v>
      </c>
      <c r="C55" s="363">
        <v>0.10879999999999999</v>
      </c>
      <c r="D55" s="363">
        <v>0.1323</v>
      </c>
      <c r="E55" s="363">
        <v>0.1241</v>
      </c>
      <c r="F55" s="363">
        <v>5.7500000000000002E-2</v>
      </c>
      <c r="G55" s="363">
        <v>6.9900000000000004E-2</v>
      </c>
      <c r="H55" s="153">
        <v>8.3500000000000005E-2</v>
      </c>
      <c r="I55" s="363">
        <v>8.9800000000000005E-2</v>
      </c>
      <c r="J55" s="153">
        <v>8.9800000000000005E-2</v>
      </c>
      <c r="K55" s="363">
        <v>7.8600000000000003E-2</v>
      </c>
      <c r="L55" s="363">
        <v>9.35E-2</v>
      </c>
      <c r="M55" s="153">
        <v>8.6800000000000002E-2</v>
      </c>
      <c r="N55" s="149">
        <v>8.4099999999999994E-2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874</v>
      </c>
      <c r="B56" s="363">
        <v>8.7874605482984425E-2</v>
      </c>
      <c r="C56" s="363">
        <v>9.5476019039599805E-2</v>
      </c>
      <c r="D56" s="363">
        <v>0.13581305876452454</v>
      </c>
      <c r="E56" s="363">
        <v>0.11951234381234001</v>
      </c>
      <c r="F56" s="363">
        <v>6.3820186277659147E-2</v>
      </c>
      <c r="G56" s="363">
        <v>6.5345166984043732E-2</v>
      </c>
      <c r="H56" s="153">
        <v>7.5986995532829657E-2</v>
      </c>
      <c r="I56" s="363">
        <v>8.6317657958669677E-2</v>
      </c>
      <c r="J56" s="153">
        <v>8.6317657958669677E-2</v>
      </c>
      <c r="K56" s="363">
        <v>7.9209646724925323E-2</v>
      </c>
      <c r="L56" s="363">
        <v>0.10308362308151582</v>
      </c>
      <c r="M56" s="153">
        <v>9.3266001359770187E-2</v>
      </c>
      <c r="N56" s="153">
        <v>7.7599349103133874E-2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832</v>
      </c>
      <c r="B57" s="314">
        <v>0.11899999999999999</v>
      </c>
      <c r="C57" s="363">
        <v>0.1331</v>
      </c>
      <c r="D57" s="363">
        <v>0.1394</v>
      </c>
      <c r="E57" s="314">
        <v>0.1288</v>
      </c>
      <c r="F57" s="314">
        <v>6.0100000000000001E-2</v>
      </c>
      <c r="G57" s="314">
        <v>7.1199999999999999E-2</v>
      </c>
      <c r="H57" s="148">
        <v>8.3099999999999993E-2</v>
      </c>
      <c r="I57" s="314">
        <v>8.8599999999999998E-2</v>
      </c>
      <c r="J57" s="149">
        <v>8.8599999999999998E-2</v>
      </c>
      <c r="K57" s="314">
        <v>8.2100000000000006E-2</v>
      </c>
      <c r="L57" s="314">
        <v>0.10050000000000001</v>
      </c>
      <c r="M57" s="149">
        <v>9.2100000000000001E-2</v>
      </c>
      <c r="N57" s="148">
        <v>8.4099999999999994E-2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873</v>
      </c>
      <c r="B60" s="363">
        <v>8.085597546139775E-2</v>
      </c>
      <c r="C60" s="363">
        <v>0.14901302678142064</v>
      </c>
      <c r="D60" s="363">
        <v>0.13769626732326221</v>
      </c>
      <c r="E60" s="363">
        <v>0.12075707126949385</v>
      </c>
      <c r="F60" s="363">
        <v>6.554405037741956E-2</v>
      </c>
      <c r="G60" s="363">
        <v>7.1169771913811047E-2</v>
      </c>
      <c r="H60" s="153">
        <v>7.8780120722262786E-2</v>
      </c>
      <c r="I60" s="363">
        <v>9.8807453034978607E-2</v>
      </c>
      <c r="J60" s="153">
        <v>9.8807453034978607E-2</v>
      </c>
      <c r="K60" s="363">
        <v>8.5194926413403288E-2</v>
      </c>
      <c r="L60" s="363">
        <v>9.2447057643414085E-2</v>
      </c>
      <c r="M60" s="153">
        <v>8.9285357273761523E-2</v>
      </c>
      <c r="N60" s="153">
        <v>8.0246637601007656E-2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831</v>
      </c>
      <c r="B61" s="363">
        <v>0.1444</v>
      </c>
      <c r="C61" s="363">
        <v>0.1552</v>
      </c>
      <c r="D61" s="363">
        <v>0.14230000000000001</v>
      </c>
      <c r="E61" s="363">
        <v>0.12151000000000001</v>
      </c>
      <c r="F61" s="363">
        <v>5.8700000000000002E-2</v>
      </c>
      <c r="G61" s="363">
        <v>7.0099999999999996E-2</v>
      </c>
      <c r="H61" s="153">
        <v>8.5800000000000001E-2</v>
      </c>
      <c r="I61" s="363">
        <v>9.5299999999999996E-2</v>
      </c>
      <c r="J61" s="153">
        <v>9.5299999999999996E-2</v>
      </c>
      <c r="K61" s="363">
        <v>7.9500000000000001E-2</v>
      </c>
      <c r="L61" s="363">
        <v>0.1041</v>
      </c>
      <c r="M61" s="153">
        <v>9.2499999999999999E-2</v>
      </c>
      <c r="N61" s="149">
        <v>8.6699999999999999E-2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874</v>
      </c>
      <c r="B62" s="363">
        <v>8.9960832647314956E-2</v>
      </c>
      <c r="C62" s="363">
        <v>0.13303030421182058</v>
      </c>
      <c r="D62" s="363">
        <v>0.13837364763043103</v>
      </c>
      <c r="E62" s="363">
        <v>0.12038596426827346</v>
      </c>
      <c r="F62" s="363">
        <v>6.5454441960630425E-2</v>
      </c>
      <c r="G62" s="363">
        <v>6.5509363054318454E-2</v>
      </c>
      <c r="H62" s="153">
        <v>7.7706510079673954E-2</v>
      </c>
      <c r="I62" s="363">
        <v>9.2731642773264511E-2</v>
      </c>
      <c r="J62" s="153">
        <v>9.2731642773264511E-2</v>
      </c>
      <c r="K62" s="363">
        <v>7.9209646724925323E-2</v>
      </c>
      <c r="L62" s="363">
        <v>0.1152545317956442</v>
      </c>
      <c r="M62" s="153">
        <v>9.9449215721645098E-2</v>
      </c>
      <c r="N62" s="153">
        <v>7.9738526124077155E-2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832</v>
      </c>
      <c r="B63" s="314">
        <v>0.1273</v>
      </c>
      <c r="C63" s="363">
        <v>0.20960000000000001</v>
      </c>
      <c r="D63" s="363">
        <v>0.14979999999999999</v>
      </c>
      <c r="E63" s="314">
        <v>0.12989999999999999</v>
      </c>
      <c r="F63" s="314">
        <v>6.1199999999999997E-2</v>
      </c>
      <c r="G63" s="314">
        <v>7.1499999999999994E-2</v>
      </c>
      <c r="H63" s="148">
        <v>8.5500000000000007E-2</v>
      </c>
      <c r="I63" s="314">
        <v>9.4899999999999998E-2</v>
      </c>
      <c r="J63" s="149">
        <v>9.4899999999999998E-2</v>
      </c>
      <c r="K63" s="314">
        <v>8.2100000000000006E-2</v>
      </c>
      <c r="L63" s="314">
        <v>0.1176</v>
      </c>
      <c r="M63" s="149">
        <v>0.1</v>
      </c>
      <c r="N63" s="148">
        <v>8.7099999999999997E-2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873</v>
      </c>
      <c r="B66" s="314">
        <v>1.2025246685935164E-3</v>
      </c>
      <c r="C66" s="314">
        <v>4.4223503872408924E-3</v>
      </c>
      <c r="D66" s="314">
        <v>1.9915695678406771E-3</v>
      </c>
      <c r="E66" s="314">
        <v>4.4596739694405E-3</v>
      </c>
      <c r="F66" s="314">
        <v>3.3824861610969505E-3</v>
      </c>
      <c r="G66" s="314">
        <v>1.970590645590894E-3</v>
      </c>
      <c r="H66" s="150">
        <v>2.3802016757242081E-3</v>
      </c>
      <c r="I66" s="314">
        <v>1.6900674698940781E-2</v>
      </c>
      <c r="J66" s="150">
        <v>1.6900674698940781E-2</v>
      </c>
      <c r="K66" s="314">
        <v>1.7885346027258068E-3</v>
      </c>
      <c r="L66" s="314">
        <v>9.7429356635817183E-4</v>
      </c>
      <c r="M66" s="150">
        <v>1.4210481489422835E-3</v>
      </c>
      <c r="N66" s="148">
        <v>2.5896194731955054E-3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831</v>
      </c>
      <c r="B67" s="363">
        <v>1.1999999999999999E-3</v>
      </c>
      <c r="C67" s="363">
        <v>3.0999999999999999E-3</v>
      </c>
      <c r="D67" s="363">
        <v>2E-3</v>
      </c>
      <c r="E67" s="363">
        <v>3.3E-3</v>
      </c>
      <c r="F67" s="363">
        <v>3.0000000000000001E-3</v>
      </c>
      <c r="G67" s="363">
        <v>1.4E-3</v>
      </c>
      <c r="H67" s="153">
        <v>2E-3</v>
      </c>
      <c r="I67" s="363">
        <v>1.44E-2</v>
      </c>
      <c r="J67" s="153">
        <v>1.44E-2</v>
      </c>
      <c r="K67" s="363">
        <v>2.5999999999999999E-3</v>
      </c>
      <c r="L67" s="363">
        <v>1.6000000000000001E-3</v>
      </c>
      <c r="M67" s="153">
        <v>2.0999999999999999E-3</v>
      </c>
      <c r="N67" s="149">
        <v>2.3E-3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874</v>
      </c>
      <c r="B68" s="314">
        <v>1.0498429889061534E-3</v>
      </c>
      <c r="C68" s="314">
        <v>3.5310052091721074E-3</v>
      </c>
      <c r="D68" s="314">
        <v>2.4223228609896209E-3</v>
      </c>
      <c r="E68" s="314">
        <v>3.7585387367797935E-3</v>
      </c>
      <c r="F68" s="314">
        <v>3.3552796768993739E-3</v>
      </c>
      <c r="G68" s="314">
        <v>1.6330829925971736E-3</v>
      </c>
      <c r="H68" s="153">
        <v>2.1631347035900327E-3</v>
      </c>
      <c r="I68" s="314">
        <v>1.6455805870331838E-2</v>
      </c>
      <c r="J68" s="153">
        <v>1.6455805870331838E-2</v>
      </c>
      <c r="K68" s="314">
        <v>1.8740389412922193E-3</v>
      </c>
      <c r="L68" s="314">
        <v>1.0859199190845512E-3</v>
      </c>
      <c r="M68" s="153">
        <v>1.5011474236307611E-3</v>
      </c>
      <c r="N68" s="153">
        <v>2.4179986256735076E-3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832</v>
      </c>
      <c r="B69" s="314">
        <v>1.1000000000000001E-3</v>
      </c>
      <c r="C69" s="363">
        <v>2.8999999999999998E-3</v>
      </c>
      <c r="D69" s="363">
        <v>2.3999999999999998E-3</v>
      </c>
      <c r="E69" s="314">
        <v>3.2000000000000002E-3</v>
      </c>
      <c r="F69" s="314">
        <v>3.2000000000000002E-3</v>
      </c>
      <c r="G69" s="314">
        <v>1.5E-3</v>
      </c>
      <c r="H69" s="148">
        <v>2E-3</v>
      </c>
      <c r="I69" s="314">
        <v>1.4999999999999999E-2</v>
      </c>
      <c r="J69" s="149">
        <v>1.4999999999999999E-2</v>
      </c>
      <c r="K69" s="314">
        <v>2.5000000000000001E-3</v>
      </c>
      <c r="L69" s="314">
        <v>1.9E-3</v>
      </c>
      <c r="M69" s="149">
        <v>2.2000000000000001E-3</v>
      </c>
      <c r="N69" s="148">
        <v>2.3E-3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873</v>
      </c>
      <c r="B74" s="314">
        <v>0.59869955088733473</v>
      </c>
      <c r="C74" s="314">
        <v>0.51265863121679089</v>
      </c>
      <c r="D74" s="314">
        <v>1.4168077403024997</v>
      </c>
      <c r="E74" s="314">
        <v>0.67879299538227356</v>
      </c>
      <c r="F74" s="314">
        <v>0.58393553081617844</v>
      </c>
      <c r="G74" s="314">
        <v>0.53073195466932188</v>
      </c>
      <c r="H74" s="150">
        <v>0.59552899313636087</v>
      </c>
      <c r="I74" s="314">
        <v>0.48340005914533596</v>
      </c>
      <c r="J74" s="150">
        <v>0.48340005914533596</v>
      </c>
      <c r="K74" s="314">
        <v>0.99440717352203656</v>
      </c>
      <c r="L74" s="314">
        <v>0.76316947909024213</v>
      </c>
      <c r="M74" s="150">
        <v>0.87970939695899009</v>
      </c>
      <c r="N74" s="148">
        <v>0.61048260463021231</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831</v>
      </c>
      <c r="B75" s="363">
        <v>0.58882077774113017</v>
      </c>
      <c r="C75" s="363">
        <v>0.66429372153591448</v>
      </c>
      <c r="D75" s="363">
        <v>1.0504556340903595</v>
      </c>
      <c r="E75" s="363">
        <v>0.67184352978182993</v>
      </c>
      <c r="F75" s="363">
        <v>0.74184851555374842</v>
      </c>
      <c r="G75" s="363">
        <v>0.59537182710242464</v>
      </c>
      <c r="H75" s="153">
        <v>0.66599617458423555</v>
      </c>
      <c r="I75" s="363">
        <v>0.51879024782353789</v>
      </c>
      <c r="J75" s="153">
        <v>0.51879024782353789</v>
      </c>
      <c r="K75" s="363">
        <v>0.77103801209600176</v>
      </c>
      <c r="L75" s="363">
        <v>0.81784136612382141</v>
      </c>
      <c r="M75" s="153">
        <v>0.79487231142179871</v>
      </c>
      <c r="N75" s="149">
        <v>0.67203556120933483</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874</v>
      </c>
      <c r="B76" s="314">
        <v>0.64088667548331735</v>
      </c>
      <c r="C76" s="363">
        <v>0.61749239383870469</v>
      </c>
      <c r="D76" s="363">
        <v>0.98251425098673228</v>
      </c>
      <c r="E76" s="314">
        <v>0.69004374385640854</v>
      </c>
      <c r="F76" s="314">
        <v>0.64786750474118515</v>
      </c>
      <c r="G76" s="314">
        <v>0.57279004880974083</v>
      </c>
      <c r="H76" s="148">
        <v>0.63622837926560394</v>
      </c>
      <c r="I76" s="314">
        <v>0.50126025585463874</v>
      </c>
      <c r="J76" s="149">
        <v>0.50126025585463874</v>
      </c>
      <c r="K76" s="314">
        <v>0.93537668780945271</v>
      </c>
      <c r="L76" s="314">
        <v>0.61055342550637082</v>
      </c>
      <c r="M76" s="149">
        <v>0.75166468073175863</v>
      </c>
      <c r="N76" s="148">
        <v>0.64067327660006612</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832</v>
      </c>
      <c r="B77" s="363">
        <v>0.6183155157935144</v>
      </c>
      <c r="C77" s="363">
        <v>0.6504787452565598</v>
      </c>
      <c r="D77" s="364">
        <v>1.0598069519438413</v>
      </c>
      <c r="E77" s="363">
        <v>0.69497616975423759</v>
      </c>
      <c r="F77" s="363">
        <v>0.71501107317537926</v>
      </c>
      <c r="G77" s="363">
        <v>0.57787600249414073</v>
      </c>
      <c r="H77" s="153">
        <v>0.65878678832357984</v>
      </c>
      <c r="I77" s="363">
        <v>0.51170565714571503</v>
      </c>
      <c r="J77" s="153">
        <v>0.51170565714571503</v>
      </c>
      <c r="K77" s="363">
        <v>0.76837350876331678</v>
      </c>
      <c r="L77" s="363">
        <v>0.70663113006396594</v>
      </c>
      <c r="M77" s="153">
        <v>0.73533170542458748</v>
      </c>
      <c r="N77" s="153">
        <v>0.66102059621409481</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873</v>
      </c>
      <c r="B80" s="1032">
        <v>2708.6184435345581</v>
      </c>
      <c r="C80" s="1032">
        <v>1757.2889783512542</v>
      </c>
      <c r="D80" s="1032">
        <v>1015.2739378794045</v>
      </c>
      <c r="E80" s="1032">
        <v>2017.4709677419355</v>
      </c>
      <c r="F80" s="1032">
        <v>2144.498655198141</v>
      </c>
      <c r="G80" s="1032">
        <v>3143.1670041727316</v>
      </c>
      <c r="H80" s="971">
        <v>2412.6886225629282</v>
      </c>
      <c r="I80" s="1032">
        <v>3978.1019354385962</v>
      </c>
      <c r="J80" s="379">
        <v>3978.1019354385962</v>
      </c>
      <c r="K80" s="1053">
        <v>8017.7894736842109</v>
      </c>
      <c r="L80" s="1032">
        <v>3277.1584699453551</v>
      </c>
      <c r="M80" s="183">
        <v>4668.2316602316605</v>
      </c>
      <c r="N80" s="971">
        <v>2510.4884128199205</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831</v>
      </c>
      <c r="B81" s="1032">
        <v>2551.15</v>
      </c>
      <c r="C81" s="1032">
        <v>1113.4000000000001</v>
      </c>
      <c r="D81" s="1032">
        <v>1243.1300000000001</v>
      </c>
      <c r="E81" s="1032">
        <v>1806.99</v>
      </c>
      <c r="F81" s="1032">
        <v>1851.76</v>
      </c>
      <c r="G81" s="1032">
        <v>2432.21</v>
      </c>
      <c r="H81" s="379">
        <v>2050.87</v>
      </c>
      <c r="I81" s="374">
        <v>3505.64</v>
      </c>
      <c r="J81" s="379">
        <v>3505.64</v>
      </c>
      <c r="K81" s="1053">
        <v>7400.71</v>
      </c>
      <c r="L81" s="1032">
        <v>3699.27</v>
      </c>
      <c r="M81" s="183">
        <v>4902.62</v>
      </c>
      <c r="N81" s="379">
        <v>2163.66</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874</v>
      </c>
      <c r="B82" s="1032">
        <v>2560.7894980108499</v>
      </c>
      <c r="C82" s="1032">
        <v>1372.9309844917254</v>
      </c>
      <c r="D82" s="1032">
        <v>1417.5949555418717</v>
      </c>
      <c r="E82" s="1032">
        <v>1918.7065527065527</v>
      </c>
      <c r="F82" s="1032">
        <v>2065.1166152970832</v>
      </c>
      <c r="G82" s="1032">
        <v>2828.6098853974358</v>
      </c>
      <c r="H82" s="971">
        <v>2271.9095539388413</v>
      </c>
      <c r="I82" s="1032">
        <v>3806.6461286549711</v>
      </c>
      <c r="J82" s="379">
        <v>3806.6461286549711</v>
      </c>
      <c r="K82" s="1053">
        <v>7051.8755555555554</v>
      </c>
      <c r="L82" s="1032">
        <v>3846.7039106145253</v>
      </c>
      <c r="M82" s="183">
        <v>4793.1128608923882</v>
      </c>
      <c r="N82" s="971">
        <v>2377.0069513974436</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832</v>
      </c>
      <c r="B83" s="375">
        <v>2371.04</v>
      </c>
      <c r="C83" s="375">
        <v>1217.8599999999999</v>
      </c>
      <c r="D83" s="375">
        <v>1165.17</v>
      </c>
      <c r="E83" s="375">
        <v>1748.48</v>
      </c>
      <c r="F83" s="375">
        <v>1897.84</v>
      </c>
      <c r="G83" s="1306">
        <v>2646.23</v>
      </c>
      <c r="H83" s="646">
        <v>2085.56</v>
      </c>
      <c r="I83" s="1307">
        <v>3552.83</v>
      </c>
      <c r="J83" s="646">
        <v>3552.83</v>
      </c>
      <c r="K83" s="375">
        <v>6963.76</v>
      </c>
      <c r="L83" s="1306">
        <v>3813.01</v>
      </c>
      <c r="M83" s="646">
        <v>4828.54</v>
      </c>
      <c r="N83" s="1030">
        <v>2195.96</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7.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864</v>
      </c>
      <c r="B10" s="363">
        <v>5.6701714236255155E-2</v>
      </c>
      <c r="C10" s="363">
        <v>6.6744931726175887E-3</v>
      </c>
      <c r="D10" s="363">
        <v>-6.0599492054155511E-2</v>
      </c>
      <c r="E10" s="363">
        <v>7.9365445514823274E-2</v>
      </c>
      <c r="F10" s="363">
        <v>6.5244299116940255E-2</v>
      </c>
      <c r="G10" s="363">
        <v>7.7049653769509008E-2</v>
      </c>
      <c r="H10" s="150">
        <v>6.4234646648465538E-2</v>
      </c>
      <c r="I10" s="363">
        <v>9.99592605842516E-2</v>
      </c>
      <c r="J10" s="150">
        <v>9.99592605842516E-2</v>
      </c>
      <c r="K10" s="363">
        <v>3.6403806113359582E-2</v>
      </c>
      <c r="L10" s="363">
        <v>5.0191818288036469E-2</v>
      </c>
      <c r="M10" s="150">
        <v>4.2684042918096105E-2</v>
      </c>
      <c r="N10" s="148">
        <v>6.3504369415125578E-2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840</v>
      </c>
      <c r="B11" s="314">
        <v>5.2669736823670869E-2</v>
      </c>
      <c r="C11" s="363">
        <v>3.3013247238037392E-3</v>
      </c>
      <c r="D11" s="363">
        <v>-6.9479205357430115E-2</v>
      </c>
      <c r="E11" s="314">
        <v>7.9254753255018434E-2</v>
      </c>
      <c r="F11" s="314">
        <v>6.5225071101102067E-2</v>
      </c>
      <c r="G11" s="314">
        <v>8.140650062483315E-2</v>
      </c>
      <c r="H11" s="148">
        <v>6.4606202076634686E-2</v>
      </c>
      <c r="I11" s="314">
        <v>9.7404893290136296E-2</v>
      </c>
      <c r="J11" s="148">
        <v>9.7404893290136296E-2</v>
      </c>
      <c r="K11" s="314">
        <v>4.1784240476476567E-2</v>
      </c>
      <c r="L11" s="314">
        <v>4.1194093535387451E-2</v>
      </c>
      <c r="M11" s="148">
        <v>4.1506720745132883E-2</v>
      </c>
      <c r="N11" s="148">
        <v>6.4009624424137074E-2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864</v>
      </c>
      <c r="B14" s="363">
        <v>0.87422109055071651</v>
      </c>
      <c r="C14" s="363">
        <v>0.86074078790180608</v>
      </c>
      <c r="D14" s="363">
        <v>0.98364648484768669</v>
      </c>
      <c r="E14" s="363">
        <v>0.8350656023529599</v>
      </c>
      <c r="F14" s="363">
        <v>0.79145215463143492</v>
      </c>
      <c r="G14" s="363">
        <v>0.82365357938146988</v>
      </c>
      <c r="H14" s="150">
        <v>0.83189248781720915</v>
      </c>
      <c r="I14" s="363">
        <v>0.67394069496105136</v>
      </c>
      <c r="J14" s="150">
        <v>0.67394069496105136</v>
      </c>
      <c r="K14" s="363">
        <v>0.88615014666979541</v>
      </c>
      <c r="L14" s="363">
        <v>0.78537109873266497</v>
      </c>
      <c r="M14" s="150">
        <v>0.84024677220342459</v>
      </c>
      <c r="N14" s="148">
        <v>0.82882101763971239</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840</v>
      </c>
      <c r="B15" s="314">
        <v>0.88007673151203025</v>
      </c>
      <c r="C15" s="363">
        <v>0.87213099354355861</v>
      </c>
      <c r="D15" s="363">
        <v>0.98577651708481884</v>
      </c>
      <c r="E15" s="314">
        <v>0.83951833682479915</v>
      </c>
      <c r="F15" s="314">
        <v>0.84174470003594482</v>
      </c>
      <c r="G15" s="314">
        <v>0.86936858467587175</v>
      </c>
      <c r="H15" s="148">
        <v>0.8647728542368357</v>
      </c>
      <c r="I15" s="314">
        <v>0.75895021477154923</v>
      </c>
      <c r="J15" s="148">
        <v>0.75895021477154923</v>
      </c>
      <c r="K15" s="314">
        <v>0.84947318205214195</v>
      </c>
      <c r="L15" s="314">
        <v>0.84207284267953841</v>
      </c>
      <c r="M15" s="148">
        <v>0.84599313318372482</v>
      </c>
      <c r="N15" s="148">
        <v>0.86093921561972786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864</v>
      </c>
      <c r="B20" s="363">
        <v>1.7552515842538981E-2</v>
      </c>
      <c r="C20" s="363">
        <v>0.30446001510355641</v>
      </c>
      <c r="D20" s="363">
        <v>8.9287004238982736E-3</v>
      </c>
      <c r="E20" s="363">
        <v>6.765868299391061E-3</v>
      </c>
      <c r="F20" s="363">
        <v>2.0226466898401404E-2</v>
      </c>
      <c r="G20" s="363">
        <v>2.3343241756509548E-3</v>
      </c>
      <c r="H20" s="150">
        <v>1.9671410241902366E-2</v>
      </c>
      <c r="I20" s="363">
        <v>0.12061376893241342</v>
      </c>
      <c r="J20" s="150">
        <v>0.12061376893241342</v>
      </c>
      <c r="K20" s="1397" t="s">
        <v>566</v>
      </c>
      <c r="L20" s="363">
        <v>9.2668719883343187E-2</v>
      </c>
      <c r="M20" s="150">
        <v>5.3607816835870646E-2</v>
      </c>
      <c r="N20" s="148">
        <v>2.6287389743405859E-2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840</v>
      </c>
      <c r="B21" s="314">
        <v>2.250378175349875E-2</v>
      </c>
      <c r="C21" s="363">
        <v>0.30632818111126214</v>
      </c>
      <c r="D21" s="363">
        <v>2.6702420605065683E-2</v>
      </c>
      <c r="E21" s="314">
        <v>6.0281961910442512E-3</v>
      </c>
      <c r="F21" s="314">
        <v>1.5073409300106743E-2</v>
      </c>
      <c r="G21" s="314">
        <v>2.5836322998953882E-3</v>
      </c>
      <c r="H21" s="148">
        <v>1.8517675657580994E-2</v>
      </c>
      <c r="I21" s="314">
        <v>5.8063921735295086E-2</v>
      </c>
      <c r="J21" s="148">
        <v>5.8063921735295086E-2</v>
      </c>
      <c r="K21" s="363">
        <v>0</v>
      </c>
      <c r="L21" s="314">
        <v>0.12749213522542441</v>
      </c>
      <c r="M21" s="148">
        <v>7.4295907094771532E-2</v>
      </c>
      <c r="N21" s="148">
        <v>2.4200329348311928E-2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864</v>
      </c>
      <c r="B25" s="363">
        <v>1.313241910700881</v>
      </c>
      <c r="C25" s="363">
        <v>0.82869589067321459</v>
      </c>
      <c r="D25" s="363">
        <v>2.5891205489954836</v>
      </c>
      <c r="E25" s="363">
        <v>1.0322771301920868</v>
      </c>
      <c r="F25" s="363">
        <v>0.97591673031886139</v>
      </c>
      <c r="G25" s="363">
        <v>1.9870469883893167</v>
      </c>
      <c r="H25" s="150">
        <v>1.0315073317928038</v>
      </c>
      <c r="I25" s="363">
        <v>0.20629028805851507</v>
      </c>
      <c r="J25" s="150">
        <v>0.20629028805851507</v>
      </c>
      <c r="K25" s="374">
        <v>0</v>
      </c>
      <c r="L25" s="363">
        <v>0.61881819096585</v>
      </c>
      <c r="M25" s="150">
        <v>0.62244066757068861</v>
      </c>
      <c r="N25" s="150">
        <v>0.81295140849261838</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840</v>
      </c>
      <c r="B26" s="314">
        <v>1.312977127654505</v>
      </c>
      <c r="C26" s="363">
        <v>0.89334788653841624</v>
      </c>
      <c r="D26" s="363">
        <v>1.2885172502918723</v>
      </c>
      <c r="E26" s="314">
        <v>1.1623702040652688</v>
      </c>
      <c r="F26" s="314">
        <v>1.2322488431461607</v>
      </c>
      <c r="G26" s="314">
        <v>1.2760734157295166</v>
      </c>
      <c r="H26" s="148">
        <v>1.1056620010890224</v>
      </c>
      <c r="I26" s="314">
        <v>0.58729845105705603</v>
      </c>
      <c r="J26" s="148">
        <v>0.58729845105705603</v>
      </c>
      <c r="K26" s="374">
        <v>0</v>
      </c>
      <c r="L26" s="314">
        <v>0.59813389818737417</v>
      </c>
      <c r="M26" s="148">
        <v>0.71112438363775266</v>
      </c>
      <c r="N26" s="148">
        <v>0.96657730338067271</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864</v>
      </c>
      <c r="B30" s="363">
        <v>-2.1125804015146535E-2</v>
      </c>
      <c r="C30" s="363">
        <v>4.6914417340512653</v>
      </c>
      <c r="D30" s="363">
        <v>9.4642204774371241E-2</v>
      </c>
      <c r="E30" s="363">
        <v>-1.2641916118378749E-3</v>
      </c>
      <c r="F30" s="363">
        <v>2.6743527967612174E-3</v>
      </c>
      <c r="G30" s="363">
        <v>-9.9890914139656502E-3</v>
      </c>
      <c r="H30" s="150">
        <v>-3.1247795827966628E-3</v>
      </c>
      <c r="I30" s="363">
        <v>0.58032072281939495</v>
      </c>
      <c r="J30" s="150">
        <v>0.58032072281939495</v>
      </c>
      <c r="K30" s="363">
        <v>-3.0025140097462558E-3</v>
      </c>
      <c r="L30" s="363">
        <v>0.27394333216251027</v>
      </c>
      <c r="M30" s="150">
        <v>0.14533008227849267</v>
      </c>
      <c r="N30" s="148">
        <v>2.5485959191274984E-2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840</v>
      </c>
      <c r="B31" s="363">
        <v>-2.1023748538564913E-2</v>
      </c>
      <c r="C31" s="363">
        <v>5.6511865138428883</v>
      </c>
      <c r="D31" s="363">
        <v>4.8540959506853637E-2</v>
      </c>
      <c r="E31" s="363">
        <v>-5.420279070763416E-3</v>
      </c>
      <c r="F31" s="363">
        <v>-1.9334169306543664E-2</v>
      </c>
      <c r="G31" s="363">
        <v>-2.824560966788583E-3</v>
      </c>
      <c r="H31" s="150">
        <v>-9.1530423262672599E-3</v>
      </c>
      <c r="I31" s="363">
        <v>0.12347074373197214</v>
      </c>
      <c r="J31" s="150">
        <v>0.12347074373197214</v>
      </c>
      <c r="K31" s="363">
        <v>-0.13966075214819776</v>
      </c>
      <c r="L31" s="363">
        <v>0.56757642189101576</v>
      </c>
      <c r="M31" s="150">
        <v>0.1904162861334853</v>
      </c>
      <c r="N31" s="148">
        <v>3.9342742841683084E-3</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865</v>
      </c>
      <c r="B35" s="314">
        <v>9.986371701982584E-3</v>
      </c>
      <c r="C35" s="363">
        <v>9.7023889461160633E-3</v>
      </c>
      <c r="D35" s="364">
        <v>2.2587603718034342E-2</v>
      </c>
      <c r="E35" s="314">
        <v>1.9408694484875793E-2</v>
      </c>
      <c r="F35" s="314">
        <v>8.3079660341846568E-3</v>
      </c>
      <c r="G35" s="314">
        <v>1.9373433272277325E-2</v>
      </c>
      <c r="H35" s="148">
        <v>1.334516075707389E-2</v>
      </c>
      <c r="I35" s="314">
        <v>1.2693280995356472E-2</v>
      </c>
      <c r="J35" s="149">
        <v>1.2693280995356472E-2</v>
      </c>
      <c r="K35" s="314">
        <v>2.7399167694135457E-3</v>
      </c>
      <c r="L35" s="314">
        <v>3.6257499376791756E-2</v>
      </c>
      <c r="M35" s="149">
        <v>1.8598266563425243E-2</v>
      </c>
      <c r="N35" s="148">
        <v>1.3681146279934676E-2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825</v>
      </c>
      <c r="B36" s="314">
        <v>1.34E-2</v>
      </c>
      <c r="C36" s="363">
        <v>2.3E-3</v>
      </c>
      <c r="D36" s="363">
        <v>-8.6999999999999994E-3</v>
      </c>
      <c r="E36" s="314">
        <v>2.0299999999999999E-2</v>
      </c>
      <c r="F36" s="314">
        <v>8.5000000000000006E-3</v>
      </c>
      <c r="G36" s="314">
        <v>2.9399999999999999E-2</v>
      </c>
      <c r="H36" s="148">
        <v>1.6799999999999999E-2</v>
      </c>
      <c r="I36" s="314">
        <v>1.34E-2</v>
      </c>
      <c r="J36" s="149">
        <v>1.34E-2</v>
      </c>
      <c r="K36" s="314">
        <v>1.6999999999999999E-3</v>
      </c>
      <c r="L36" s="314">
        <v>5.7999999999999996E-3</v>
      </c>
      <c r="M36" s="149">
        <v>3.8E-3</v>
      </c>
      <c r="N36" s="148">
        <v>1.6E-2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866</v>
      </c>
      <c r="B37" s="314">
        <v>9.8836449483314399E-3</v>
      </c>
      <c r="C37" s="363">
        <v>1.0469003212810659E-2</v>
      </c>
      <c r="D37" s="363">
        <v>1.1507064806166865E-2</v>
      </c>
      <c r="E37" s="314">
        <v>1.9841965029904637E-2</v>
      </c>
      <c r="F37" s="314">
        <v>8.3885103236493608E-3</v>
      </c>
      <c r="G37" s="314">
        <v>1.7455228772494714E-2</v>
      </c>
      <c r="H37" s="148">
        <v>1.265064753454982E-2</v>
      </c>
      <c r="I37" s="314">
        <v>9.6396093536129518E-3</v>
      </c>
      <c r="J37" s="149">
        <v>9.6396093536129518E-3</v>
      </c>
      <c r="K37" s="314">
        <v>4.1048671893755021E-3</v>
      </c>
      <c r="L37" s="314">
        <v>3.2490235385634156E-2</v>
      </c>
      <c r="M37" s="149">
        <v>1.72239683477661E-2</v>
      </c>
      <c r="N37" s="148">
        <v>1.2884772417472377E-2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826</v>
      </c>
      <c r="B38" s="314">
        <v>1.04E-2</v>
      </c>
      <c r="C38" s="363">
        <v>1.49E-2</v>
      </c>
      <c r="D38" s="363">
        <v>-9.4999999999999998E-3</v>
      </c>
      <c r="E38" s="314">
        <v>1.9900000000000001E-2</v>
      </c>
      <c r="F38" s="314">
        <v>9.2999999999999992E-3</v>
      </c>
      <c r="G38" s="314">
        <v>2.2700000000000001E-2</v>
      </c>
      <c r="H38" s="148">
        <v>1.43E-2</v>
      </c>
      <c r="I38" s="314">
        <v>1.2699999999999999E-2</v>
      </c>
      <c r="J38" s="149">
        <v>1.2699999999999999E-2</v>
      </c>
      <c r="K38" s="314">
        <v>3.5999999999999999E-3</v>
      </c>
      <c r="L38" s="314">
        <v>1.46E-2</v>
      </c>
      <c r="M38" s="149">
        <v>8.8999999999999999E-3</v>
      </c>
      <c r="N38" s="148">
        <v>1.3899999999999999E-2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865</v>
      </c>
      <c r="B41" s="314">
        <v>0.19171602123792972</v>
      </c>
      <c r="C41" s="363">
        <v>1.4350025932159689</v>
      </c>
      <c r="D41" s="364">
        <v>-0.3450764615855057</v>
      </c>
      <c r="E41" s="314">
        <v>0.24111019957171148</v>
      </c>
      <c r="F41" s="314">
        <v>0.12635027679890626</v>
      </c>
      <c r="G41" s="314">
        <v>0.23251287093032044</v>
      </c>
      <c r="H41" s="148">
        <v>0.20534209403932482</v>
      </c>
      <c r="I41" s="314">
        <v>0.13340129189986771</v>
      </c>
      <c r="J41" s="149">
        <v>0.13340129189986771</v>
      </c>
      <c r="K41" s="314">
        <v>6.9055161246631636E-2</v>
      </c>
      <c r="L41" s="314">
        <v>0.73896802873281797</v>
      </c>
      <c r="M41" s="149">
        <v>0.42154844666833963</v>
      </c>
      <c r="N41" s="148">
        <v>0.21262478443238622</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825</v>
      </c>
      <c r="B42" s="314">
        <v>0.2732</v>
      </c>
      <c r="C42" s="363">
        <v>0.24979999999999999</v>
      </c>
      <c r="D42" s="363">
        <v>0.14929999999999999</v>
      </c>
      <c r="E42" s="314">
        <v>0.26569999999999999</v>
      </c>
      <c r="F42" s="314">
        <v>0.13</v>
      </c>
      <c r="G42" s="314">
        <v>0.34160000000000001</v>
      </c>
      <c r="H42" s="148">
        <v>0.26129999999999998</v>
      </c>
      <c r="I42" s="314">
        <v>0.1341</v>
      </c>
      <c r="J42" s="149">
        <v>0.1341</v>
      </c>
      <c r="K42" s="314">
        <v>3.8800000000000001E-2</v>
      </c>
      <c r="L42" s="314">
        <v>0.11799999999999999</v>
      </c>
      <c r="M42" s="149">
        <v>8.0500000000000002E-2</v>
      </c>
      <c r="N42" s="148">
        <v>0.24829999999999999</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866</v>
      </c>
      <c r="B43" s="314">
        <v>0.1807192755938849</v>
      </c>
      <c r="C43" s="363">
        <v>2.0710169685074935</v>
      </c>
      <c r="D43" s="363">
        <v>-0.17721539220953109</v>
      </c>
      <c r="E43" s="314">
        <v>0.25017871594723384</v>
      </c>
      <c r="F43" s="314">
        <v>0.12858924092115023</v>
      </c>
      <c r="G43" s="314">
        <v>0.22028431482365371</v>
      </c>
      <c r="H43" s="148">
        <v>0.19638131889312646</v>
      </c>
      <c r="I43" s="314">
        <v>9.7718290880838388E-2</v>
      </c>
      <c r="J43" s="149">
        <v>9.7718290880838388E-2</v>
      </c>
      <c r="K43" s="314">
        <v>0.10578103243772884</v>
      </c>
      <c r="L43" s="314">
        <v>0.70564581879242161</v>
      </c>
      <c r="M43" s="149">
        <v>0.40862982217818949</v>
      </c>
      <c r="N43" s="148">
        <v>0.20210279093818048</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826</v>
      </c>
      <c r="B44" s="314">
        <v>0.2097</v>
      </c>
      <c r="C44" s="363">
        <v>2.6004</v>
      </c>
      <c r="D44" s="363">
        <v>0.1681</v>
      </c>
      <c r="E44" s="314">
        <v>0.2611</v>
      </c>
      <c r="F44" s="314">
        <v>0.14910000000000001</v>
      </c>
      <c r="G44" s="314">
        <v>0.27489999999999998</v>
      </c>
      <c r="H44" s="148">
        <v>0.22700000000000001</v>
      </c>
      <c r="I44" s="314">
        <v>0.12839999999999999</v>
      </c>
      <c r="J44" s="149">
        <v>0.12839999999999999</v>
      </c>
      <c r="K44" s="314">
        <v>8.4000000000000005E-2</v>
      </c>
      <c r="L44" s="314">
        <v>0.31669999999999998</v>
      </c>
      <c r="M44" s="149">
        <v>0.20180000000000001</v>
      </c>
      <c r="N44" s="148">
        <v>0.22189999999999999</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865</v>
      </c>
      <c r="B48" s="314">
        <v>0.96760393016357271</v>
      </c>
      <c r="C48" s="314">
        <v>0.94334587345300358</v>
      </c>
      <c r="D48" s="314">
        <v>0.95590157605296855</v>
      </c>
      <c r="E48" s="314">
        <v>0.94735141881722407</v>
      </c>
      <c r="F48" s="314">
        <v>0.91157025484923038</v>
      </c>
      <c r="G48" s="314">
        <v>0.94222534695135274</v>
      </c>
      <c r="H48" s="150">
        <v>0.93914275841536676</v>
      </c>
      <c r="I48" s="314">
        <v>0.75964648922632727</v>
      </c>
      <c r="J48" s="150">
        <v>0.75964648922632727</v>
      </c>
      <c r="K48" s="314">
        <v>0.93223232947687595</v>
      </c>
      <c r="L48" s="314">
        <v>0.98178761140952575</v>
      </c>
      <c r="M48" s="150">
        <v>0.96514983790622277</v>
      </c>
      <c r="N48" s="148">
        <v>0.93318813096366204</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825</v>
      </c>
      <c r="B49" s="363">
        <v>0.94467767319220419</v>
      </c>
      <c r="C49" s="363">
        <v>0.95297948594344084</v>
      </c>
      <c r="D49" s="363">
        <v>0.95165184937744374</v>
      </c>
      <c r="E49" s="363">
        <v>0.95270666249207225</v>
      </c>
      <c r="F49" s="363">
        <v>0.90332627601714643</v>
      </c>
      <c r="G49" s="363">
        <v>0.94376359303948387</v>
      </c>
      <c r="H49" s="153">
        <v>0.93286029404225435</v>
      </c>
      <c r="I49" s="363">
        <v>0.7637092253870883</v>
      </c>
      <c r="J49" s="153">
        <v>0.7637092253870883</v>
      </c>
      <c r="K49" s="363">
        <v>0.92808747743741338</v>
      </c>
      <c r="L49" s="363">
        <v>0.96242503365835752</v>
      </c>
      <c r="M49" s="153">
        <v>0.94738048573622624</v>
      </c>
      <c r="N49" s="149">
        <v>0.92596119138812016</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866</v>
      </c>
      <c r="B50" s="314">
        <v>0.96170655263355276</v>
      </c>
      <c r="C50" s="363">
        <v>0.95115750496171458</v>
      </c>
      <c r="D50" s="363">
        <v>0.95523885083867754</v>
      </c>
      <c r="E50" s="314">
        <v>0.94565890653090201</v>
      </c>
      <c r="F50" s="314">
        <v>0.90947158285701823</v>
      </c>
      <c r="G50" s="314">
        <v>0.94632979183682631</v>
      </c>
      <c r="H50" s="148">
        <v>0.93801920048161302</v>
      </c>
      <c r="I50" s="314">
        <v>0.77008050337409928</v>
      </c>
      <c r="J50" s="149">
        <v>0.77008050337409928</v>
      </c>
      <c r="K50" s="314">
        <v>0.92924200009279734</v>
      </c>
      <c r="L50" s="314">
        <v>0.98038871281835882</v>
      </c>
      <c r="M50" s="149">
        <v>0.96348196848702983</v>
      </c>
      <c r="N50" s="148">
        <v>0.93251778045300759</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826</v>
      </c>
      <c r="B51" s="314">
        <v>0.94118325201576192</v>
      </c>
      <c r="C51" s="363">
        <v>0.96420568919337646</v>
      </c>
      <c r="D51" s="363">
        <v>0.95235515665867942</v>
      </c>
      <c r="E51" s="314">
        <v>0.95197145124236116</v>
      </c>
      <c r="F51" s="314">
        <v>0.8934438697484729</v>
      </c>
      <c r="G51" s="314">
        <v>0.93975712804639844</v>
      </c>
      <c r="H51" s="153">
        <v>0.92810182301038191</v>
      </c>
      <c r="I51" s="314">
        <v>0.76163697564354338</v>
      </c>
      <c r="J51" s="153">
        <v>0.76163697564354338</v>
      </c>
      <c r="K51" s="314">
        <v>0.92593094660358688</v>
      </c>
      <c r="L51" s="314">
        <v>0.9640041990496887</v>
      </c>
      <c r="M51" s="153">
        <v>0.94860307624818363</v>
      </c>
      <c r="N51" s="153">
        <v>0.92193401585767765</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865</v>
      </c>
      <c r="B54" s="314">
        <v>7.9994250042662932E-2</v>
      </c>
      <c r="C54" s="314">
        <v>8.1706361453954796E-2</v>
      </c>
      <c r="D54" s="314">
        <v>0.13583858950907837</v>
      </c>
      <c r="E54" s="314">
        <v>0.11677115656127929</v>
      </c>
      <c r="F54" s="314">
        <v>6.4862531110961186E-2</v>
      </c>
      <c r="G54" s="314">
        <v>6.3028975996502146E-2</v>
      </c>
      <c r="H54" s="150">
        <v>7.3835313950704695E-2</v>
      </c>
      <c r="I54" s="314">
        <v>8.4151143979186438E-2</v>
      </c>
      <c r="J54" s="149">
        <v>8.4151143979186438E-2</v>
      </c>
      <c r="K54" s="314">
        <v>7.9110753108686815E-2</v>
      </c>
      <c r="L54" s="314">
        <v>0.11753140389539422</v>
      </c>
      <c r="M54" s="150">
        <v>0.10192355496258053</v>
      </c>
      <c r="N54" s="148">
        <v>7.6147153552057714E-2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825</v>
      </c>
      <c r="B55" s="363">
        <v>0.1178</v>
      </c>
      <c r="C55" s="363">
        <v>0.1105</v>
      </c>
      <c r="D55" s="363">
        <v>0.13619999999999999</v>
      </c>
      <c r="E55" s="363">
        <v>0.1265</v>
      </c>
      <c r="F55" s="363">
        <v>6.2100000000000002E-2</v>
      </c>
      <c r="G55" s="363">
        <v>7.2499999999999995E-2</v>
      </c>
      <c r="H55" s="153">
        <v>8.3299999999999999E-2</v>
      </c>
      <c r="I55" s="363">
        <v>8.7300000000000003E-2</v>
      </c>
      <c r="J55" s="153">
        <v>8.72E-2</v>
      </c>
      <c r="K55" s="363">
        <v>8.4900000000000003E-2</v>
      </c>
      <c r="L55" s="363">
        <v>9.2899999999999996E-2</v>
      </c>
      <c r="M55" s="153">
        <v>8.9200000000000002E-2</v>
      </c>
      <c r="N55" s="149">
        <v>8.4000000000000005E-2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866</v>
      </c>
      <c r="B56" s="363">
        <v>8.9335778130793478E-2</v>
      </c>
      <c r="C56" s="363">
        <v>9.2961058335415375E-2</v>
      </c>
      <c r="D56" s="363">
        <v>0.13482293285030972</v>
      </c>
      <c r="E56" s="363">
        <v>0.11954635448209698</v>
      </c>
      <c r="F56" s="363">
        <v>6.4965968749672323E-2</v>
      </c>
      <c r="G56" s="363">
        <v>6.2686901668158226E-2</v>
      </c>
      <c r="H56" s="153">
        <v>7.5560497868391821E-2</v>
      </c>
      <c r="I56" s="363">
        <v>8.3425679433384775E-2</v>
      </c>
      <c r="J56" s="153">
        <v>8.3425679433384775E-2</v>
      </c>
      <c r="K56" s="363">
        <v>7.4121474781272165E-2</v>
      </c>
      <c r="L56" s="363">
        <v>0.11366468907854384</v>
      </c>
      <c r="M56" s="153">
        <v>9.7080827966490563E-2</v>
      </c>
      <c r="N56" s="149">
        <v>7.7398701400192213E-2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826</v>
      </c>
      <c r="B57" s="314">
        <v>0.1166</v>
      </c>
      <c r="C57" s="363">
        <v>0.14410000000000001</v>
      </c>
      <c r="D57" s="363">
        <v>0.14349999999999999</v>
      </c>
      <c r="E57" s="314">
        <v>0.12889999999999999</v>
      </c>
      <c r="F57" s="314">
        <v>6.3700000000000007E-2</v>
      </c>
      <c r="G57" s="314">
        <v>7.3499999999999996E-2</v>
      </c>
      <c r="H57" s="148">
        <v>8.5199999999999998E-2</v>
      </c>
      <c r="I57" s="314">
        <v>8.8099999999999998E-2</v>
      </c>
      <c r="J57" s="149">
        <v>8.8099999999999998E-2</v>
      </c>
      <c r="K57" s="314">
        <v>8.0199999999999994E-2</v>
      </c>
      <c r="L57" s="314">
        <v>0.1041</v>
      </c>
      <c r="M57" s="149">
        <v>9.2899999999999996E-2</v>
      </c>
      <c r="N57" s="148">
        <v>8.5999999999999993E-2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865</v>
      </c>
      <c r="B60" s="363">
        <v>8.1489943864069658E-2</v>
      </c>
      <c r="C60" s="363">
        <v>0.11708201277997164</v>
      </c>
      <c r="D60" s="363">
        <v>0.13727172830284587</v>
      </c>
      <c r="E60" s="363">
        <v>0.11765944306736592</v>
      </c>
      <c r="F60" s="363">
        <v>6.6023963471115929E-2</v>
      </c>
      <c r="G60" s="363">
        <v>6.3185347119341817E-2</v>
      </c>
      <c r="H60" s="153">
        <v>7.5263661160074422E-2</v>
      </c>
      <c r="I60" s="363">
        <v>9.3785846216632912E-2</v>
      </c>
      <c r="J60" s="153">
        <v>9.3785846216632912E-2</v>
      </c>
      <c r="K60" s="363">
        <v>7.9110753108686815E-2</v>
      </c>
      <c r="L60" s="363">
        <v>0.13079143394026749</v>
      </c>
      <c r="M60" s="153">
        <v>0.10845211087258652</v>
      </c>
      <c r="N60" s="153">
        <v>7.8121425120469254E-2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825</v>
      </c>
      <c r="B61" s="363">
        <v>0.12720000000000001</v>
      </c>
      <c r="C61" s="363">
        <v>0.16470000000000001</v>
      </c>
      <c r="D61" s="363">
        <v>0.14610000000000001</v>
      </c>
      <c r="E61" s="363">
        <v>0.12759999999999999</v>
      </c>
      <c r="F61" s="363">
        <v>6.3500000000000001E-2</v>
      </c>
      <c r="G61" s="363">
        <v>7.2800000000000004E-2</v>
      </c>
      <c r="H61" s="153">
        <v>8.5900000000000004E-2</v>
      </c>
      <c r="I61" s="363">
        <v>9.4700000000000006E-2</v>
      </c>
      <c r="J61" s="153">
        <v>9.4700000000000006E-2</v>
      </c>
      <c r="K61" s="363">
        <v>8.4900000000000003E-2</v>
      </c>
      <c r="L61" s="363">
        <v>0.1081</v>
      </c>
      <c r="M61" s="153">
        <v>9.6500000000000002E-2</v>
      </c>
      <c r="N61" s="149">
        <v>8.72E-2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866</v>
      </c>
      <c r="B62" s="363">
        <v>9.1123812974070739E-2</v>
      </c>
      <c r="C62" s="363">
        <v>0.13382115403003478</v>
      </c>
      <c r="D62" s="363">
        <v>0.13728811522161569</v>
      </c>
      <c r="E62" s="363">
        <v>0.12031789947194613</v>
      </c>
      <c r="F62" s="363">
        <v>6.6137172784113143E-2</v>
      </c>
      <c r="G62" s="363">
        <v>6.2841329096726128E-2</v>
      </c>
      <c r="H62" s="153">
        <v>7.7033338486377917E-2</v>
      </c>
      <c r="I62" s="363">
        <v>9.181998125686143E-2</v>
      </c>
      <c r="J62" s="153">
        <v>9.181998125686143E-2</v>
      </c>
      <c r="K62" s="363">
        <v>7.4121474781272165E-2</v>
      </c>
      <c r="L62" s="363">
        <v>0.12772840450350692</v>
      </c>
      <c r="M62" s="153">
        <v>0.10371100469468592</v>
      </c>
      <c r="N62" s="153">
        <v>7.9406661876691209E-2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826</v>
      </c>
      <c r="B63" s="314">
        <v>0.12659999999999999</v>
      </c>
      <c r="C63" s="363">
        <v>0.2331</v>
      </c>
      <c r="D63" s="363">
        <v>0.1542</v>
      </c>
      <c r="E63" s="314">
        <v>0.1298</v>
      </c>
      <c r="F63" s="314">
        <v>6.5100000000000005E-2</v>
      </c>
      <c r="G63" s="314">
        <v>7.3800000000000004E-2</v>
      </c>
      <c r="H63" s="148">
        <v>8.7900000000000006E-2</v>
      </c>
      <c r="I63" s="314">
        <v>9.4100000000000003E-2</v>
      </c>
      <c r="J63" s="149">
        <v>9.4100000000000003E-2</v>
      </c>
      <c r="K63" s="314">
        <v>8.0199999999999994E-2</v>
      </c>
      <c r="L63" s="314">
        <v>0.1222</v>
      </c>
      <c r="M63" s="149">
        <v>0.1008</v>
      </c>
      <c r="N63" s="148">
        <v>8.9300000000000004E-2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865</v>
      </c>
      <c r="B66" s="314">
        <v>8.0331710748987833E-4</v>
      </c>
      <c r="C66" s="314">
        <v>3.5197431002134166E-3</v>
      </c>
      <c r="D66" s="314">
        <v>2.7490883760012404E-3</v>
      </c>
      <c r="E66" s="314">
        <v>3.5282440958431692E-3</v>
      </c>
      <c r="F66" s="314">
        <v>3.355157405178489E-3</v>
      </c>
      <c r="G66" s="314">
        <v>1.742731560745928E-3</v>
      </c>
      <c r="H66" s="150">
        <v>2.0864619610369041E-3</v>
      </c>
      <c r="I66" s="314">
        <v>1.8129234841213912E-2</v>
      </c>
      <c r="J66" s="150">
        <v>1.8129234841213912E-2</v>
      </c>
      <c r="K66" s="314">
        <v>1.6971557527460822E-3</v>
      </c>
      <c r="L66" s="314">
        <v>1.0944952210842343E-3</v>
      </c>
      <c r="M66" s="150">
        <v>1.4248129806685489E-3</v>
      </c>
      <c r="N66" s="148">
        <v>2.3779232137926963E-3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825</v>
      </c>
      <c r="B67" s="363">
        <v>1E-3</v>
      </c>
      <c r="C67" s="363">
        <v>2.8999999999999998E-3</v>
      </c>
      <c r="D67" s="363">
        <v>2.5999999999999999E-3</v>
      </c>
      <c r="E67" s="363">
        <v>3.3E-3</v>
      </c>
      <c r="F67" s="363">
        <v>3.0000000000000001E-3</v>
      </c>
      <c r="G67" s="363">
        <v>1.5E-3</v>
      </c>
      <c r="H67" s="153">
        <v>1.9E-3</v>
      </c>
      <c r="I67" s="363">
        <v>1.4999999999999999E-2</v>
      </c>
      <c r="J67" s="153">
        <v>1.4999999999999999E-2</v>
      </c>
      <c r="K67" s="363">
        <v>2.8999999999999998E-3</v>
      </c>
      <c r="L67" s="363">
        <v>1.8E-3</v>
      </c>
      <c r="M67" s="153">
        <v>2.3E-3</v>
      </c>
      <c r="N67" s="149">
        <v>2.3E-3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866</v>
      </c>
      <c r="B68" s="314">
        <v>9.4007544252118231E-4</v>
      </c>
      <c r="C68" s="363">
        <v>3.2614031791816083E-3</v>
      </c>
      <c r="D68" s="363">
        <v>2.6722487400803927E-3</v>
      </c>
      <c r="E68" s="314">
        <v>3.5755002932678125E-3</v>
      </c>
      <c r="F68" s="314">
        <v>3.3811848003831211E-3</v>
      </c>
      <c r="G68" s="314">
        <v>1.5158038098996266E-3</v>
      </c>
      <c r="H68" s="148">
        <v>2.0732283741638517E-3</v>
      </c>
      <c r="I68" s="314">
        <v>1.7223203008732167E-2</v>
      </c>
      <c r="J68" s="149">
        <v>1.7223203008732167E-2</v>
      </c>
      <c r="K68" s="314">
        <v>1.6841971961153762E-3</v>
      </c>
      <c r="L68" s="314">
        <v>1.1790674210310642E-3</v>
      </c>
      <c r="M68" s="149">
        <v>1.4594169758920885E-3</v>
      </c>
      <c r="N68" s="148">
        <v>2.3443884041998244E-3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826</v>
      </c>
      <c r="B69" s="314">
        <v>1E-3</v>
      </c>
      <c r="C69" s="363">
        <v>2.7000000000000001E-3</v>
      </c>
      <c r="D69" s="363">
        <v>2.5999999999999999E-3</v>
      </c>
      <c r="E69" s="314">
        <v>3.2000000000000002E-3</v>
      </c>
      <c r="F69" s="314">
        <v>3.3E-3</v>
      </c>
      <c r="G69" s="314">
        <v>1.5E-3</v>
      </c>
      <c r="H69" s="148">
        <v>2.0999999999999999E-3</v>
      </c>
      <c r="I69" s="314">
        <v>1.4999999999999999E-2</v>
      </c>
      <c r="J69" s="149">
        <v>1.4999999999999999E-2</v>
      </c>
      <c r="K69" s="314">
        <v>2.7000000000000001E-3</v>
      </c>
      <c r="L69" s="314">
        <v>2E-3</v>
      </c>
      <c r="M69" s="149">
        <v>2.3E-3</v>
      </c>
      <c r="N69" s="148">
        <v>2.3999999999999998E-3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865</v>
      </c>
      <c r="B74" s="314">
        <v>0.63780650268464978</v>
      </c>
      <c r="C74" s="314">
        <v>0.67555975859072348</v>
      </c>
      <c r="D74" s="314">
        <v>0.76756628281459205</v>
      </c>
      <c r="E74" s="314">
        <v>0.71589488546940905</v>
      </c>
      <c r="F74" s="314">
        <v>0.68025658786935328</v>
      </c>
      <c r="G74" s="314">
        <v>0.58183931804266564</v>
      </c>
      <c r="H74" s="150">
        <v>0.64688446811483458</v>
      </c>
      <c r="I74" s="314">
        <v>0.50832735236296722</v>
      </c>
      <c r="J74" s="150">
        <v>0.50832735236296722</v>
      </c>
      <c r="K74" s="314">
        <v>0.89981438294226834</v>
      </c>
      <c r="L74" s="314">
        <v>0.48296124557791859</v>
      </c>
      <c r="M74" s="150">
        <v>0.64406280847828623</v>
      </c>
      <c r="N74" s="148">
        <v>0.64352235344851894</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825</v>
      </c>
      <c r="B75" s="363">
        <v>0.5697159570073238</v>
      </c>
      <c r="C75" s="363">
        <v>0.7026034258192142</v>
      </c>
      <c r="D75" s="363">
        <v>1.0549333261755107</v>
      </c>
      <c r="E75" s="363">
        <v>0.70572796361070356</v>
      </c>
      <c r="F75" s="363">
        <v>0.72476802174774835</v>
      </c>
      <c r="G75" s="363">
        <v>0.52251213131614194</v>
      </c>
      <c r="H75" s="153">
        <v>0.63023177874800562</v>
      </c>
      <c r="I75" s="363">
        <v>0.5329602227703546</v>
      </c>
      <c r="J75" s="153">
        <v>0.5329602227703546</v>
      </c>
      <c r="K75" s="363">
        <v>0.68286405597423216</v>
      </c>
      <c r="L75" s="363">
        <v>0.71258533894214193</v>
      </c>
      <c r="M75" s="153">
        <v>0.69854867823454059</v>
      </c>
      <c r="N75" s="149">
        <v>0.63259813974945389</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866</v>
      </c>
      <c r="B76" s="314">
        <v>0.66507022362737678</v>
      </c>
      <c r="C76" s="363">
        <v>0.69406726404664465</v>
      </c>
      <c r="D76" s="363">
        <v>0.84463628482463116</v>
      </c>
      <c r="E76" s="314">
        <v>0.69605522457767099</v>
      </c>
      <c r="F76" s="314">
        <v>0.68215961403422143</v>
      </c>
      <c r="G76" s="314">
        <v>0.59717636988866241</v>
      </c>
      <c r="H76" s="148">
        <v>0.65869392999954812</v>
      </c>
      <c r="I76" s="314">
        <v>0.51080758782960667</v>
      </c>
      <c r="J76" s="149">
        <v>0.51080758782960667</v>
      </c>
      <c r="K76" s="314">
        <v>0.89857160397822622</v>
      </c>
      <c r="L76" s="314">
        <v>0.54811863898059976</v>
      </c>
      <c r="M76" s="149">
        <v>0.68830097246324617</v>
      </c>
      <c r="N76" s="148">
        <v>0.65720776553926785</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826</v>
      </c>
      <c r="B77" s="363">
        <v>0.63617906154869297</v>
      </c>
      <c r="C77" s="363">
        <v>0.64445677787733058</v>
      </c>
      <c r="D77" s="364">
        <v>1.064503939681801</v>
      </c>
      <c r="E77" s="363">
        <v>0.70760277377724701</v>
      </c>
      <c r="F77" s="363">
        <v>0.70152235261225027</v>
      </c>
      <c r="G77" s="363">
        <v>0.56995496070055407</v>
      </c>
      <c r="H77" s="153">
        <v>0.655158431136455</v>
      </c>
      <c r="I77" s="363">
        <v>0.50797361295620835</v>
      </c>
      <c r="J77" s="153">
        <v>0.50797361295620835</v>
      </c>
      <c r="K77" s="363">
        <v>0.7668825799338479</v>
      </c>
      <c r="L77" s="363">
        <v>0.65347745249424893</v>
      </c>
      <c r="M77" s="153">
        <v>0.70468035385258909</v>
      </c>
      <c r="N77" s="153">
        <v>0.65546214579971362</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865</v>
      </c>
      <c r="B80" s="1032">
        <v>2525.214442953953</v>
      </c>
      <c r="C80" s="1032">
        <v>1157.402300631579</v>
      </c>
      <c r="D80" s="1032">
        <v>1823.1782993576821</v>
      </c>
      <c r="E80" s="1032">
        <v>1890.635494155154</v>
      </c>
      <c r="F80" s="1032">
        <v>2095.3006958561373</v>
      </c>
      <c r="G80" s="1032">
        <v>2855.3830153333333</v>
      </c>
      <c r="H80" s="971">
        <v>2293.7390683405492</v>
      </c>
      <c r="I80" s="1032">
        <v>3749.9919361403513</v>
      </c>
      <c r="J80" s="379">
        <v>3749.9919361403513</v>
      </c>
      <c r="K80" s="1053">
        <v>6548.8831168831166</v>
      </c>
      <c r="L80" s="1032">
        <v>4350.695652173913</v>
      </c>
      <c r="M80" s="183">
        <v>4999.2030651340992</v>
      </c>
      <c r="N80" s="971">
        <v>2405.8680128111455</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825</v>
      </c>
      <c r="B81" s="1032">
        <v>2335.02</v>
      </c>
      <c r="C81" s="1032">
        <v>1130.6199999999999</v>
      </c>
      <c r="D81" s="1032">
        <v>1232.24</v>
      </c>
      <c r="E81" s="1032">
        <v>1703.62</v>
      </c>
      <c r="F81" s="1032">
        <v>1908.31</v>
      </c>
      <c r="G81" s="1032">
        <v>3083.84</v>
      </c>
      <c r="H81" s="379">
        <v>2202.06</v>
      </c>
      <c r="I81" s="374">
        <v>3460.24</v>
      </c>
      <c r="J81" s="379">
        <v>3460.24</v>
      </c>
      <c r="K81" s="1053">
        <v>6570.84</v>
      </c>
      <c r="L81" s="1032">
        <v>3536.83</v>
      </c>
      <c r="M81" s="183">
        <v>4523.1899999999996</v>
      </c>
      <c r="N81" s="379">
        <v>2296.25</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866</v>
      </c>
      <c r="B82" s="1032">
        <v>2457.1195056596907</v>
      </c>
      <c r="C82" s="1032">
        <v>1177.5719086315789</v>
      </c>
      <c r="D82" s="1032">
        <v>1598.975069644614</v>
      </c>
      <c r="E82" s="1032">
        <v>1883.8412017167382</v>
      </c>
      <c r="F82" s="1032">
        <v>2033.6879585815602</v>
      </c>
      <c r="G82" s="1032">
        <v>2726.3197875256228</v>
      </c>
      <c r="H82" s="971">
        <v>2212.8747980563458</v>
      </c>
      <c r="I82" s="1032">
        <v>3720.9182252631581</v>
      </c>
      <c r="J82" s="379">
        <v>3720.9182252631581</v>
      </c>
      <c r="K82" s="1053">
        <v>6346.2337662337659</v>
      </c>
      <c r="L82" s="1032">
        <v>4072.1111111111113</v>
      </c>
      <c r="M82" s="183">
        <v>4753.4630350194557</v>
      </c>
      <c r="N82" s="971">
        <v>2319.9423120232591</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826</v>
      </c>
      <c r="B83" s="375">
        <v>2197.87</v>
      </c>
      <c r="C83" s="375">
        <v>1302.1600000000001</v>
      </c>
      <c r="D83" s="375">
        <v>1168.58</v>
      </c>
      <c r="E83" s="375">
        <v>1705.91</v>
      </c>
      <c r="F83" s="375">
        <v>1912.95</v>
      </c>
      <c r="G83" s="1306">
        <v>2794.55</v>
      </c>
      <c r="H83" s="646">
        <v>2102.56</v>
      </c>
      <c r="I83" s="1307">
        <v>3390.78</v>
      </c>
      <c r="J83" s="646">
        <v>3390.78</v>
      </c>
      <c r="K83" s="375">
        <v>6613.06</v>
      </c>
      <c r="L83" s="1306">
        <v>3869.88</v>
      </c>
      <c r="M83" s="646">
        <v>4761.7</v>
      </c>
      <c r="N83" s="1030">
        <v>2209.6</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8.xml><?xml version="1.0" encoding="utf-8"?>
<worksheet xmlns="http://schemas.openxmlformats.org/spreadsheetml/2006/main" xmlns:r="http://schemas.openxmlformats.org/officeDocument/2006/relationships">
  <sheetPr>
    <pageSetUpPr fitToPage="1"/>
  </sheetPr>
  <dimension ref="A1:AM287"/>
  <sheetViews>
    <sheetView topLeftCell="A6" workbookViewId="0">
      <pane xSplit="1" ySplit="1"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9.125" customWidth="1"/>
    <col min="2" max="2" width="10.75" style="20" customWidth="1"/>
    <col min="3" max="3" width="10.875" style="21" customWidth="1"/>
    <col min="4" max="5" width="10.75" style="20" customWidth="1"/>
    <col min="6" max="6" width="10.125" style="20" customWidth="1"/>
    <col min="7" max="7" width="9.75" style="20" customWidth="1"/>
    <col min="8" max="9" width="13.625" style="20" customWidth="1"/>
    <col min="10" max="10" width="10.75" style="20" customWidth="1"/>
    <col min="11" max="11" width="13.5" style="21" customWidth="1"/>
    <col min="12" max="12" width="10.75" style="20" customWidth="1"/>
    <col min="13" max="13" width="11.75" style="21" customWidth="1"/>
    <col min="14" max="14" width="11.5" style="20" customWidth="1"/>
    <col min="15" max="15" width="10.875" style="20" customWidth="1"/>
    <col min="16" max="16" width="14.375" style="20" customWidth="1"/>
    <col min="17" max="21" width="14.375" customWidth="1"/>
  </cols>
  <sheetData>
    <row r="1" spans="1:39">
      <c r="A1" s="111" t="s">
        <v>192</v>
      </c>
      <c r="B1" s="42"/>
      <c r="C1" s="43"/>
      <c r="D1" s="42"/>
      <c r="E1" s="42"/>
      <c r="F1" s="42"/>
      <c r="G1" s="42"/>
      <c r="H1" s="42"/>
      <c r="I1" s="42"/>
      <c r="J1" s="42"/>
      <c r="K1" s="43"/>
      <c r="L1" s="42"/>
      <c r="M1" s="43"/>
      <c r="N1" s="42"/>
      <c r="O1" s="42"/>
    </row>
    <row r="2" spans="1:39">
      <c r="A2" s="111" t="s">
        <v>327</v>
      </c>
      <c r="B2" s="42"/>
      <c r="C2" s="43"/>
      <c r="D2" s="42"/>
      <c r="E2" s="42"/>
      <c r="F2" s="42"/>
      <c r="G2" s="42"/>
      <c r="H2" s="42"/>
      <c r="I2" s="42"/>
      <c r="J2" s="42"/>
      <c r="K2" s="43"/>
      <c r="L2" s="42"/>
      <c r="M2" s="43"/>
      <c r="N2" s="42"/>
      <c r="O2" s="42"/>
    </row>
    <row r="3" spans="1:39">
      <c r="A3" s="111" t="s">
        <v>215</v>
      </c>
      <c r="B3" s="42"/>
      <c r="C3" s="43"/>
      <c r="D3" s="42"/>
      <c r="E3" s="42"/>
      <c r="F3" s="42"/>
      <c r="G3" s="42"/>
      <c r="H3" s="42"/>
      <c r="I3" s="42"/>
      <c r="J3" s="42"/>
      <c r="K3" s="43"/>
      <c r="L3" s="42"/>
      <c r="M3" s="43"/>
      <c r="N3" s="42"/>
      <c r="O3" s="42"/>
    </row>
    <row r="4" spans="1:39">
      <c r="A4" s="111" t="s">
        <v>854</v>
      </c>
      <c r="B4" s="42"/>
      <c r="C4" s="43"/>
      <c r="D4" s="42"/>
      <c r="E4" s="42"/>
      <c r="F4" s="42"/>
      <c r="G4" s="42"/>
      <c r="H4" s="42"/>
      <c r="I4" s="42"/>
      <c r="J4" s="42"/>
      <c r="K4" s="43"/>
      <c r="L4" s="42"/>
      <c r="M4" s="43"/>
      <c r="N4" s="42"/>
      <c r="O4" s="42"/>
    </row>
    <row r="5" spans="1:39">
      <c r="A5" s="39"/>
      <c r="B5" s="42"/>
      <c r="C5" s="43"/>
      <c r="D5" s="42"/>
      <c r="E5" s="42"/>
      <c r="F5" s="42"/>
      <c r="G5" s="42"/>
      <c r="H5" s="42"/>
      <c r="I5" s="42"/>
      <c r="J5" s="42"/>
      <c r="K5" s="43"/>
      <c r="L5" s="42"/>
      <c r="M5" s="43"/>
      <c r="N5" s="42"/>
    </row>
    <row r="6" spans="1:39" ht="16.5" thickBot="1">
      <c r="A6" s="1330"/>
      <c r="B6" s="141" t="s">
        <v>59</v>
      </c>
      <c r="C6" s="141" t="s">
        <v>60</v>
      </c>
      <c r="D6" s="140" t="s">
        <v>61</v>
      </c>
      <c r="E6" s="141" t="s">
        <v>66</v>
      </c>
      <c r="F6" s="140" t="s">
        <v>64</v>
      </c>
      <c r="G6" s="140" t="s">
        <v>328</v>
      </c>
      <c r="H6" s="147" t="s">
        <v>329</v>
      </c>
      <c r="I6" s="140" t="s">
        <v>67</v>
      </c>
      <c r="J6" s="147" t="s">
        <v>329</v>
      </c>
      <c r="K6" s="140" t="s">
        <v>68</v>
      </c>
      <c r="L6" s="141" t="s">
        <v>69</v>
      </c>
      <c r="M6" s="147" t="s">
        <v>329</v>
      </c>
      <c r="N6" s="147" t="s">
        <v>621</v>
      </c>
      <c r="P6" s="64"/>
      <c r="Q6" s="10"/>
      <c r="R6" s="10"/>
      <c r="S6" s="10"/>
      <c r="T6" s="10"/>
      <c r="U6" s="10"/>
      <c r="V6" s="10"/>
      <c r="W6" s="10"/>
      <c r="X6" s="10"/>
      <c r="Y6" s="10"/>
      <c r="Z6" s="10"/>
      <c r="AA6" s="10"/>
      <c r="AB6" s="10"/>
      <c r="AC6" s="10"/>
      <c r="AD6" s="10"/>
      <c r="AE6" s="10"/>
      <c r="AF6" s="10"/>
      <c r="AG6" s="10"/>
      <c r="AH6" s="10"/>
      <c r="AI6" s="10"/>
      <c r="AJ6" s="10"/>
      <c r="AK6" s="10"/>
      <c r="AL6" s="10"/>
      <c r="AM6" s="10"/>
    </row>
    <row r="7" spans="1:39" ht="16.5" thickBot="1">
      <c r="A7" s="1331" t="s">
        <v>345</v>
      </c>
      <c r="B7" s="10"/>
      <c r="C7" s="76"/>
      <c r="D7" s="76"/>
      <c r="E7" s="10"/>
      <c r="F7" s="10"/>
      <c r="G7" s="10"/>
      <c r="H7" s="142"/>
      <c r="I7" s="10"/>
      <c r="J7" s="568"/>
      <c r="K7" s="10"/>
      <c r="L7" s="10"/>
      <c r="M7" s="142"/>
      <c r="N7" s="182"/>
      <c r="P7" s="66"/>
      <c r="Q7" s="67"/>
      <c r="R7" s="67"/>
      <c r="S7" s="67"/>
      <c r="T7" s="10"/>
      <c r="U7" s="10"/>
      <c r="V7" s="10"/>
      <c r="W7" s="10"/>
      <c r="X7" s="10"/>
      <c r="Y7" s="10"/>
      <c r="Z7" s="10"/>
      <c r="AA7" s="10"/>
      <c r="AB7" s="10"/>
      <c r="AC7" s="10"/>
      <c r="AD7" s="10"/>
      <c r="AE7" s="10"/>
      <c r="AF7" s="10"/>
      <c r="AG7" s="10"/>
      <c r="AH7" s="10"/>
      <c r="AI7" s="10"/>
      <c r="AJ7" s="10"/>
      <c r="AK7" s="10"/>
      <c r="AL7" s="10"/>
      <c r="AM7" s="10"/>
    </row>
    <row r="8" spans="1:39" ht="12" customHeight="1">
      <c r="A8" s="1332" t="s">
        <v>346</v>
      </c>
      <c r="B8" s="51"/>
      <c r="C8" s="335"/>
      <c r="D8" s="335"/>
      <c r="E8" s="51"/>
      <c r="F8" s="51"/>
      <c r="G8" s="51"/>
      <c r="H8" s="143" t="s">
        <v>0</v>
      </c>
      <c r="I8" s="51"/>
      <c r="J8" s="562" t="s">
        <v>0</v>
      </c>
      <c r="K8" s="52" t="s">
        <v>0</v>
      </c>
      <c r="L8" s="51"/>
      <c r="M8" s="144" t="s">
        <v>0</v>
      </c>
      <c r="N8" s="143" t="s">
        <v>0</v>
      </c>
      <c r="P8" s="64"/>
      <c r="Q8" s="10"/>
      <c r="R8" s="10"/>
      <c r="S8" s="10"/>
      <c r="T8" s="10"/>
      <c r="U8" s="10"/>
      <c r="V8" s="10"/>
      <c r="W8" s="10"/>
      <c r="X8" s="10"/>
      <c r="Y8" s="10"/>
      <c r="Z8" s="10"/>
      <c r="AA8" s="10"/>
      <c r="AB8" s="10"/>
      <c r="AC8" s="10"/>
      <c r="AD8" s="10"/>
      <c r="AE8" s="10"/>
      <c r="AF8" s="10"/>
      <c r="AG8" s="10"/>
      <c r="AH8" s="10"/>
      <c r="AI8" s="10"/>
      <c r="AJ8" s="10"/>
      <c r="AK8" s="10"/>
      <c r="AL8" s="10"/>
      <c r="AM8" s="10"/>
    </row>
    <row r="9" spans="1:39" ht="12" customHeight="1">
      <c r="A9" s="1332" t="s">
        <v>220</v>
      </c>
      <c r="B9" s="51"/>
      <c r="C9" s="335"/>
      <c r="D9" s="335"/>
      <c r="E9" s="51"/>
      <c r="F9" s="51"/>
      <c r="G9" s="51"/>
      <c r="H9" s="143" t="s">
        <v>0</v>
      </c>
      <c r="I9" s="51"/>
      <c r="J9" s="562" t="s">
        <v>0</v>
      </c>
      <c r="K9" s="51"/>
      <c r="L9" s="51"/>
      <c r="M9" s="144" t="s">
        <v>0</v>
      </c>
      <c r="N9" s="143" t="s">
        <v>0</v>
      </c>
      <c r="P9" s="64"/>
      <c r="Q9" s="10"/>
      <c r="R9" s="10"/>
      <c r="S9" s="10"/>
      <c r="T9" s="10"/>
      <c r="U9" s="10"/>
      <c r="V9" s="10"/>
      <c r="W9" s="10"/>
      <c r="X9" s="10"/>
      <c r="Y9" s="10"/>
      <c r="Z9" s="10"/>
      <c r="AA9" s="10"/>
      <c r="AB9" s="10"/>
      <c r="AC9" s="10"/>
      <c r="AD9" s="10"/>
      <c r="AE9" s="10"/>
      <c r="AF9" s="10"/>
      <c r="AG9" s="10"/>
      <c r="AH9" s="10"/>
      <c r="AI9" s="10"/>
      <c r="AJ9" s="10"/>
      <c r="AK9" s="10"/>
      <c r="AL9" s="10"/>
      <c r="AM9" s="10"/>
    </row>
    <row r="10" spans="1:39">
      <c r="A10" s="1330" t="s">
        <v>848</v>
      </c>
      <c r="B10" s="363">
        <v>4.8037158316101426E-2</v>
      </c>
      <c r="C10" s="363">
        <v>6.8549406971477279E-3</v>
      </c>
      <c r="D10" s="363">
        <v>-7.0651493590576361E-2</v>
      </c>
      <c r="E10" s="363">
        <v>8.1648535630891098E-2</v>
      </c>
      <c r="F10" s="363">
        <v>6.625911796602478E-2</v>
      </c>
      <c r="G10" s="363">
        <v>8.9856514318307143E-2</v>
      </c>
      <c r="H10" s="150">
        <v>6.5729145860972796E-2</v>
      </c>
      <c r="I10" s="363">
        <v>9.1011920539429636E-2</v>
      </c>
      <c r="J10" s="150">
        <v>9.1011920539429636E-2</v>
      </c>
      <c r="K10" s="363">
        <v>4.3844077343826178E-2</v>
      </c>
      <c r="L10" s="363">
        <v>4.7860117148173349E-2</v>
      </c>
      <c r="M10" s="150">
        <v>4.5826856669490025E-2</v>
      </c>
      <c r="N10" s="148">
        <v>6.5175787814588521E-2</v>
      </c>
      <c r="P10" s="64"/>
      <c r="Q10" s="10"/>
      <c r="R10" s="10"/>
      <c r="S10" s="10"/>
      <c r="T10" s="10"/>
      <c r="U10" s="10"/>
      <c r="V10" s="10"/>
      <c r="W10" s="10"/>
      <c r="X10" s="10"/>
      <c r="Y10" s="10"/>
      <c r="Z10" s="10"/>
      <c r="AA10" s="10"/>
      <c r="AB10" s="10"/>
      <c r="AC10" s="10"/>
      <c r="AD10" s="10"/>
      <c r="AE10" s="10"/>
      <c r="AF10" s="10"/>
      <c r="AG10" s="10"/>
      <c r="AH10" s="10"/>
      <c r="AI10" s="10"/>
      <c r="AJ10" s="10"/>
      <c r="AK10" s="10"/>
      <c r="AL10" s="10"/>
      <c r="AM10" s="10"/>
    </row>
    <row r="11" spans="1:39">
      <c r="A11" s="1330" t="s">
        <v>840</v>
      </c>
      <c r="B11" s="314">
        <v>5.2669736823670869E-2</v>
      </c>
      <c r="C11" s="363">
        <v>3.3013247238037392E-3</v>
      </c>
      <c r="D11" s="363">
        <v>-6.9479205357430115E-2</v>
      </c>
      <c r="E11" s="314">
        <v>7.9254753255018434E-2</v>
      </c>
      <c r="F11" s="314">
        <v>6.5225071101102067E-2</v>
      </c>
      <c r="G11" s="314">
        <v>8.140650062483315E-2</v>
      </c>
      <c r="H11" s="148">
        <v>6.4606202076634686E-2</v>
      </c>
      <c r="I11" s="314">
        <v>9.7404893290136296E-2</v>
      </c>
      <c r="J11" s="148">
        <v>9.7404893290136296E-2</v>
      </c>
      <c r="K11" s="314">
        <v>4.1784240476476567E-2</v>
      </c>
      <c r="L11" s="314">
        <v>4.1194093535387451E-2</v>
      </c>
      <c r="M11" s="148">
        <v>4.1506720745132883E-2</v>
      </c>
      <c r="N11" s="148">
        <v>6.4009624424137074E-2</v>
      </c>
      <c r="P11" s="64"/>
      <c r="Q11" s="10"/>
      <c r="R11" s="10"/>
      <c r="S11" s="10"/>
      <c r="T11" s="10"/>
      <c r="U11" s="10"/>
      <c r="V11" s="10"/>
      <c r="W11" s="10"/>
      <c r="X11" s="10"/>
      <c r="Y11" s="10"/>
      <c r="Z11" s="10"/>
      <c r="AA11" s="10"/>
      <c r="AB11" s="10"/>
      <c r="AC11" s="10"/>
      <c r="AD11" s="10"/>
      <c r="AE11" s="10"/>
      <c r="AF11" s="10"/>
      <c r="AG11" s="10"/>
      <c r="AH11" s="10"/>
      <c r="AI11" s="10"/>
      <c r="AJ11" s="10"/>
      <c r="AK11" s="10"/>
      <c r="AL11" s="10"/>
      <c r="AM11" s="10"/>
    </row>
    <row r="12" spans="1:39" ht="7.9" customHeight="1">
      <c r="A12" s="1330" t="s">
        <v>0</v>
      </c>
      <c r="B12" s="314"/>
      <c r="C12" s="363"/>
      <c r="D12" s="363"/>
      <c r="E12" s="314"/>
      <c r="F12" s="314"/>
      <c r="G12" s="314"/>
      <c r="H12" s="148" t="s">
        <v>0</v>
      </c>
      <c r="I12" s="314"/>
      <c r="J12" s="149" t="s">
        <v>0</v>
      </c>
      <c r="K12" s="314"/>
      <c r="L12" s="314"/>
      <c r="M12" s="149" t="s">
        <v>0</v>
      </c>
      <c r="N12" s="148" t="s">
        <v>0</v>
      </c>
      <c r="P12" s="64" t="s">
        <v>0</v>
      </c>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2" customHeight="1">
      <c r="A13" s="1332" t="s">
        <v>221</v>
      </c>
      <c r="B13" s="314"/>
      <c r="C13" s="363"/>
      <c r="D13" s="363"/>
      <c r="E13" s="314"/>
      <c r="F13" s="314"/>
      <c r="G13" s="314"/>
      <c r="H13" s="148" t="s">
        <v>0</v>
      </c>
      <c r="I13" s="314"/>
      <c r="J13" s="149" t="s">
        <v>0</v>
      </c>
      <c r="K13" s="314"/>
      <c r="L13" s="314"/>
      <c r="M13" s="149" t="s">
        <v>0</v>
      </c>
      <c r="N13" s="148" t="s">
        <v>0</v>
      </c>
      <c r="P13" s="64" t="s">
        <v>0</v>
      </c>
      <c r="Q13" s="10"/>
      <c r="R13" s="10"/>
      <c r="S13" s="10"/>
      <c r="T13" s="10"/>
      <c r="U13" s="10"/>
      <c r="V13" s="10"/>
      <c r="W13" s="10"/>
      <c r="X13" s="10"/>
      <c r="Y13" s="10"/>
      <c r="Z13" s="10"/>
      <c r="AA13" s="10"/>
      <c r="AB13" s="10"/>
      <c r="AC13" s="10"/>
      <c r="AD13" s="10"/>
      <c r="AE13" s="10"/>
      <c r="AF13" s="10"/>
      <c r="AG13" s="10"/>
      <c r="AH13" s="10"/>
      <c r="AI13" s="10"/>
      <c r="AJ13" s="10"/>
      <c r="AK13" s="10"/>
      <c r="AL13" s="10"/>
      <c r="AM13" s="10"/>
    </row>
    <row r="14" spans="1:39">
      <c r="A14" s="1330" t="s">
        <v>848</v>
      </c>
      <c r="B14" s="363">
        <v>0.88630441889193234</v>
      </c>
      <c r="C14" s="363">
        <v>0.83063312022394398</v>
      </c>
      <c r="D14" s="363">
        <v>0.98895287013138966</v>
      </c>
      <c r="E14" s="363">
        <v>0.83880331010467435</v>
      </c>
      <c r="F14" s="363">
        <v>0.79316244557867521</v>
      </c>
      <c r="G14" s="363">
        <v>0.82996071593993226</v>
      </c>
      <c r="H14" s="150">
        <v>0.83916440741012799</v>
      </c>
      <c r="I14" s="363">
        <v>0.71781690578654178</v>
      </c>
      <c r="J14" s="150">
        <v>0.71781690578654178</v>
      </c>
      <c r="K14" s="363">
        <v>0.85109065868852762</v>
      </c>
      <c r="L14" s="363">
        <v>0.81374213022185182</v>
      </c>
      <c r="M14" s="150">
        <v>0.83240000000000003</v>
      </c>
      <c r="N14" s="148">
        <v>0.83552445021637822</v>
      </c>
      <c r="P14" s="64"/>
      <c r="Q14" s="10"/>
      <c r="R14" s="10"/>
      <c r="S14" s="10"/>
      <c r="T14" s="10"/>
      <c r="U14" s="10"/>
      <c r="V14" s="10"/>
      <c r="W14" s="10"/>
      <c r="X14" s="10"/>
      <c r="Y14" s="10"/>
      <c r="Z14" s="10"/>
      <c r="AA14" s="10"/>
      <c r="AB14" s="10"/>
      <c r="AC14" s="10"/>
      <c r="AD14" s="10"/>
      <c r="AE14" s="10"/>
      <c r="AF14" s="10"/>
      <c r="AG14" s="10"/>
      <c r="AH14" s="10"/>
      <c r="AI14" s="10"/>
      <c r="AJ14" s="10"/>
      <c r="AK14" s="10"/>
      <c r="AL14" s="10"/>
      <c r="AM14" s="10"/>
    </row>
    <row r="15" spans="1:39">
      <c r="A15" s="1330" t="s">
        <v>840</v>
      </c>
      <c r="B15" s="314">
        <v>0.88007673151203025</v>
      </c>
      <c r="C15" s="363">
        <v>0.87213099354355861</v>
      </c>
      <c r="D15" s="363">
        <v>0.98577651708481884</v>
      </c>
      <c r="E15" s="314">
        <v>0.83951833682479915</v>
      </c>
      <c r="F15" s="314">
        <v>0.84174470003594482</v>
      </c>
      <c r="G15" s="314">
        <v>0.86936858467587175</v>
      </c>
      <c r="H15" s="148">
        <v>0.8647728542368357</v>
      </c>
      <c r="I15" s="314">
        <v>0.75895021477154923</v>
      </c>
      <c r="J15" s="148">
        <v>0.75895021477154923</v>
      </c>
      <c r="K15" s="314">
        <v>0.84947318205214195</v>
      </c>
      <c r="L15" s="314">
        <v>0.84207284267953841</v>
      </c>
      <c r="M15" s="148">
        <v>0.84599313318372482</v>
      </c>
      <c r="N15" s="148">
        <v>0.86093921561972786</v>
      </c>
      <c r="P15" s="64"/>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8.4499999999999993" customHeight="1" thickBot="1">
      <c r="A16" s="1333" t="s">
        <v>0</v>
      </c>
      <c r="B16" s="362"/>
      <c r="C16" s="362"/>
      <c r="D16" s="362"/>
      <c r="E16" s="362"/>
      <c r="F16" s="362"/>
      <c r="G16" s="362"/>
      <c r="H16" s="151" t="s">
        <v>0</v>
      </c>
      <c r="I16" s="362"/>
      <c r="J16" s="152" t="s">
        <v>347</v>
      </c>
      <c r="K16" s="362"/>
      <c r="L16" s="362"/>
      <c r="M16" s="152" t="s">
        <v>0</v>
      </c>
      <c r="N16" s="151" t="s">
        <v>0</v>
      </c>
      <c r="P16" s="64"/>
      <c r="Q16" s="10"/>
      <c r="R16" s="10"/>
      <c r="S16" s="10"/>
      <c r="T16" s="10"/>
      <c r="U16" s="10"/>
      <c r="V16" s="10"/>
      <c r="W16" s="10"/>
      <c r="X16" s="10"/>
      <c r="Y16" s="10"/>
      <c r="Z16" s="10"/>
      <c r="AA16" s="10"/>
      <c r="AB16" s="10"/>
      <c r="AC16" s="10"/>
      <c r="AD16" s="10"/>
      <c r="AE16" s="10"/>
      <c r="AF16" s="10"/>
      <c r="AG16" s="10"/>
      <c r="AH16" s="10"/>
      <c r="AI16" s="10"/>
      <c r="AJ16" s="10"/>
      <c r="AK16" s="10"/>
      <c r="AL16" s="10"/>
      <c r="AM16" s="10"/>
    </row>
    <row r="17" spans="1:39" ht="16.5" thickBot="1">
      <c r="A17" s="1334" t="s">
        <v>348</v>
      </c>
      <c r="B17" s="314"/>
      <c r="C17" s="363"/>
      <c r="D17" s="363"/>
      <c r="E17" s="314"/>
      <c r="F17" s="314"/>
      <c r="G17" s="314"/>
      <c r="H17" s="148" t="s">
        <v>0</v>
      </c>
      <c r="I17" s="314"/>
      <c r="J17" s="149" t="s">
        <v>0</v>
      </c>
      <c r="K17" s="314"/>
      <c r="L17" s="314"/>
      <c r="M17" s="149" t="s">
        <v>0</v>
      </c>
      <c r="N17" s="148" t="s">
        <v>0</v>
      </c>
      <c r="P17" s="64"/>
      <c r="Q17" s="10"/>
      <c r="R17" s="10"/>
      <c r="S17" s="10"/>
      <c r="T17" s="10"/>
      <c r="U17" s="10"/>
      <c r="V17" s="10"/>
      <c r="W17" s="10"/>
      <c r="X17" s="10"/>
      <c r="Y17" s="10"/>
      <c r="Z17" s="10"/>
      <c r="AA17" s="10"/>
      <c r="AB17" s="10"/>
      <c r="AC17" s="10"/>
      <c r="AD17" s="10"/>
      <c r="AE17" s="10"/>
      <c r="AF17" s="10"/>
      <c r="AG17" s="10"/>
      <c r="AH17" s="10"/>
      <c r="AI17" s="10"/>
      <c r="AJ17" s="10"/>
      <c r="AK17" s="10"/>
      <c r="AL17" s="10"/>
      <c r="AM17" s="10"/>
    </row>
    <row r="18" spans="1:39" ht="12" customHeight="1">
      <c r="A18" s="1332" t="s">
        <v>223</v>
      </c>
      <c r="B18" s="314"/>
      <c r="C18" s="363"/>
      <c r="D18" s="363"/>
      <c r="E18" s="314"/>
      <c r="F18" s="314"/>
      <c r="G18" s="314"/>
      <c r="H18" s="148" t="s">
        <v>0</v>
      </c>
      <c r="I18" s="314"/>
      <c r="J18" s="149" t="s">
        <v>0</v>
      </c>
      <c r="K18" s="314"/>
      <c r="L18" s="314"/>
      <c r="M18" s="149" t="s">
        <v>0</v>
      </c>
      <c r="N18" s="148" t="s">
        <v>0</v>
      </c>
      <c r="P18" s="64" t="s">
        <v>0</v>
      </c>
      <c r="Q18" s="10"/>
      <c r="R18" s="10"/>
      <c r="S18" s="10"/>
      <c r="T18" s="10"/>
      <c r="U18" s="10"/>
      <c r="V18" s="10"/>
      <c r="W18" s="10"/>
      <c r="X18" s="10"/>
      <c r="Y18" s="10"/>
      <c r="Z18" s="10"/>
      <c r="AA18" s="10"/>
      <c r="AB18" s="10"/>
      <c r="AC18" s="10"/>
      <c r="AD18" s="10"/>
      <c r="AE18" s="10"/>
      <c r="AF18" s="10"/>
      <c r="AG18" s="10"/>
      <c r="AH18" s="10"/>
      <c r="AI18" s="10"/>
      <c r="AJ18" s="10"/>
      <c r="AK18" s="10"/>
      <c r="AL18" s="10"/>
      <c r="AM18" s="10"/>
    </row>
    <row r="19" spans="1:39" ht="12" customHeight="1">
      <c r="A19" s="1332" t="s">
        <v>349</v>
      </c>
      <c r="B19" s="314"/>
      <c r="C19" s="363"/>
      <c r="D19" s="363"/>
      <c r="E19" s="314"/>
      <c r="F19" s="314"/>
      <c r="G19" s="314"/>
      <c r="H19" s="148" t="s">
        <v>0</v>
      </c>
      <c r="I19" s="314"/>
      <c r="J19" s="149" t="s">
        <v>0</v>
      </c>
      <c r="K19" s="314"/>
      <c r="L19" s="314"/>
      <c r="M19" s="149"/>
      <c r="N19" s="148"/>
      <c r="P19" s="64"/>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39">
      <c r="A20" s="1330" t="s">
        <v>848</v>
      </c>
      <c r="B20" s="363">
        <v>1.9248612710434394E-2</v>
      </c>
      <c r="C20" s="363">
        <v>0.29970633008059633</v>
      </c>
      <c r="D20" s="363">
        <v>1.1922800070309164E-2</v>
      </c>
      <c r="E20" s="363">
        <v>8.3359335300567886E-3</v>
      </c>
      <c r="F20" s="363">
        <v>1.5036098586348301E-2</v>
      </c>
      <c r="G20" s="363">
        <v>2.6229212740889463E-3</v>
      </c>
      <c r="H20" s="150">
        <v>1.8265464358833833E-2</v>
      </c>
      <c r="I20" s="363">
        <v>8.3793939813489898E-2</v>
      </c>
      <c r="J20" s="150">
        <v>8.3793939813489898E-2</v>
      </c>
      <c r="K20" s="1415">
        <v>0</v>
      </c>
      <c r="L20" s="363">
        <v>0.11008505941921218</v>
      </c>
      <c r="M20" s="150">
        <v>6.7134784974208148E-2</v>
      </c>
      <c r="N20" s="148">
        <v>2.4225480941470569E-2</v>
      </c>
      <c r="P20" s="64"/>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c r="A21" s="1330" t="s">
        <v>840</v>
      </c>
      <c r="B21" s="314">
        <v>2.250378175349875E-2</v>
      </c>
      <c r="C21" s="363">
        <v>0.30632818111126214</v>
      </c>
      <c r="D21" s="363">
        <v>2.6702420605065683E-2</v>
      </c>
      <c r="E21" s="314">
        <v>6.0281961910442512E-3</v>
      </c>
      <c r="F21" s="314">
        <v>1.5073409300106743E-2</v>
      </c>
      <c r="G21" s="314">
        <v>2.5836322998953882E-3</v>
      </c>
      <c r="H21" s="148">
        <v>1.8517675657580994E-2</v>
      </c>
      <c r="I21" s="314">
        <v>5.8063921735295086E-2</v>
      </c>
      <c r="J21" s="148">
        <v>5.8063921735295086E-2</v>
      </c>
      <c r="K21" s="1414">
        <v>0</v>
      </c>
      <c r="L21" s="314">
        <v>0.12749213522542441</v>
      </c>
      <c r="M21" s="148">
        <v>7.4295907094771532E-2</v>
      </c>
      <c r="N21" s="148">
        <v>2.4200329348311928E-2</v>
      </c>
      <c r="P21" s="64"/>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pans="1:39" ht="9.75" customHeight="1">
      <c r="A22" s="1330" t="s">
        <v>0</v>
      </c>
      <c r="B22" s="314"/>
      <c r="C22" s="363"/>
      <c r="D22" s="363"/>
      <c r="E22" s="314"/>
      <c r="F22" s="314"/>
      <c r="G22" s="314"/>
      <c r="H22" s="153" t="s">
        <v>0</v>
      </c>
      <c r="I22" s="314"/>
      <c r="J22" s="149" t="s">
        <v>0</v>
      </c>
      <c r="K22" s="314"/>
      <c r="L22" s="314"/>
      <c r="M22" s="153" t="s">
        <v>0</v>
      </c>
      <c r="N22" s="149" t="s">
        <v>0</v>
      </c>
      <c r="P22" s="64"/>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pans="1:39" ht="12" customHeight="1">
      <c r="A23" s="1332" t="s">
        <v>350</v>
      </c>
      <c r="B23" s="314"/>
      <c r="C23" s="363"/>
      <c r="D23" s="363"/>
      <c r="E23" s="314"/>
      <c r="F23" s="314"/>
      <c r="G23" s="314"/>
      <c r="H23" s="153" t="s">
        <v>0</v>
      </c>
      <c r="I23" s="314"/>
      <c r="J23" s="149" t="s">
        <v>0</v>
      </c>
      <c r="K23" s="314"/>
      <c r="L23" s="314"/>
      <c r="M23" s="153" t="s">
        <v>0</v>
      </c>
      <c r="N23" s="149" t="s">
        <v>0</v>
      </c>
      <c r="P23" s="64"/>
      <c r="Q23" s="10"/>
      <c r="R23" s="10"/>
      <c r="S23" s="10"/>
      <c r="T23" s="10"/>
      <c r="U23" s="10"/>
      <c r="V23" s="10"/>
      <c r="W23" s="10"/>
      <c r="X23" s="10"/>
      <c r="Y23" s="10"/>
      <c r="Z23" s="10"/>
      <c r="AA23" s="10"/>
      <c r="AB23" s="10"/>
      <c r="AC23" s="10"/>
      <c r="AD23" s="10"/>
      <c r="AE23" s="10"/>
      <c r="AF23" s="10"/>
      <c r="AG23" s="10"/>
      <c r="AH23" s="10"/>
      <c r="AI23" s="10"/>
      <c r="AJ23" s="10"/>
      <c r="AK23" s="10"/>
      <c r="AL23" s="10"/>
      <c r="AM23" s="10"/>
    </row>
    <row r="24" spans="1:39" ht="12" customHeight="1">
      <c r="A24" s="1332" t="s">
        <v>226</v>
      </c>
      <c r="B24" s="314"/>
      <c r="C24" s="363"/>
      <c r="D24" s="363"/>
      <c r="E24" s="314"/>
      <c r="F24" s="314"/>
      <c r="G24" s="314"/>
      <c r="H24" s="148" t="s">
        <v>0</v>
      </c>
      <c r="I24" s="314"/>
      <c r="J24" s="149" t="s">
        <v>0</v>
      </c>
      <c r="K24" s="314"/>
      <c r="L24" s="314"/>
      <c r="M24" s="149" t="s">
        <v>0</v>
      </c>
      <c r="N24" s="148" t="s">
        <v>0</v>
      </c>
      <c r="P24" s="64" t="s">
        <v>0</v>
      </c>
      <c r="Q24" s="10" t="s">
        <v>0</v>
      </c>
      <c r="R24" s="10" t="s">
        <v>0</v>
      </c>
      <c r="S24" s="10" t="s">
        <v>0</v>
      </c>
      <c r="T24" s="10"/>
      <c r="U24" s="10"/>
      <c r="V24" s="10"/>
      <c r="W24" s="10"/>
      <c r="X24" s="10"/>
      <c r="Y24" s="10"/>
      <c r="Z24" s="10"/>
      <c r="AA24" s="10"/>
      <c r="AB24" s="10"/>
      <c r="AC24" s="10"/>
      <c r="AD24" s="10"/>
      <c r="AE24" s="10"/>
      <c r="AF24" s="10"/>
      <c r="AG24" s="10"/>
      <c r="AH24" s="10"/>
      <c r="AI24" s="10"/>
      <c r="AJ24" s="10"/>
      <c r="AK24" s="10"/>
      <c r="AL24" s="10"/>
      <c r="AM24" s="10"/>
    </row>
    <row r="25" spans="1:39">
      <c r="A25" s="1330" t="s">
        <v>848</v>
      </c>
      <c r="B25" s="363">
        <v>1.2332342239185752</v>
      </c>
      <c r="C25" s="363">
        <v>0.85993300929133998</v>
      </c>
      <c r="D25" s="363">
        <v>1.669852892967417</v>
      </c>
      <c r="E25" s="363">
        <v>0.91318646061707931</v>
      </c>
      <c r="F25" s="363">
        <v>1.0274730474911895</v>
      </c>
      <c r="G25" s="363">
        <v>1.5729258845196217</v>
      </c>
      <c r="H25" s="150">
        <v>1.0249846072243209</v>
      </c>
      <c r="I25" s="363">
        <v>0.27657805749119563</v>
      </c>
      <c r="J25" s="150">
        <v>0.27657805749119563</v>
      </c>
      <c r="K25" s="374">
        <v>0</v>
      </c>
      <c r="L25" s="363">
        <v>0.60630203529236437</v>
      </c>
      <c r="M25" s="150">
        <v>0.71669036408089615</v>
      </c>
      <c r="N25" s="150">
        <v>0.86061794706118</v>
      </c>
      <c r="P25" s="64"/>
      <c r="Q25" s="10"/>
      <c r="R25" s="10"/>
      <c r="S25" s="10"/>
      <c r="T25" s="10"/>
      <c r="U25" s="10"/>
      <c r="V25" s="10"/>
      <c r="W25" s="10"/>
      <c r="X25" s="10"/>
      <c r="Y25" s="10"/>
      <c r="Z25" s="10"/>
      <c r="AA25" s="10"/>
      <c r="AB25" s="10"/>
      <c r="AC25" s="10"/>
      <c r="AD25" s="10"/>
      <c r="AE25" s="10"/>
      <c r="AF25" s="10"/>
      <c r="AG25" s="10"/>
      <c r="AH25" s="10"/>
      <c r="AI25" s="10"/>
      <c r="AJ25" s="10"/>
      <c r="AK25" s="10"/>
      <c r="AL25" s="10"/>
      <c r="AM25" s="10"/>
    </row>
    <row r="26" spans="1:39">
      <c r="A26" s="1330" t="s">
        <v>840</v>
      </c>
      <c r="B26" s="314">
        <v>1.312977127654505</v>
      </c>
      <c r="C26" s="363">
        <v>0.89334788653841624</v>
      </c>
      <c r="D26" s="363">
        <v>1.2885172502918723</v>
      </c>
      <c r="E26" s="314">
        <v>1.1623702040652688</v>
      </c>
      <c r="F26" s="314">
        <v>1.2322488431461607</v>
      </c>
      <c r="G26" s="314">
        <v>1.2760734157295166</v>
      </c>
      <c r="H26" s="148">
        <v>1.1056620010890224</v>
      </c>
      <c r="I26" s="314">
        <v>0.58729845105705603</v>
      </c>
      <c r="J26" s="148">
        <v>0.58729845105705603</v>
      </c>
      <c r="K26" s="374">
        <v>0</v>
      </c>
      <c r="L26" s="314">
        <v>0.59813389818737417</v>
      </c>
      <c r="M26" s="148">
        <v>0.71112438363775266</v>
      </c>
      <c r="N26" s="148">
        <v>0.96657730338067271</v>
      </c>
      <c r="P26" s="64"/>
      <c r="Q26" s="10"/>
      <c r="R26" s="10"/>
      <c r="S26" s="10"/>
      <c r="T26" s="10"/>
      <c r="U26" s="10"/>
      <c r="V26" s="10"/>
      <c r="W26" s="10"/>
      <c r="X26" s="10"/>
      <c r="Y26" s="10"/>
      <c r="Z26" s="10"/>
      <c r="AA26" s="10"/>
      <c r="AB26" s="10"/>
      <c r="AC26" s="10"/>
      <c r="AD26" s="10"/>
      <c r="AE26" s="10"/>
      <c r="AF26" s="10"/>
      <c r="AG26" s="10"/>
      <c r="AH26" s="10"/>
      <c r="AI26" s="10"/>
      <c r="AJ26" s="10"/>
      <c r="AK26" s="10"/>
      <c r="AL26" s="10"/>
      <c r="AM26" s="10"/>
    </row>
    <row r="27" spans="1:39" ht="8.4499999999999993" customHeight="1">
      <c r="A27" s="1330" t="s">
        <v>0</v>
      </c>
      <c r="B27" s="314"/>
      <c r="C27" s="363"/>
      <c r="D27" s="363"/>
      <c r="E27" s="314"/>
      <c r="F27" s="314"/>
      <c r="G27" s="314"/>
      <c r="H27" s="148" t="s">
        <v>0</v>
      </c>
      <c r="I27" s="314"/>
      <c r="J27" s="149" t="s">
        <v>0</v>
      </c>
      <c r="K27" s="314"/>
      <c r="L27" s="314"/>
      <c r="M27" s="149" t="s">
        <v>0</v>
      </c>
      <c r="N27" s="148" t="s">
        <v>0</v>
      </c>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2" customHeight="1">
      <c r="A28" s="1332" t="s">
        <v>227</v>
      </c>
      <c r="B28" s="314"/>
      <c r="C28" s="363"/>
      <c r="D28" s="363"/>
      <c r="E28" s="314"/>
      <c r="F28" s="314"/>
      <c r="G28" s="314"/>
      <c r="H28" s="148" t="s">
        <v>0</v>
      </c>
      <c r="I28" s="314"/>
      <c r="J28" s="149" t="s">
        <v>0</v>
      </c>
      <c r="K28" s="314"/>
      <c r="L28" s="314"/>
      <c r="M28" s="149" t="s">
        <v>0</v>
      </c>
      <c r="N28" s="148" t="s">
        <v>0</v>
      </c>
      <c r="P28" s="68"/>
      <c r="Q28" s="70"/>
      <c r="R28" s="70"/>
      <c r="S28" s="70"/>
      <c r="T28" s="10"/>
      <c r="U28" s="10"/>
      <c r="V28" s="10"/>
      <c r="W28" s="10"/>
      <c r="X28" s="10"/>
      <c r="Y28" s="10"/>
      <c r="Z28" s="10"/>
      <c r="AA28" s="10"/>
      <c r="AB28" s="10"/>
      <c r="AC28" s="10"/>
      <c r="AD28" s="10"/>
      <c r="AE28" s="10"/>
      <c r="AF28" s="10"/>
      <c r="AG28" s="10"/>
      <c r="AH28" s="10"/>
      <c r="AI28" s="10"/>
      <c r="AJ28" s="10"/>
      <c r="AK28" s="10"/>
      <c r="AL28" s="10"/>
      <c r="AM28" s="10"/>
    </row>
    <row r="29" spans="1:39" ht="12" customHeight="1">
      <c r="A29" s="1332" t="s">
        <v>228</v>
      </c>
      <c r="B29" s="314"/>
      <c r="C29" s="363"/>
      <c r="D29" s="363"/>
      <c r="E29" s="314"/>
      <c r="F29" s="314"/>
      <c r="G29" s="314"/>
      <c r="H29" s="148" t="s">
        <v>0</v>
      </c>
      <c r="I29" s="314"/>
      <c r="J29" s="149" t="s">
        <v>0</v>
      </c>
      <c r="K29" s="314"/>
      <c r="L29" s="314"/>
      <c r="M29" s="149" t="s">
        <v>0</v>
      </c>
      <c r="N29" s="148" t="s">
        <v>0</v>
      </c>
      <c r="P29" s="64"/>
      <c r="Q29" s="10"/>
      <c r="R29" s="10"/>
      <c r="S29" s="10"/>
      <c r="T29" s="10"/>
      <c r="U29" s="10"/>
      <c r="V29" s="10"/>
      <c r="W29" s="10"/>
      <c r="X29" s="10"/>
      <c r="Y29" s="10"/>
      <c r="Z29" s="10"/>
      <c r="AA29" s="10"/>
      <c r="AB29" s="10"/>
      <c r="AC29" s="10"/>
      <c r="AD29" s="10"/>
      <c r="AE29" s="10"/>
      <c r="AF29" s="10"/>
      <c r="AG29" s="10"/>
      <c r="AH29" s="10"/>
      <c r="AI29" s="10"/>
      <c r="AJ29" s="10"/>
      <c r="AK29" s="10"/>
      <c r="AL29" s="10"/>
      <c r="AM29" s="10"/>
    </row>
    <row r="30" spans="1:39" ht="16.149999999999999" customHeight="1">
      <c r="A30" s="1330" t="s">
        <v>848</v>
      </c>
      <c r="B30" s="363">
        <v>-1.6039299107401799E-2</v>
      </c>
      <c r="C30" s="363">
        <v>3.7730284093366477</v>
      </c>
      <c r="D30" s="363">
        <v>4.9815986698999164E-2</v>
      </c>
      <c r="E30" s="363">
        <v>4.1293253315732512E-3</v>
      </c>
      <c r="F30" s="363">
        <v>-2.2877462025324207E-3</v>
      </c>
      <c r="G30" s="363">
        <v>-5.5195559805852265E-3</v>
      </c>
      <c r="H30" s="150">
        <v>-2.1423097964193383E-3</v>
      </c>
      <c r="I30" s="363">
        <v>0.32809815588795016</v>
      </c>
      <c r="J30" s="150">
        <v>0.32809815588795016</v>
      </c>
      <c r="K30" s="363">
        <v>-0.1128</v>
      </c>
      <c r="L30" s="363">
        <v>0.37746917275230457</v>
      </c>
      <c r="M30" s="150">
        <v>0.14019999999999999</v>
      </c>
      <c r="N30" s="148">
        <v>1.6332457331857689E-2</v>
      </c>
      <c r="P30" s="64"/>
      <c r="Q30" s="10"/>
      <c r="R30" s="10"/>
      <c r="S30" s="10"/>
      <c r="T30" s="10"/>
      <c r="U30" s="10"/>
      <c r="V30" s="10"/>
      <c r="W30" s="10"/>
      <c r="X30" s="10"/>
      <c r="Y30" s="10"/>
      <c r="Z30" s="10"/>
      <c r="AA30" s="10"/>
      <c r="AB30" s="10"/>
      <c r="AC30" s="10"/>
      <c r="AD30" s="10"/>
      <c r="AE30" s="10"/>
      <c r="AF30" s="10"/>
      <c r="AG30" s="10"/>
      <c r="AH30" s="10"/>
      <c r="AI30" s="10"/>
      <c r="AJ30" s="10"/>
      <c r="AK30" s="10"/>
      <c r="AL30" s="10"/>
      <c r="AM30" s="10"/>
    </row>
    <row r="31" spans="1:39" ht="16.149999999999999" customHeight="1">
      <c r="A31" s="1330" t="s">
        <v>840</v>
      </c>
      <c r="B31" s="363">
        <v>-2.1023748538564913E-2</v>
      </c>
      <c r="C31" s="363">
        <v>5.6511865138428883</v>
      </c>
      <c r="D31" s="363">
        <v>4.8540959506853637E-2</v>
      </c>
      <c r="E31" s="363">
        <v>-5.420279070763416E-3</v>
      </c>
      <c r="F31" s="363">
        <v>-1.9334169306543664E-2</v>
      </c>
      <c r="G31" s="363">
        <v>-2.824560966788583E-3</v>
      </c>
      <c r="H31" s="150">
        <v>-9.1530423262672599E-3</v>
      </c>
      <c r="I31" s="363">
        <v>0.12347074373197214</v>
      </c>
      <c r="J31" s="150">
        <v>0.12347074373197214</v>
      </c>
      <c r="K31" s="363">
        <v>-0.13966075214819776</v>
      </c>
      <c r="L31" s="363">
        <v>0.56757642189101576</v>
      </c>
      <c r="M31" s="150">
        <v>0.1904162861334853</v>
      </c>
      <c r="N31" s="148">
        <v>3.9342742841683084E-3</v>
      </c>
      <c r="P31" s="64"/>
      <c r="Q31" s="10"/>
      <c r="R31" s="10"/>
      <c r="S31" s="10"/>
      <c r="T31" s="10"/>
      <c r="U31" s="10"/>
      <c r="V31" s="10"/>
      <c r="W31" s="10"/>
      <c r="X31" s="10"/>
      <c r="Y31" s="10"/>
      <c r="Z31" s="10"/>
      <c r="AA31" s="10"/>
      <c r="AB31" s="10"/>
      <c r="AC31" s="10"/>
      <c r="AD31" s="10"/>
      <c r="AE31" s="10"/>
      <c r="AF31" s="10"/>
      <c r="AG31" s="10"/>
      <c r="AH31" s="10"/>
      <c r="AI31" s="10"/>
      <c r="AJ31" s="10"/>
      <c r="AK31" s="10"/>
      <c r="AL31" s="10"/>
      <c r="AM31" s="10"/>
    </row>
    <row r="32" spans="1:39" ht="9" customHeight="1" thickBot="1">
      <c r="A32" s="1333" t="s">
        <v>0</v>
      </c>
      <c r="B32" s="362"/>
      <c r="C32" s="362"/>
      <c r="D32" s="362"/>
      <c r="E32" s="362"/>
      <c r="F32" s="362"/>
      <c r="G32" s="362"/>
      <c r="H32" s="151"/>
      <c r="I32" s="362"/>
      <c r="J32" s="152" t="s">
        <v>0</v>
      </c>
      <c r="K32" s="362"/>
      <c r="L32" s="362"/>
      <c r="M32" s="152"/>
      <c r="N32" s="151"/>
      <c r="P32" s="64"/>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39" ht="16.5" thickBot="1">
      <c r="A33" s="1334" t="s">
        <v>351</v>
      </c>
      <c r="B33" s="314"/>
      <c r="C33" s="363"/>
      <c r="D33" s="363"/>
      <c r="E33" s="314"/>
      <c r="F33" s="314"/>
      <c r="G33" s="314"/>
      <c r="H33" s="148" t="s">
        <v>0</v>
      </c>
      <c r="I33" s="314"/>
      <c r="J33" s="149" t="s">
        <v>0</v>
      </c>
      <c r="K33" s="314"/>
      <c r="L33" s="314"/>
      <c r="M33" s="149" t="s">
        <v>0</v>
      </c>
      <c r="N33" s="148" t="s">
        <v>0</v>
      </c>
      <c r="P33" s="64"/>
      <c r="Q33" s="10"/>
      <c r="R33" s="10"/>
      <c r="S33" s="10"/>
      <c r="T33" s="10"/>
      <c r="U33" s="10"/>
      <c r="V33" s="10"/>
      <c r="W33" s="10"/>
      <c r="X33" s="10"/>
      <c r="Y33" s="10"/>
      <c r="Z33" s="10"/>
      <c r="AA33" s="10"/>
      <c r="AB33" s="10"/>
      <c r="AC33" s="10"/>
      <c r="AD33" s="10"/>
      <c r="AE33" s="10"/>
      <c r="AF33" s="10"/>
      <c r="AG33" s="10"/>
      <c r="AH33" s="10"/>
      <c r="AI33" s="10"/>
      <c r="AJ33" s="10"/>
      <c r="AK33" s="10"/>
      <c r="AL33" s="10"/>
      <c r="AM33" s="10"/>
    </row>
    <row r="34" spans="1:39" ht="12" customHeight="1">
      <c r="A34" s="1332" t="s">
        <v>230</v>
      </c>
      <c r="B34" s="314"/>
      <c r="C34" s="363"/>
      <c r="D34" s="363"/>
      <c r="E34" s="314"/>
      <c r="F34" s="314"/>
      <c r="G34" s="314"/>
      <c r="H34" s="148" t="s">
        <v>0</v>
      </c>
      <c r="I34" s="314"/>
      <c r="J34" s="149" t="s">
        <v>0</v>
      </c>
      <c r="K34" s="314"/>
      <c r="L34" s="314"/>
      <c r="M34" s="149" t="s">
        <v>0</v>
      </c>
      <c r="N34" s="148" t="s">
        <v>0</v>
      </c>
      <c r="P34" s="728" t="s">
        <v>0</v>
      </c>
      <c r="Q34" s="10"/>
      <c r="R34" s="10"/>
      <c r="S34" s="10"/>
      <c r="T34" s="10"/>
      <c r="U34" s="10"/>
      <c r="V34" s="10"/>
      <c r="W34" s="10"/>
      <c r="X34" s="10"/>
      <c r="Y34" s="10"/>
      <c r="Z34" s="10"/>
      <c r="AA34" s="10"/>
      <c r="AB34" s="10"/>
      <c r="AC34" s="10"/>
      <c r="AD34" s="10"/>
      <c r="AE34" s="10"/>
      <c r="AF34" s="10"/>
      <c r="AG34" s="10"/>
      <c r="AH34" s="10"/>
      <c r="AI34" s="10"/>
      <c r="AJ34" s="10"/>
      <c r="AK34" s="10"/>
      <c r="AL34" s="10"/>
      <c r="AM34" s="10"/>
    </row>
    <row r="35" spans="1:39">
      <c r="A35" s="1330" t="s">
        <v>849</v>
      </c>
      <c r="B35" s="314">
        <v>8.4776992138265762E-3</v>
      </c>
      <c r="C35" s="363">
        <v>1.1675733355021447E-2</v>
      </c>
      <c r="D35" s="364">
        <v>6.5663311202292132E-4</v>
      </c>
      <c r="E35" s="314">
        <v>2.0245999896528467E-2</v>
      </c>
      <c r="F35" s="314">
        <v>8.1979830460288099E-3</v>
      </c>
      <c r="G35" s="314">
        <v>1.6351990998226436E-2</v>
      </c>
      <c r="H35" s="148">
        <v>1.1567091585792765E-2</v>
      </c>
      <c r="I35" s="314">
        <v>5.5051375909734648E-3</v>
      </c>
      <c r="J35" s="149">
        <v>5.5051375909734648E-3</v>
      </c>
      <c r="K35" s="314">
        <v>6.1000000000000004E-3</v>
      </c>
      <c r="L35" s="314">
        <v>2.8151251484530765E-2</v>
      </c>
      <c r="M35" s="149">
        <v>1.6799999999999999E-2</v>
      </c>
      <c r="N35" s="148">
        <v>1.1738347181273031E-2</v>
      </c>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c r="A36" s="1330" t="s">
        <v>813</v>
      </c>
      <c r="B36" s="314">
        <v>7.4000000000000003E-3</v>
      </c>
      <c r="C36" s="363">
        <v>2.8799999999999999E-2</v>
      </c>
      <c r="D36" s="363">
        <v>-1.04E-2</v>
      </c>
      <c r="E36" s="314">
        <v>1.9300000000000001E-2</v>
      </c>
      <c r="F36" s="314">
        <v>1.01E-2</v>
      </c>
      <c r="G36" s="314">
        <v>1.66E-2</v>
      </c>
      <c r="H36" s="148">
        <v>1.18E-2</v>
      </c>
      <c r="I36" s="314">
        <v>1.2200000000000001E-2</v>
      </c>
      <c r="J36" s="149">
        <v>1.2200000000000001E-2</v>
      </c>
      <c r="K36" s="314">
        <v>5.7000000000000002E-3</v>
      </c>
      <c r="L36" s="314">
        <v>2.4E-2</v>
      </c>
      <c r="M36" s="149">
        <v>1.46E-2</v>
      </c>
      <c r="N36" s="148">
        <v>1.2E-2</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16.149999999999999" customHeight="1">
      <c r="A37" s="1330" t="s">
        <v>850</v>
      </c>
      <c r="B37" s="314">
        <v>8.4776992138265762E-3</v>
      </c>
      <c r="C37" s="363">
        <v>1.1675733355021447E-2</v>
      </c>
      <c r="D37" s="363">
        <v>6.5663311202292132E-4</v>
      </c>
      <c r="E37" s="314">
        <v>2.0245999896528467E-2</v>
      </c>
      <c r="F37" s="314">
        <v>8.1979830460288099E-3</v>
      </c>
      <c r="G37" s="314">
        <v>1.6351990998226436E-2</v>
      </c>
      <c r="H37" s="148">
        <v>1.1567091585792765E-2</v>
      </c>
      <c r="I37" s="314">
        <v>5.5051375909734648E-3</v>
      </c>
      <c r="J37" s="149">
        <v>5.5051375909734648E-3</v>
      </c>
      <c r="K37" s="314">
        <v>6.1000000000000004E-3</v>
      </c>
      <c r="L37" s="314">
        <v>2.8151251484530765E-2</v>
      </c>
      <c r="M37" s="149">
        <v>1.6799999999999999E-2</v>
      </c>
      <c r="N37" s="148">
        <v>1.1738347181273031E-2</v>
      </c>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16.149999999999999" customHeight="1">
      <c r="A38" s="1330" t="s">
        <v>851</v>
      </c>
      <c r="B38" s="314">
        <v>7.4000000000000003E-3</v>
      </c>
      <c r="C38" s="363">
        <v>2.8799999999999999E-2</v>
      </c>
      <c r="D38" s="363">
        <v>-1.04E-2</v>
      </c>
      <c r="E38" s="314">
        <v>1.9300000000000001E-2</v>
      </c>
      <c r="F38" s="314">
        <v>1.01E-2</v>
      </c>
      <c r="G38" s="314">
        <v>1.66E-2</v>
      </c>
      <c r="H38" s="148">
        <v>1.18E-2</v>
      </c>
      <c r="I38" s="314">
        <v>1.2200000000000001E-2</v>
      </c>
      <c r="J38" s="149">
        <v>1.2200000000000001E-2</v>
      </c>
      <c r="K38" s="314">
        <v>5.7000000000000002E-3</v>
      </c>
      <c r="L38" s="314">
        <v>2.4E-2</v>
      </c>
      <c r="M38" s="149">
        <v>1.46E-2</v>
      </c>
      <c r="N38" s="148">
        <v>1.2E-2</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6.6" customHeight="1">
      <c r="A39" s="1330" t="s">
        <v>0</v>
      </c>
      <c r="B39" s="314"/>
      <c r="C39" s="363"/>
      <c r="D39" s="363"/>
      <c r="E39" s="314"/>
      <c r="F39" s="314"/>
      <c r="G39" s="314"/>
      <c r="H39" s="148" t="s">
        <v>0</v>
      </c>
      <c r="I39" s="314"/>
      <c r="J39" s="149" t="s">
        <v>0</v>
      </c>
      <c r="K39" s="314"/>
      <c r="L39" s="314"/>
      <c r="M39" s="149" t="s">
        <v>0</v>
      </c>
      <c r="N39" s="148" t="s">
        <v>0</v>
      </c>
      <c r="P39" s="64" t="s">
        <v>0</v>
      </c>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ht="12" customHeight="1">
      <c r="A40" s="1332" t="s">
        <v>352</v>
      </c>
      <c r="B40" s="314"/>
      <c r="C40" s="363"/>
      <c r="D40" s="364" t="s">
        <v>0</v>
      </c>
      <c r="E40" s="314"/>
      <c r="F40" s="314"/>
      <c r="G40" s="314"/>
      <c r="H40" s="153" t="s">
        <v>0</v>
      </c>
      <c r="I40" s="314"/>
      <c r="J40" s="149" t="s">
        <v>0</v>
      </c>
      <c r="K40" s="314"/>
      <c r="L40" s="314"/>
      <c r="M40" s="153" t="s">
        <v>0</v>
      </c>
      <c r="N40" s="149"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c r="A41" s="1330" t="s">
        <v>849</v>
      </c>
      <c r="B41" s="314">
        <v>0.16888469612499485</v>
      </c>
      <c r="C41" s="363">
        <v>2.2982640129384788</v>
      </c>
      <c r="D41" s="364">
        <v>-9.3724717568731165E-3</v>
      </c>
      <c r="E41" s="314">
        <v>0.25161442197400624</v>
      </c>
      <c r="F41" s="314">
        <v>0.12467066426239372</v>
      </c>
      <c r="G41" s="314">
        <v>0.19120042133628379</v>
      </c>
      <c r="H41" s="148">
        <v>0.17746759583013233</v>
      </c>
      <c r="I41" s="314">
        <v>5.852975781286273E-2</v>
      </c>
      <c r="J41" s="149">
        <v>5.852975781286273E-2</v>
      </c>
      <c r="K41" s="314">
        <v>0.14369999999999999</v>
      </c>
      <c r="L41" s="314">
        <v>0.63013006542161065</v>
      </c>
      <c r="M41" s="149">
        <v>0.3836</v>
      </c>
      <c r="N41" s="148">
        <v>0.18160000000000001</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1330" t="s">
        <v>813</v>
      </c>
      <c r="B42" s="314">
        <v>0.14649999999999999</v>
      </c>
      <c r="C42" s="363">
        <v>4.4684999999999997</v>
      </c>
      <c r="D42" s="363">
        <v>0.187</v>
      </c>
      <c r="E42" s="314">
        <v>0.24709999999999999</v>
      </c>
      <c r="F42" s="314">
        <v>0.161</v>
      </c>
      <c r="G42" s="314">
        <v>0.20369999999999999</v>
      </c>
      <c r="H42" s="148">
        <v>0.18709999999999999</v>
      </c>
      <c r="I42" s="314">
        <v>0.11940000000000001</v>
      </c>
      <c r="J42" s="149">
        <v>0.11940000000000001</v>
      </c>
      <c r="K42" s="314">
        <v>0.13020000000000001</v>
      </c>
      <c r="L42" s="314">
        <v>0.47939999999999999</v>
      </c>
      <c r="M42" s="149">
        <v>0.31230000000000002</v>
      </c>
      <c r="N42" s="148">
        <v>0.19</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c r="A43" s="1330" t="s">
        <v>850</v>
      </c>
      <c r="B43" s="314">
        <v>0.16888469612499485</v>
      </c>
      <c r="C43" s="363">
        <v>2.2982640129384788</v>
      </c>
      <c r="D43" s="363">
        <v>-9.3724717568731165E-3</v>
      </c>
      <c r="E43" s="314">
        <v>0.25161442197400624</v>
      </c>
      <c r="F43" s="314">
        <v>0.12467066426239372</v>
      </c>
      <c r="G43" s="314">
        <v>0.19120042133628379</v>
      </c>
      <c r="H43" s="148">
        <v>0.17746759583013233</v>
      </c>
      <c r="I43" s="314">
        <v>5.852975781286273E-2</v>
      </c>
      <c r="J43" s="149">
        <v>5.852975781286273E-2</v>
      </c>
      <c r="K43" s="314">
        <v>0.14369999999999999</v>
      </c>
      <c r="L43" s="314">
        <v>0.63013006542161065</v>
      </c>
      <c r="M43" s="149">
        <v>0.3836</v>
      </c>
      <c r="N43" s="148">
        <v>0.18160000000000001</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7.25">
      <c r="A44" s="1330" t="s">
        <v>851</v>
      </c>
      <c r="B44" s="314">
        <v>0.14649999999999999</v>
      </c>
      <c r="C44" s="363">
        <v>4.4684999999999997</v>
      </c>
      <c r="D44" s="363">
        <v>0.187</v>
      </c>
      <c r="E44" s="314">
        <v>0.24709999999999999</v>
      </c>
      <c r="F44" s="314">
        <v>0.161</v>
      </c>
      <c r="G44" s="314">
        <v>0.20369999999999999</v>
      </c>
      <c r="H44" s="148">
        <v>0.18709999999999999</v>
      </c>
      <c r="I44" s="314">
        <v>0.11940000000000001</v>
      </c>
      <c r="J44" s="149">
        <v>0.11940000000000001</v>
      </c>
      <c r="K44" s="314">
        <v>0.13020000000000001</v>
      </c>
      <c r="L44" s="314">
        <v>0.47939999999999999</v>
      </c>
      <c r="M44" s="149">
        <v>0.31230000000000002</v>
      </c>
      <c r="N44" s="148">
        <v>0.19</v>
      </c>
      <c r="P44" s="68"/>
      <c r="Q44" s="70"/>
      <c r="R44" s="70"/>
      <c r="S44" s="70"/>
      <c r="T44" s="10"/>
      <c r="U44" s="10"/>
      <c r="V44" s="10"/>
      <c r="W44" s="10"/>
      <c r="X44" s="10"/>
      <c r="Y44" s="10"/>
      <c r="Z44" s="10"/>
      <c r="AA44" s="10"/>
      <c r="AB44" s="10"/>
      <c r="AC44" s="10"/>
      <c r="AD44" s="10"/>
      <c r="AE44" s="10"/>
      <c r="AF44" s="10"/>
      <c r="AG44" s="10"/>
      <c r="AH44" s="10"/>
      <c r="AI44" s="10"/>
      <c r="AJ44" s="10"/>
      <c r="AK44" s="10"/>
      <c r="AL44" s="10"/>
      <c r="AM44" s="10"/>
    </row>
    <row r="45" spans="1:39" ht="8.4499999999999993" customHeight="1">
      <c r="A45" s="1330"/>
      <c r="B45" s="314"/>
      <c r="C45" s="363"/>
      <c r="D45" s="363"/>
      <c r="E45" s="314"/>
      <c r="F45" s="314"/>
      <c r="G45" s="314"/>
      <c r="H45" s="153"/>
      <c r="I45" s="314"/>
      <c r="J45" s="149" t="s">
        <v>0</v>
      </c>
      <c r="K45" s="314"/>
      <c r="L45" s="314"/>
      <c r="M45" s="153"/>
      <c r="N45" s="149"/>
      <c r="P45" s="68"/>
      <c r="Q45" s="70"/>
      <c r="R45" s="70"/>
      <c r="S45" s="70"/>
      <c r="T45" s="10"/>
      <c r="U45" s="10"/>
      <c r="V45" s="10"/>
      <c r="W45" s="10"/>
      <c r="X45" s="10"/>
      <c r="Y45" s="10"/>
      <c r="Z45" s="10"/>
      <c r="AA45" s="10"/>
      <c r="AB45" s="10"/>
      <c r="AC45" s="10"/>
      <c r="AD45" s="10"/>
      <c r="AE45" s="10"/>
      <c r="AF45" s="10"/>
      <c r="AG45" s="10"/>
      <c r="AH45" s="10"/>
      <c r="AI45" s="10"/>
      <c r="AJ45" s="10"/>
      <c r="AK45" s="10"/>
      <c r="AL45" s="10"/>
      <c r="AM45" s="10"/>
    </row>
    <row r="46" spans="1:39" ht="12" customHeight="1">
      <c r="A46" s="1332" t="s">
        <v>209</v>
      </c>
      <c r="B46" s="314"/>
      <c r="C46" s="363"/>
      <c r="D46" s="363"/>
      <c r="E46" s="314"/>
      <c r="F46" s="314"/>
      <c r="G46" s="314"/>
      <c r="H46" s="153"/>
      <c r="I46" s="314"/>
      <c r="J46" s="149" t="s">
        <v>0</v>
      </c>
      <c r="K46" s="314"/>
      <c r="L46" s="314"/>
      <c r="M46" s="153"/>
      <c r="N46" s="149"/>
      <c r="P46" s="68"/>
      <c r="Q46" s="70"/>
      <c r="R46" s="70"/>
      <c r="S46" s="70"/>
      <c r="T46" s="10"/>
      <c r="U46" s="10"/>
      <c r="V46" s="10"/>
      <c r="W46" s="10"/>
      <c r="X46" s="10"/>
      <c r="Y46" s="10"/>
      <c r="Z46" s="10"/>
      <c r="AA46" s="10"/>
      <c r="AB46" s="10"/>
      <c r="AC46" s="10"/>
      <c r="AD46" s="10"/>
      <c r="AE46" s="10"/>
      <c r="AF46" s="10"/>
      <c r="AG46" s="10"/>
      <c r="AH46" s="10"/>
      <c r="AI46" s="10"/>
      <c r="AJ46" s="10"/>
      <c r="AK46" s="10"/>
      <c r="AL46" s="10"/>
      <c r="AM46" s="10"/>
    </row>
    <row r="47" spans="1:39" ht="12" customHeight="1">
      <c r="A47" s="1332" t="s">
        <v>233</v>
      </c>
      <c r="B47" s="314"/>
      <c r="C47" s="363"/>
      <c r="D47" s="363"/>
      <c r="E47" s="314"/>
      <c r="F47" s="314"/>
      <c r="G47" s="314"/>
      <c r="H47" s="148" t="s">
        <v>0</v>
      </c>
      <c r="I47" s="314"/>
      <c r="J47" s="149" t="s">
        <v>0</v>
      </c>
      <c r="K47" s="314"/>
      <c r="L47" s="314"/>
      <c r="M47" s="149" t="s">
        <v>0</v>
      </c>
      <c r="N47" s="148" t="s">
        <v>0</v>
      </c>
      <c r="P47" s="64" t="s">
        <v>0</v>
      </c>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A48" s="1330" t="s">
        <v>849</v>
      </c>
      <c r="B48" s="314">
        <v>0.95468767550623435</v>
      </c>
      <c r="C48" s="314">
        <v>0.95767945619331452</v>
      </c>
      <c r="D48" s="314">
        <v>0.95452635816200848</v>
      </c>
      <c r="E48" s="314">
        <v>0.94386584426796927</v>
      </c>
      <c r="F48" s="314">
        <v>0.90730824873771854</v>
      </c>
      <c r="G48" s="314">
        <v>0.95057310773513815</v>
      </c>
      <c r="H48" s="150">
        <v>0.93682710673340586</v>
      </c>
      <c r="I48" s="314">
        <v>0.7811309255702974</v>
      </c>
      <c r="J48" s="150">
        <v>0.7811309255702974</v>
      </c>
      <c r="K48" s="314">
        <v>0.92592713289447959</v>
      </c>
      <c r="L48" s="314">
        <v>0.97891367786877526</v>
      </c>
      <c r="M48" s="150">
        <v>0.96169406083199183</v>
      </c>
      <c r="N48" s="148">
        <v>0.93180594639596281</v>
      </c>
      <c r="P48" s="64" t="s">
        <v>0</v>
      </c>
      <c r="Q48" s="10" t="s">
        <v>0</v>
      </c>
      <c r="R48" s="10"/>
      <c r="S48" s="10"/>
      <c r="T48" s="10"/>
      <c r="U48" s="10"/>
      <c r="V48" s="10"/>
      <c r="W48" s="10"/>
      <c r="X48" s="10"/>
      <c r="Y48" s="10"/>
      <c r="Z48" s="10"/>
      <c r="AA48" s="10"/>
      <c r="AB48" s="10"/>
      <c r="AC48" s="10"/>
      <c r="AD48" s="10"/>
      <c r="AE48" s="10"/>
      <c r="AF48" s="10"/>
      <c r="AG48" s="10"/>
      <c r="AH48" s="10"/>
      <c r="AI48" s="10"/>
      <c r="AJ48" s="10"/>
      <c r="AK48" s="10"/>
      <c r="AL48" s="10"/>
      <c r="AM48" s="10"/>
    </row>
    <row r="49" spans="1:39">
      <c r="A49" s="1330" t="s">
        <v>813</v>
      </c>
      <c r="B49" s="363">
        <v>0.93722809084951042</v>
      </c>
      <c r="C49" s="363">
        <v>0.97259208096302641</v>
      </c>
      <c r="D49" s="363">
        <v>0.95304560080126466</v>
      </c>
      <c r="E49" s="363">
        <v>0.95118297344767022</v>
      </c>
      <c r="F49" s="363">
        <v>0.88355974869981646</v>
      </c>
      <c r="G49" s="363">
        <v>0.93572145140189467</v>
      </c>
      <c r="H49" s="153">
        <v>0.92323872532254747</v>
      </c>
      <c r="I49" s="363">
        <v>0.75952834792364787</v>
      </c>
      <c r="J49" s="153">
        <v>0.75952834792364787</v>
      </c>
      <c r="K49" s="363">
        <v>0.92361150188509367</v>
      </c>
      <c r="L49" s="363">
        <v>0.96530365595729684</v>
      </c>
      <c r="M49" s="153">
        <v>0.94972454686908614</v>
      </c>
      <c r="N49" s="149">
        <v>0.91785762517683511</v>
      </c>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1:39">
      <c r="A50" s="1330" t="s">
        <v>850</v>
      </c>
      <c r="B50" s="314">
        <v>0.95468767550623435</v>
      </c>
      <c r="C50" s="363">
        <v>0.95767945619331452</v>
      </c>
      <c r="D50" s="363">
        <v>0.95452635816200848</v>
      </c>
      <c r="E50" s="314">
        <v>0.94386584426796927</v>
      </c>
      <c r="F50" s="314">
        <v>0.90730824873771854</v>
      </c>
      <c r="G50" s="314">
        <v>0.95057310773513815</v>
      </c>
      <c r="H50" s="148">
        <v>0.93682710673340586</v>
      </c>
      <c r="I50" s="314">
        <v>0.7811309255702974</v>
      </c>
      <c r="J50" s="149">
        <v>0.7811309255702974</v>
      </c>
      <c r="K50" s="314">
        <v>0.92592713289447959</v>
      </c>
      <c r="L50" s="314">
        <v>0.97891367786877526</v>
      </c>
      <c r="M50" s="149">
        <v>0.96169406083199183</v>
      </c>
      <c r="N50" s="148">
        <v>0.93180594639596281</v>
      </c>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1:39">
      <c r="A51" s="1330" t="s">
        <v>851</v>
      </c>
      <c r="B51" s="314">
        <v>0.93722809084951042</v>
      </c>
      <c r="C51" s="363">
        <v>0.97259208096302641</v>
      </c>
      <c r="D51" s="363">
        <v>0.95304560080126466</v>
      </c>
      <c r="E51" s="314">
        <v>0.95118297344767022</v>
      </c>
      <c r="F51" s="314">
        <v>0.88355974869981646</v>
      </c>
      <c r="G51" s="314">
        <v>0.93572145140189467</v>
      </c>
      <c r="H51" s="153">
        <v>0.92323872532254747</v>
      </c>
      <c r="I51" s="314">
        <v>0.75952834792364787</v>
      </c>
      <c r="J51" s="153">
        <v>0.75952834792364787</v>
      </c>
      <c r="K51" s="314">
        <v>0.92361150188509367</v>
      </c>
      <c r="L51" s="314">
        <v>0.96530365595729684</v>
      </c>
      <c r="M51" s="153">
        <v>0.94972454686908614</v>
      </c>
      <c r="N51" s="153">
        <v>0.91785762517683511</v>
      </c>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1:39" ht="9" customHeight="1">
      <c r="A52" s="1330" t="s">
        <v>0</v>
      </c>
      <c r="B52" s="314"/>
      <c r="C52" s="363"/>
      <c r="D52" s="363"/>
      <c r="E52" s="314"/>
      <c r="F52" s="314"/>
      <c r="G52" s="314"/>
      <c r="H52" s="148" t="s">
        <v>0</v>
      </c>
      <c r="I52" s="314"/>
      <c r="J52" s="149" t="s">
        <v>0</v>
      </c>
      <c r="K52" s="314"/>
      <c r="L52" s="314"/>
      <c r="M52" s="149" t="s">
        <v>0</v>
      </c>
      <c r="N52" s="148" t="s">
        <v>0</v>
      </c>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1:39" ht="12" customHeight="1">
      <c r="A53" s="1332" t="s">
        <v>234</v>
      </c>
      <c r="B53" s="314"/>
      <c r="C53" s="363"/>
      <c r="D53" s="363"/>
      <c r="E53" s="314"/>
      <c r="F53" s="314"/>
      <c r="G53" s="314"/>
      <c r="H53" s="154"/>
      <c r="I53" s="314"/>
      <c r="J53" s="149" t="s">
        <v>0</v>
      </c>
      <c r="K53" s="314"/>
      <c r="L53" s="314"/>
      <c r="M53" s="153"/>
      <c r="N53" s="970"/>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1:39">
      <c r="A54" s="1330" t="s">
        <v>849</v>
      </c>
      <c r="B54" s="314">
        <v>9.615419711214844E-2</v>
      </c>
      <c r="C54" s="314">
        <v>0.10387107138563387</v>
      </c>
      <c r="D54" s="314">
        <v>0.13338294360036654</v>
      </c>
      <c r="E54" s="314">
        <v>0.11779937346383504</v>
      </c>
      <c r="F54" s="314">
        <v>6.1554932350466628E-2</v>
      </c>
      <c r="G54" s="314">
        <v>6.4898579538639825E-2</v>
      </c>
      <c r="H54" s="150">
        <v>7.6169987065763375E-2</v>
      </c>
      <c r="I54" s="314">
        <v>8.2029813717768865E-2</v>
      </c>
      <c r="J54" s="149">
        <v>8.2029813717768865E-2</v>
      </c>
      <c r="K54" s="314">
        <v>7.8100000000000003E-2</v>
      </c>
      <c r="L54" s="314">
        <v>0.10981350905715995</v>
      </c>
      <c r="M54" s="150">
        <v>9.700839297667474E-2</v>
      </c>
      <c r="N54" s="148">
        <v>7.7858387343522878E-2</v>
      </c>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1:39">
      <c r="A55" s="1330" t="s">
        <v>813</v>
      </c>
      <c r="B55" s="363">
        <v>0.1169</v>
      </c>
      <c r="C55" s="363">
        <v>0.182</v>
      </c>
      <c r="D55" s="363">
        <v>0.14330000000000001</v>
      </c>
      <c r="E55" s="363">
        <v>0.1308</v>
      </c>
      <c r="F55" s="363">
        <v>6.4600000000000005E-2</v>
      </c>
      <c r="G55" s="363">
        <v>7.3400000000000007E-2</v>
      </c>
      <c r="H55" s="153">
        <v>8.6099999999999996E-2</v>
      </c>
      <c r="I55" s="363">
        <v>8.8900000000000007E-2</v>
      </c>
      <c r="J55" s="153">
        <v>8.8900000000000007E-2</v>
      </c>
      <c r="K55" s="363">
        <v>7.9100000000000004E-2</v>
      </c>
      <c r="L55" s="363">
        <v>0.1183</v>
      </c>
      <c r="M55" s="153">
        <v>9.9900000000000003E-2</v>
      </c>
      <c r="N55" s="149">
        <v>8.7499999999999994E-2</v>
      </c>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1:39">
      <c r="A56" s="1330" t="s">
        <v>850</v>
      </c>
      <c r="B56" s="363">
        <v>9.615419711214844E-2</v>
      </c>
      <c r="C56" s="363">
        <v>0.10387107138563387</v>
      </c>
      <c r="D56" s="363">
        <v>0.13338294360036654</v>
      </c>
      <c r="E56" s="363">
        <v>0.11779937346383504</v>
      </c>
      <c r="F56" s="363">
        <v>6.1554932350466628E-2</v>
      </c>
      <c r="G56" s="363">
        <v>6.4898579538639825E-2</v>
      </c>
      <c r="H56" s="153">
        <v>7.6169987065763375E-2</v>
      </c>
      <c r="I56" s="363">
        <v>8.2029813717768865E-2</v>
      </c>
      <c r="J56" s="153">
        <v>8.2029813717768865E-2</v>
      </c>
      <c r="K56" s="363">
        <v>7.8119378315415294E-2</v>
      </c>
      <c r="L56" s="363">
        <v>0.10981350905715995</v>
      </c>
      <c r="M56" s="153">
        <v>9.700839297667474E-2</v>
      </c>
      <c r="N56" s="149">
        <v>7.7858387343522878E-2</v>
      </c>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1:39">
      <c r="A57" s="1330" t="s">
        <v>851</v>
      </c>
      <c r="B57" s="314">
        <v>0.1169</v>
      </c>
      <c r="C57" s="363">
        <v>0.182</v>
      </c>
      <c r="D57" s="363">
        <v>0.14330000000000001</v>
      </c>
      <c r="E57" s="314">
        <v>0.1308</v>
      </c>
      <c r="F57" s="314">
        <v>6.4600000000000005E-2</v>
      </c>
      <c r="G57" s="314">
        <v>7.3400000000000007E-2</v>
      </c>
      <c r="H57" s="148">
        <v>8.6099999999999996E-2</v>
      </c>
      <c r="I57" s="314">
        <v>8.8900000000000007E-2</v>
      </c>
      <c r="J57" s="149">
        <v>8.8900000000000007E-2</v>
      </c>
      <c r="K57" s="314">
        <v>7.9100000000000004E-2</v>
      </c>
      <c r="L57" s="314">
        <v>0.1183</v>
      </c>
      <c r="M57" s="149">
        <v>9.9900000000000003E-2</v>
      </c>
      <c r="N57" s="148">
        <v>8.7499999999999994E-2</v>
      </c>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1:39" ht="9" customHeight="1">
      <c r="A58" s="1330" t="s">
        <v>0</v>
      </c>
      <c r="B58" s="314"/>
      <c r="C58" s="363"/>
      <c r="D58" s="363"/>
      <c r="E58" s="314"/>
      <c r="F58" s="314"/>
      <c r="G58" s="314"/>
      <c r="H58" s="148" t="s">
        <v>0</v>
      </c>
      <c r="I58" s="314"/>
      <c r="J58" s="149" t="s">
        <v>0</v>
      </c>
      <c r="K58" s="314"/>
      <c r="L58" s="314"/>
      <c r="M58" s="149" t="s">
        <v>0</v>
      </c>
      <c r="N58" s="148" t="s">
        <v>0</v>
      </c>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1:39" ht="15.75" customHeight="1">
      <c r="A59" s="1335" t="s">
        <v>630</v>
      </c>
      <c r="B59" s="314"/>
      <c r="C59" s="363"/>
      <c r="D59" s="363"/>
      <c r="E59" s="314"/>
      <c r="F59" s="314"/>
      <c r="G59" s="314"/>
      <c r="H59" s="148"/>
      <c r="I59" s="314"/>
      <c r="J59" s="149"/>
      <c r="K59" s="314"/>
      <c r="L59" s="314"/>
      <c r="M59" s="149"/>
      <c r="N59" s="148"/>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1:39" ht="15.75" customHeight="1">
      <c r="A60" s="1330" t="s">
        <v>849</v>
      </c>
      <c r="B60" s="363">
        <v>9.8186291582305157E-2</v>
      </c>
      <c r="C60" s="363">
        <v>0.14900190742943209</v>
      </c>
      <c r="D60" s="363">
        <v>0.13601600857267934</v>
      </c>
      <c r="E60" s="363">
        <v>0.11865711882798578</v>
      </c>
      <c r="F60" s="363">
        <v>6.249574578290687E-2</v>
      </c>
      <c r="G60" s="363">
        <v>6.5067951558188147E-2</v>
      </c>
      <c r="H60" s="153">
        <v>7.7596822468018065E-2</v>
      </c>
      <c r="I60" s="363">
        <v>8.8338812392406832E-2</v>
      </c>
      <c r="J60" s="153">
        <v>8.8338812392406832E-2</v>
      </c>
      <c r="K60" s="363">
        <v>7.8119378315415294E-2</v>
      </c>
      <c r="L60" s="363">
        <v>0.12461750252149176</v>
      </c>
      <c r="M60" s="153">
        <v>0.10439985217267379</v>
      </c>
      <c r="N60" s="153">
        <v>7.9790370581942591E-2</v>
      </c>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1:39" ht="15.75" customHeight="1">
      <c r="A61" s="1330" t="s">
        <v>813</v>
      </c>
      <c r="B61" s="363">
        <v>0.1283</v>
      </c>
      <c r="C61" s="363">
        <v>0.29720000000000002</v>
      </c>
      <c r="D61" s="363">
        <v>0.15390000000000001</v>
      </c>
      <c r="E61" s="363">
        <v>0.1318</v>
      </c>
      <c r="F61" s="363">
        <v>6.5600000000000006E-2</v>
      </c>
      <c r="G61" s="363">
        <v>7.3700000000000002E-2</v>
      </c>
      <c r="H61" s="153">
        <v>8.8700000000000001E-2</v>
      </c>
      <c r="I61" s="363">
        <v>9.6600000000000005E-2</v>
      </c>
      <c r="J61" s="153">
        <v>9.6600000000000005E-2</v>
      </c>
      <c r="K61" s="363">
        <v>7.9100000000000004E-2</v>
      </c>
      <c r="L61" s="363">
        <v>0.13950000000000001</v>
      </c>
      <c r="M61" s="153">
        <v>0.1086</v>
      </c>
      <c r="N61" s="149">
        <v>9.0800000000000006E-2</v>
      </c>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1:39" ht="15.75" customHeight="1">
      <c r="A62" s="1330" t="s">
        <v>850</v>
      </c>
      <c r="B62" s="363">
        <v>9.8186291582305157E-2</v>
      </c>
      <c r="C62" s="363">
        <v>0.14900190742943209</v>
      </c>
      <c r="D62" s="363">
        <v>0.13601600857267934</v>
      </c>
      <c r="E62" s="363">
        <v>0.11865711882798578</v>
      </c>
      <c r="F62" s="363">
        <v>6.249574578290687E-2</v>
      </c>
      <c r="G62" s="363">
        <v>6.5067951558188147E-2</v>
      </c>
      <c r="H62" s="153">
        <v>7.7596822468018065E-2</v>
      </c>
      <c r="I62" s="363">
        <v>8.8338812392406832E-2</v>
      </c>
      <c r="J62" s="153">
        <v>8.8338812392406832E-2</v>
      </c>
      <c r="K62" s="363">
        <v>7.8119378315415294E-2</v>
      </c>
      <c r="L62" s="363">
        <v>0.12461750252149176</v>
      </c>
      <c r="M62" s="153">
        <v>0.10439985217267379</v>
      </c>
      <c r="N62" s="153">
        <v>7.9790370581942591E-2</v>
      </c>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1:39" ht="15.75" customHeight="1">
      <c r="A63" s="1330" t="s">
        <v>851</v>
      </c>
      <c r="B63" s="314">
        <v>0.1283</v>
      </c>
      <c r="C63" s="363">
        <v>0.29720000000000002</v>
      </c>
      <c r="D63" s="363">
        <v>0.15390000000000001</v>
      </c>
      <c r="E63" s="314">
        <v>0.1318</v>
      </c>
      <c r="F63" s="314">
        <v>6.5600000000000006E-2</v>
      </c>
      <c r="G63" s="314">
        <v>7.3700000000000002E-2</v>
      </c>
      <c r="H63" s="148">
        <v>8.8700000000000001E-2</v>
      </c>
      <c r="I63" s="314">
        <v>9.6600000000000005E-2</v>
      </c>
      <c r="J63" s="149">
        <v>9.6600000000000005E-2</v>
      </c>
      <c r="K63" s="314">
        <v>7.9100000000000004E-2</v>
      </c>
      <c r="L63" s="314">
        <v>0.13950000000000001</v>
      </c>
      <c r="M63" s="149">
        <v>0.1086</v>
      </c>
      <c r="N63" s="148">
        <v>9.0800000000000006E-2</v>
      </c>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1:39" ht="9" customHeight="1">
      <c r="A64" s="1330"/>
      <c r="B64" s="314"/>
      <c r="C64" s="363"/>
      <c r="D64" s="363"/>
      <c r="E64" s="314"/>
      <c r="F64" s="314"/>
      <c r="G64" s="314"/>
      <c r="H64" s="148"/>
      <c r="I64" s="314"/>
      <c r="J64" s="149"/>
      <c r="K64" s="314"/>
      <c r="L64" s="314"/>
      <c r="M64" s="149"/>
      <c r="N64" s="148"/>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1:39" ht="12" customHeight="1">
      <c r="A65" s="1332" t="s">
        <v>235</v>
      </c>
      <c r="B65" s="314"/>
      <c r="C65" s="363"/>
      <c r="D65" s="363"/>
      <c r="E65" s="431" t="s">
        <v>0</v>
      </c>
      <c r="F65" s="314"/>
      <c r="G65" s="314"/>
      <c r="H65" s="148" t="s">
        <v>0</v>
      </c>
      <c r="I65" s="314"/>
      <c r="J65" s="149" t="s">
        <v>0</v>
      </c>
      <c r="K65" s="314"/>
      <c r="L65" s="314"/>
      <c r="M65" s="149" t="s">
        <v>0</v>
      </c>
      <c r="N65" s="148" t="s">
        <v>0</v>
      </c>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1:39">
      <c r="A66" s="1330" t="s">
        <v>849</v>
      </c>
      <c r="B66" s="314">
        <v>9.4325781869687773E-4</v>
      </c>
      <c r="C66" s="314">
        <v>3.2598744433866363E-3</v>
      </c>
      <c r="D66" s="314">
        <v>2.6992387682633046E-3</v>
      </c>
      <c r="E66" s="314">
        <v>3.6100850529685691E-3</v>
      </c>
      <c r="F66" s="314">
        <v>3.3941879505445245E-3</v>
      </c>
      <c r="G66" s="314">
        <v>1.394858575850369E-3</v>
      </c>
      <c r="H66" s="150">
        <v>2.0200179160707998E-3</v>
      </c>
      <c r="I66" s="314">
        <v>1.4368403041449533E-2</v>
      </c>
      <c r="J66" s="150">
        <v>1.4368403041449533E-2</v>
      </c>
      <c r="K66" s="314">
        <v>1.9224850720366278E-3</v>
      </c>
      <c r="L66" s="314">
        <v>1.2545004854888876E-3</v>
      </c>
      <c r="M66" s="150">
        <v>1.6049401272914532E-3</v>
      </c>
      <c r="N66" s="148">
        <v>2.2738006409757845E-3</v>
      </c>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1:39">
      <c r="A67" s="1330" t="s">
        <v>813</v>
      </c>
      <c r="B67" s="363">
        <v>1.1000000000000001E-3</v>
      </c>
      <c r="C67" s="363">
        <v>2.5000000000000001E-3</v>
      </c>
      <c r="D67" s="363">
        <v>2.5999999999999999E-3</v>
      </c>
      <c r="E67" s="363">
        <v>3.2000000000000002E-3</v>
      </c>
      <c r="F67" s="363">
        <v>3.5999999999999999E-3</v>
      </c>
      <c r="G67" s="363">
        <v>1.6000000000000001E-3</v>
      </c>
      <c r="H67" s="153">
        <v>2.2000000000000001E-3</v>
      </c>
      <c r="I67" s="363">
        <v>1.55E-2</v>
      </c>
      <c r="J67" s="153">
        <v>1.55E-2</v>
      </c>
      <c r="K67" s="363">
        <v>2.8E-3</v>
      </c>
      <c r="L67" s="363">
        <v>2.2000000000000001E-3</v>
      </c>
      <c r="M67" s="153">
        <v>2.5000000000000001E-3</v>
      </c>
      <c r="N67" s="149">
        <v>2.5000000000000001E-3</v>
      </c>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1:39">
      <c r="A68" s="1330" t="s">
        <v>850</v>
      </c>
      <c r="B68" s="314">
        <v>9.4325781869687773E-4</v>
      </c>
      <c r="C68" s="363">
        <v>3.2598744433866363E-3</v>
      </c>
      <c r="D68" s="363">
        <v>2.6992387682633046E-3</v>
      </c>
      <c r="E68" s="314">
        <v>3.6100850529685691E-3</v>
      </c>
      <c r="F68" s="314">
        <v>3.3941879505445245E-3</v>
      </c>
      <c r="G68" s="314">
        <v>1.394858575850369E-3</v>
      </c>
      <c r="H68" s="148">
        <v>2.0200179160707998E-3</v>
      </c>
      <c r="I68" s="314">
        <v>1.4368403041449533E-2</v>
      </c>
      <c r="J68" s="149">
        <v>1.4368403041449533E-2</v>
      </c>
      <c r="K68" s="314">
        <v>1.9224850720366278E-3</v>
      </c>
      <c r="L68" s="314">
        <v>1.2545004854888876E-3</v>
      </c>
      <c r="M68" s="149">
        <v>1.6049401272914532E-3</v>
      </c>
      <c r="N68" s="148">
        <v>2.2738006409757845E-3</v>
      </c>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1:39">
      <c r="A69" s="1330" t="s">
        <v>851</v>
      </c>
      <c r="B69" s="314">
        <v>1.1000000000000001E-3</v>
      </c>
      <c r="C69" s="363">
        <v>2.5000000000000001E-3</v>
      </c>
      <c r="D69" s="363">
        <v>2.5999999999999999E-3</v>
      </c>
      <c r="E69" s="314">
        <v>3.2000000000000002E-3</v>
      </c>
      <c r="F69" s="314">
        <v>3.5999999999999999E-3</v>
      </c>
      <c r="G69" s="314">
        <v>1.6000000000000001E-3</v>
      </c>
      <c r="H69" s="148">
        <v>2.2000000000000001E-3</v>
      </c>
      <c r="I69" s="314">
        <v>1.55E-2</v>
      </c>
      <c r="J69" s="149">
        <v>1.55E-2</v>
      </c>
      <c r="K69" s="314">
        <v>2.8E-3</v>
      </c>
      <c r="L69" s="314">
        <v>2.2000000000000001E-3</v>
      </c>
      <c r="M69" s="149">
        <v>2.5000000000000001E-3</v>
      </c>
      <c r="N69" s="148">
        <v>2.5000000000000001E-3</v>
      </c>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1:39" ht="9" customHeight="1">
      <c r="A70" s="1330" t="s">
        <v>0</v>
      </c>
      <c r="B70" s="314"/>
      <c r="C70" s="363"/>
      <c r="D70" s="363"/>
      <c r="E70" s="314"/>
      <c r="F70" s="314"/>
      <c r="G70" s="314"/>
      <c r="H70" s="153" t="s">
        <v>0</v>
      </c>
      <c r="I70" s="314"/>
      <c r="J70" s="149" t="s">
        <v>0</v>
      </c>
      <c r="K70" s="314"/>
      <c r="L70" s="314"/>
      <c r="M70" s="153" t="s">
        <v>0</v>
      </c>
      <c r="N70" s="149" t="s">
        <v>0</v>
      </c>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1:39" ht="12" customHeight="1">
      <c r="A71" s="1332" t="s">
        <v>212</v>
      </c>
      <c r="B71" s="314"/>
      <c r="C71" s="363"/>
      <c r="D71" s="363"/>
      <c r="E71" s="314"/>
      <c r="F71" s="314"/>
      <c r="G71" s="314"/>
      <c r="H71" s="153" t="s">
        <v>0</v>
      </c>
      <c r="I71" s="314"/>
      <c r="J71" s="149" t="s">
        <v>0</v>
      </c>
      <c r="K71" s="314"/>
      <c r="L71" s="314"/>
      <c r="M71" s="153" t="s">
        <v>0</v>
      </c>
      <c r="N71" s="149" t="s">
        <v>0</v>
      </c>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1:39" ht="12" customHeight="1">
      <c r="A72" s="1332" t="s">
        <v>236</v>
      </c>
      <c r="B72" s="314"/>
      <c r="C72" s="363"/>
      <c r="D72" s="363"/>
      <c r="E72" s="314"/>
      <c r="F72" s="314"/>
      <c r="G72" s="314"/>
      <c r="H72" s="153"/>
      <c r="I72" s="314"/>
      <c r="J72" s="149" t="s">
        <v>0</v>
      </c>
      <c r="K72" s="314"/>
      <c r="L72" s="314"/>
      <c r="M72" s="153"/>
      <c r="N72" s="149"/>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1:39" ht="12" customHeight="1">
      <c r="A73" s="1332" t="s">
        <v>353</v>
      </c>
      <c r="B73" s="314"/>
      <c r="C73" s="363"/>
      <c r="D73" s="363"/>
      <c r="E73" s="314"/>
      <c r="F73" s="314"/>
      <c r="G73" s="314"/>
      <c r="H73" s="153"/>
      <c r="I73" s="314"/>
      <c r="J73" s="149" t="s">
        <v>0</v>
      </c>
      <c r="K73" s="314"/>
      <c r="L73" s="314"/>
      <c r="M73" s="153"/>
      <c r="N73" s="149"/>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1:39">
      <c r="A74" s="1330" t="s">
        <v>849</v>
      </c>
      <c r="B74" s="314">
        <v>0.69684062972810035</v>
      </c>
      <c r="C74" s="314">
        <v>0.71195144781767705</v>
      </c>
      <c r="D74" s="314">
        <v>0.94574500235952674</v>
      </c>
      <c r="E74" s="314">
        <v>0.67568079279978199</v>
      </c>
      <c r="F74" s="314">
        <v>0.68421469081350794</v>
      </c>
      <c r="G74" s="314">
        <v>0.61388294734211168</v>
      </c>
      <c r="H74" s="150">
        <v>0.67165360503231919</v>
      </c>
      <c r="I74" s="314">
        <v>0.51332688758976308</v>
      </c>
      <c r="J74" s="150">
        <v>0.51332688758976308</v>
      </c>
      <c r="K74" s="314">
        <v>0.8972</v>
      </c>
      <c r="L74" s="314">
        <v>0.62650428593755636</v>
      </c>
      <c r="M74" s="150">
        <v>0.73899999999999999</v>
      </c>
      <c r="N74" s="148">
        <v>0.67220000000000002</v>
      </c>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1:39">
      <c r="A75" s="1330" t="s">
        <v>813</v>
      </c>
      <c r="B75" s="363">
        <v>0.72094438246713588</v>
      </c>
      <c r="C75" s="363">
        <v>0.60106855102382872</v>
      </c>
      <c r="D75" s="363">
        <v>1.0739937255762366</v>
      </c>
      <c r="E75" s="363">
        <v>0.70951382959455611</v>
      </c>
      <c r="F75" s="363">
        <v>0.67759613994481893</v>
      </c>
      <c r="G75" s="363">
        <v>0.6283548398666684</v>
      </c>
      <c r="H75" s="153">
        <v>0.68321508171068823</v>
      </c>
      <c r="I75" s="363">
        <v>0.48244305292864903</v>
      </c>
      <c r="J75" s="153">
        <v>0.48244305292864903</v>
      </c>
      <c r="K75" s="363">
        <v>0.84983490817242591</v>
      </c>
      <c r="L75" s="363">
        <v>0.60373723305478177</v>
      </c>
      <c r="M75" s="153">
        <v>0.71022708567891968</v>
      </c>
      <c r="N75" s="149">
        <v>0.68074191584515487</v>
      </c>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1:39">
      <c r="A76" s="1330" t="s">
        <v>850</v>
      </c>
      <c r="B76" s="314">
        <v>0.69684062972810035</v>
      </c>
      <c r="C76" s="363">
        <v>0.71195144781767705</v>
      </c>
      <c r="D76" s="363">
        <v>0.94574500235952674</v>
      </c>
      <c r="E76" s="314">
        <v>0.67568079279978199</v>
      </c>
      <c r="F76" s="314">
        <v>0.68421469081350794</v>
      </c>
      <c r="G76" s="314">
        <v>0.61388294734211168</v>
      </c>
      <c r="H76" s="148">
        <v>0.67165360503231919</v>
      </c>
      <c r="I76" s="314">
        <v>0.51332688758976308</v>
      </c>
      <c r="J76" s="149">
        <v>0.51332688758976308</v>
      </c>
      <c r="K76" s="314">
        <v>0.8972</v>
      </c>
      <c r="L76" s="314">
        <v>0.62650428593755636</v>
      </c>
      <c r="M76" s="149">
        <v>0.73899999999999999</v>
      </c>
      <c r="N76" s="148">
        <v>0.67220000000000002</v>
      </c>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1:39" s="26" customFormat="1">
      <c r="A77" s="1330" t="s">
        <v>851</v>
      </c>
      <c r="B77" s="363">
        <v>0.72094438246713588</v>
      </c>
      <c r="C77" s="363">
        <v>0.60106855102382872</v>
      </c>
      <c r="D77" s="364">
        <v>1.0739937255762366</v>
      </c>
      <c r="E77" s="363">
        <v>0.70951382959455611</v>
      </c>
      <c r="F77" s="363">
        <v>0.67759613994481893</v>
      </c>
      <c r="G77" s="363">
        <v>0.6283548398666684</v>
      </c>
      <c r="H77" s="153">
        <v>0.68321508171068823</v>
      </c>
      <c r="I77" s="363">
        <v>0.48244305292864903</v>
      </c>
      <c r="J77" s="153">
        <v>0.48244305292864903</v>
      </c>
      <c r="K77" s="363">
        <v>0.84983490817242591</v>
      </c>
      <c r="L77" s="363">
        <v>0.60373723305478177</v>
      </c>
      <c r="M77" s="153">
        <v>0.71022708567891968</v>
      </c>
      <c r="N77" s="153">
        <v>0.68074191584515487</v>
      </c>
      <c r="P77" s="145"/>
      <c r="Q77" s="76"/>
      <c r="R77" s="76"/>
      <c r="S77" s="76"/>
      <c r="T77" s="76"/>
      <c r="U77" s="76"/>
      <c r="V77" s="76"/>
      <c r="W77" s="76"/>
      <c r="X77" s="76"/>
      <c r="Y77" s="76"/>
      <c r="Z77" s="76"/>
      <c r="AA77" s="76"/>
      <c r="AB77" s="76"/>
      <c r="AC77" s="76"/>
      <c r="AD77" s="76"/>
      <c r="AE77" s="76"/>
      <c r="AF77" s="76"/>
      <c r="AG77" s="76"/>
      <c r="AH77" s="76"/>
      <c r="AI77" s="76"/>
      <c r="AJ77" s="76"/>
      <c r="AK77" s="76"/>
      <c r="AL77" s="76"/>
      <c r="AM77" s="76"/>
    </row>
    <row r="78" spans="1:39" s="26" customFormat="1" ht="9" customHeight="1">
      <c r="A78" s="1330"/>
      <c r="B78" s="363"/>
      <c r="C78" s="363"/>
      <c r="D78" s="363"/>
      <c r="E78" s="363"/>
      <c r="F78" s="363"/>
      <c r="G78" s="363"/>
      <c r="H78" s="148"/>
      <c r="I78" s="363"/>
      <c r="J78" s="149" t="s">
        <v>0</v>
      </c>
      <c r="K78" s="363"/>
      <c r="L78" s="363"/>
      <c r="M78" s="149"/>
      <c r="N78" s="149"/>
      <c r="P78" s="145"/>
      <c r="Q78" s="76"/>
      <c r="R78" s="76"/>
      <c r="S78" s="76"/>
      <c r="T78" s="76"/>
      <c r="U78" s="76"/>
      <c r="V78" s="76"/>
      <c r="W78" s="76"/>
      <c r="X78" s="76"/>
      <c r="Y78" s="76"/>
      <c r="Z78" s="76"/>
      <c r="AA78" s="76"/>
      <c r="AB78" s="76"/>
      <c r="AC78" s="76"/>
      <c r="AD78" s="76"/>
      <c r="AE78" s="76"/>
      <c r="AF78" s="76"/>
      <c r="AG78" s="76"/>
      <c r="AH78" s="76"/>
      <c r="AI78" s="76"/>
      <c r="AJ78" s="76"/>
      <c r="AK78" s="76"/>
      <c r="AL78" s="76"/>
      <c r="AM78" s="76"/>
    </row>
    <row r="79" spans="1:39" s="26" customFormat="1">
      <c r="A79" s="1330" t="s">
        <v>354</v>
      </c>
      <c r="B79" s="363"/>
      <c r="C79" s="363"/>
      <c r="D79" s="363"/>
      <c r="E79" s="363"/>
      <c r="F79" s="363"/>
      <c r="G79" s="363"/>
      <c r="H79" s="148"/>
      <c r="I79" s="363"/>
      <c r="J79" s="149" t="s">
        <v>0</v>
      </c>
      <c r="K79" s="363"/>
      <c r="L79" s="363"/>
      <c r="M79" s="149"/>
      <c r="N79" s="149"/>
      <c r="P79" s="145"/>
      <c r="Q79" s="76"/>
      <c r="R79" s="76"/>
      <c r="S79" s="76"/>
      <c r="T79" s="76"/>
      <c r="U79" s="76"/>
      <c r="V79" s="76"/>
      <c r="W79" s="76"/>
      <c r="X79" s="76"/>
      <c r="Y79" s="76"/>
      <c r="Z79" s="76"/>
      <c r="AA79" s="76"/>
      <c r="AB79" s="76"/>
      <c r="AC79" s="76"/>
      <c r="AD79" s="76"/>
      <c r="AE79" s="76"/>
      <c r="AF79" s="76"/>
      <c r="AG79" s="76"/>
      <c r="AH79" s="76"/>
      <c r="AI79" s="76"/>
      <c r="AJ79" s="76"/>
      <c r="AK79" s="76"/>
      <c r="AL79" s="76"/>
      <c r="AM79" s="76"/>
    </row>
    <row r="80" spans="1:39" s="26" customFormat="1">
      <c r="A80" s="1330" t="s">
        <v>849</v>
      </c>
      <c r="B80" s="1032">
        <v>2238.9828093357269</v>
      </c>
      <c r="C80" s="1032">
        <v>1185.2650425000002</v>
      </c>
      <c r="D80" s="1032">
        <v>1402.8260560596227</v>
      </c>
      <c r="E80" s="1032">
        <v>1829.3474128827877</v>
      </c>
      <c r="F80" s="1032">
        <v>1957.1060322397477</v>
      </c>
      <c r="G80" s="1032">
        <v>2597.1234278776105</v>
      </c>
      <c r="H80" s="971">
        <v>2100.0911326505538</v>
      </c>
      <c r="I80" s="1032">
        <v>3691.8445143859644</v>
      </c>
      <c r="J80" s="379">
        <v>3691.8445143859644</v>
      </c>
      <c r="K80" s="1053">
        <v>6224.42</v>
      </c>
      <c r="L80" s="1032">
        <v>3696.8444444444444</v>
      </c>
      <c r="M80" s="183">
        <v>4447.22</v>
      </c>
      <c r="N80" s="971">
        <v>2201.19</v>
      </c>
      <c r="P80" s="145"/>
      <c r="Q80" s="76"/>
      <c r="R80" s="76"/>
      <c r="S80" s="76"/>
      <c r="T80" s="76"/>
      <c r="U80" s="76"/>
      <c r="V80" s="76"/>
      <c r="W80" s="76"/>
      <c r="X80" s="76"/>
      <c r="Y80" s="76"/>
      <c r="Z80" s="76"/>
      <c r="AA80" s="76"/>
      <c r="AB80" s="76"/>
      <c r="AC80" s="76"/>
      <c r="AD80" s="76"/>
      <c r="AE80" s="76"/>
      <c r="AF80" s="76"/>
      <c r="AG80" s="76"/>
      <c r="AH80" s="76"/>
      <c r="AI80" s="76"/>
      <c r="AJ80" s="76"/>
      <c r="AK80" s="76"/>
      <c r="AL80" s="76"/>
      <c r="AM80" s="76"/>
    </row>
    <row r="81" spans="1:39" s="26" customFormat="1">
      <c r="A81" s="1330" t="s">
        <v>813</v>
      </c>
      <c r="B81" s="1032">
        <v>1924.42</v>
      </c>
      <c r="C81" s="1032">
        <v>1509.19</v>
      </c>
      <c r="D81" s="1032">
        <v>1168.33</v>
      </c>
      <c r="E81" s="1032">
        <v>1713.92</v>
      </c>
      <c r="F81" s="1032">
        <v>1907.91</v>
      </c>
      <c r="G81" s="1032">
        <v>2550.13</v>
      </c>
      <c r="H81" s="379">
        <v>1999.05</v>
      </c>
      <c r="I81" s="374">
        <v>3557.56</v>
      </c>
      <c r="J81" s="379">
        <v>3557.56</v>
      </c>
      <c r="K81" s="1053">
        <v>6740.62</v>
      </c>
      <c r="L81" s="1032">
        <v>4202.93</v>
      </c>
      <c r="M81" s="183">
        <v>5020.8599999999997</v>
      </c>
      <c r="N81" s="379">
        <v>2121.69</v>
      </c>
      <c r="P81" s="145"/>
      <c r="Q81" s="76"/>
      <c r="R81" s="76"/>
      <c r="S81" s="76"/>
      <c r="T81" s="76"/>
      <c r="U81" s="76"/>
      <c r="V81" s="76"/>
      <c r="W81" s="76"/>
      <c r="X81" s="76"/>
      <c r="Y81" s="76"/>
      <c r="Z81" s="76"/>
      <c r="AA81" s="76"/>
      <c r="AB81" s="76"/>
      <c r="AC81" s="76"/>
      <c r="AD81" s="76"/>
      <c r="AE81" s="76"/>
      <c r="AF81" s="76"/>
      <c r="AG81" s="76"/>
      <c r="AH81" s="76"/>
      <c r="AI81" s="76"/>
      <c r="AJ81" s="76"/>
      <c r="AK81" s="76"/>
      <c r="AL81" s="76"/>
      <c r="AM81" s="76"/>
    </row>
    <row r="82" spans="1:39">
      <c r="A82" s="1330" t="s">
        <v>850</v>
      </c>
      <c r="B82" s="1032">
        <v>2238.9828093357269</v>
      </c>
      <c r="C82" s="1032">
        <v>1185.2650425000002</v>
      </c>
      <c r="D82" s="1032">
        <v>1402.8260560596227</v>
      </c>
      <c r="E82" s="1032">
        <v>1829.3474128827877</v>
      </c>
      <c r="F82" s="1032">
        <v>1957.1060322397477</v>
      </c>
      <c r="G82" s="1032">
        <v>2597.1234278776105</v>
      </c>
      <c r="H82" s="971">
        <v>2100.0911326505538</v>
      </c>
      <c r="I82" s="1032">
        <v>3691.8445143859644</v>
      </c>
      <c r="J82" s="379">
        <v>3691.8445143859644</v>
      </c>
      <c r="K82" s="1053">
        <v>6224.42</v>
      </c>
      <c r="L82" s="1032">
        <v>3696.8444444444444</v>
      </c>
      <c r="M82" s="183">
        <v>4447.22</v>
      </c>
      <c r="N82" s="971">
        <v>2201.19</v>
      </c>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s="26" customFormat="1" ht="16.5" thickBot="1">
      <c r="A83" s="1333" t="s">
        <v>851</v>
      </c>
      <c r="B83" s="375">
        <v>1924.42</v>
      </c>
      <c r="C83" s="375">
        <v>1509.19</v>
      </c>
      <c r="D83" s="375">
        <v>1168.33</v>
      </c>
      <c r="E83" s="375">
        <v>1713.92</v>
      </c>
      <c r="F83" s="375">
        <v>1907.91</v>
      </c>
      <c r="G83" s="1306">
        <v>2550.13</v>
      </c>
      <c r="H83" s="646">
        <v>1999.05</v>
      </c>
      <c r="I83" s="1307">
        <v>3557.56</v>
      </c>
      <c r="J83" s="646">
        <v>3557.56</v>
      </c>
      <c r="K83" s="375">
        <v>6740.62</v>
      </c>
      <c r="L83" s="1306">
        <v>4202.93</v>
      </c>
      <c r="M83" s="646">
        <v>5020.8599999999997</v>
      </c>
      <c r="N83" s="1030">
        <v>2121.69</v>
      </c>
      <c r="P83" s="145"/>
      <c r="Q83" s="76"/>
      <c r="R83" s="76"/>
      <c r="S83" s="76"/>
      <c r="T83" s="76"/>
      <c r="U83" s="76"/>
      <c r="V83" s="76"/>
      <c r="W83" s="76"/>
      <c r="X83" s="76"/>
      <c r="Y83" s="76"/>
      <c r="Z83" s="76"/>
      <c r="AA83" s="76"/>
      <c r="AB83" s="76"/>
      <c r="AC83" s="76"/>
      <c r="AD83" s="76"/>
      <c r="AE83" s="76"/>
      <c r="AF83" s="76"/>
      <c r="AG83" s="76"/>
      <c r="AH83" s="76"/>
      <c r="AI83" s="76"/>
      <c r="AJ83" s="76"/>
      <c r="AK83" s="76"/>
      <c r="AL83" s="76"/>
      <c r="AM83" s="76"/>
    </row>
    <row r="84" spans="1:39" s="26" customFormat="1">
      <c r="A84" s="76"/>
      <c r="B84" s="363"/>
      <c r="C84" s="363"/>
      <c r="D84" s="363"/>
      <c r="E84" s="363"/>
      <c r="F84" s="363"/>
      <c r="G84" s="363"/>
      <c r="H84" s="100" t="s">
        <v>0</v>
      </c>
      <c r="I84" s="372"/>
      <c r="J84" s="363"/>
      <c r="K84" s="373" t="s">
        <v>0</v>
      </c>
      <c r="L84" s="363"/>
      <c r="M84" s="363"/>
      <c r="N84" s="373"/>
      <c r="O84" s="373"/>
      <c r="P84" s="145"/>
      <c r="Q84" s="76"/>
      <c r="R84" s="76"/>
      <c r="S84" s="76"/>
      <c r="T84" s="76"/>
      <c r="U84" s="76"/>
      <c r="V84" s="76"/>
      <c r="W84" s="76"/>
      <c r="X84" s="76"/>
      <c r="Y84" s="76"/>
      <c r="Z84" s="76"/>
      <c r="AA84" s="76"/>
      <c r="AB84" s="76"/>
      <c r="AC84" s="76"/>
      <c r="AD84" s="76"/>
      <c r="AE84" s="76"/>
      <c r="AF84" s="76"/>
      <c r="AG84" s="76"/>
      <c r="AH84" s="76"/>
      <c r="AI84" s="76"/>
      <c r="AJ84" s="76"/>
      <c r="AK84" s="76"/>
      <c r="AL84" s="76"/>
      <c r="AM84" s="76"/>
    </row>
    <row r="85" spans="1:39">
      <c r="A85" s="686" t="s">
        <v>0</v>
      </c>
      <c r="B85" s="100" t="s">
        <v>0</v>
      </c>
      <c r="C85" s="100"/>
      <c r="D85" s="100"/>
      <c r="E85" s="100"/>
      <c r="F85" s="100"/>
      <c r="G85" s="100"/>
      <c r="H85" s="100" t="s">
        <v>0</v>
      </c>
      <c r="I85" s="100"/>
      <c r="J85" s="100"/>
      <c r="K85" s="100"/>
      <c r="L85" s="100"/>
      <c r="M85" s="100"/>
      <c r="N85" s="87"/>
      <c r="O85" s="87"/>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39">
      <c r="B86" s="88" t="s">
        <v>0</v>
      </c>
      <c r="C86" s="88" t="s">
        <v>0</v>
      </c>
      <c r="D86" s="88" t="s">
        <v>0</v>
      </c>
      <c r="E86" s="88" t="s">
        <v>0</v>
      </c>
      <c r="F86" s="88" t="s">
        <v>0</v>
      </c>
      <c r="G86" s="88" t="s">
        <v>0</v>
      </c>
      <c r="H86" s="1011" t="s">
        <v>0</v>
      </c>
      <c r="I86" s="100"/>
      <c r="J86" s="100"/>
      <c r="K86" s="100"/>
      <c r="L86" s="100"/>
      <c r="M86" s="100"/>
      <c r="N86" s="87"/>
      <c r="O86" s="87"/>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39">
      <c r="A87" s="26"/>
      <c r="B87" s="88" t="s">
        <v>0</v>
      </c>
      <c r="C87" s="88" t="s">
        <v>0</v>
      </c>
      <c r="D87" s="88"/>
      <c r="E87" s="88"/>
      <c r="F87" s="88" t="s">
        <v>0</v>
      </c>
      <c r="G87" s="88"/>
      <c r="H87" s="100" t="s">
        <v>0</v>
      </c>
      <c r="I87" s="100"/>
      <c r="J87" s="100"/>
      <c r="K87" s="100"/>
      <c r="L87" s="100"/>
      <c r="M87" s="100"/>
      <c r="N87" s="87"/>
      <c r="O87" s="87"/>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1:39">
      <c r="B88" s="88" t="s">
        <v>0</v>
      </c>
      <c r="C88" s="88" t="s">
        <v>0</v>
      </c>
      <c r="D88" s="88" t="s">
        <v>0</v>
      </c>
      <c r="E88" s="88" t="s">
        <v>0</v>
      </c>
      <c r="F88" s="88" t="s">
        <v>0</v>
      </c>
      <c r="G88" s="88" t="s">
        <v>0</v>
      </c>
      <c r="H88" s="1011" t="s">
        <v>0</v>
      </c>
      <c r="I88" s="100"/>
      <c r="J88" s="100"/>
      <c r="K88" s="100"/>
      <c r="L88" s="100"/>
      <c r="M88" s="100"/>
      <c r="N88" s="87"/>
      <c r="O88" s="87"/>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1:39">
      <c r="B89" s="100"/>
      <c r="C89" s="100"/>
      <c r="D89" s="100"/>
      <c r="E89" s="100"/>
      <c r="F89" s="100"/>
      <c r="G89" s="100"/>
      <c r="H89" s="100" t="s">
        <v>0</v>
      </c>
      <c r="I89" s="100"/>
      <c r="J89" s="100"/>
      <c r="K89" s="100"/>
      <c r="L89" s="100"/>
      <c r="M89" s="100"/>
      <c r="N89" s="87"/>
      <c r="O89" s="87"/>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1:39">
      <c r="B90" s="100"/>
      <c r="C90" s="100"/>
      <c r="D90" s="100"/>
      <c r="E90" s="100"/>
      <c r="F90" s="100"/>
      <c r="G90" s="100"/>
      <c r="H90" s="100"/>
      <c r="I90" s="100"/>
      <c r="J90" s="100"/>
      <c r="K90" s="100"/>
      <c r="L90" s="100"/>
      <c r="M90" s="100"/>
      <c r="N90" s="87"/>
      <c r="O90" s="87"/>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1:39">
      <c r="B91" s="100"/>
      <c r="C91" s="100"/>
      <c r="D91" s="100"/>
      <c r="E91" s="100" t="s">
        <v>0</v>
      </c>
      <c r="F91" s="100"/>
      <c r="G91" s="100"/>
      <c r="H91" s="100"/>
      <c r="I91" s="100"/>
      <c r="J91" s="100"/>
      <c r="K91" s="100"/>
      <c r="L91" s="100"/>
      <c r="M91" s="100"/>
      <c r="N91" s="87"/>
      <c r="O91" s="87"/>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1:39">
      <c r="B92" s="100"/>
      <c r="C92" s="100"/>
      <c r="D92" s="98" t="s">
        <v>0</v>
      </c>
      <c r="E92" s="100"/>
      <c r="F92" s="100"/>
      <c r="G92" s="100"/>
      <c r="H92" s="100"/>
      <c r="I92" s="100"/>
      <c r="J92" s="100"/>
      <c r="K92" s="100"/>
      <c r="L92" s="100"/>
      <c r="M92" s="100"/>
      <c r="N92" s="87"/>
      <c r="O92" s="87"/>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1:39">
      <c r="B93" s="100"/>
      <c r="C93" s="100"/>
      <c r="D93" s="100"/>
      <c r="E93" s="100" t="s">
        <v>0</v>
      </c>
      <c r="F93" s="100"/>
      <c r="G93" s="100"/>
      <c r="H93" s="100"/>
      <c r="I93" s="100"/>
      <c r="J93" s="100"/>
      <c r="K93" s="100"/>
      <c r="L93" s="100"/>
      <c r="M93" s="100"/>
      <c r="N93" s="87"/>
      <c r="O93" s="87"/>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1:39">
      <c r="B94" s="100"/>
      <c r="C94" s="100"/>
      <c r="D94" s="98" t="s">
        <v>0</v>
      </c>
      <c r="E94" s="100"/>
      <c r="F94" s="100"/>
      <c r="G94" s="100"/>
      <c r="H94" s="100"/>
      <c r="I94" s="100"/>
      <c r="J94" s="100"/>
      <c r="K94" s="100"/>
      <c r="L94" s="100"/>
      <c r="M94" s="100"/>
      <c r="N94" s="87"/>
      <c r="O94" s="87"/>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1:39">
      <c r="B95" s="100"/>
      <c r="C95" s="100"/>
      <c r="D95" s="100"/>
      <c r="E95" s="726" t="s">
        <v>0</v>
      </c>
      <c r="F95" s="100"/>
      <c r="G95" s="100"/>
      <c r="H95" s="100"/>
      <c r="I95" s="100"/>
      <c r="J95" s="100"/>
      <c r="K95" s="100"/>
      <c r="L95" s="100"/>
      <c r="M95" s="100"/>
      <c r="N95" s="87"/>
      <c r="O95" s="87"/>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1:39">
      <c r="B96" s="100"/>
      <c r="C96" s="100"/>
      <c r="D96" s="100"/>
      <c r="E96" s="100"/>
      <c r="F96" s="100"/>
      <c r="G96" s="100"/>
      <c r="H96" s="100"/>
      <c r="I96" s="100"/>
      <c r="J96" s="100"/>
      <c r="K96" s="100"/>
      <c r="L96" s="100"/>
      <c r="M96" s="100"/>
      <c r="N96" s="87"/>
      <c r="O96" s="87"/>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s="100"/>
      <c r="C97" s="100"/>
      <c r="D97" s="100"/>
      <c r="E97" s="100"/>
      <c r="F97" s="100"/>
      <c r="G97" s="100"/>
      <c r="H97" s="100"/>
      <c r="I97" s="100"/>
      <c r="J97" s="100"/>
      <c r="K97" s="100"/>
      <c r="L97" s="100"/>
      <c r="M97" s="100"/>
      <c r="N97" s="87"/>
      <c r="O97" s="87"/>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s="100"/>
      <c r="C98" s="100"/>
      <c r="D98" s="100"/>
      <c r="E98" s="100"/>
      <c r="F98" s="100"/>
      <c r="G98" s="100"/>
      <c r="H98" s="100"/>
      <c r="I98" s="100"/>
      <c r="J98" s="100"/>
      <c r="K98" s="100"/>
      <c r="L98" s="100"/>
      <c r="M98" s="100"/>
      <c r="N98" s="87"/>
      <c r="O98" s="87"/>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s="100"/>
      <c r="C99" s="100"/>
      <c r="D99" s="100"/>
      <c r="E99" s="100"/>
      <c r="F99" s="100"/>
      <c r="G99" s="100"/>
      <c r="H99" s="100"/>
      <c r="I99" s="100"/>
      <c r="J99" s="100"/>
      <c r="K99" s="100"/>
      <c r="L99" s="100"/>
      <c r="M99" s="100"/>
      <c r="N99" s="87"/>
      <c r="O99" s="87"/>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s="100"/>
      <c r="C100" s="100"/>
      <c r="D100" s="100"/>
      <c r="E100" s="100"/>
      <c r="F100" s="100"/>
      <c r="G100" s="100"/>
      <c r="H100" s="100"/>
      <c r="I100" s="100"/>
      <c r="J100" s="100"/>
      <c r="K100" s="100"/>
      <c r="L100" s="100"/>
      <c r="M100" s="100"/>
      <c r="N100" s="87"/>
      <c r="O100" s="87"/>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s="100"/>
      <c r="C101" s="100"/>
      <c r="D101" s="100"/>
      <c r="E101" s="100"/>
      <c r="F101" s="100"/>
      <c r="G101" s="100"/>
      <c r="H101" s="100"/>
      <c r="I101" s="100"/>
      <c r="J101" s="100"/>
      <c r="K101" s="100"/>
      <c r="L101" s="100"/>
      <c r="M101" s="100"/>
      <c r="N101" s="87"/>
      <c r="O101" s="87"/>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s="100"/>
      <c r="C102" s="100"/>
      <c r="D102" s="100"/>
      <c r="E102" s="100"/>
      <c r="F102" s="100"/>
      <c r="G102" s="100"/>
      <c r="H102" s="100"/>
      <c r="I102" s="100"/>
      <c r="J102" s="100"/>
      <c r="K102" s="100"/>
      <c r="L102" s="100"/>
      <c r="M102" s="100"/>
      <c r="N102" s="87"/>
      <c r="O102" s="87"/>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s="100"/>
      <c r="C103" s="100"/>
      <c r="D103" s="100"/>
      <c r="E103" s="100"/>
      <c r="F103" s="100"/>
      <c r="G103" s="100"/>
      <c r="H103" s="100"/>
      <c r="I103" s="100"/>
      <c r="J103" s="100"/>
      <c r="K103" s="100"/>
      <c r="L103" s="100"/>
      <c r="M103" s="100"/>
      <c r="N103" s="87"/>
      <c r="O103" s="87"/>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s="100"/>
      <c r="C104" s="100"/>
      <c r="D104" s="100"/>
      <c r="E104" s="100"/>
      <c r="F104" s="100"/>
      <c r="G104" s="100"/>
      <c r="H104" s="100"/>
      <c r="I104" s="100"/>
      <c r="J104" s="100"/>
      <c r="K104" s="100"/>
      <c r="L104" s="100"/>
      <c r="M104" s="100"/>
      <c r="N104" s="87"/>
      <c r="O104" s="87"/>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s="100"/>
      <c r="C105" s="100"/>
      <c r="D105" s="100"/>
      <c r="E105" s="100"/>
      <c r="F105" s="100"/>
      <c r="G105" s="100"/>
      <c r="H105" s="100"/>
      <c r="I105" s="100"/>
      <c r="J105" s="100"/>
      <c r="K105" s="100"/>
      <c r="L105" s="100"/>
      <c r="M105" s="100"/>
      <c r="N105" s="87"/>
      <c r="O105" s="87"/>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s="100"/>
      <c r="C106" s="100"/>
      <c r="D106" s="100"/>
      <c r="E106" s="100"/>
      <c r="F106" s="100"/>
      <c r="G106" s="100"/>
      <c r="H106" s="100"/>
      <c r="I106" s="100"/>
      <c r="J106" s="100"/>
      <c r="K106" s="100"/>
      <c r="L106" s="100"/>
      <c r="M106" s="100"/>
      <c r="N106" s="87"/>
      <c r="O106" s="87"/>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s="100"/>
      <c r="C107" s="100"/>
      <c r="D107" s="100"/>
      <c r="E107" s="100"/>
      <c r="F107" s="100"/>
      <c r="G107" s="100"/>
      <c r="H107" s="100"/>
      <c r="I107" s="100"/>
      <c r="J107" s="100"/>
      <c r="K107" s="100"/>
      <c r="L107" s="100"/>
      <c r="M107" s="100"/>
      <c r="N107" s="87"/>
      <c r="O107" s="87"/>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s="100"/>
      <c r="C108" s="100"/>
      <c r="D108" s="100"/>
      <c r="E108" s="100"/>
      <c r="F108" s="100"/>
      <c r="G108" s="100"/>
      <c r="H108" s="100"/>
      <c r="I108" s="100"/>
      <c r="J108" s="100"/>
      <c r="K108" s="100"/>
      <c r="L108" s="100"/>
      <c r="M108" s="100"/>
      <c r="N108" s="87"/>
      <c r="O108" s="87"/>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s="100"/>
      <c r="C109" s="100"/>
      <c r="D109" s="100"/>
      <c r="E109" s="100"/>
      <c r="F109" s="100"/>
      <c r="G109" s="100"/>
      <c r="H109" s="100"/>
      <c r="I109" s="100"/>
      <c r="J109" s="100"/>
      <c r="K109" s="100"/>
      <c r="L109" s="100"/>
      <c r="M109" s="100"/>
      <c r="N109" s="87"/>
      <c r="O109" s="87"/>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s="100"/>
      <c r="C110" s="100"/>
      <c r="D110" s="100"/>
      <c r="E110" s="100"/>
      <c r="F110" s="100"/>
      <c r="G110" s="100"/>
      <c r="H110" s="100"/>
      <c r="I110" s="100"/>
      <c r="J110" s="100"/>
      <c r="K110" s="100"/>
      <c r="L110" s="100"/>
      <c r="M110" s="100"/>
      <c r="N110" s="87"/>
      <c r="O110" s="87"/>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s="100"/>
      <c r="C111" s="100"/>
      <c r="D111" s="100"/>
      <c r="E111" s="100"/>
      <c r="F111" s="100"/>
      <c r="G111" s="100"/>
      <c r="H111" s="100"/>
      <c r="I111" s="100"/>
      <c r="J111" s="100"/>
      <c r="K111" s="100"/>
      <c r="L111" s="100"/>
      <c r="M111" s="100"/>
      <c r="N111" s="87"/>
      <c r="O111" s="87"/>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s="100"/>
      <c r="C112" s="100"/>
      <c r="D112" s="100"/>
      <c r="E112" s="100"/>
      <c r="F112" s="100"/>
      <c r="G112" s="100"/>
      <c r="H112" s="100"/>
      <c r="I112" s="100"/>
      <c r="J112" s="100"/>
      <c r="K112" s="100"/>
      <c r="L112" s="100"/>
      <c r="M112" s="100"/>
      <c r="N112" s="87"/>
      <c r="O112" s="87"/>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2:39">
      <c r="B113" s="100"/>
      <c r="C113" s="100"/>
      <c r="D113" s="100"/>
      <c r="E113" s="100"/>
      <c r="F113" s="100"/>
      <c r="G113" s="100"/>
      <c r="H113" s="100"/>
      <c r="I113" s="100"/>
      <c r="J113" s="100"/>
      <c r="K113" s="100"/>
      <c r="L113" s="100"/>
      <c r="M113" s="100"/>
      <c r="N113" s="87"/>
      <c r="O113" s="87"/>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2:39">
      <c r="B114" s="100"/>
      <c r="C114" s="100"/>
      <c r="D114" s="100"/>
      <c r="E114" s="100"/>
      <c r="F114" s="100"/>
      <c r="G114" s="100"/>
      <c r="H114" s="100"/>
      <c r="I114" s="100"/>
      <c r="J114" s="100"/>
      <c r="K114" s="100"/>
      <c r="L114" s="100"/>
      <c r="M114" s="100"/>
      <c r="N114" s="87"/>
      <c r="O114" s="87"/>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2:39">
      <c r="B115" s="100"/>
      <c r="C115" s="100"/>
      <c r="D115" s="100"/>
      <c r="E115" s="100"/>
      <c r="F115" s="100"/>
      <c r="G115" s="100"/>
      <c r="H115" s="100"/>
      <c r="I115" s="100"/>
      <c r="J115" s="100"/>
      <c r="K115" s="100"/>
      <c r="L115" s="100"/>
      <c r="M115" s="100"/>
      <c r="N115" s="87"/>
      <c r="O115" s="87"/>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2:39">
      <c r="B116" s="100"/>
      <c r="C116" s="100"/>
      <c r="D116" s="100"/>
      <c r="E116" s="100"/>
      <c r="F116" s="100"/>
      <c r="G116" s="100"/>
      <c r="H116" s="100"/>
      <c r="I116" s="100"/>
      <c r="J116" s="100"/>
      <c r="K116" s="100"/>
      <c r="L116" s="100"/>
      <c r="M116" s="100"/>
      <c r="N116" s="87"/>
      <c r="O116" s="87"/>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2:39">
      <c r="B117" s="100"/>
      <c r="C117" s="100"/>
      <c r="D117" s="100"/>
      <c r="E117" s="100"/>
      <c r="F117" s="100"/>
      <c r="G117" s="100"/>
      <c r="H117" s="100"/>
      <c r="I117" s="100"/>
      <c r="J117" s="100"/>
      <c r="K117" s="100"/>
      <c r="L117" s="100"/>
      <c r="M117" s="100"/>
      <c r="N117" s="87"/>
      <c r="O117" s="87"/>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2:39">
      <c r="B118" s="100"/>
      <c r="C118" s="100"/>
      <c r="D118" s="100"/>
      <c r="E118" s="100"/>
      <c r="F118" s="100"/>
      <c r="G118" s="100"/>
      <c r="H118" s="100"/>
      <c r="I118" s="100"/>
      <c r="J118" s="100"/>
      <c r="K118" s="100"/>
      <c r="L118" s="100"/>
      <c r="M118" s="100"/>
      <c r="N118" s="87"/>
      <c r="O118" s="87"/>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2:39">
      <c r="B119" s="100"/>
      <c r="C119" s="100"/>
      <c r="D119" s="100"/>
      <c r="E119" s="100"/>
      <c r="F119" s="100"/>
      <c r="G119" s="100"/>
      <c r="H119" s="100"/>
      <c r="I119" s="100"/>
      <c r="J119" s="100"/>
      <c r="K119" s="100"/>
      <c r="L119" s="100"/>
      <c r="M119" s="100"/>
      <c r="N119" s="87"/>
      <c r="O119" s="87"/>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2:39">
      <c r="B120" s="100"/>
      <c r="C120" s="100"/>
      <c r="D120" s="100"/>
      <c r="E120" s="100"/>
      <c r="F120" s="100"/>
      <c r="G120" s="100"/>
      <c r="H120" s="100"/>
      <c r="I120" s="100"/>
      <c r="J120" s="100"/>
      <c r="K120" s="100"/>
      <c r="L120" s="100"/>
      <c r="M120" s="100"/>
      <c r="N120" s="87"/>
      <c r="O120" s="87"/>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2:39">
      <c r="B121" s="100"/>
      <c r="C121" s="100"/>
      <c r="D121" s="100"/>
      <c r="E121" s="100"/>
      <c r="F121" s="100"/>
      <c r="G121" s="100"/>
      <c r="H121" s="100"/>
      <c r="I121" s="100"/>
      <c r="J121" s="100"/>
      <c r="K121" s="100"/>
      <c r="L121" s="100"/>
      <c r="M121" s="100"/>
      <c r="N121" s="87"/>
      <c r="O121" s="87"/>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2:39">
      <c r="B122" s="100"/>
      <c r="C122" s="100"/>
      <c r="D122" s="100"/>
      <c r="E122" s="100"/>
      <c r="F122" s="100"/>
      <c r="G122" s="100"/>
      <c r="H122" s="100"/>
      <c r="I122" s="100"/>
      <c r="J122" s="100"/>
      <c r="K122" s="100"/>
      <c r="L122" s="100"/>
      <c r="M122" s="100"/>
      <c r="N122" s="87"/>
      <c r="O122" s="87"/>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2:39">
      <c r="B123" s="100"/>
      <c r="C123" s="100"/>
      <c r="D123" s="100"/>
      <c r="E123" s="100"/>
      <c r="F123" s="100"/>
      <c r="G123" s="100"/>
      <c r="H123" s="100"/>
      <c r="I123" s="100"/>
      <c r="J123" s="100"/>
      <c r="K123" s="100"/>
      <c r="L123" s="100"/>
      <c r="M123" s="100"/>
      <c r="N123" s="87"/>
      <c r="O123" s="87"/>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2:39">
      <c r="B124" s="100"/>
      <c r="C124" s="100"/>
      <c r="D124" s="100"/>
      <c r="E124" s="100"/>
      <c r="F124" s="100"/>
      <c r="G124" s="100"/>
      <c r="H124" s="100"/>
      <c r="I124" s="100"/>
      <c r="J124" s="100"/>
      <c r="K124" s="100"/>
      <c r="L124" s="100"/>
      <c r="M124" s="100"/>
      <c r="N124" s="87"/>
      <c r="O124" s="87"/>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2:39">
      <c r="B125" s="100"/>
      <c r="C125" s="100"/>
      <c r="D125" s="100"/>
      <c r="E125" s="100"/>
      <c r="F125" s="100"/>
      <c r="G125" s="100"/>
      <c r="H125" s="100"/>
      <c r="I125" s="100"/>
      <c r="J125" s="100"/>
      <c r="K125" s="100"/>
      <c r="L125" s="100"/>
      <c r="M125" s="100"/>
      <c r="N125" s="87"/>
      <c r="O125" s="87"/>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2:39">
      <c r="B126" s="100"/>
      <c r="C126" s="100"/>
      <c r="D126" s="100"/>
      <c r="E126" s="100"/>
      <c r="F126" s="100"/>
      <c r="G126" s="100"/>
      <c r="H126" s="100"/>
      <c r="I126" s="100"/>
      <c r="J126" s="100"/>
      <c r="K126" s="100"/>
      <c r="L126" s="100"/>
      <c r="M126" s="100"/>
      <c r="N126" s="87"/>
      <c r="O126" s="87"/>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2:39">
      <c r="B127" s="100"/>
      <c r="C127" s="100"/>
      <c r="D127" s="100"/>
      <c r="E127" s="100"/>
      <c r="F127" s="100"/>
      <c r="G127" s="100"/>
      <c r="H127" s="100"/>
      <c r="I127" s="100"/>
      <c r="J127" s="100"/>
      <c r="K127" s="100"/>
      <c r="L127" s="100"/>
      <c r="M127" s="100"/>
      <c r="N127" s="87"/>
      <c r="O127" s="87"/>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2:39">
      <c r="B128" s="100"/>
      <c r="C128" s="100"/>
      <c r="D128" s="100"/>
      <c r="E128" s="100"/>
      <c r="F128" s="100"/>
      <c r="G128" s="100"/>
      <c r="H128" s="100"/>
      <c r="I128" s="100"/>
      <c r="J128" s="100"/>
      <c r="K128" s="100"/>
      <c r="L128" s="100"/>
      <c r="M128" s="100"/>
      <c r="N128" s="87"/>
      <c r="O128" s="87"/>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2:39">
      <c r="B129" s="100"/>
      <c r="C129" s="100"/>
      <c r="D129" s="100"/>
      <c r="E129" s="100"/>
      <c r="F129" s="100"/>
      <c r="G129" s="100"/>
      <c r="H129" s="100"/>
      <c r="I129" s="100"/>
      <c r="J129" s="100"/>
      <c r="K129" s="100"/>
      <c r="L129" s="100"/>
      <c r="M129" s="100"/>
      <c r="N129" s="87"/>
      <c r="O129" s="87"/>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2:39">
      <c r="B130" s="100"/>
      <c r="C130" s="100"/>
      <c r="D130" s="100"/>
      <c r="E130" s="100"/>
      <c r="F130" s="100"/>
      <c r="G130" s="100"/>
      <c r="H130" s="100"/>
      <c r="I130" s="100"/>
      <c r="J130" s="100"/>
      <c r="K130" s="100"/>
      <c r="L130" s="100"/>
      <c r="M130" s="100"/>
      <c r="N130" s="87"/>
      <c r="O130" s="87"/>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2:39">
      <c r="B131" s="100"/>
      <c r="C131" s="100"/>
      <c r="D131" s="100"/>
      <c r="E131" s="100"/>
      <c r="F131" s="100"/>
      <c r="G131" s="100"/>
      <c r="H131" s="100"/>
      <c r="I131" s="100"/>
      <c r="J131" s="100"/>
      <c r="K131" s="100"/>
      <c r="L131" s="100"/>
      <c r="M131" s="100"/>
      <c r="N131" s="87"/>
      <c r="O131" s="87"/>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2:39">
      <c r="B132" s="100"/>
      <c r="C132" s="100"/>
      <c r="D132" s="100"/>
      <c r="E132" s="100"/>
      <c r="F132" s="100"/>
      <c r="G132" s="100"/>
      <c r="H132" s="100"/>
      <c r="I132" s="100"/>
      <c r="J132" s="100"/>
      <c r="K132" s="100"/>
      <c r="L132" s="100"/>
      <c r="M132" s="100"/>
      <c r="N132" s="87"/>
      <c r="O132" s="87"/>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2:39">
      <c r="B133" s="100"/>
      <c r="C133" s="100"/>
      <c r="D133" s="100"/>
      <c r="E133" s="100"/>
      <c r="F133" s="100"/>
      <c r="G133" s="100"/>
      <c r="H133" s="100"/>
      <c r="I133" s="100"/>
      <c r="J133" s="100"/>
      <c r="K133" s="100"/>
      <c r="L133" s="100"/>
      <c r="M133" s="100"/>
      <c r="N133" s="87"/>
      <c r="O133" s="87"/>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2:39">
      <c r="B134" s="100"/>
      <c r="C134" s="100"/>
      <c r="D134" s="100"/>
      <c r="E134" s="100"/>
      <c r="F134" s="100"/>
      <c r="G134" s="100"/>
      <c r="H134" s="100"/>
      <c r="I134" s="100"/>
      <c r="J134" s="100"/>
      <c r="K134" s="100"/>
      <c r="L134" s="100"/>
      <c r="M134" s="100"/>
      <c r="N134" s="87"/>
      <c r="O134" s="87"/>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2:39">
      <c r="B135" s="100"/>
      <c r="C135" s="100"/>
      <c r="D135" s="100"/>
      <c r="E135" s="100"/>
      <c r="F135" s="100"/>
      <c r="G135" s="100"/>
      <c r="H135" s="100"/>
      <c r="I135" s="100"/>
      <c r="J135" s="100"/>
      <c r="K135" s="100"/>
      <c r="L135" s="100"/>
      <c r="M135" s="100"/>
      <c r="N135" s="87"/>
      <c r="O135" s="87"/>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2:39">
      <c r="B136" s="100"/>
      <c r="C136" s="100"/>
      <c r="D136" s="100"/>
      <c r="E136" s="100"/>
      <c r="F136" s="100"/>
      <c r="G136" s="100"/>
      <c r="H136" s="100"/>
      <c r="I136" s="100"/>
      <c r="J136" s="100"/>
      <c r="K136" s="100"/>
      <c r="L136" s="100"/>
      <c r="M136" s="100"/>
      <c r="N136" s="87"/>
      <c r="O136" s="87"/>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2:39">
      <c r="B137" s="100"/>
      <c r="C137" s="100"/>
      <c r="D137" s="100"/>
      <c r="E137" s="100"/>
      <c r="F137" s="100"/>
      <c r="G137" s="100"/>
      <c r="H137" s="100"/>
      <c r="I137" s="100"/>
      <c r="J137" s="100"/>
      <c r="K137" s="100"/>
      <c r="L137" s="100"/>
      <c r="M137" s="100"/>
      <c r="N137" s="87"/>
      <c r="O137" s="87"/>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2:39">
      <c r="B138" s="100"/>
      <c r="C138" s="100"/>
      <c r="D138" s="100"/>
      <c r="E138" s="100"/>
      <c r="F138" s="100"/>
      <c r="G138" s="100"/>
      <c r="H138" s="100"/>
      <c r="I138" s="100"/>
      <c r="J138" s="100"/>
      <c r="K138" s="100"/>
      <c r="L138" s="100"/>
      <c r="M138" s="100"/>
      <c r="N138" s="87"/>
      <c r="O138" s="87"/>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2:39">
      <c r="B139" s="100"/>
      <c r="C139" s="100"/>
      <c r="D139" s="100"/>
      <c r="E139" s="100"/>
      <c r="F139" s="100"/>
      <c r="G139" s="100"/>
      <c r="H139" s="100"/>
      <c r="I139" s="100"/>
      <c r="J139" s="100"/>
      <c r="K139" s="100"/>
      <c r="L139" s="100"/>
      <c r="M139" s="100"/>
      <c r="N139" s="87"/>
      <c r="O139" s="87"/>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2:39">
      <c r="B140" s="100"/>
      <c r="C140" s="100"/>
      <c r="D140" s="100"/>
      <c r="E140" s="100"/>
      <c r="F140" s="100"/>
      <c r="G140" s="100"/>
      <c r="H140" s="100"/>
      <c r="I140" s="100"/>
      <c r="J140" s="100"/>
      <c r="K140" s="100"/>
      <c r="L140" s="100"/>
      <c r="M140" s="100"/>
      <c r="N140" s="87"/>
      <c r="O140" s="87"/>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2:39">
      <c r="B141" s="100"/>
      <c r="C141" s="100"/>
      <c r="D141" s="100"/>
      <c r="E141" s="100"/>
      <c r="F141" s="100"/>
      <c r="G141" s="100"/>
      <c r="H141" s="100"/>
      <c r="I141" s="100"/>
      <c r="J141" s="100"/>
      <c r="K141" s="100"/>
      <c r="L141" s="100"/>
      <c r="M141" s="100"/>
      <c r="N141" s="87"/>
      <c r="O141" s="87"/>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2:39">
      <c r="B142" s="100"/>
      <c r="C142" s="100"/>
      <c r="D142" s="100"/>
      <c r="E142" s="100"/>
      <c r="F142" s="100"/>
      <c r="G142" s="100"/>
      <c r="H142" s="100"/>
      <c r="I142" s="100"/>
      <c r="J142" s="100"/>
      <c r="K142" s="100"/>
      <c r="L142" s="100"/>
      <c r="M142" s="100"/>
      <c r="N142" s="87"/>
      <c r="O142" s="87"/>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2:39">
      <c r="B143" s="100"/>
      <c r="C143" s="100"/>
      <c r="D143" s="100"/>
      <c r="E143" s="100"/>
      <c r="F143" s="100"/>
      <c r="G143" s="100"/>
      <c r="H143" s="100"/>
      <c r="I143" s="100"/>
      <c r="J143" s="100"/>
      <c r="K143" s="100"/>
      <c r="L143" s="100"/>
      <c r="M143" s="100"/>
      <c r="N143" s="87"/>
      <c r="O143" s="87"/>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2:39">
      <c r="B144" s="100"/>
      <c r="C144" s="100"/>
      <c r="D144" s="100"/>
      <c r="E144" s="100"/>
      <c r="F144" s="100"/>
      <c r="G144" s="100"/>
      <c r="H144" s="100"/>
      <c r="I144" s="100"/>
      <c r="J144" s="100"/>
      <c r="K144" s="100"/>
      <c r="L144" s="100"/>
      <c r="M144" s="100"/>
      <c r="N144" s="87"/>
      <c r="O144" s="87"/>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B145" s="100"/>
      <c r="C145" s="100"/>
      <c r="D145" s="100"/>
      <c r="E145" s="100"/>
      <c r="F145" s="100"/>
      <c r="G145" s="100"/>
      <c r="H145" s="100"/>
      <c r="I145" s="100"/>
      <c r="J145" s="100"/>
      <c r="K145" s="100"/>
      <c r="L145" s="100"/>
      <c r="M145" s="100"/>
      <c r="N145" s="87"/>
      <c r="O145" s="87"/>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B146" s="100"/>
      <c r="C146" s="100"/>
      <c r="D146" s="100"/>
      <c r="E146" s="100"/>
      <c r="F146" s="100"/>
      <c r="G146" s="100"/>
      <c r="H146" s="100"/>
      <c r="I146" s="100"/>
      <c r="J146" s="100"/>
      <c r="K146" s="100"/>
      <c r="L146" s="100"/>
      <c r="M146" s="100"/>
      <c r="N146" s="87"/>
      <c r="O146" s="87"/>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B147" s="100"/>
      <c r="C147" s="100"/>
      <c r="D147" s="100"/>
      <c r="E147" s="100"/>
      <c r="F147" s="100"/>
      <c r="G147" s="100"/>
      <c r="H147" s="100"/>
      <c r="I147" s="100"/>
      <c r="J147" s="100"/>
      <c r="K147" s="100"/>
      <c r="L147" s="100"/>
      <c r="M147" s="100"/>
      <c r="N147" s="87"/>
      <c r="O147" s="87"/>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B148" s="100"/>
      <c r="C148" s="100"/>
      <c r="D148" s="100"/>
      <c r="E148" s="100"/>
      <c r="F148" s="100"/>
      <c r="G148" s="100"/>
      <c r="H148" s="100"/>
      <c r="I148" s="100"/>
      <c r="J148" s="100"/>
      <c r="K148" s="100"/>
      <c r="L148" s="100"/>
      <c r="M148" s="100"/>
      <c r="N148" s="87"/>
      <c r="O148" s="87"/>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B149" s="100"/>
      <c r="C149" s="100"/>
      <c r="D149" s="100"/>
      <c r="E149" s="100"/>
      <c r="F149" s="100"/>
      <c r="G149" s="100"/>
      <c r="H149" s="100"/>
      <c r="I149" s="100"/>
      <c r="J149" s="100"/>
      <c r="K149" s="100"/>
      <c r="L149" s="100"/>
      <c r="M149" s="100"/>
      <c r="N149" s="87"/>
      <c r="O149" s="87"/>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87"/>
      <c r="C150" s="99"/>
      <c r="D150" s="87"/>
      <c r="E150" s="87"/>
      <c r="F150" s="87"/>
      <c r="G150" s="87"/>
      <c r="H150" s="87"/>
      <c r="I150" s="87"/>
      <c r="J150" s="87"/>
      <c r="K150" s="99"/>
      <c r="L150" s="87"/>
      <c r="M150" s="99"/>
      <c r="N150" s="87"/>
      <c r="O150" s="87"/>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t="s">
        <v>334</v>
      </c>
      <c r="B151" s="90"/>
      <c r="C151" s="101"/>
      <c r="D151" s="90"/>
      <c r="E151" s="90"/>
      <c r="F151" s="90"/>
      <c r="G151" s="90"/>
      <c r="H151" s="90"/>
      <c r="I151" s="90"/>
      <c r="J151" s="90"/>
      <c r="K151" s="101"/>
      <c r="L151" s="87"/>
      <c r="M151" s="101"/>
      <c r="N151" s="87"/>
      <c r="O151" s="87"/>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87"/>
      <c r="C152" s="99"/>
      <c r="D152" s="87"/>
      <c r="E152" s="87"/>
      <c r="F152" s="87"/>
      <c r="G152" s="87"/>
      <c r="H152" s="87"/>
      <c r="I152" s="87"/>
      <c r="J152" s="87"/>
      <c r="K152" s="99"/>
      <c r="L152" s="87"/>
      <c r="M152" s="99"/>
      <c r="N152" s="87"/>
      <c r="O152" s="87"/>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t="s">
        <v>335</v>
      </c>
      <c r="B153" s="90"/>
      <c r="C153" s="101"/>
      <c r="D153" s="90"/>
      <c r="E153" s="90"/>
      <c r="F153" s="90"/>
      <c r="G153" s="90"/>
      <c r="H153" s="90"/>
      <c r="I153" s="90"/>
      <c r="J153" s="90"/>
      <c r="K153" s="101"/>
      <c r="L153" s="87"/>
      <c r="M153" s="101"/>
      <c r="N153" s="87"/>
      <c r="O153" s="87"/>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87"/>
      <c r="C154" s="99"/>
      <c r="D154" s="87"/>
      <c r="E154" s="87"/>
      <c r="F154" s="87"/>
      <c r="G154" s="87"/>
      <c r="H154" s="87"/>
      <c r="I154" s="87"/>
      <c r="J154" s="87"/>
      <c r="K154" s="99"/>
      <c r="L154" s="87"/>
      <c r="M154" s="99"/>
      <c r="N154" s="87"/>
      <c r="O154" s="87"/>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t="s">
        <v>336</v>
      </c>
      <c r="B155" s="90"/>
      <c r="C155" s="101"/>
      <c r="D155" s="90"/>
      <c r="E155" s="90"/>
      <c r="F155" s="90"/>
      <c r="G155" s="90"/>
      <c r="H155" s="90"/>
      <c r="I155" s="90"/>
      <c r="J155" s="90"/>
      <c r="K155" s="101"/>
      <c r="L155" s="87"/>
      <c r="M155" s="101"/>
      <c r="N155" s="87"/>
      <c r="O155" s="87"/>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t="s">
        <v>337</v>
      </c>
      <c r="B156" s="87"/>
      <c r="C156" s="99"/>
      <c r="D156" s="87"/>
      <c r="E156" s="87"/>
      <c r="F156" s="87"/>
      <c r="G156" s="87"/>
      <c r="H156" s="87"/>
      <c r="I156" s="87"/>
      <c r="J156" s="87"/>
      <c r="K156" s="99"/>
      <c r="L156" s="87"/>
      <c r="M156" s="99"/>
      <c r="N156" s="87"/>
      <c r="O156" s="87"/>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t="s">
        <v>338</v>
      </c>
      <c r="B157" s="87"/>
      <c r="C157" s="99"/>
      <c r="D157" s="87"/>
      <c r="E157" s="87"/>
      <c r="F157" s="87"/>
      <c r="G157" s="87"/>
      <c r="H157" s="87"/>
      <c r="I157" s="87"/>
      <c r="J157" s="87"/>
      <c r="K157" s="99"/>
      <c r="L157" s="87"/>
      <c r="M157" s="99"/>
      <c r="N157" s="87"/>
      <c r="O157" s="87"/>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t="s">
        <v>279</v>
      </c>
      <c r="B158" s="87"/>
      <c r="C158" s="99"/>
      <c r="D158" s="87"/>
      <c r="E158" s="87"/>
      <c r="F158" s="87"/>
      <c r="G158" s="87"/>
      <c r="H158" s="87"/>
      <c r="I158" s="87"/>
      <c r="J158" s="87"/>
      <c r="K158" s="99"/>
      <c r="L158" s="87"/>
      <c r="M158" s="99"/>
      <c r="N158" s="87"/>
      <c r="O158" s="87"/>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t="s">
        <v>339</v>
      </c>
      <c r="B159" s="87"/>
      <c r="C159" s="99"/>
      <c r="D159" s="87"/>
      <c r="E159" s="87"/>
      <c r="F159" s="87"/>
      <c r="G159" s="87"/>
      <c r="H159" s="87"/>
      <c r="I159" s="87"/>
      <c r="J159" s="87"/>
      <c r="K159" s="99"/>
      <c r="L159" s="87"/>
      <c r="M159" s="99"/>
      <c r="N159" s="87"/>
      <c r="O159" s="87"/>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t="s">
        <v>340</v>
      </c>
      <c r="B160" s="87"/>
      <c r="C160" s="99"/>
      <c r="D160" s="87"/>
      <c r="E160" s="87"/>
      <c r="F160" s="87"/>
      <c r="G160" s="87"/>
      <c r="H160" s="87"/>
      <c r="I160" s="87"/>
      <c r="J160" s="87"/>
      <c r="K160" s="99"/>
      <c r="L160" s="87"/>
      <c r="M160" s="99"/>
      <c r="N160" s="87"/>
      <c r="O160" s="87"/>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87"/>
      <c r="C161" s="99"/>
      <c r="D161" s="87"/>
      <c r="E161" s="87"/>
      <c r="F161" s="87"/>
      <c r="G161" s="87"/>
      <c r="H161" s="87"/>
      <c r="I161" s="87"/>
      <c r="J161" s="87"/>
      <c r="K161" s="99"/>
      <c r="L161" s="87"/>
      <c r="M161" s="99"/>
      <c r="N161" s="87"/>
      <c r="O161" s="87"/>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t="s">
        <v>341</v>
      </c>
      <c r="B162" s="90"/>
      <c r="C162" s="101"/>
      <c r="D162" s="90"/>
      <c r="E162" s="90"/>
      <c r="F162" s="90"/>
      <c r="G162" s="90"/>
      <c r="H162" s="90"/>
      <c r="I162" s="90"/>
      <c r="J162" s="90"/>
      <c r="K162" s="101"/>
      <c r="L162" s="87"/>
      <c r="M162" s="101"/>
      <c r="N162" s="87"/>
      <c r="O162" s="87"/>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t="s">
        <v>342</v>
      </c>
      <c r="B163" s="87"/>
      <c r="C163" s="99"/>
      <c r="D163" s="87"/>
      <c r="E163" s="87"/>
      <c r="F163" s="87"/>
      <c r="G163" s="87"/>
      <c r="H163" s="87"/>
      <c r="I163" s="87"/>
      <c r="J163" s="87"/>
      <c r="K163" s="99"/>
      <c r="L163" s="87"/>
      <c r="M163" s="99"/>
      <c r="N163" s="87"/>
      <c r="O163" s="87"/>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t="s">
        <v>343</v>
      </c>
      <c r="B164" s="87"/>
      <c r="C164" s="99"/>
      <c r="D164" s="87"/>
      <c r="E164" s="87"/>
      <c r="F164" s="87"/>
      <c r="G164" s="87"/>
      <c r="H164" s="87"/>
      <c r="I164" s="87"/>
      <c r="J164" s="87"/>
      <c r="K164" s="99"/>
      <c r="L164" s="87"/>
      <c r="M164" s="99"/>
      <c r="N164" s="87"/>
      <c r="O164" s="87"/>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87"/>
      <c r="C165" s="99"/>
      <c r="D165" s="87"/>
      <c r="E165" s="87"/>
      <c r="F165" s="87"/>
      <c r="G165" s="87"/>
      <c r="H165" s="87"/>
      <c r="I165" s="87"/>
      <c r="J165" s="87"/>
      <c r="K165" s="99"/>
      <c r="L165" s="87"/>
      <c r="M165" s="99"/>
      <c r="N165" s="87"/>
      <c r="O165" s="87"/>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t="s">
        <v>344</v>
      </c>
      <c r="B166" s="90">
        <f>+B117+B121+B123+B125+B140+B149+B151+B153+B155+B162</f>
        <v>0</v>
      </c>
      <c r="C166" s="101">
        <f>+C117+C121+C123+C125+C140+C149+C151+C153+C155+C162</f>
        <v>0</v>
      </c>
      <c r="D166" s="90">
        <f>+D117+D121+D123+D125+D140+D149+D151+D153+D155+D162</f>
        <v>0</v>
      </c>
      <c r="E166" s="90"/>
      <c r="F166" s="90"/>
      <c r="G166" s="90"/>
      <c r="H166" s="90"/>
      <c r="I166" s="90"/>
      <c r="J166" s="90">
        <f>+J117+J121+J123+J125+J140+J149+J151+J153+J155+J162</f>
        <v>0</v>
      </c>
      <c r="K166" s="101">
        <f>+K117+K121+K123+K125+K140+K149+K151+K153+K155+K162</f>
        <v>0</v>
      </c>
      <c r="L166" s="87"/>
      <c r="M166" s="101">
        <f>+M117+M121+M123+M125+M140+M149+M151+M153+M155+M162</f>
        <v>0</v>
      </c>
      <c r="N166" s="87"/>
      <c r="O166" s="87"/>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87"/>
      <c r="C167" s="99"/>
      <c r="D167" s="87"/>
      <c r="E167" s="87"/>
      <c r="F167" s="87"/>
      <c r="G167" s="87"/>
      <c r="H167" s="87"/>
      <c r="I167" s="87"/>
      <c r="J167" s="87"/>
      <c r="K167" s="99"/>
      <c r="L167" s="87"/>
      <c r="M167" s="99"/>
      <c r="N167" s="87"/>
      <c r="O167" s="87"/>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87"/>
      <c r="C168" s="99"/>
      <c r="D168" s="87"/>
      <c r="E168" s="87"/>
      <c r="F168" s="87"/>
      <c r="G168" s="87"/>
      <c r="H168" s="87"/>
      <c r="I168" s="87"/>
      <c r="J168" s="87"/>
      <c r="K168" s="99"/>
      <c r="L168" s="87"/>
      <c r="M168" s="99"/>
      <c r="N168" s="87"/>
      <c r="O168" s="87"/>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87"/>
      <c r="C169" s="99"/>
      <c r="D169" s="87"/>
      <c r="E169" s="87"/>
      <c r="F169" s="87"/>
      <c r="G169" s="87"/>
      <c r="H169" s="87"/>
      <c r="I169" s="87"/>
      <c r="J169" s="87"/>
      <c r="K169" s="99"/>
      <c r="L169" s="87"/>
      <c r="M169" s="99"/>
      <c r="N169" s="87"/>
      <c r="O169" s="87"/>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87"/>
      <c r="C170" s="99"/>
      <c r="D170" s="87"/>
      <c r="E170" s="87"/>
      <c r="F170" s="87"/>
      <c r="G170" s="87"/>
      <c r="H170" s="87"/>
      <c r="I170" s="87"/>
      <c r="J170" s="87"/>
      <c r="K170" s="99"/>
      <c r="L170" s="87"/>
      <c r="M170" s="99"/>
      <c r="N170" s="87"/>
      <c r="O170" s="87"/>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row r="171" spans="1:39">
      <c r="A171" s="10"/>
      <c r="B171" s="87"/>
      <c r="C171" s="99"/>
      <c r="D171" s="87"/>
      <c r="E171" s="87"/>
      <c r="F171" s="87"/>
      <c r="G171" s="87"/>
      <c r="H171" s="87"/>
      <c r="I171" s="87"/>
      <c r="J171" s="87"/>
      <c r="K171" s="99"/>
      <c r="L171" s="87"/>
      <c r="M171" s="99"/>
      <c r="N171" s="87"/>
      <c r="O171" s="87"/>
      <c r="P171" s="64"/>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row>
    <row r="172" spans="1:39">
      <c r="A172" s="10"/>
      <c r="B172" s="87"/>
      <c r="C172" s="99"/>
      <c r="D172" s="87"/>
      <c r="E172" s="87"/>
      <c r="F172" s="87"/>
      <c r="G172" s="87"/>
      <c r="H172" s="87"/>
      <c r="I172" s="87"/>
      <c r="J172" s="87"/>
      <c r="K172" s="99"/>
      <c r="L172" s="87"/>
      <c r="M172" s="99"/>
      <c r="N172" s="87"/>
      <c r="O172" s="87"/>
      <c r="P172" s="64"/>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row>
    <row r="173" spans="1:39">
      <c r="A173" s="10"/>
      <c r="B173" s="87"/>
      <c r="C173" s="99"/>
      <c r="D173" s="87"/>
      <c r="E173" s="87"/>
      <c r="F173" s="87"/>
      <c r="G173" s="87"/>
      <c r="H173" s="87"/>
      <c r="I173" s="87"/>
      <c r="J173" s="87"/>
      <c r="K173" s="99"/>
      <c r="L173" s="87"/>
      <c r="M173" s="99"/>
      <c r="N173" s="87"/>
      <c r="O173" s="87"/>
      <c r="P173" s="64"/>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row>
    <row r="174" spans="1:39">
      <c r="A174" s="10"/>
      <c r="B174" s="87"/>
      <c r="C174" s="99"/>
      <c r="D174" s="87"/>
      <c r="E174" s="87"/>
      <c r="F174" s="87"/>
      <c r="G174" s="87"/>
      <c r="H174" s="87"/>
      <c r="I174" s="87"/>
      <c r="J174" s="87"/>
      <c r="K174" s="99"/>
      <c r="L174" s="87"/>
      <c r="M174" s="99"/>
      <c r="N174" s="87"/>
      <c r="O174" s="87"/>
      <c r="P174" s="64"/>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row>
    <row r="175" spans="1:39">
      <c r="A175" s="10"/>
      <c r="B175" s="87"/>
      <c r="C175" s="99"/>
      <c r="D175" s="87"/>
      <c r="E175" s="87"/>
      <c r="F175" s="87"/>
      <c r="G175" s="87"/>
      <c r="H175" s="87"/>
      <c r="I175" s="87"/>
      <c r="J175" s="87"/>
      <c r="K175" s="99"/>
      <c r="L175" s="87"/>
      <c r="M175" s="99"/>
      <c r="N175" s="87"/>
      <c r="O175" s="87"/>
      <c r="P175" s="64"/>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row>
    <row r="176" spans="1:39">
      <c r="A176" s="10"/>
      <c r="B176" s="87"/>
      <c r="C176" s="99"/>
      <c r="D176" s="87"/>
      <c r="E176" s="87"/>
      <c r="F176" s="87"/>
      <c r="G176" s="87"/>
      <c r="H176" s="87"/>
      <c r="I176" s="87"/>
      <c r="J176" s="87"/>
      <c r="K176" s="99"/>
      <c r="L176" s="87"/>
      <c r="M176" s="99"/>
      <c r="N176" s="87"/>
      <c r="O176" s="87"/>
      <c r="P176" s="64"/>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row>
    <row r="177" spans="1:39">
      <c r="A177" s="10"/>
      <c r="B177" s="87"/>
      <c r="C177" s="99"/>
      <c r="D177" s="87"/>
      <c r="E177" s="87"/>
      <c r="F177" s="87"/>
      <c r="G177" s="87"/>
      <c r="H177" s="87"/>
      <c r="I177" s="87"/>
      <c r="J177" s="87"/>
      <c r="K177" s="99"/>
      <c r="L177" s="87"/>
      <c r="M177" s="99"/>
      <c r="N177" s="87"/>
      <c r="O177" s="87"/>
      <c r="P177" s="64"/>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row>
    <row r="178" spans="1:39">
      <c r="A178" s="10"/>
      <c r="B178" s="87"/>
      <c r="C178" s="99"/>
      <c r="D178" s="87"/>
      <c r="E178" s="87"/>
      <c r="F178" s="87"/>
      <c r="G178" s="87"/>
      <c r="H178" s="87"/>
      <c r="I178" s="87"/>
      <c r="J178" s="87"/>
      <c r="K178" s="99"/>
      <c r="L178" s="87"/>
      <c r="M178" s="99"/>
      <c r="N178" s="87"/>
      <c r="O178" s="87"/>
      <c r="P178" s="64"/>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row>
    <row r="179" spans="1:39">
      <c r="A179" s="10"/>
      <c r="B179" s="87"/>
      <c r="C179" s="99"/>
      <c r="D179" s="87"/>
      <c r="E179" s="87"/>
      <c r="F179" s="87"/>
      <c r="G179" s="87"/>
      <c r="H179" s="87"/>
      <c r="I179" s="87"/>
      <c r="J179" s="87"/>
      <c r="K179" s="99"/>
      <c r="L179" s="87"/>
      <c r="M179" s="99"/>
      <c r="N179" s="87"/>
      <c r="O179" s="87"/>
      <c r="P179" s="64"/>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row>
    <row r="180" spans="1:39">
      <c r="A180" s="10"/>
      <c r="B180" s="87"/>
      <c r="C180" s="99"/>
      <c r="D180" s="87"/>
      <c r="E180" s="87"/>
      <c r="F180" s="87"/>
      <c r="G180" s="87"/>
      <c r="H180" s="87"/>
      <c r="I180" s="87"/>
      <c r="J180" s="87"/>
      <c r="K180" s="99"/>
      <c r="L180" s="87"/>
      <c r="M180" s="99"/>
      <c r="N180" s="87"/>
      <c r="O180" s="87"/>
      <c r="P180" s="64"/>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row>
    <row r="181" spans="1:39">
      <c r="A181" s="10"/>
      <c r="B181" s="87"/>
      <c r="C181" s="99"/>
      <c r="D181" s="87"/>
      <c r="E181" s="87"/>
      <c r="F181" s="87"/>
      <c r="G181" s="87"/>
      <c r="H181" s="87"/>
      <c r="I181" s="87"/>
      <c r="J181" s="87"/>
      <c r="K181" s="99"/>
      <c r="L181" s="87"/>
      <c r="M181" s="99"/>
      <c r="N181" s="87"/>
      <c r="O181" s="87"/>
      <c r="P181" s="64"/>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row>
    <row r="182" spans="1:39">
      <c r="A182" s="10"/>
      <c r="B182" s="87"/>
      <c r="C182" s="99"/>
      <c r="D182" s="87"/>
      <c r="E182" s="87"/>
      <c r="F182" s="87"/>
      <c r="G182" s="87"/>
      <c r="H182" s="87"/>
      <c r="I182" s="87"/>
      <c r="J182" s="87"/>
      <c r="K182" s="99"/>
      <c r="L182" s="87"/>
      <c r="M182" s="99"/>
      <c r="N182" s="87"/>
      <c r="O182" s="87"/>
      <c r="P182" s="64"/>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row>
    <row r="183" spans="1:39">
      <c r="A183" s="10"/>
      <c r="B183" s="87"/>
      <c r="C183" s="99"/>
      <c r="D183" s="87"/>
      <c r="E183" s="87"/>
      <c r="F183" s="87"/>
      <c r="G183" s="87"/>
      <c r="H183" s="87"/>
      <c r="I183" s="87"/>
      <c r="J183" s="87"/>
      <c r="K183" s="99"/>
      <c r="L183" s="87"/>
      <c r="M183" s="99"/>
      <c r="N183" s="87"/>
      <c r="O183" s="87"/>
      <c r="P183" s="64"/>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row>
    <row r="184" spans="1:39">
      <c r="A184" s="10"/>
      <c r="B184" s="87"/>
      <c r="C184" s="99"/>
      <c r="D184" s="87"/>
      <c r="E184" s="87"/>
      <c r="F184" s="87"/>
      <c r="G184" s="87"/>
      <c r="H184" s="87"/>
      <c r="I184" s="87"/>
      <c r="J184" s="87"/>
      <c r="K184" s="99"/>
      <c r="L184" s="87"/>
      <c r="M184" s="99"/>
      <c r="N184" s="87"/>
      <c r="O184" s="87"/>
      <c r="P184" s="64"/>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row>
    <row r="185" spans="1:39">
      <c r="A185" s="10"/>
      <c r="B185" s="87"/>
      <c r="C185" s="99"/>
      <c r="D185" s="87"/>
      <c r="E185" s="87"/>
      <c r="F185" s="87"/>
      <c r="G185" s="87"/>
      <c r="H185" s="87"/>
      <c r="I185" s="87"/>
      <c r="J185" s="87"/>
      <c r="K185" s="99"/>
      <c r="L185" s="87"/>
      <c r="M185" s="99"/>
      <c r="N185" s="87"/>
      <c r="O185" s="87"/>
      <c r="P185" s="64"/>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row>
    <row r="186" spans="1:39">
      <c r="A186" s="10"/>
      <c r="B186" s="87"/>
      <c r="C186" s="99"/>
      <c r="D186" s="87"/>
      <c r="E186" s="87"/>
      <c r="F186" s="87"/>
      <c r="G186" s="87"/>
      <c r="H186" s="87"/>
      <c r="I186" s="87"/>
      <c r="J186" s="87"/>
      <c r="K186" s="99"/>
      <c r="L186" s="87"/>
      <c r="M186" s="99"/>
      <c r="N186" s="87"/>
      <c r="O186" s="87"/>
      <c r="P186" s="64"/>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row>
    <row r="187" spans="1:39">
      <c r="A187" s="10"/>
      <c r="B187" s="87"/>
      <c r="C187" s="99"/>
      <c r="D187" s="87"/>
      <c r="E187" s="87"/>
      <c r="F187" s="87"/>
      <c r="G187" s="87"/>
      <c r="H187" s="87"/>
      <c r="I187" s="87"/>
      <c r="J187" s="87"/>
      <c r="K187" s="99"/>
      <c r="L187" s="87"/>
      <c r="M187" s="99"/>
      <c r="N187" s="87"/>
      <c r="O187" s="87"/>
      <c r="P187" s="64"/>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row>
    <row r="188" spans="1:39">
      <c r="A188" s="10"/>
      <c r="B188" s="87"/>
      <c r="C188" s="99"/>
      <c r="D188" s="87"/>
      <c r="E188" s="87"/>
      <c r="F188" s="87"/>
      <c r="G188" s="87"/>
      <c r="H188" s="87"/>
      <c r="I188" s="87"/>
      <c r="J188" s="87"/>
      <c r="K188" s="99"/>
      <c r="L188" s="87"/>
      <c r="M188" s="99"/>
      <c r="N188" s="87"/>
      <c r="O188" s="87"/>
      <c r="P188" s="64"/>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row>
    <row r="189" spans="1:39">
      <c r="A189" s="10"/>
      <c r="B189" s="87"/>
      <c r="C189" s="99"/>
      <c r="D189" s="87"/>
      <c r="E189" s="87"/>
      <c r="F189" s="87"/>
      <c r="G189" s="87"/>
      <c r="H189" s="87"/>
      <c r="I189" s="87"/>
      <c r="J189" s="87"/>
      <c r="K189" s="99"/>
      <c r="L189" s="87"/>
      <c r="M189" s="99"/>
      <c r="N189" s="87"/>
      <c r="O189" s="87"/>
      <c r="P189" s="64"/>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row>
    <row r="190" spans="1:39">
      <c r="A190" s="10"/>
      <c r="B190" s="87"/>
      <c r="C190" s="99"/>
      <c r="D190" s="87"/>
      <c r="E190" s="87"/>
      <c r="F190" s="87"/>
      <c r="G190" s="87"/>
      <c r="H190" s="87"/>
      <c r="I190" s="87"/>
      <c r="J190" s="87"/>
      <c r="K190" s="99"/>
      <c r="L190" s="87"/>
      <c r="M190" s="99"/>
      <c r="N190" s="87"/>
      <c r="O190" s="87"/>
      <c r="P190" s="64"/>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row>
    <row r="191" spans="1:39">
      <c r="A191" s="10"/>
      <c r="B191" s="87"/>
      <c r="C191" s="99"/>
      <c r="D191" s="87"/>
      <c r="E191" s="87"/>
      <c r="F191" s="87"/>
      <c r="G191" s="87"/>
      <c r="H191" s="87"/>
      <c r="I191" s="87"/>
      <c r="J191" s="87"/>
      <c r="K191" s="99"/>
      <c r="L191" s="87"/>
      <c r="M191" s="99"/>
      <c r="N191" s="87"/>
      <c r="O191" s="87"/>
      <c r="P191" s="64"/>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row>
    <row r="192" spans="1:39">
      <c r="A192" s="10"/>
      <c r="B192" s="87"/>
      <c r="C192" s="99"/>
      <c r="D192" s="87"/>
      <c r="E192" s="87"/>
      <c r="F192" s="87"/>
      <c r="G192" s="87"/>
      <c r="H192" s="87"/>
      <c r="I192" s="87"/>
      <c r="J192" s="87"/>
      <c r="K192" s="99"/>
      <c r="L192" s="87"/>
      <c r="M192" s="99"/>
      <c r="N192" s="87"/>
      <c r="O192" s="87"/>
      <c r="P192" s="64"/>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row>
    <row r="193" spans="1:39">
      <c r="A193" s="10"/>
      <c r="B193" s="87"/>
      <c r="C193" s="99"/>
      <c r="D193" s="87"/>
      <c r="E193" s="87"/>
      <c r="F193" s="87"/>
      <c r="G193" s="87"/>
      <c r="H193" s="87"/>
      <c r="I193" s="87"/>
      <c r="J193" s="87"/>
      <c r="K193" s="99"/>
      <c r="L193" s="87"/>
      <c r="M193" s="99"/>
      <c r="N193" s="87"/>
      <c r="O193" s="87"/>
      <c r="P193" s="64"/>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row>
    <row r="194" spans="1:39">
      <c r="A194" s="10"/>
      <c r="B194" s="87"/>
      <c r="C194" s="99"/>
      <c r="D194" s="87"/>
      <c r="E194" s="87"/>
      <c r="F194" s="87"/>
      <c r="G194" s="87"/>
      <c r="H194" s="87"/>
      <c r="I194" s="87"/>
      <c r="J194" s="87"/>
      <c r="K194" s="99"/>
      <c r="L194" s="87"/>
      <c r="M194" s="99"/>
      <c r="N194" s="87"/>
      <c r="O194" s="87"/>
      <c r="P194" s="64"/>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row>
    <row r="195" spans="1:39">
      <c r="A195" s="10"/>
      <c r="B195" s="87"/>
      <c r="C195" s="99"/>
      <c r="D195" s="87"/>
      <c r="E195" s="87"/>
      <c r="F195" s="87"/>
      <c r="G195" s="87"/>
      <c r="H195" s="87"/>
      <c r="I195" s="87"/>
      <c r="J195" s="87"/>
      <c r="K195" s="99"/>
      <c r="L195" s="87"/>
      <c r="M195" s="99"/>
      <c r="N195" s="87"/>
      <c r="O195" s="87"/>
      <c r="P195" s="64"/>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row>
    <row r="196" spans="1:39">
      <c r="A196" s="10"/>
      <c r="B196" s="87"/>
      <c r="C196" s="99"/>
      <c r="D196" s="87"/>
      <c r="E196" s="87"/>
      <c r="F196" s="87"/>
      <c r="G196" s="87"/>
      <c r="H196" s="87"/>
      <c r="I196" s="87"/>
      <c r="J196" s="87"/>
      <c r="K196" s="99"/>
      <c r="L196" s="87"/>
      <c r="M196" s="99"/>
      <c r="N196" s="87"/>
      <c r="O196" s="87"/>
      <c r="P196" s="64"/>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row>
    <row r="197" spans="1:39">
      <c r="A197" s="10"/>
      <c r="B197" s="87"/>
      <c r="C197" s="99"/>
      <c r="D197" s="87"/>
      <c r="E197" s="87"/>
      <c r="F197" s="87"/>
      <c r="G197" s="87"/>
      <c r="H197" s="87"/>
      <c r="I197" s="87"/>
      <c r="J197" s="87"/>
      <c r="K197" s="99"/>
      <c r="L197" s="87"/>
      <c r="M197" s="99"/>
      <c r="N197" s="87"/>
      <c r="O197" s="87"/>
      <c r="P197" s="64"/>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row>
    <row r="198" spans="1:39">
      <c r="A198" s="10"/>
      <c r="B198" s="87"/>
      <c r="C198" s="99"/>
      <c r="D198" s="87"/>
      <c r="E198" s="87"/>
      <c r="F198" s="87"/>
      <c r="G198" s="87"/>
      <c r="H198" s="87"/>
      <c r="I198" s="87"/>
      <c r="J198" s="87"/>
      <c r="K198" s="99"/>
      <c r="L198" s="87"/>
      <c r="M198" s="99"/>
      <c r="N198" s="87"/>
      <c r="O198" s="87"/>
      <c r="P198" s="64"/>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row>
    <row r="199" spans="1:39">
      <c r="B199" s="87"/>
      <c r="C199" s="99"/>
      <c r="D199" s="87"/>
      <c r="E199" s="87"/>
      <c r="F199" s="87"/>
      <c r="G199" s="87"/>
      <c r="H199" s="87"/>
      <c r="I199" s="87"/>
      <c r="J199" s="87"/>
      <c r="K199" s="99"/>
      <c r="L199" s="87"/>
      <c r="M199" s="99"/>
      <c r="N199" s="87"/>
      <c r="O199" s="87"/>
    </row>
    <row r="200" spans="1:39">
      <c r="B200" s="87"/>
      <c r="C200" s="99"/>
      <c r="D200" s="87"/>
      <c r="E200" s="87"/>
      <c r="F200" s="87"/>
      <c r="G200" s="87"/>
      <c r="H200" s="87"/>
      <c r="I200" s="87"/>
      <c r="J200" s="87"/>
      <c r="K200" s="99"/>
      <c r="L200" s="87"/>
      <c r="M200" s="99"/>
      <c r="N200" s="87"/>
      <c r="O200" s="87"/>
    </row>
    <row r="201" spans="1:39">
      <c r="B201" s="87"/>
      <c r="C201" s="99"/>
      <c r="D201" s="87"/>
      <c r="E201" s="87"/>
      <c r="F201" s="87"/>
      <c r="G201" s="87"/>
      <c r="H201" s="87"/>
      <c r="I201" s="87"/>
      <c r="J201" s="87"/>
      <c r="K201" s="99"/>
      <c r="L201" s="87"/>
      <c r="M201" s="99"/>
      <c r="N201" s="87"/>
      <c r="O201" s="87"/>
    </row>
    <row r="202" spans="1:39">
      <c r="B202" s="87"/>
      <c r="C202" s="99"/>
      <c r="D202" s="87"/>
      <c r="E202" s="87"/>
      <c r="F202" s="87"/>
      <c r="G202" s="87"/>
      <c r="H202" s="87"/>
      <c r="I202" s="87"/>
      <c r="J202" s="87"/>
      <c r="K202" s="99"/>
      <c r="L202" s="87"/>
      <c r="M202" s="99"/>
      <c r="N202" s="87"/>
      <c r="O202" s="87"/>
    </row>
    <row r="203" spans="1:39">
      <c r="B203" s="87"/>
      <c r="C203" s="99"/>
      <c r="D203" s="87"/>
      <c r="E203" s="87"/>
      <c r="F203" s="87"/>
      <c r="G203" s="87"/>
      <c r="H203" s="87"/>
      <c r="I203" s="87"/>
      <c r="J203" s="87"/>
      <c r="K203" s="99"/>
      <c r="L203" s="87"/>
      <c r="M203" s="99"/>
      <c r="N203" s="87"/>
      <c r="O203" s="87"/>
    </row>
    <row r="204" spans="1:39">
      <c r="B204" s="87"/>
      <c r="C204" s="99"/>
      <c r="D204" s="87"/>
      <c r="E204" s="87"/>
      <c r="F204" s="87"/>
      <c r="G204" s="87"/>
      <c r="H204" s="87"/>
      <c r="I204" s="87"/>
      <c r="J204" s="87"/>
      <c r="K204" s="99"/>
      <c r="L204" s="87"/>
      <c r="M204" s="99"/>
      <c r="N204" s="87"/>
      <c r="O204" s="87"/>
    </row>
    <row r="205" spans="1:39">
      <c r="B205" s="87"/>
      <c r="C205" s="99"/>
      <c r="D205" s="87"/>
      <c r="E205" s="87"/>
      <c r="F205" s="87"/>
      <c r="G205" s="87"/>
      <c r="H205" s="87"/>
      <c r="I205" s="87"/>
      <c r="J205" s="87"/>
      <c r="K205" s="99"/>
      <c r="L205" s="87"/>
      <c r="M205" s="99"/>
      <c r="N205" s="87"/>
      <c r="O205" s="87"/>
    </row>
    <row r="206" spans="1:39">
      <c r="B206" s="87"/>
      <c r="C206" s="99"/>
      <c r="D206" s="87"/>
      <c r="E206" s="87"/>
      <c r="F206" s="87"/>
      <c r="G206" s="87"/>
      <c r="H206" s="87"/>
      <c r="I206" s="87"/>
      <c r="J206" s="87"/>
      <c r="K206" s="99"/>
      <c r="L206" s="87"/>
      <c r="M206" s="99"/>
      <c r="N206" s="87"/>
      <c r="O206" s="87"/>
    </row>
    <row r="207" spans="1:39">
      <c r="B207" s="87"/>
      <c r="C207" s="99"/>
      <c r="D207" s="87"/>
      <c r="E207" s="87"/>
      <c r="F207" s="87"/>
      <c r="G207" s="87"/>
      <c r="H207" s="87"/>
      <c r="I207" s="87"/>
      <c r="J207" s="87"/>
      <c r="K207" s="99"/>
      <c r="L207" s="87"/>
      <c r="M207" s="99"/>
      <c r="N207" s="87"/>
      <c r="O207" s="87"/>
    </row>
    <row r="208" spans="1:39">
      <c r="B208" s="87"/>
      <c r="C208" s="99"/>
      <c r="D208" s="87"/>
      <c r="E208" s="87"/>
      <c r="F208" s="87"/>
      <c r="G208" s="87"/>
      <c r="H208" s="87"/>
      <c r="I208" s="87"/>
      <c r="J208" s="87"/>
      <c r="K208" s="99"/>
      <c r="L208" s="87"/>
      <c r="M208" s="99"/>
      <c r="N208" s="87"/>
      <c r="O208" s="87"/>
    </row>
    <row r="209" spans="2:15">
      <c r="B209" s="87"/>
      <c r="C209" s="99"/>
      <c r="D209" s="87"/>
      <c r="E209" s="87"/>
      <c r="F209" s="87"/>
      <c r="G209" s="87"/>
      <c r="H209" s="87"/>
      <c r="I209" s="87"/>
      <c r="J209" s="87"/>
      <c r="K209" s="99"/>
      <c r="L209" s="87"/>
      <c r="M209" s="99"/>
      <c r="N209" s="87"/>
      <c r="O209" s="87"/>
    </row>
    <row r="210" spans="2:15">
      <c r="B210" s="87"/>
      <c r="C210" s="99"/>
      <c r="D210" s="87"/>
      <c r="E210" s="87"/>
      <c r="F210" s="87"/>
      <c r="G210" s="87"/>
      <c r="H210" s="87"/>
      <c r="I210" s="87"/>
      <c r="J210" s="87"/>
      <c r="K210" s="99"/>
      <c r="L210" s="87"/>
      <c r="M210" s="99"/>
      <c r="N210" s="87"/>
      <c r="O210" s="87"/>
    </row>
    <row r="211" spans="2:15">
      <c r="B211" s="87"/>
      <c r="C211" s="99"/>
      <c r="D211" s="87"/>
      <c r="E211" s="87"/>
      <c r="F211" s="87"/>
      <c r="G211" s="87"/>
      <c r="H211" s="87"/>
      <c r="I211" s="87"/>
      <c r="J211" s="87"/>
      <c r="K211" s="99"/>
      <c r="L211" s="87"/>
      <c r="M211" s="99"/>
      <c r="N211" s="87"/>
      <c r="O211" s="87"/>
    </row>
    <row r="212" spans="2:15">
      <c r="B212" s="87"/>
      <c r="C212" s="99"/>
      <c r="D212" s="87"/>
      <c r="E212" s="87"/>
      <c r="F212" s="87"/>
      <c r="G212" s="87"/>
      <c r="H212" s="87"/>
      <c r="I212" s="87"/>
      <c r="J212" s="87"/>
      <c r="K212" s="99"/>
      <c r="L212" s="87"/>
      <c r="M212" s="99"/>
      <c r="N212" s="87"/>
      <c r="O212" s="87"/>
    </row>
    <row r="213" spans="2:15">
      <c r="B213" s="87"/>
      <c r="C213" s="99"/>
      <c r="D213" s="87"/>
      <c r="E213" s="87"/>
      <c r="F213" s="87"/>
      <c r="G213" s="87"/>
      <c r="H213" s="87"/>
      <c r="I213" s="87"/>
      <c r="J213" s="87"/>
      <c r="K213" s="99"/>
      <c r="L213" s="87"/>
      <c r="M213" s="99"/>
      <c r="N213" s="87"/>
      <c r="O213" s="87"/>
    </row>
    <row r="214" spans="2:15">
      <c r="B214" s="87"/>
      <c r="C214" s="99"/>
      <c r="D214" s="87"/>
      <c r="E214" s="87"/>
      <c r="F214" s="87"/>
      <c r="G214" s="87"/>
      <c r="H214" s="87"/>
      <c r="I214" s="87"/>
      <c r="J214" s="87"/>
      <c r="K214" s="99"/>
      <c r="L214" s="87"/>
      <c r="M214" s="99"/>
      <c r="N214" s="87"/>
      <c r="O214" s="87"/>
    </row>
    <row r="215" spans="2:15">
      <c r="B215" s="87"/>
      <c r="C215" s="99"/>
      <c r="D215" s="87"/>
      <c r="E215" s="87"/>
      <c r="F215" s="87"/>
      <c r="G215" s="87"/>
      <c r="H215" s="87"/>
      <c r="I215" s="87"/>
      <c r="J215" s="87"/>
      <c r="K215" s="99"/>
      <c r="L215" s="87"/>
      <c r="M215" s="99"/>
      <c r="N215" s="87"/>
      <c r="O215" s="87"/>
    </row>
    <row r="216" spans="2:15">
      <c r="B216" s="87"/>
      <c r="C216" s="99"/>
      <c r="D216" s="87"/>
      <c r="E216" s="87"/>
      <c r="F216" s="87"/>
      <c r="G216" s="87"/>
      <c r="H216" s="87"/>
      <c r="I216" s="87"/>
      <c r="J216" s="87"/>
      <c r="K216" s="99"/>
      <c r="L216" s="87"/>
      <c r="M216" s="99"/>
      <c r="N216" s="87"/>
      <c r="O216" s="87"/>
    </row>
    <row r="217" spans="2:15">
      <c r="B217" s="87"/>
      <c r="C217" s="99"/>
      <c r="D217" s="87"/>
      <c r="E217" s="87"/>
      <c r="F217" s="87"/>
      <c r="G217" s="87"/>
      <c r="H217" s="87"/>
      <c r="I217" s="87"/>
      <c r="J217" s="87"/>
      <c r="K217" s="99"/>
      <c r="L217" s="87"/>
      <c r="M217" s="99"/>
      <c r="N217" s="87"/>
      <c r="O217" s="87"/>
    </row>
    <row r="218" spans="2:15">
      <c r="B218" s="87"/>
      <c r="C218" s="99"/>
      <c r="D218" s="87"/>
      <c r="E218" s="87"/>
      <c r="F218" s="87"/>
      <c r="G218" s="87"/>
      <c r="H218" s="87"/>
      <c r="I218" s="87"/>
      <c r="J218" s="87"/>
      <c r="K218" s="99"/>
      <c r="L218" s="87"/>
      <c r="M218" s="99"/>
      <c r="N218" s="87"/>
      <c r="O218" s="87"/>
    </row>
    <row r="219" spans="2:15">
      <c r="B219" s="87"/>
      <c r="C219" s="99"/>
      <c r="D219" s="87"/>
      <c r="E219" s="87"/>
      <c r="F219" s="87"/>
      <c r="G219" s="87"/>
      <c r="H219" s="87"/>
      <c r="I219" s="87"/>
      <c r="J219" s="87"/>
      <c r="K219" s="99"/>
      <c r="L219" s="87"/>
      <c r="M219" s="99"/>
      <c r="N219" s="87"/>
      <c r="O219" s="87"/>
    </row>
    <row r="220" spans="2:15">
      <c r="B220" s="87"/>
      <c r="C220" s="99"/>
      <c r="D220" s="87"/>
      <c r="E220" s="87"/>
      <c r="F220" s="87"/>
      <c r="G220" s="87"/>
      <c r="H220" s="87"/>
      <c r="I220" s="87"/>
      <c r="J220" s="87"/>
      <c r="K220" s="99"/>
      <c r="L220" s="87"/>
      <c r="M220" s="99"/>
      <c r="N220" s="87"/>
      <c r="O220" s="87"/>
    </row>
    <row r="221" spans="2:15">
      <c r="B221" s="87"/>
      <c r="C221" s="99"/>
      <c r="D221" s="87"/>
      <c r="E221" s="87"/>
      <c r="F221" s="87"/>
      <c r="G221" s="87"/>
      <c r="H221" s="87"/>
      <c r="I221" s="87"/>
      <c r="J221" s="87"/>
      <c r="K221" s="99"/>
      <c r="L221" s="87"/>
      <c r="M221" s="99"/>
      <c r="N221" s="87"/>
      <c r="O221" s="87"/>
    </row>
    <row r="222" spans="2:15">
      <c r="B222" s="87"/>
      <c r="C222" s="99"/>
      <c r="D222" s="87"/>
      <c r="E222" s="87"/>
      <c r="F222" s="87"/>
      <c r="G222" s="87"/>
      <c r="H222" s="87"/>
      <c r="I222" s="87"/>
      <c r="J222" s="87"/>
      <c r="K222" s="99"/>
      <c r="L222" s="87"/>
      <c r="M222" s="99"/>
      <c r="N222" s="87"/>
      <c r="O222" s="87"/>
    </row>
    <row r="223" spans="2:15">
      <c r="B223" s="87"/>
      <c r="C223" s="99"/>
      <c r="D223" s="87"/>
      <c r="E223" s="87"/>
      <c r="F223" s="87"/>
      <c r="G223" s="87"/>
      <c r="H223" s="87"/>
      <c r="I223" s="87"/>
      <c r="J223" s="87"/>
      <c r="K223" s="99"/>
      <c r="L223" s="87"/>
      <c r="M223" s="99"/>
      <c r="N223" s="87"/>
      <c r="O223" s="87"/>
    </row>
    <row r="224" spans="2:15">
      <c r="B224" s="87"/>
      <c r="C224" s="99"/>
      <c r="D224" s="87"/>
      <c r="E224" s="87"/>
      <c r="F224" s="87"/>
      <c r="G224" s="87"/>
      <c r="H224" s="87"/>
      <c r="I224" s="87"/>
      <c r="J224" s="87"/>
      <c r="K224" s="99"/>
      <c r="L224" s="87"/>
      <c r="M224" s="99"/>
      <c r="N224" s="87"/>
      <c r="O224" s="87"/>
    </row>
    <row r="225" spans="2:15">
      <c r="B225" s="87"/>
      <c r="C225" s="99"/>
      <c r="D225" s="87"/>
      <c r="E225" s="87"/>
      <c r="F225" s="87"/>
      <c r="G225" s="87"/>
      <c r="H225" s="87"/>
      <c r="I225" s="87"/>
      <c r="J225" s="87"/>
      <c r="K225" s="99"/>
      <c r="L225" s="87"/>
      <c r="M225" s="99"/>
      <c r="N225" s="87"/>
      <c r="O225" s="87"/>
    </row>
    <row r="226" spans="2:15">
      <c r="B226" s="87"/>
      <c r="C226" s="99"/>
      <c r="D226" s="87"/>
      <c r="E226" s="87"/>
      <c r="F226" s="87"/>
      <c r="G226" s="87"/>
      <c r="H226" s="87"/>
      <c r="I226" s="87"/>
      <c r="J226" s="87"/>
      <c r="K226" s="99"/>
      <c r="L226" s="87"/>
      <c r="M226" s="99"/>
      <c r="N226" s="87"/>
      <c r="O226" s="87"/>
    </row>
    <row r="227" spans="2:15">
      <c r="B227" s="87"/>
      <c r="C227" s="99"/>
      <c r="D227" s="87"/>
      <c r="E227" s="87"/>
      <c r="F227" s="87"/>
      <c r="G227" s="87"/>
      <c r="H227" s="87"/>
      <c r="I227" s="87"/>
      <c r="J227" s="87"/>
      <c r="K227" s="99"/>
      <c r="L227" s="87"/>
      <c r="M227" s="99"/>
      <c r="N227" s="87"/>
      <c r="O227" s="87"/>
    </row>
    <row r="228" spans="2:15">
      <c r="B228" s="87"/>
      <c r="C228" s="99"/>
      <c r="D228" s="87"/>
      <c r="E228" s="87"/>
      <c r="F228" s="87"/>
      <c r="G228" s="87"/>
      <c r="H228" s="87"/>
      <c r="I228" s="87"/>
      <c r="J228" s="87"/>
      <c r="K228" s="99"/>
      <c r="L228" s="87"/>
      <c r="M228" s="99"/>
      <c r="N228" s="87"/>
      <c r="O228" s="87"/>
    </row>
    <row r="229" spans="2:15">
      <c r="B229" s="87"/>
      <c r="C229" s="99"/>
      <c r="D229" s="87"/>
      <c r="E229" s="87"/>
      <c r="F229" s="87"/>
      <c r="G229" s="87"/>
      <c r="H229" s="87"/>
      <c r="I229" s="87"/>
      <c r="J229" s="87"/>
      <c r="K229" s="99"/>
      <c r="L229" s="87"/>
      <c r="M229" s="99"/>
      <c r="N229" s="87"/>
      <c r="O229" s="87"/>
    </row>
    <row r="230" spans="2:15">
      <c r="B230" s="87"/>
      <c r="C230" s="99"/>
      <c r="D230" s="87"/>
      <c r="E230" s="87"/>
      <c r="F230" s="87"/>
      <c r="G230" s="87"/>
      <c r="H230" s="87"/>
      <c r="I230" s="87"/>
      <c r="J230" s="87"/>
      <c r="K230" s="99"/>
      <c r="L230" s="87"/>
      <c r="M230" s="99"/>
      <c r="N230" s="87"/>
      <c r="O230" s="87"/>
    </row>
    <row r="231" spans="2:15">
      <c r="B231" s="87"/>
      <c r="C231" s="99"/>
      <c r="D231" s="87"/>
      <c r="E231" s="87"/>
      <c r="F231" s="87"/>
      <c r="G231" s="87"/>
      <c r="H231" s="87"/>
      <c r="I231" s="87"/>
      <c r="J231" s="87"/>
      <c r="K231" s="99"/>
      <c r="L231" s="87"/>
      <c r="M231" s="99"/>
      <c r="N231" s="87"/>
      <c r="O231" s="87"/>
    </row>
    <row r="232" spans="2:15">
      <c r="B232" s="87"/>
      <c r="C232" s="99"/>
      <c r="D232" s="87"/>
      <c r="E232" s="87"/>
      <c r="F232" s="87"/>
      <c r="G232" s="87"/>
      <c r="H232" s="87"/>
      <c r="I232" s="87"/>
      <c r="J232" s="87"/>
      <c r="K232" s="99"/>
      <c r="L232" s="87"/>
      <c r="M232" s="99"/>
      <c r="N232" s="87"/>
      <c r="O232" s="87"/>
    </row>
    <row r="233" spans="2:15">
      <c r="B233" s="87"/>
      <c r="C233" s="99"/>
      <c r="D233" s="87"/>
      <c r="E233" s="87"/>
      <c r="F233" s="87"/>
      <c r="G233" s="87"/>
      <c r="H233" s="87"/>
      <c r="I233" s="87"/>
      <c r="J233" s="87"/>
      <c r="K233" s="99"/>
      <c r="L233" s="87"/>
      <c r="M233" s="99"/>
      <c r="N233" s="87"/>
      <c r="O233" s="87"/>
    </row>
    <row r="234" spans="2:15">
      <c r="B234" s="87"/>
      <c r="C234" s="99"/>
      <c r="D234" s="87"/>
      <c r="E234" s="87"/>
      <c r="F234" s="87"/>
      <c r="G234" s="87"/>
      <c r="H234" s="87"/>
      <c r="I234" s="87"/>
      <c r="J234" s="87"/>
      <c r="K234" s="99"/>
      <c r="L234" s="87"/>
      <c r="M234" s="99"/>
      <c r="N234" s="87"/>
      <c r="O234" s="87"/>
    </row>
    <row r="235" spans="2:15">
      <c r="B235" s="87"/>
      <c r="C235" s="99"/>
      <c r="D235" s="87"/>
      <c r="E235" s="87"/>
      <c r="F235" s="87"/>
      <c r="G235" s="87"/>
      <c r="H235" s="87"/>
      <c r="I235" s="87"/>
      <c r="J235" s="87"/>
      <c r="K235" s="99"/>
      <c r="L235" s="87"/>
      <c r="M235" s="99"/>
      <c r="N235" s="87"/>
      <c r="O235" s="87"/>
    </row>
    <row r="236" spans="2:15">
      <c r="B236" s="87"/>
      <c r="C236" s="99"/>
      <c r="D236" s="87"/>
      <c r="E236" s="87"/>
      <c r="F236" s="87"/>
      <c r="G236" s="87"/>
      <c r="H236" s="87"/>
      <c r="I236" s="87"/>
      <c r="J236" s="87"/>
      <c r="K236" s="99"/>
      <c r="L236" s="87"/>
      <c r="M236" s="99"/>
      <c r="N236" s="87"/>
      <c r="O236" s="87"/>
    </row>
    <row r="237" spans="2:15">
      <c r="B237" s="87"/>
      <c r="C237" s="99"/>
      <c r="D237" s="87"/>
      <c r="E237" s="87"/>
      <c r="F237" s="87"/>
      <c r="G237" s="87"/>
      <c r="H237" s="87"/>
      <c r="I237" s="87"/>
      <c r="J237" s="87"/>
      <c r="K237" s="99"/>
      <c r="L237" s="87"/>
      <c r="M237" s="99"/>
      <c r="N237" s="87"/>
      <c r="O237" s="87"/>
    </row>
    <row r="238" spans="2:15">
      <c r="B238" s="87"/>
      <c r="C238" s="99"/>
      <c r="D238" s="87"/>
      <c r="E238" s="87"/>
      <c r="F238" s="87"/>
      <c r="G238" s="87"/>
      <c r="H238" s="87"/>
      <c r="I238" s="87"/>
      <c r="J238" s="87"/>
      <c r="K238" s="99"/>
      <c r="L238" s="87"/>
      <c r="M238" s="99"/>
      <c r="N238" s="87"/>
      <c r="O238" s="87"/>
    </row>
    <row r="239" spans="2:15">
      <c r="B239" s="87"/>
      <c r="C239" s="99"/>
      <c r="D239" s="87"/>
      <c r="E239" s="87"/>
      <c r="F239" s="87"/>
      <c r="G239" s="87"/>
      <c r="H239" s="87"/>
      <c r="I239" s="87"/>
      <c r="J239" s="87"/>
      <c r="K239" s="99"/>
      <c r="L239" s="87"/>
      <c r="M239" s="99"/>
      <c r="N239" s="87"/>
      <c r="O239" s="87"/>
    </row>
    <row r="240" spans="2:15">
      <c r="B240" s="87"/>
      <c r="C240" s="99"/>
      <c r="D240" s="87"/>
      <c r="E240" s="87"/>
      <c r="F240" s="87"/>
      <c r="G240" s="87"/>
      <c r="H240" s="87"/>
      <c r="I240" s="87"/>
      <c r="J240" s="87"/>
      <c r="K240" s="99"/>
      <c r="L240" s="87"/>
      <c r="M240" s="99"/>
      <c r="N240" s="87"/>
      <c r="O240" s="87"/>
    </row>
    <row r="241" spans="2:15">
      <c r="B241" s="87"/>
      <c r="C241" s="99"/>
      <c r="D241" s="87"/>
      <c r="E241" s="87"/>
      <c r="F241" s="87"/>
      <c r="G241" s="87"/>
      <c r="H241" s="87"/>
      <c r="I241" s="87"/>
      <c r="J241" s="87"/>
      <c r="K241" s="99"/>
      <c r="L241" s="87"/>
      <c r="M241" s="99"/>
      <c r="N241" s="87"/>
      <c r="O241" s="87"/>
    </row>
    <row r="242" spans="2:15">
      <c r="B242" s="87"/>
      <c r="C242" s="99"/>
      <c r="D242" s="87"/>
      <c r="E242" s="87"/>
      <c r="F242" s="87"/>
      <c r="G242" s="87"/>
      <c r="H242" s="87"/>
      <c r="I242" s="87"/>
      <c r="J242" s="87"/>
      <c r="K242" s="99"/>
      <c r="L242" s="87"/>
      <c r="M242" s="99"/>
      <c r="N242" s="87"/>
      <c r="O242" s="87"/>
    </row>
    <row r="243" spans="2:15">
      <c r="B243" s="87"/>
      <c r="C243" s="99"/>
      <c r="D243" s="87"/>
      <c r="E243" s="87"/>
      <c r="F243" s="87"/>
      <c r="G243" s="87"/>
      <c r="H243" s="87"/>
      <c r="I243" s="87"/>
      <c r="J243" s="87"/>
      <c r="K243" s="99"/>
      <c r="L243" s="87"/>
      <c r="M243" s="99"/>
      <c r="N243" s="87"/>
      <c r="O243" s="87"/>
    </row>
    <row r="244" spans="2:15">
      <c r="B244" s="87"/>
      <c r="C244" s="99"/>
      <c r="D244" s="87"/>
      <c r="E244" s="87"/>
      <c r="F244" s="87"/>
      <c r="G244" s="87"/>
      <c r="H244" s="87"/>
      <c r="I244" s="87"/>
      <c r="J244" s="87"/>
      <c r="K244" s="99"/>
      <c r="L244" s="87"/>
      <c r="M244" s="99"/>
      <c r="N244" s="87"/>
      <c r="O244" s="87"/>
    </row>
    <row r="245" spans="2:15">
      <c r="B245" s="87"/>
      <c r="C245" s="99"/>
      <c r="D245" s="87"/>
      <c r="E245" s="87"/>
      <c r="F245" s="87"/>
      <c r="G245" s="87"/>
      <c r="H245" s="87"/>
      <c r="I245" s="87"/>
      <c r="J245" s="87"/>
      <c r="K245" s="99"/>
      <c r="L245" s="87"/>
      <c r="M245" s="99"/>
      <c r="N245" s="87"/>
      <c r="O245" s="87"/>
    </row>
    <row r="246" spans="2:15">
      <c r="B246" s="87"/>
      <c r="C246" s="99"/>
      <c r="D246" s="87"/>
      <c r="E246" s="87"/>
      <c r="F246" s="87"/>
      <c r="G246" s="87"/>
      <c r="H246" s="87"/>
      <c r="I246" s="87"/>
      <c r="J246" s="87"/>
      <c r="K246" s="99"/>
      <c r="L246" s="87"/>
      <c r="M246" s="99"/>
      <c r="N246" s="87"/>
      <c r="O246" s="87"/>
    </row>
    <row r="247" spans="2:15">
      <c r="B247" s="87"/>
      <c r="C247" s="99"/>
      <c r="D247" s="87"/>
      <c r="E247" s="87"/>
      <c r="F247" s="87"/>
      <c r="G247" s="87"/>
      <c r="H247" s="87"/>
      <c r="I247" s="87"/>
      <c r="J247" s="87"/>
      <c r="K247" s="99"/>
      <c r="L247" s="87"/>
      <c r="M247" s="99"/>
      <c r="N247" s="87"/>
      <c r="O247" s="87"/>
    </row>
    <row r="248" spans="2:15">
      <c r="B248" s="87"/>
      <c r="C248" s="99"/>
      <c r="D248" s="87"/>
      <c r="E248" s="87"/>
      <c r="F248" s="87"/>
      <c r="G248" s="87"/>
      <c r="H248" s="87"/>
      <c r="I248" s="87"/>
      <c r="J248" s="87"/>
      <c r="K248" s="99"/>
      <c r="L248" s="87"/>
      <c r="M248" s="99"/>
      <c r="N248" s="87"/>
      <c r="O248" s="87"/>
    </row>
    <row r="249" spans="2:15">
      <c r="B249" s="87"/>
      <c r="C249" s="99"/>
      <c r="D249" s="87"/>
      <c r="E249" s="87"/>
      <c r="F249" s="87"/>
      <c r="G249" s="87"/>
      <c r="H249" s="87"/>
      <c r="I249" s="87"/>
      <c r="J249" s="87"/>
      <c r="K249" s="99"/>
      <c r="L249" s="87"/>
      <c r="M249" s="99"/>
      <c r="N249" s="87"/>
      <c r="O249" s="87"/>
    </row>
    <row r="250" spans="2:15">
      <c r="B250" s="87"/>
      <c r="C250" s="99"/>
      <c r="D250" s="87"/>
      <c r="E250" s="87"/>
      <c r="F250" s="87"/>
      <c r="G250" s="87"/>
      <c r="H250" s="87"/>
      <c r="I250" s="87"/>
      <c r="J250" s="87"/>
      <c r="K250" s="99"/>
      <c r="L250" s="87"/>
      <c r="M250" s="99"/>
      <c r="N250" s="87"/>
      <c r="O250" s="87"/>
    </row>
    <row r="251" spans="2:15">
      <c r="B251" s="87"/>
      <c r="C251" s="99"/>
      <c r="D251" s="87"/>
      <c r="E251" s="87"/>
      <c r="F251" s="87"/>
      <c r="G251" s="87"/>
      <c r="H251" s="87"/>
      <c r="I251" s="87"/>
      <c r="J251" s="87"/>
      <c r="K251" s="99"/>
      <c r="L251" s="87"/>
      <c r="M251" s="99"/>
      <c r="N251" s="87"/>
      <c r="O251" s="87"/>
    </row>
    <row r="252" spans="2:15">
      <c r="B252" s="87"/>
      <c r="C252" s="99"/>
      <c r="D252" s="87"/>
      <c r="E252" s="87"/>
      <c r="F252" s="87"/>
      <c r="G252" s="87"/>
      <c r="H252" s="87"/>
      <c r="I252" s="87"/>
      <c r="J252" s="87"/>
      <c r="K252" s="99"/>
      <c r="L252" s="87"/>
      <c r="M252" s="99"/>
      <c r="N252" s="87"/>
      <c r="O252" s="87"/>
    </row>
    <row r="253" spans="2:15">
      <c r="B253" s="87"/>
      <c r="C253" s="99"/>
      <c r="D253" s="87"/>
      <c r="E253" s="87"/>
      <c r="F253" s="87"/>
      <c r="G253" s="87"/>
      <c r="H253" s="87"/>
      <c r="I253" s="87"/>
      <c r="J253" s="87"/>
      <c r="K253" s="99"/>
      <c r="L253" s="87"/>
      <c r="M253" s="99"/>
      <c r="N253" s="87"/>
      <c r="O253" s="87"/>
    </row>
    <row r="254" spans="2:15">
      <c r="B254" s="87"/>
      <c r="C254" s="99"/>
      <c r="D254" s="87"/>
      <c r="E254" s="87"/>
      <c r="F254" s="87"/>
      <c r="G254" s="87"/>
      <c r="H254" s="87"/>
      <c r="I254" s="87"/>
      <c r="J254" s="87"/>
      <c r="K254" s="99"/>
      <c r="L254" s="87"/>
      <c r="M254" s="99"/>
      <c r="N254" s="87"/>
      <c r="O254" s="87"/>
    </row>
    <row r="255" spans="2:15">
      <c r="B255" s="87"/>
      <c r="C255" s="99"/>
      <c r="D255" s="87"/>
      <c r="E255" s="87"/>
      <c r="F255" s="87"/>
      <c r="G255" s="87"/>
      <c r="H255" s="87"/>
      <c r="I255" s="87"/>
      <c r="J255" s="87"/>
      <c r="K255" s="99"/>
      <c r="L255" s="87"/>
      <c r="M255" s="99"/>
      <c r="N255" s="87"/>
      <c r="O255" s="87"/>
    </row>
    <row r="256" spans="2:15">
      <c r="B256" s="87"/>
      <c r="C256" s="99"/>
      <c r="D256" s="87"/>
      <c r="E256" s="87"/>
      <c r="F256" s="87"/>
      <c r="G256" s="87"/>
      <c r="H256" s="87"/>
      <c r="I256" s="87"/>
      <c r="J256" s="87"/>
      <c r="K256" s="99"/>
      <c r="L256" s="87"/>
      <c r="M256" s="99"/>
      <c r="N256" s="87"/>
      <c r="O256" s="87"/>
    </row>
    <row r="257" spans="2:15">
      <c r="B257" s="87"/>
      <c r="C257" s="99"/>
      <c r="D257" s="87"/>
      <c r="E257" s="87"/>
      <c r="F257" s="87"/>
      <c r="G257" s="87"/>
      <c r="H257" s="87"/>
      <c r="I257" s="87"/>
      <c r="J257" s="87"/>
      <c r="K257" s="99"/>
      <c r="L257" s="87"/>
      <c r="M257" s="99"/>
      <c r="N257" s="87"/>
      <c r="O257" s="87"/>
    </row>
    <row r="258" spans="2:15">
      <c r="B258" s="87"/>
      <c r="C258" s="99"/>
      <c r="D258" s="87"/>
      <c r="E258" s="87"/>
      <c r="F258" s="87"/>
      <c r="G258" s="87"/>
      <c r="H258" s="87"/>
      <c r="I258" s="87"/>
      <c r="J258" s="87"/>
      <c r="K258" s="99"/>
      <c r="L258" s="87"/>
      <c r="M258" s="99"/>
      <c r="N258" s="87"/>
      <c r="O258" s="87"/>
    </row>
    <row r="259" spans="2:15">
      <c r="B259" s="87"/>
      <c r="C259" s="99"/>
      <c r="D259" s="87"/>
      <c r="E259" s="87"/>
      <c r="F259" s="87"/>
      <c r="G259" s="87"/>
      <c r="H259" s="87"/>
      <c r="I259" s="87"/>
      <c r="J259" s="87"/>
      <c r="K259" s="99"/>
      <c r="L259" s="87"/>
      <c r="M259" s="99"/>
      <c r="N259" s="87"/>
      <c r="O259" s="87"/>
    </row>
    <row r="260" spans="2:15">
      <c r="B260" s="87"/>
      <c r="C260" s="99"/>
      <c r="D260" s="87"/>
      <c r="E260" s="87"/>
      <c r="F260" s="87"/>
      <c r="G260" s="87"/>
      <c r="H260" s="87"/>
      <c r="I260" s="87"/>
      <c r="J260" s="87"/>
      <c r="K260" s="99"/>
      <c r="L260" s="87"/>
      <c r="M260" s="99"/>
      <c r="N260" s="87"/>
      <c r="O260" s="87"/>
    </row>
    <row r="261" spans="2:15">
      <c r="B261" s="87"/>
      <c r="C261" s="99"/>
      <c r="D261" s="87"/>
      <c r="E261" s="87"/>
      <c r="F261" s="87"/>
      <c r="G261" s="87"/>
      <c r="H261" s="87"/>
      <c r="I261" s="87"/>
      <c r="J261" s="87"/>
      <c r="K261" s="99"/>
      <c r="L261" s="87"/>
      <c r="M261" s="99"/>
      <c r="N261" s="87"/>
      <c r="O261" s="87"/>
    </row>
    <row r="262" spans="2:15">
      <c r="B262" s="87"/>
      <c r="C262" s="99"/>
      <c r="D262" s="87"/>
      <c r="E262" s="87"/>
      <c r="F262" s="87"/>
      <c r="G262" s="87"/>
      <c r="H262" s="87"/>
      <c r="I262" s="87"/>
      <c r="J262" s="87"/>
      <c r="K262" s="99"/>
      <c r="L262" s="87"/>
      <c r="M262" s="99"/>
      <c r="N262" s="87"/>
      <c r="O262" s="87"/>
    </row>
    <row r="263" spans="2:15">
      <c r="B263" s="87"/>
      <c r="C263" s="99"/>
      <c r="D263" s="87"/>
      <c r="E263" s="87"/>
      <c r="F263" s="87"/>
      <c r="G263" s="87"/>
      <c r="H263" s="87"/>
      <c r="I263" s="87"/>
      <c r="J263" s="87"/>
      <c r="K263" s="99"/>
      <c r="L263" s="87"/>
      <c r="M263" s="99"/>
      <c r="N263" s="87"/>
      <c r="O263" s="87"/>
    </row>
    <row r="264" spans="2:15">
      <c r="B264" s="87"/>
      <c r="C264" s="99"/>
      <c r="D264" s="87"/>
      <c r="E264" s="87"/>
      <c r="F264" s="87"/>
      <c r="G264" s="87"/>
      <c r="H264" s="87"/>
      <c r="I264" s="87"/>
      <c r="J264" s="87"/>
      <c r="K264" s="99"/>
      <c r="L264" s="87"/>
      <c r="M264" s="99"/>
      <c r="N264" s="87"/>
      <c r="O264" s="87"/>
    </row>
    <row r="265" spans="2:15">
      <c r="B265" s="87"/>
      <c r="C265" s="99"/>
      <c r="D265" s="87"/>
      <c r="E265" s="87"/>
      <c r="F265" s="87"/>
      <c r="G265" s="87"/>
      <c r="H265" s="87"/>
      <c r="I265" s="87"/>
      <c r="J265" s="87"/>
      <c r="K265" s="99"/>
      <c r="L265" s="87"/>
      <c r="M265" s="99"/>
      <c r="N265" s="87"/>
      <c r="O265" s="87"/>
    </row>
    <row r="266" spans="2:15">
      <c r="B266" s="87"/>
      <c r="C266" s="99"/>
      <c r="D266" s="87"/>
      <c r="E266" s="87"/>
      <c r="F266" s="87"/>
      <c r="G266" s="87"/>
      <c r="H266" s="87"/>
      <c r="I266" s="87"/>
      <c r="J266" s="87"/>
      <c r="K266" s="99"/>
      <c r="L266" s="87"/>
      <c r="M266" s="99"/>
      <c r="N266" s="87"/>
      <c r="O266" s="87"/>
    </row>
    <row r="267" spans="2:15">
      <c r="B267" s="87"/>
      <c r="C267" s="99"/>
      <c r="D267" s="87"/>
      <c r="E267" s="87"/>
      <c r="F267" s="87"/>
      <c r="G267" s="87"/>
      <c r="H267" s="87"/>
      <c r="I267" s="87"/>
      <c r="J267" s="87"/>
      <c r="K267" s="99"/>
      <c r="L267" s="87"/>
      <c r="M267" s="99"/>
      <c r="N267" s="87"/>
      <c r="O267" s="87"/>
    </row>
    <row r="268" spans="2:15">
      <c r="B268" s="87"/>
      <c r="C268" s="99"/>
      <c r="D268" s="87"/>
      <c r="E268" s="87"/>
      <c r="F268" s="87"/>
      <c r="G268" s="87"/>
      <c r="H268" s="87"/>
      <c r="I268" s="87"/>
      <c r="J268" s="87"/>
      <c r="K268" s="99"/>
      <c r="L268" s="87"/>
      <c r="M268" s="99"/>
      <c r="N268" s="87"/>
      <c r="O268" s="87"/>
    </row>
    <row r="269" spans="2:15">
      <c r="B269" s="87"/>
      <c r="C269" s="99"/>
      <c r="D269" s="87"/>
      <c r="E269" s="87"/>
      <c r="F269" s="87"/>
      <c r="G269" s="87"/>
      <c r="H269" s="87"/>
      <c r="I269" s="87"/>
      <c r="J269" s="87"/>
      <c r="K269" s="99"/>
      <c r="L269" s="87"/>
      <c r="M269" s="99"/>
      <c r="N269" s="87"/>
      <c r="O269" s="87"/>
    </row>
    <row r="270" spans="2:15">
      <c r="B270" s="87"/>
      <c r="C270" s="99"/>
      <c r="D270" s="87"/>
      <c r="E270" s="87"/>
      <c r="F270" s="87"/>
      <c r="G270" s="87"/>
      <c r="H270" s="87"/>
      <c r="I270" s="87"/>
      <c r="J270" s="87"/>
      <c r="K270" s="99"/>
      <c r="L270" s="87"/>
      <c r="M270" s="99"/>
      <c r="N270" s="87"/>
      <c r="O270" s="87"/>
    </row>
    <row r="271" spans="2:15">
      <c r="B271" s="87"/>
      <c r="C271" s="99"/>
      <c r="D271" s="87"/>
      <c r="E271" s="87"/>
      <c r="F271" s="87"/>
      <c r="G271" s="87"/>
      <c r="H271" s="87"/>
      <c r="I271" s="87"/>
      <c r="J271" s="87"/>
      <c r="K271" s="99"/>
      <c r="L271" s="87"/>
      <c r="M271" s="99"/>
      <c r="N271" s="87"/>
      <c r="O271" s="87"/>
    </row>
    <row r="272" spans="2:15">
      <c r="B272" s="87"/>
      <c r="C272" s="99"/>
      <c r="D272" s="87"/>
      <c r="E272" s="87"/>
      <c r="F272" s="87"/>
      <c r="G272" s="87"/>
      <c r="H272" s="87"/>
      <c r="I272" s="87"/>
      <c r="J272" s="87"/>
      <c r="K272" s="99"/>
      <c r="L272" s="87"/>
      <c r="M272" s="99"/>
      <c r="N272" s="87"/>
      <c r="O272" s="87"/>
    </row>
    <row r="273" spans="2:15">
      <c r="B273" s="87"/>
      <c r="C273" s="99"/>
      <c r="D273" s="87"/>
      <c r="E273" s="87"/>
      <c r="F273" s="87"/>
      <c r="G273" s="87"/>
      <c r="H273" s="87"/>
      <c r="I273" s="87"/>
      <c r="J273" s="87"/>
      <c r="K273" s="99"/>
      <c r="L273" s="87"/>
      <c r="M273" s="99"/>
      <c r="N273" s="87"/>
      <c r="O273" s="87"/>
    </row>
    <row r="274" spans="2:15">
      <c r="B274" s="87"/>
      <c r="C274" s="99"/>
      <c r="D274" s="87"/>
      <c r="E274" s="87"/>
      <c r="F274" s="87"/>
      <c r="G274" s="87"/>
      <c r="H274" s="87"/>
      <c r="I274" s="87"/>
      <c r="J274" s="87"/>
      <c r="K274" s="99"/>
      <c r="L274" s="87"/>
      <c r="M274" s="99"/>
      <c r="N274" s="87"/>
      <c r="O274" s="87"/>
    </row>
    <row r="275" spans="2:15">
      <c r="B275" s="87"/>
      <c r="C275" s="99"/>
      <c r="D275" s="87"/>
      <c r="E275" s="87"/>
      <c r="F275" s="87"/>
      <c r="G275" s="87"/>
      <c r="H275" s="87"/>
      <c r="I275" s="87"/>
      <c r="J275" s="87"/>
      <c r="K275" s="99"/>
      <c r="L275" s="87"/>
      <c r="M275" s="99"/>
      <c r="N275" s="87"/>
      <c r="O275" s="87"/>
    </row>
    <row r="276" spans="2:15">
      <c r="B276" s="87"/>
      <c r="C276" s="99"/>
      <c r="D276" s="87"/>
      <c r="E276" s="87"/>
      <c r="F276" s="87"/>
      <c r="G276" s="87"/>
      <c r="H276" s="87"/>
      <c r="I276" s="87"/>
      <c r="J276" s="87"/>
      <c r="K276" s="99"/>
      <c r="L276" s="87"/>
      <c r="M276" s="99"/>
      <c r="N276" s="87"/>
      <c r="O276" s="87"/>
    </row>
    <row r="277" spans="2:15">
      <c r="B277" s="87"/>
      <c r="C277" s="99"/>
      <c r="D277" s="87"/>
      <c r="E277" s="87"/>
      <c r="F277" s="87"/>
      <c r="G277" s="87"/>
      <c r="H277" s="87"/>
      <c r="I277" s="87"/>
      <c r="J277" s="87"/>
      <c r="K277" s="99"/>
      <c r="L277" s="87"/>
      <c r="M277" s="99"/>
      <c r="N277" s="87"/>
      <c r="O277" s="87"/>
    </row>
    <row r="278" spans="2:15">
      <c r="B278" s="87"/>
      <c r="C278" s="99"/>
      <c r="D278" s="87"/>
      <c r="E278" s="87"/>
      <c r="F278" s="87"/>
      <c r="G278" s="87"/>
      <c r="H278" s="87"/>
      <c r="I278" s="87"/>
      <c r="J278" s="87"/>
      <c r="K278" s="99"/>
      <c r="L278" s="87"/>
      <c r="M278" s="99"/>
      <c r="N278" s="87"/>
      <c r="O278" s="87"/>
    </row>
    <row r="279" spans="2:15">
      <c r="B279" s="87"/>
      <c r="C279" s="99"/>
      <c r="D279" s="87"/>
      <c r="E279" s="87"/>
      <c r="F279" s="87"/>
      <c r="G279" s="87"/>
      <c r="H279" s="87"/>
      <c r="I279" s="87"/>
      <c r="J279" s="87"/>
      <c r="K279" s="99"/>
      <c r="L279" s="87"/>
      <c r="M279" s="99"/>
      <c r="N279" s="87"/>
      <c r="O279" s="87"/>
    </row>
    <row r="280" spans="2:15">
      <c r="B280" s="87"/>
      <c r="C280" s="99"/>
      <c r="D280" s="87"/>
      <c r="E280" s="87"/>
      <c r="F280" s="87"/>
      <c r="G280" s="87"/>
      <c r="H280" s="87"/>
      <c r="I280" s="87"/>
      <c r="J280" s="87"/>
      <c r="K280" s="99"/>
      <c r="L280" s="87"/>
      <c r="M280" s="99"/>
      <c r="N280" s="87"/>
      <c r="O280" s="87"/>
    </row>
    <row r="281" spans="2:15">
      <c r="B281" s="87"/>
      <c r="C281" s="99"/>
      <c r="D281" s="87"/>
      <c r="E281" s="87"/>
      <c r="F281" s="87"/>
      <c r="G281" s="87"/>
      <c r="H281" s="87"/>
      <c r="I281" s="87"/>
      <c r="J281" s="87"/>
      <c r="K281" s="99"/>
      <c r="L281" s="87"/>
      <c r="M281" s="99"/>
      <c r="N281" s="87"/>
      <c r="O281" s="87"/>
    </row>
    <row r="282" spans="2:15">
      <c r="B282" s="87"/>
      <c r="C282" s="99"/>
      <c r="D282" s="87"/>
      <c r="E282" s="87"/>
      <c r="F282" s="87"/>
      <c r="G282" s="87"/>
      <c r="H282" s="87"/>
      <c r="I282" s="87"/>
      <c r="J282" s="87"/>
      <c r="K282" s="99"/>
      <c r="L282" s="87"/>
      <c r="M282" s="99"/>
      <c r="N282" s="87"/>
      <c r="O282" s="87"/>
    </row>
    <row r="283" spans="2:15">
      <c r="B283" s="87"/>
      <c r="C283" s="99"/>
      <c r="D283" s="87"/>
      <c r="E283" s="87"/>
      <c r="F283" s="87"/>
      <c r="G283" s="87"/>
      <c r="H283" s="87"/>
      <c r="I283" s="87"/>
      <c r="J283" s="87"/>
      <c r="K283" s="99"/>
      <c r="L283" s="87"/>
      <c r="M283" s="99"/>
      <c r="N283" s="87"/>
      <c r="O283" s="87"/>
    </row>
    <row r="284" spans="2:15">
      <c r="B284" s="87"/>
      <c r="C284" s="99"/>
      <c r="D284" s="87"/>
      <c r="E284" s="87"/>
      <c r="F284" s="87"/>
      <c r="G284" s="87"/>
      <c r="H284" s="87"/>
      <c r="I284" s="87"/>
      <c r="J284" s="87"/>
      <c r="K284" s="99"/>
      <c r="L284" s="87"/>
      <c r="M284" s="99"/>
      <c r="N284" s="87"/>
      <c r="O284" s="87"/>
    </row>
    <row r="285" spans="2:15">
      <c r="B285" s="87"/>
      <c r="C285" s="99"/>
      <c r="D285" s="87"/>
      <c r="E285" s="87"/>
      <c r="F285" s="87"/>
      <c r="G285" s="87"/>
      <c r="H285" s="87"/>
      <c r="I285" s="87"/>
      <c r="J285" s="87"/>
      <c r="K285" s="99"/>
      <c r="L285" s="87"/>
      <c r="M285" s="99"/>
      <c r="N285" s="87"/>
      <c r="O285" s="87"/>
    </row>
    <row r="286" spans="2:15">
      <c r="B286" s="87"/>
      <c r="C286" s="99"/>
      <c r="D286" s="87"/>
      <c r="E286" s="87"/>
      <c r="F286" s="87"/>
      <c r="G286" s="87"/>
      <c r="H286" s="87"/>
      <c r="I286" s="87"/>
      <c r="J286" s="87"/>
      <c r="K286" s="99"/>
      <c r="L286" s="87"/>
      <c r="M286" s="99"/>
      <c r="N286" s="87"/>
      <c r="O286" s="87"/>
    </row>
    <row r="287" spans="2:15">
      <c r="B287" s="87"/>
      <c r="C287" s="99"/>
      <c r="D287" s="87"/>
      <c r="E287" s="87"/>
      <c r="F287" s="87"/>
      <c r="G287" s="87"/>
      <c r="H287" s="87"/>
      <c r="I287" s="87"/>
      <c r="J287" s="87"/>
      <c r="K287" s="99"/>
      <c r="L287" s="87"/>
      <c r="M287" s="99"/>
      <c r="N287" s="87"/>
      <c r="O287" s="87"/>
    </row>
  </sheetData>
  <pageMargins left="0.2" right="0.2" top="0.38" bottom="0.3" header="0.32" footer="0.23"/>
  <pageSetup scale="48" orientation="landscape" r:id="rId1"/>
  <headerFooter alignWithMargins="0">
    <oddFooter>&amp;R&amp;P</oddFooter>
  </headerFooter>
  <rowBreaks count="1" manualBreakCount="1">
    <brk id="68" max="65535" man="1"/>
  </rowBreaks>
</worksheet>
</file>

<file path=xl/worksheets/sheet49.xml><?xml version="1.0" encoding="utf-8"?>
<worksheet xmlns="http://schemas.openxmlformats.org/spreadsheetml/2006/main" xmlns:r="http://schemas.openxmlformats.org/officeDocument/2006/relationships">
  <sheetPr>
    <pageSetUpPr fitToPage="1"/>
  </sheetPr>
  <dimension ref="A1:AL189"/>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968</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f>+bncvar!B10</f>
        <v>4685005.6830000002</v>
      </c>
      <c r="C10" s="87">
        <f>+bphvar!B10</f>
        <v>158344.90801000001</v>
      </c>
      <c r="D10" s="87">
        <f>+buhvar!B10</f>
        <v>381812.96687429899</v>
      </c>
      <c r="E10" s="87">
        <f>+capitalbkvar!B10</f>
        <v>379216</v>
      </c>
      <c r="F10" s="87">
        <f>+sogebkvar!B10</f>
        <v>2519896.56648</v>
      </c>
      <c r="G10" s="87">
        <f>+unibkvar!B10</f>
        <v>1592760.338061552</v>
      </c>
      <c r="H10" s="89">
        <f>SUM(B10:G10)</f>
        <v>9717036.4624258522</v>
      </c>
      <c r="I10" s="87">
        <f>+sgbelvar!B10</f>
        <v>30925.8946</v>
      </c>
      <c r="J10" s="113">
        <f>SUM(I10:I10)</f>
        <v>30925.8946</v>
      </c>
      <c r="K10" s="87">
        <f>+cbnavar!B10</f>
        <v>90291</v>
      </c>
      <c r="L10" s="87">
        <f>+scotiavar!B10</f>
        <v>94300</v>
      </c>
      <c r="M10" s="113">
        <f>SUM(K10:L10)</f>
        <v>184591</v>
      </c>
      <c r="N10" s="90">
        <f>+H10+J10+M10</f>
        <v>9932553.3570258524</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f>+bncvar!B11</f>
        <v>10240683.537</v>
      </c>
      <c r="C11" s="87">
        <f>+bphvar!B11</f>
        <v>1474128.9915499999</v>
      </c>
      <c r="D11" s="87">
        <f>+buhvar!B11</f>
        <v>1949652.4415752781</v>
      </c>
      <c r="E11" s="87">
        <f>+capitalbkvar!B11</f>
        <v>3669089</v>
      </c>
      <c r="F11" s="87">
        <f>+sogebkvar!B11</f>
        <v>13434681.62964</v>
      </c>
      <c r="G11" s="87">
        <f>+unibkvar!B11</f>
        <v>16594407.768534468</v>
      </c>
      <c r="H11" s="89">
        <f>SUM(B11:G11)</f>
        <v>47362643.368299745</v>
      </c>
      <c r="I11" s="87">
        <f>+sgbelvar!B11</f>
        <v>583519.22311999998</v>
      </c>
      <c r="J11" s="113">
        <f>SUM(I11:I11)</f>
        <v>583519.22311999998</v>
      </c>
      <c r="K11" s="87">
        <f>+cbnavar!B11</f>
        <v>3209832</v>
      </c>
      <c r="L11" s="87">
        <f>+scotiavar!B11</f>
        <v>2414139</v>
      </c>
      <c r="M11" s="113">
        <f>SUM(K11:L11)</f>
        <v>5623971</v>
      </c>
      <c r="N11" s="90">
        <f>+H11+J11+M11</f>
        <v>53570133.591419742</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f>+bncvar!B12</f>
        <v>459217.15899999999</v>
      </c>
      <c r="C12" s="87">
        <f>+bphvar!B12</f>
        <v>58764.294320000001</v>
      </c>
      <c r="D12" s="87">
        <f>+buhvar!B12</f>
        <v>189898.52423664901</v>
      </c>
      <c r="E12" s="87">
        <f>+capitalbkvar!B12</f>
        <v>699005</v>
      </c>
      <c r="F12" s="87">
        <f>+sogebkvar!B12</f>
        <v>660482.48953999998</v>
      </c>
      <c r="G12" s="87">
        <f>+unibkvar!B12</f>
        <v>1379362.4548048549</v>
      </c>
      <c r="H12" s="89">
        <f>SUM(B12:G12)</f>
        <v>3446729.921901504</v>
      </c>
      <c r="I12" s="87">
        <f>+sgbelvar!B12</f>
        <v>10976.945239999999</v>
      </c>
      <c r="J12" s="113">
        <f>SUM(I12:I12)</f>
        <v>10976.945239999999</v>
      </c>
      <c r="K12" s="87">
        <f>+cbnavar!B12</f>
        <v>-135142</v>
      </c>
      <c r="L12" s="87">
        <f>+scotiavar!B12</f>
        <v>1449049</v>
      </c>
      <c r="M12" s="113">
        <f>SUM(K12:L12)</f>
        <v>1313907</v>
      </c>
      <c r="N12" s="90">
        <f>+H12+J12+M12</f>
        <v>4771613.8671415038</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f>+bncvar!B13</f>
        <v>0</v>
      </c>
      <c r="C13" s="87">
        <f>+bphvar!B13</f>
        <v>0</v>
      </c>
      <c r="D13" s="87">
        <f>+buhvar!B13</f>
        <v>176205.18273558401</v>
      </c>
      <c r="E13" s="87">
        <f>+capitalbkvar!B13</f>
        <v>33668</v>
      </c>
      <c r="F13" s="87">
        <f>+sogebkvar!B13</f>
        <v>28433.644849999997</v>
      </c>
      <c r="G13" s="87">
        <f>+unibkvar!B13</f>
        <v>342.33565446433329</v>
      </c>
      <c r="H13" s="89">
        <f>SUM(B13:G13)</f>
        <v>238649.16324004836</v>
      </c>
      <c r="I13" s="87">
        <f>+sgbelvar!B13</f>
        <v>1715543.7151500001</v>
      </c>
      <c r="J13" s="113">
        <f>SUM(I13:I13)</f>
        <v>1715543.7151500001</v>
      </c>
      <c r="K13" s="87">
        <f>+cbnavar!B13</f>
        <v>0</v>
      </c>
      <c r="L13" s="87">
        <f>+scotiavar!B13</f>
        <v>0</v>
      </c>
      <c r="M13" s="113">
        <f>SUM(K13:L13)</f>
        <v>0</v>
      </c>
      <c r="N13" s="90">
        <f>+H13+J13+M13</f>
        <v>1954192.8783900484</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f>+bncvar!B14</f>
        <v>193459.598</v>
      </c>
      <c r="C14" s="199">
        <f>+bphvar!B14</f>
        <v>28204.022360000003</v>
      </c>
      <c r="D14" s="199">
        <f>+buhvar!B14</f>
        <v>308.82799999999997</v>
      </c>
      <c r="E14" s="199">
        <f>+capitalbkvar!B14</f>
        <v>120729</v>
      </c>
      <c r="F14" s="199">
        <f>+sogebkvar!B14</f>
        <v>53365.673020000002</v>
      </c>
      <c r="G14" s="578">
        <f>+unibkvar!B14</f>
        <v>514388.25774732098</v>
      </c>
      <c r="H14" s="262">
        <f>SUM(B14:G14)</f>
        <v>910455.37912732107</v>
      </c>
      <c r="I14" s="993">
        <f>+sgbelvar!B14</f>
        <v>15550.34153</v>
      </c>
      <c r="J14" s="113">
        <f>SUM(I14:I14)</f>
        <v>15550.34153</v>
      </c>
      <c r="K14" s="722">
        <f>+cbnavar!B14</f>
        <v>115398</v>
      </c>
      <c r="L14" s="578">
        <f>+scotiavar!B14</f>
        <v>34323</v>
      </c>
      <c r="M14" s="262">
        <f>SUM(K14:L14)</f>
        <v>149721</v>
      </c>
      <c r="N14" s="587">
        <f>+H14+J14+M14</f>
        <v>1075726.7206573212</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15578365.977</v>
      </c>
      <c r="C15" s="87">
        <f t="shared" ref="C15:J15" si="0">SUM(C10:C14)</f>
        <v>1719442.21624</v>
      </c>
      <c r="D15" s="87">
        <f t="shared" si="0"/>
        <v>2697877.9434218104</v>
      </c>
      <c r="E15" s="134">
        <f t="shared" si="0"/>
        <v>4901707</v>
      </c>
      <c r="F15" s="87">
        <f t="shared" si="0"/>
        <v>16696860.003529999</v>
      </c>
      <c r="G15" s="87">
        <f t="shared" si="0"/>
        <v>20081261.154802661</v>
      </c>
      <c r="H15" s="89">
        <f t="shared" si="0"/>
        <v>61675514.294994466</v>
      </c>
      <c r="I15" s="24">
        <f t="shared" si="0"/>
        <v>2356516.1196400002</v>
      </c>
      <c r="J15" s="586">
        <f t="shared" si="0"/>
        <v>2356516.1196400002</v>
      </c>
      <c r="K15" s="87">
        <f>SUM(K10:K14)</f>
        <v>3280379</v>
      </c>
      <c r="L15" s="87">
        <f>SUM(L10:L14)</f>
        <v>3991811</v>
      </c>
      <c r="M15" s="113">
        <f>SUM(M10:M14)</f>
        <v>7272190</v>
      </c>
      <c r="N15" s="90">
        <f>SUM(N10:N14)</f>
        <v>71304220.414634466</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f>+bncvar!B17</f>
        <v>3810000</v>
      </c>
      <c r="C17" s="87">
        <f>+bphvar!B17</f>
        <v>223000</v>
      </c>
      <c r="D17" s="87">
        <f>+buhvar!B17</f>
        <v>180000</v>
      </c>
      <c r="E17" s="87">
        <f>+capitalbkvar!B17</f>
        <v>298391</v>
      </c>
      <c r="F17" s="87">
        <f>+sogebkvar!B17</f>
        <v>1300000</v>
      </c>
      <c r="G17" s="87">
        <f>+unibkvar!B17</f>
        <v>0</v>
      </c>
      <c r="H17" s="89">
        <f t="shared" ref="H17:H22" si="1">SUM(B17:G17)</f>
        <v>5811391</v>
      </c>
      <c r="I17" s="87">
        <f>+sgbelvar!B17</f>
        <v>0</v>
      </c>
      <c r="J17" s="113">
        <f t="shared" ref="J17:J22" si="2">SUM(I17:I17)</f>
        <v>0</v>
      </c>
      <c r="K17" s="87">
        <f>+cbnavar!B17</f>
        <v>796833</v>
      </c>
      <c r="L17" s="87">
        <f>+scotiavar!B17</f>
        <v>0</v>
      </c>
      <c r="M17" s="113">
        <f t="shared" ref="M17:M22" si="3">SUM(K17:L17)</f>
        <v>796833</v>
      </c>
      <c r="N17" s="90">
        <f t="shared" ref="N17:N22" si="4">+H17+J17+M17</f>
        <v>6608224</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ht="15.6" customHeight="1">
      <c r="A18" s="10" t="s">
        <v>909</v>
      </c>
      <c r="B18" s="87">
        <f>+bncvar!B18</f>
        <v>2875000</v>
      </c>
      <c r="C18" s="87">
        <f>+bphvar!B18</f>
        <v>0</v>
      </c>
      <c r="D18" s="87">
        <f>+buhvar!B18</f>
        <v>0</v>
      </c>
      <c r="E18" s="87">
        <f>+capitalbkvar!B18</f>
        <v>0</v>
      </c>
      <c r="F18" s="87">
        <f>+sogebkvar!B18</f>
        <v>0</v>
      </c>
      <c r="G18" s="87">
        <f>+unibkvar!B18</f>
        <v>0</v>
      </c>
      <c r="H18" s="89">
        <f t="shared" si="1"/>
        <v>2875000</v>
      </c>
      <c r="I18" s="87">
        <f>+sgbelvar!B18</f>
        <v>0</v>
      </c>
      <c r="J18" s="113">
        <f t="shared" si="2"/>
        <v>0</v>
      </c>
      <c r="K18" s="87">
        <f>+cbnavar!B18</f>
        <v>0</v>
      </c>
      <c r="L18" s="87">
        <f>+scotiavar!B18</f>
        <v>0</v>
      </c>
      <c r="M18" s="113">
        <f t="shared" si="3"/>
        <v>0</v>
      </c>
      <c r="N18" s="90">
        <f t="shared" si="4"/>
        <v>2875000</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262</v>
      </c>
      <c r="B19" s="87">
        <f>+bncvar!B19</f>
        <v>6804854.0197400004</v>
      </c>
      <c r="C19" s="87">
        <f>+bphvar!B19</f>
        <v>66410.106130000029</v>
      </c>
      <c r="D19" s="87">
        <f>+buhvar!B19</f>
        <v>134723.54717347602</v>
      </c>
      <c r="E19" s="87">
        <f>+capitalbkvar!B19</f>
        <v>714956</v>
      </c>
      <c r="F19" s="87">
        <f>+sogebkvar!B19</f>
        <v>11372717.669670001</v>
      </c>
      <c r="G19" s="87">
        <f>+unibkvar!B19</f>
        <v>12545779.202530257</v>
      </c>
      <c r="H19" s="89">
        <f t="shared" si="1"/>
        <v>31639440.545243733</v>
      </c>
      <c r="I19" s="87">
        <f>+sgbelvar!B19</f>
        <v>55612.465030000007</v>
      </c>
      <c r="J19" s="113">
        <f t="shared" si="2"/>
        <v>55612.465030000007</v>
      </c>
      <c r="K19" s="87">
        <f>+cbnavar!B19</f>
        <v>0</v>
      </c>
      <c r="L19" s="87">
        <f>+scotiavar!B19</f>
        <v>0</v>
      </c>
      <c r="M19" s="113">
        <f t="shared" si="3"/>
        <v>0</v>
      </c>
      <c r="N19" s="90">
        <f t="shared" si="4"/>
        <v>31695053.010273732</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357</v>
      </c>
      <c r="B20" s="87">
        <f>+bncvar!B20</f>
        <v>10524694.186369998</v>
      </c>
      <c r="C20" s="87">
        <f>+bphvar!B20</f>
        <v>858993.53526000003</v>
      </c>
      <c r="D20" s="87">
        <f>+buhvar!B20</f>
        <v>2291639.3848394938</v>
      </c>
      <c r="E20" s="87">
        <f>+capitalbkvar!B20</f>
        <v>5637972</v>
      </c>
      <c r="F20" s="87">
        <f>+sogebkvar!B20</f>
        <v>19215072.525990002</v>
      </c>
      <c r="G20" s="87">
        <f>+unibkvar!B20</f>
        <v>24056419.86524</v>
      </c>
      <c r="H20" s="89">
        <f t="shared" si="1"/>
        <v>62584791.497699492</v>
      </c>
      <c r="I20" s="87">
        <f>+sgbelvar!B20</f>
        <v>3345304.2581560002</v>
      </c>
      <c r="J20" s="113">
        <f t="shared" si="2"/>
        <v>3345304.2581560002</v>
      </c>
      <c r="K20" s="87">
        <f>+cbnavar!B20</f>
        <v>1798882</v>
      </c>
      <c r="L20" s="87">
        <f>+scotiavar!B20</f>
        <v>2063611</v>
      </c>
      <c r="M20" s="113">
        <f t="shared" si="3"/>
        <v>3862493</v>
      </c>
      <c r="N20" s="90">
        <f t="shared" si="4"/>
        <v>69792588.755855501</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c r="A21" s="419" t="s">
        <v>264</v>
      </c>
      <c r="B21" s="87">
        <f>+bncvar!B21</f>
        <v>1371154.9584999997</v>
      </c>
      <c r="C21" s="87">
        <f>+bphvar!B21</f>
        <v>305443.18223999999</v>
      </c>
      <c r="D21" s="87">
        <f>+buhvar!B21</f>
        <v>280545.03700000001</v>
      </c>
      <c r="E21" s="87">
        <f>+capitalbkvar!B21</f>
        <v>293320</v>
      </c>
      <c r="F21" s="87">
        <f>+sogebkvar!B21</f>
        <v>2115040.9605199997</v>
      </c>
      <c r="G21" s="87">
        <f>+unibkvar!B21</f>
        <v>1437499.7739299997</v>
      </c>
      <c r="H21" s="89">
        <f t="shared" si="1"/>
        <v>5803003.9121899996</v>
      </c>
      <c r="I21" s="87">
        <f>+sgbelvar!B21</f>
        <v>210745.71995999999</v>
      </c>
      <c r="J21" s="113">
        <f t="shared" si="2"/>
        <v>210745.71995999999</v>
      </c>
      <c r="K21" s="87">
        <f>+cbnavar!B21</f>
        <v>356354</v>
      </c>
      <c r="L21" s="87">
        <f>+scotiavar!B21</f>
        <v>65712</v>
      </c>
      <c r="M21" s="113">
        <f t="shared" si="3"/>
        <v>422066</v>
      </c>
      <c r="N21" s="90">
        <f t="shared" si="4"/>
        <v>6435815.63215</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ht="16.5" thickBot="1">
      <c r="A22" s="419" t="s">
        <v>265</v>
      </c>
      <c r="B22" s="97">
        <f>+bncvar!B22</f>
        <v>1923646.8364599999</v>
      </c>
      <c r="C22" s="97">
        <f>+bphvar!B22</f>
        <v>25590.264609999998</v>
      </c>
      <c r="D22" s="97">
        <f>+buhvar!B22</f>
        <v>48894.990172113896</v>
      </c>
      <c r="E22" s="97">
        <f>+capitalbkvar!B22</f>
        <v>469294</v>
      </c>
      <c r="F22" s="97">
        <f>+sogebkvar!B22</f>
        <v>2406305.5170900002</v>
      </c>
      <c r="G22" s="579">
        <f>+unibkvar!B22</f>
        <v>930133.04784150189</v>
      </c>
      <c r="H22" s="96">
        <f t="shared" si="1"/>
        <v>5803864.6561736166</v>
      </c>
      <c r="I22" s="994">
        <f>+sgbelvar!B22</f>
        <v>145725.66902</v>
      </c>
      <c r="J22" s="115">
        <f t="shared" si="2"/>
        <v>145725.66902</v>
      </c>
      <c r="K22" s="660">
        <f>+cbnavar!B22</f>
        <v>127680</v>
      </c>
      <c r="L22" s="579">
        <f>+scotiavar!B22</f>
        <v>12548</v>
      </c>
      <c r="M22" s="96">
        <f t="shared" si="3"/>
        <v>140228</v>
      </c>
      <c r="N22" s="588">
        <f t="shared" si="4"/>
        <v>6089818.3251936166</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c r="A23" s="419" t="s">
        <v>54</v>
      </c>
      <c r="B23" s="90">
        <f t="shared" ref="B23:J23" si="5">SUM(B15:B22)</f>
        <v>42887715.978069998</v>
      </c>
      <c r="C23" s="90">
        <f t="shared" si="5"/>
        <v>3198879.3044799999</v>
      </c>
      <c r="D23" s="90">
        <f t="shared" si="5"/>
        <v>5633680.9026068952</v>
      </c>
      <c r="E23" s="13">
        <f t="shared" si="5"/>
        <v>12315640</v>
      </c>
      <c r="F23" s="90">
        <f t="shared" si="5"/>
        <v>53105996.676800005</v>
      </c>
      <c r="G23" s="90">
        <f t="shared" si="5"/>
        <v>59051093.044344425</v>
      </c>
      <c r="H23" s="89">
        <f t="shared" si="5"/>
        <v>176193005.90630132</v>
      </c>
      <c r="I23" s="90">
        <f t="shared" si="5"/>
        <v>6113904.2318060007</v>
      </c>
      <c r="J23" s="729">
        <f t="shared" si="5"/>
        <v>6113904.2318060007</v>
      </c>
      <c r="K23" s="13">
        <f>SUM(K15:K22)</f>
        <v>6360128</v>
      </c>
      <c r="L23" s="13">
        <f>SUM(L15:L22)</f>
        <v>6133682</v>
      </c>
      <c r="M23" s="113">
        <f>SUM(M15:M22)</f>
        <v>12493810</v>
      </c>
      <c r="N23" s="90">
        <f>SUM(N15:N22)</f>
        <v>194800720.1381073</v>
      </c>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ht="15.6" customHeight="1">
      <c r="A24" s="419"/>
      <c r="B24" s="98" t="s">
        <v>0</v>
      </c>
      <c r="C24" s="88" t="s">
        <v>0</v>
      </c>
      <c r="D24" s="87"/>
      <c r="E24" s="88" t="s">
        <v>0</v>
      </c>
      <c r="F24" s="87"/>
      <c r="G24" s="87"/>
      <c r="H24" s="93"/>
      <c r="I24" s="87"/>
      <c r="J24" s="565"/>
      <c r="K24" s="87"/>
      <c r="L24" s="87" t="s">
        <v>0</v>
      </c>
      <c r="M24" s="114"/>
      <c r="N24" s="90"/>
      <c r="O24" s="64"/>
      <c r="P24" s="728"/>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21" t="s">
        <v>266</v>
      </c>
      <c r="B25" s="98" t="s">
        <v>0</v>
      </c>
      <c r="C25" s="88" t="s">
        <v>0</v>
      </c>
      <c r="D25" s="87"/>
      <c r="E25" s="88" t="s">
        <v>0</v>
      </c>
      <c r="F25" s="87" t="s">
        <v>0</v>
      </c>
      <c r="G25" s="87"/>
      <c r="H25" s="1408" t="s">
        <v>0</v>
      </c>
      <c r="I25" s="87"/>
      <c r="J25" s="565"/>
      <c r="K25" s="87"/>
      <c r="L25" s="87" t="s">
        <v>0</v>
      </c>
      <c r="M25" s="114"/>
      <c r="N25" s="90" t="s">
        <v>0</v>
      </c>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267</v>
      </c>
      <c r="B26" s="98" t="s">
        <v>0</v>
      </c>
      <c r="C26" s="88" t="s">
        <v>0</v>
      </c>
      <c r="D26" s="87"/>
      <c r="E26" s="88" t="s">
        <v>0</v>
      </c>
      <c r="F26" s="87"/>
      <c r="G26" s="87"/>
      <c r="H26" s="93"/>
      <c r="I26" s="87"/>
      <c r="J26" s="565"/>
      <c r="K26" s="87"/>
      <c r="L26" s="87" t="s">
        <v>0</v>
      </c>
      <c r="M26" s="114"/>
      <c r="N26" s="90"/>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268</v>
      </c>
      <c r="B27" s="87">
        <f>+bncvar!B27</f>
        <v>20074139.496650003</v>
      </c>
      <c r="C27" s="87">
        <f>+bphvar!B27</f>
        <v>1426485.50697</v>
      </c>
      <c r="D27" s="87">
        <f>+buhvar!B27</f>
        <v>1619897.1617202419</v>
      </c>
      <c r="E27" s="87">
        <f>+capitalbkvar!B27</f>
        <v>5535253</v>
      </c>
      <c r="F27" s="87">
        <f>+sogebkvar!B27</f>
        <v>14786946.016360004</v>
      </c>
      <c r="G27" s="87">
        <f>+unibkvar!B27</f>
        <v>22792767.486483052</v>
      </c>
      <c r="H27" s="89">
        <f>SUM(B27:G27)</f>
        <v>66235488.668183297</v>
      </c>
      <c r="I27" s="87">
        <f>+sgbelvar!B27</f>
        <v>1083757.2214300002</v>
      </c>
      <c r="J27" s="113">
        <f>SUM(I27:I27)</f>
        <v>1083757.2214300002</v>
      </c>
      <c r="K27" s="87">
        <f>+cbnavar!B27</f>
        <v>3912349</v>
      </c>
      <c r="L27" s="87">
        <f>+scotiavar!B27</f>
        <v>3211364</v>
      </c>
      <c r="M27" s="113">
        <f>SUM(K27:L27)</f>
        <v>7123713</v>
      </c>
      <c r="N27" s="90">
        <f>+H27+J27+M27</f>
        <v>74442958.889613301</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269</v>
      </c>
      <c r="B28" s="87">
        <f>+bncvar!B28</f>
        <v>9826355.452610001</v>
      </c>
      <c r="C28" s="87">
        <f>+bphvar!B28</f>
        <v>579932.58106</v>
      </c>
      <c r="D28" s="87">
        <f>+buhvar!B28</f>
        <v>1841834.3011840901</v>
      </c>
      <c r="E28" s="87">
        <f>+capitalbkvar!B28</f>
        <v>2676583</v>
      </c>
      <c r="F28" s="87">
        <f>+sogebkvar!B28</f>
        <v>18578344.729940001</v>
      </c>
      <c r="G28" s="87">
        <f>+unibkvar!B28</f>
        <v>20288168.454900607</v>
      </c>
      <c r="H28" s="89">
        <f>SUM(B28:G28)</f>
        <v>53791218.519694701</v>
      </c>
      <c r="I28" s="87">
        <f>+sgbelvar!B28</f>
        <v>508819.43869999994</v>
      </c>
      <c r="J28" s="113">
        <f>SUM(I28:I28)</f>
        <v>508819.43869999994</v>
      </c>
      <c r="K28" s="87">
        <f>+cbnavar!B28</f>
        <v>294638</v>
      </c>
      <c r="L28" s="87">
        <f>+scotiavar!B28</f>
        <v>1689229</v>
      </c>
      <c r="M28" s="113">
        <f>SUM(K28:L28)</f>
        <v>1983867</v>
      </c>
      <c r="N28" s="90">
        <f>+H28+J28+M28</f>
        <v>56283904.958394699</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t="s">
        <v>270</v>
      </c>
      <c r="B29" s="199">
        <f>+bncvar!B29</f>
        <v>3975505.8221100001</v>
      </c>
      <c r="C29" s="199">
        <f>+bphvar!B29</f>
        <v>871487.54196000006</v>
      </c>
      <c r="D29" s="199">
        <f>+buhvar!B29</f>
        <v>1237077.9101916431</v>
      </c>
      <c r="E29" s="199">
        <f>+capitalbkvar!B29</f>
        <v>2207658</v>
      </c>
      <c r="F29" s="199">
        <f>+sogebkvar!B29</f>
        <v>9479328.16206</v>
      </c>
      <c r="G29" s="578">
        <f>+unibkvar!B29</f>
        <v>6403840.1414921256</v>
      </c>
      <c r="H29" s="262">
        <f>SUM(B29:G29)</f>
        <v>24174897.577813767</v>
      </c>
      <c r="I29" s="993">
        <f>+sgbelvar!B29</f>
        <v>2952640.3953400003</v>
      </c>
      <c r="J29" s="113">
        <f>SUM(I29:I29)</f>
        <v>2952640.3953400003</v>
      </c>
      <c r="K29" s="722">
        <f>+cbnavar!B29</f>
        <v>381091</v>
      </c>
      <c r="L29" s="578">
        <f>+scotiavar!B29</f>
        <v>325603</v>
      </c>
      <c r="M29" s="262">
        <f>SUM(K29:L29)</f>
        <v>706694</v>
      </c>
      <c r="N29" s="587">
        <f>+H29+J29+M29</f>
        <v>27834231.973153766</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c r="A30" s="419"/>
      <c r="B30" s="87">
        <f t="shared" ref="B30:J30" si="6">SUM(B27:B29)</f>
        <v>33876000.771370001</v>
      </c>
      <c r="C30" s="87">
        <f t="shared" si="6"/>
        <v>2877905.6299900003</v>
      </c>
      <c r="D30" s="87">
        <f t="shared" si="6"/>
        <v>4698809.3730959753</v>
      </c>
      <c r="E30" s="87">
        <f t="shared" si="6"/>
        <v>10419494</v>
      </c>
      <c r="F30" s="87">
        <f t="shared" si="6"/>
        <v>42844618.908360004</v>
      </c>
      <c r="G30" s="87">
        <f t="shared" si="6"/>
        <v>49484776.082875788</v>
      </c>
      <c r="H30" s="89">
        <f t="shared" si="6"/>
        <v>144201604.76569176</v>
      </c>
      <c r="I30" s="87">
        <f t="shared" si="6"/>
        <v>4545217.055470001</v>
      </c>
      <c r="J30" s="586">
        <f t="shared" si="6"/>
        <v>4545217.055470001</v>
      </c>
      <c r="K30" s="87">
        <f>SUM(K27:K29)</f>
        <v>4588078</v>
      </c>
      <c r="L30" s="87">
        <f>SUM(L27:L29)</f>
        <v>5226196</v>
      </c>
      <c r="M30" s="113">
        <f>SUM(M27:M29)</f>
        <v>9814274</v>
      </c>
      <c r="N30" s="90">
        <f>SUM(N27:N29)</f>
        <v>158561095.82116178</v>
      </c>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ht="7.9" customHeight="1">
      <c r="A31" s="419"/>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271</v>
      </c>
      <c r="B32" s="98" t="s">
        <v>0</v>
      </c>
      <c r="C32" s="88" t="s">
        <v>0</v>
      </c>
      <c r="D32" s="87"/>
      <c r="E32" s="88" t="s">
        <v>0</v>
      </c>
      <c r="F32" s="87"/>
      <c r="G32" s="87"/>
      <c r="H32" s="89"/>
      <c r="I32" s="87"/>
      <c r="J32" s="113"/>
      <c r="K32" s="87"/>
      <c r="L32" s="87" t="s">
        <v>0</v>
      </c>
      <c r="M32" s="113"/>
      <c r="N32" s="90"/>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272</v>
      </c>
      <c r="B33" s="87">
        <f>+bncvar!B33</f>
        <v>0</v>
      </c>
      <c r="C33" s="87">
        <f>+bphvar!B33</f>
        <v>0</v>
      </c>
      <c r="D33" s="87">
        <f>+buhvar!B33</f>
        <v>0</v>
      </c>
      <c r="E33" s="87">
        <f>+capitalbkvar!B33</f>
        <v>0</v>
      </c>
      <c r="F33" s="87">
        <f>+sogebkvar!B33</f>
        <v>0</v>
      </c>
      <c r="G33" s="87">
        <f>+unibkvar!B33</f>
        <v>0</v>
      </c>
      <c r="H33" s="89">
        <f>SUM(B33:G33)</f>
        <v>0</v>
      </c>
      <c r="I33" s="87">
        <f>+sgbelvar!B33</f>
        <v>0</v>
      </c>
      <c r="J33" s="113">
        <f>SUM(I33:I33)</f>
        <v>0</v>
      </c>
      <c r="K33" s="87">
        <f>+cbnavar!B33</f>
        <v>300000</v>
      </c>
      <c r="L33" s="87">
        <f>+scotiavar!B33</f>
        <v>0</v>
      </c>
      <c r="M33" s="113">
        <f>SUM(K33:L33)</f>
        <v>300000</v>
      </c>
      <c r="N33" s="90">
        <f>+H33+J33+M33</f>
        <v>300000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c r="A34" s="419" t="s">
        <v>273</v>
      </c>
      <c r="B34" s="87">
        <f>+bncvar!B34</f>
        <v>0</v>
      </c>
      <c r="C34" s="87">
        <f>+bphvar!B34</f>
        <v>0</v>
      </c>
      <c r="D34" s="87">
        <f>+buhvar!B34</f>
        <v>0</v>
      </c>
      <c r="E34" s="87">
        <f>+capitalbkvar!B34</f>
        <v>0</v>
      </c>
      <c r="F34" s="87">
        <f>+sogebkvar!B34</f>
        <v>0</v>
      </c>
      <c r="G34" s="87">
        <f>+unibkvar!B34</f>
        <v>0</v>
      </c>
      <c r="H34" s="89">
        <f>SUM(B34:G34)</f>
        <v>0</v>
      </c>
      <c r="I34" s="87">
        <f>+sgbelvar!B34</f>
        <v>0</v>
      </c>
      <c r="J34" s="113">
        <f>SUM(I34:I34)</f>
        <v>0</v>
      </c>
      <c r="K34" s="87">
        <f>+cbnavar!B34</f>
        <v>140243</v>
      </c>
      <c r="L34" s="87">
        <f>+scotiavar!B34</f>
        <v>0</v>
      </c>
      <c r="M34" s="113">
        <f>SUM(K34:L34)</f>
        <v>140243</v>
      </c>
      <c r="N34" s="90">
        <f>+H34+J34+M34</f>
        <v>140243</v>
      </c>
      <c r="O34" s="64"/>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row>
    <row r="35" spans="1:38" ht="17.25">
      <c r="A35" s="419" t="s">
        <v>274</v>
      </c>
      <c r="B35" s="199">
        <f>+bncvar!B35</f>
        <v>1603464.97673</v>
      </c>
      <c r="C35" s="199">
        <f>+bphvar!B35</f>
        <v>180382.06825130701</v>
      </c>
      <c r="D35" s="199">
        <f>+buhvar!B35</f>
        <v>242476.060946212</v>
      </c>
      <c r="E35" s="199">
        <f>+capitalbkvar!B35</f>
        <v>334252</v>
      </c>
      <c r="F35" s="199">
        <f>+sogebkvar!B35</f>
        <v>1500006.6468</v>
      </c>
      <c r="G35" s="578">
        <f>+unibkvar!B35</f>
        <v>2209055.4804472663</v>
      </c>
      <c r="H35" s="262">
        <f>SUM(B35:G35)</f>
        <v>6069637.233174785</v>
      </c>
      <c r="I35" s="993">
        <f>+sgbelvar!B35</f>
        <v>87823.308000000005</v>
      </c>
      <c r="J35" s="113">
        <f>SUM(I35:I35)</f>
        <v>87823.308000000005</v>
      </c>
      <c r="K35" s="722">
        <f>+cbnavar!B35</f>
        <v>706720</v>
      </c>
      <c r="L35" s="578">
        <f>+scotiavar!B35</f>
        <v>229687</v>
      </c>
      <c r="M35" s="262">
        <f>SUM(K35:L35)</f>
        <v>936407</v>
      </c>
      <c r="N35" s="587">
        <f>+H35+J35+M35</f>
        <v>7093867.5411747852</v>
      </c>
      <c r="O35" s="68"/>
      <c r="P35" s="424"/>
      <c r="Q35" s="424"/>
      <c r="R35" s="424"/>
      <c r="S35" s="419"/>
      <c r="T35" s="419"/>
      <c r="U35" s="419"/>
      <c r="V35" s="419"/>
      <c r="W35" s="419"/>
      <c r="X35" s="419"/>
      <c r="Y35" s="419"/>
      <c r="Z35" s="419"/>
      <c r="AA35" s="419"/>
      <c r="AB35" s="419"/>
      <c r="AC35" s="419"/>
      <c r="AD35" s="419"/>
      <c r="AE35" s="419"/>
      <c r="AF35" s="419"/>
      <c r="AG35" s="419"/>
      <c r="AH35" s="419"/>
      <c r="AI35" s="419"/>
      <c r="AJ35" s="419"/>
      <c r="AK35" s="419"/>
      <c r="AL35" s="419"/>
    </row>
    <row r="36" spans="1:38">
      <c r="A36" s="419"/>
      <c r="B36" s="87">
        <f t="shared" ref="B36:J36" si="7">SUM(B33:B35)</f>
        <v>1603464.97673</v>
      </c>
      <c r="C36" s="87">
        <f t="shared" si="7"/>
        <v>180382.06825130701</v>
      </c>
      <c r="D36" s="87">
        <f t="shared" si="7"/>
        <v>242476.060946212</v>
      </c>
      <c r="E36" s="87">
        <f t="shared" si="7"/>
        <v>334252</v>
      </c>
      <c r="F36" s="87">
        <f t="shared" si="7"/>
        <v>1500006.6468</v>
      </c>
      <c r="G36" s="87">
        <f t="shared" si="7"/>
        <v>2209055.4804472663</v>
      </c>
      <c r="H36" s="89">
        <f t="shared" si="7"/>
        <v>6069637.233174785</v>
      </c>
      <c r="I36" s="87">
        <f t="shared" si="7"/>
        <v>87823.308000000005</v>
      </c>
      <c r="J36" s="586">
        <f t="shared" si="7"/>
        <v>87823.308000000005</v>
      </c>
      <c r="K36" s="87">
        <f>SUM(K33:K35)</f>
        <v>1146963</v>
      </c>
      <c r="L36" s="87">
        <f>SUM(L33:L35)</f>
        <v>229687</v>
      </c>
      <c r="M36" s="113">
        <f>SUM(M33:M35)</f>
        <v>1376650</v>
      </c>
      <c r="N36" s="90">
        <f>SUM(N33:N35)</f>
        <v>7534110.5411747852</v>
      </c>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ht="7.15" customHeight="1">
      <c r="A37" s="419"/>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275</v>
      </c>
      <c r="B38" s="98" t="s">
        <v>0</v>
      </c>
      <c r="C38" s="88" t="s">
        <v>0</v>
      </c>
      <c r="D38" s="87"/>
      <c r="E38" s="88" t="s">
        <v>0</v>
      </c>
      <c r="F38" s="87"/>
      <c r="G38" s="87"/>
      <c r="H38" s="89"/>
      <c r="I38" s="87"/>
      <c r="J38" s="113"/>
      <c r="K38" s="87"/>
      <c r="L38" s="87" t="s">
        <v>0</v>
      </c>
      <c r="M38" s="113"/>
      <c r="N38" s="90"/>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272</v>
      </c>
      <c r="B39" s="87">
        <f>+bncvar!B39</f>
        <v>3000</v>
      </c>
      <c r="C39" s="87">
        <f>+bphvar!B39</f>
        <v>7132.5</v>
      </c>
      <c r="D39" s="87">
        <f>+buhvar!B39</f>
        <v>200000</v>
      </c>
      <c r="E39" s="87">
        <f>+capitalbkvar!B39</f>
        <v>0</v>
      </c>
      <c r="F39" s="87">
        <f>+sogebkvar!B39</f>
        <v>0</v>
      </c>
      <c r="G39" s="87">
        <f>+unibkvar!B39</f>
        <v>0</v>
      </c>
      <c r="H39" s="89">
        <f>SUM(B39:G39)</f>
        <v>210132.5</v>
      </c>
      <c r="I39" s="87">
        <f>+sgbelvar!B39</f>
        <v>855000</v>
      </c>
      <c r="J39" s="113">
        <f>SUM(I39:I39)</f>
        <v>855000</v>
      </c>
      <c r="K39" s="87">
        <f>+cbnavar!B39</f>
        <v>0</v>
      </c>
      <c r="L39" s="87">
        <f>+scotiavar!B39</f>
        <v>0</v>
      </c>
      <c r="M39" s="113">
        <f>SUM(K39:L39)</f>
        <v>0</v>
      </c>
      <c r="N39" s="90">
        <f>+H39+J39+M39</f>
        <v>1065132.5</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276</v>
      </c>
      <c r="B40" s="87">
        <f>+bncvar!B40</f>
        <v>0</v>
      </c>
      <c r="C40" s="87">
        <f>+bphvar!B40</f>
        <v>0</v>
      </c>
      <c r="D40" s="87">
        <f>+buhvar!B40</f>
        <v>0</v>
      </c>
      <c r="E40" s="87">
        <f>+capitalbkvar!B40</f>
        <v>0</v>
      </c>
      <c r="F40" s="87">
        <f>+sogebkvar!B40</f>
        <v>2467523.4976900001</v>
      </c>
      <c r="G40" s="87">
        <f>+unibkvar!B40</f>
        <v>607720.1</v>
      </c>
      <c r="H40" s="89">
        <f>SUM(B40:G40)</f>
        <v>3075243.5976900002</v>
      </c>
      <c r="I40" s="87">
        <f>+sgbelvar!B40</f>
        <v>0</v>
      </c>
      <c r="J40" s="113">
        <f>SUM(I40:I40)</f>
        <v>0</v>
      </c>
      <c r="K40" s="87">
        <f>+cbnavar!B40</f>
        <v>0</v>
      </c>
      <c r="L40" s="87">
        <f>+scotiavar!B40</f>
        <v>0</v>
      </c>
      <c r="M40" s="113">
        <f>SUM(K40:L40)</f>
        <v>0</v>
      </c>
      <c r="N40" s="90">
        <f>+H40+J40+M40</f>
        <v>3075243.5976900002</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t="s">
        <v>274</v>
      </c>
      <c r="B41" s="199">
        <f>+bncvar!B41</f>
        <v>3357144.62518</v>
      </c>
      <c r="C41" s="199">
        <f>+bphvar!B41</f>
        <v>4534.2293600000003</v>
      </c>
      <c r="D41" s="199">
        <f>+buhvar!B41</f>
        <v>1670.0527500000001</v>
      </c>
      <c r="E41" s="199">
        <f>+capitalbkvar!B41</f>
        <v>60293</v>
      </c>
      <c r="F41" s="199">
        <f>+sogebkvar!B41</f>
        <v>517789.09642000031</v>
      </c>
      <c r="G41" s="578">
        <f>+unibkvar!B41</f>
        <v>448356.15104296198</v>
      </c>
      <c r="H41" s="262">
        <f>SUM(B41:G41)</f>
        <v>4389787.1547529623</v>
      </c>
      <c r="I41" s="993">
        <f>+sgbelvar!B41</f>
        <v>63772.701469999971</v>
      </c>
      <c r="J41" s="113">
        <f>SUM(I41:I41)</f>
        <v>63772.701469999971</v>
      </c>
      <c r="K41" s="722">
        <f>+cbnavar!B41</f>
        <v>125367</v>
      </c>
      <c r="L41" s="578">
        <f>+scotiavar!B41</f>
        <v>29171</v>
      </c>
      <c r="M41" s="262">
        <f>SUM(K41:L41)</f>
        <v>154538</v>
      </c>
      <c r="N41" s="587">
        <f>+H41+J41+M41</f>
        <v>4608097.856222962</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c r="A42" s="419"/>
      <c r="B42" s="87">
        <f t="shared" ref="B42:J42" si="8">SUM(B39:B41)</f>
        <v>3360144.62518</v>
      </c>
      <c r="C42" s="87">
        <f t="shared" si="8"/>
        <v>11666.729360000001</v>
      </c>
      <c r="D42" s="87">
        <f t="shared" si="8"/>
        <v>201670.05275</v>
      </c>
      <c r="E42" s="87">
        <f t="shared" si="8"/>
        <v>60293</v>
      </c>
      <c r="F42" s="87">
        <f t="shared" si="8"/>
        <v>2985312.5941100004</v>
      </c>
      <c r="G42" s="87">
        <f t="shared" si="8"/>
        <v>1056076.2510429621</v>
      </c>
      <c r="H42" s="89">
        <f t="shared" si="8"/>
        <v>7675163.2524429625</v>
      </c>
      <c r="I42" s="87">
        <f t="shared" si="8"/>
        <v>918772.70146999997</v>
      </c>
      <c r="J42" s="585">
        <f t="shared" si="8"/>
        <v>918772.70146999997</v>
      </c>
      <c r="K42" s="87">
        <f>SUM(K39:K41)</f>
        <v>125367</v>
      </c>
      <c r="L42" s="87">
        <f>SUM(L39:L41)</f>
        <v>29171</v>
      </c>
      <c r="M42" s="113">
        <f>SUM(M39:M41)</f>
        <v>154538</v>
      </c>
      <c r="N42" s="90">
        <f>SUM(N39:N41)</f>
        <v>8748473.9539129622</v>
      </c>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8.4499999999999993" customHeight="1">
      <c r="A43" s="419"/>
      <c r="B43" s="98" t="s">
        <v>0</v>
      </c>
      <c r="C43" s="88" t="s">
        <v>0</v>
      </c>
      <c r="D43" s="87"/>
      <c r="E43" s="88" t="s">
        <v>0</v>
      </c>
      <c r="F43" s="87"/>
      <c r="G43" s="87"/>
      <c r="H43" s="89"/>
      <c r="I43" s="87"/>
      <c r="J43" s="113"/>
      <c r="K43" s="87"/>
      <c r="L43" s="87" t="s">
        <v>0</v>
      </c>
      <c r="M43" s="113"/>
      <c r="N43" s="90"/>
      <c r="O43" s="64"/>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ht="17.25">
      <c r="A44" s="419" t="s">
        <v>277</v>
      </c>
      <c r="B44" s="199">
        <f>+bncvar!B44</f>
        <v>856742.446</v>
      </c>
      <c r="C44" s="199">
        <f>+bphvar!B44</f>
        <v>1162.3920700000001</v>
      </c>
      <c r="D44" s="199">
        <f>+buhvar!B44</f>
        <v>208053.94415511104</v>
      </c>
      <c r="E44" s="199">
        <f>+capitalbkvar!B44</f>
        <v>427259</v>
      </c>
      <c r="F44" s="199">
        <f>+sogebkvar!B44</f>
        <v>1894965.9864400001</v>
      </c>
      <c r="G44" s="578">
        <f>+unibkvar!B44</f>
        <v>503987.09549473604</v>
      </c>
      <c r="H44" s="262">
        <f>SUM(B44:G44)</f>
        <v>3892170.8641598471</v>
      </c>
      <c r="I44" s="993">
        <f>+sgbelvar!B44</f>
        <v>68401.416389999984</v>
      </c>
      <c r="J44" s="113">
        <f>SUM(I44:I44)</f>
        <v>68401.416389999984</v>
      </c>
      <c r="K44" s="722">
        <f>+cbnavar!B44</f>
        <v>109545</v>
      </c>
      <c r="L44" s="578">
        <f>+scotiavar!B44</f>
        <v>375869</v>
      </c>
      <c r="M44" s="262">
        <f>SUM(K44:L44)</f>
        <v>485414</v>
      </c>
      <c r="N44" s="587">
        <f>+H44+J44+M44</f>
        <v>4445986.2805498466</v>
      </c>
      <c r="O44" s="68"/>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c r="A45" s="419"/>
      <c r="B45" s="87">
        <f t="shared" ref="B45:G45" si="9">+B30+B36+B42+B44</f>
        <v>39696352.819279999</v>
      </c>
      <c r="C45" s="87">
        <f t="shared" si="9"/>
        <v>3071116.8196713077</v>
      </c>
      <c r="D45" s="87">
        <f t="shared" si="9"/>
        <v>5351009.4309472982</v>
      </c>
      <c r="E45" s="87">
        <f t="shared" si="9"/>
        <v>11241298</v>
      </c>
      <c r="F45" s="87">
        <f t="shared" si="9"/>
        <v>49224904.135710001</v>
      </c>
      <c r="G45" s="87">
        <f t="shared" si="9"/>
        <v>53253894.909860753</v>
      </c>
      <c r="H45" s="89">
        <f>SUM(B45:G45)</f>
        <v>161838576.11546937</v>
      </c>
      <c r="I45" s="87">
        <f>+I30+I36+I42+I44</f>
        <v>5620214.4813300008</v>
      </c>
      <c r="J45" s="585">
        <f>+J30+J36+J42+J44</f>
        <v>5620214.4813300008</v>
      </c>
      <c r="K45" s="87">
        <f>+K30+K36+K42+K44</f>
        <v>5969953</v>
      </c>
      <c r="L45" s="87">
        <f>+L30+L36+L42+L44</f>
        <v>5860923</v>
      </c>
      <c r="M45" s="113">
        <f>SUM(K45:L45)</f>
        <v>11830876</v>
      </c>
      <c r="N45" s="90">
        <f>+H45+J45+M45</f>
        <v>179289666.59679937</v>
      </c>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ht="15.6" customHeight="1">
      <c r="A46" s="419"/>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25" t="s">
        <v>278</v>
      </c>
      <c r="B47" s="98" t="s">
        <v>0</v>
      </c>
      <c r="C47" s="88" t="s">
        <v>0</v>
      </c>
      <c r="D47" s="87"/>
      <c r="E47" s="88" t="s">
        <v>0</v>
      </c>
      <c r="F47" s="87"/>
      <c r="G47" s="87"/>
      <c r="H47" s="89"/>
      <c r="I47" s="87"/>
      <c r="J47" s="113"/>
      <c r="K47" s="87"/>
      <c r="L47" s="87" t="s">
        <v>0</v>
      </c>
      <c r="M47" s="113"/>
      <c r="N47" s="90"/>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279</v>
      </c>
      <c r="B48" s="87">
        <f>+bncvar!B48</f>
        <v>1500000</v>
      </c>
      <c r="C48" s="87">
        <f>+bphvar!B48</f>
        <v>165000</v>
      </c>
      <c r="D48" s="87">
        <f>+buhvar!B48</f>
        <v>448651</v>
      </c>
      <c r="E48" s="87">
        <f>+capitalbkvar!B48</f>
        <v>270000</v>
      </c>
      <c r="F48" s="87">
        <f>+sogebkvar!B48</f>
        <v>1200000</v>
      </c>
      <c r="G48" s="87">
        <f>+unibkvar!B48</f>
        <v>2092652</v>
      </c>
      <c r="H48" s="89">
        <f>SUM(B48:G48)</f>
        <v>5676303</v>
      </c>
      <c r="I48" s="87">
        <f>+sgbelvar!B48</f>
        <v>150000</v>
      </c>
      <c r="J48" s="113">
        <f>SUM(I48:I48)</f>
        <v>150000</v>
      </c>
      <c r="K48" s="87">
        <f>+cbnavar!B48</f>
        <v>103837</v>
      </c>
      <c r="L48" s="87">
        <f>+scotiavar!B48</f>
        <v>94373</v>
      </c>
      <c r="M48" s="113">
        <f>SUM(K48:L48)</f>
        <v>198210</v>
      </c>
      <c r="N48" s="90">
        <f>+H48+J48+M48</f>
        <v>6024513</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280</v>
      </c>
      <c r="B49" s="87">
        <f>+bncvar!B49</f>
        <v>327016.25258000003</v>
      </c>
      <c r="C49" s="87">
        <f>+bphvar!B49</f>
        <v>87983</v>
      </c>
      <c r="D49" s="87">
        <f>+buhvar!B49</f>
        <v>33754.820760000002</v>
      </c>
      <c r="E49" s="87">
        <f>+capitalbkvar!B49</f>
        <v>206958</v>
      </c>
      <c r="F49" s="87">
        <f>+sogebkvar!B49</f>
        <v>1221203.99306</v>
      </c>
      <c r="G49" s="87">
        <f>+unibkvar!B49</f>
        <v>867190.37237999996</v>
      </c>
      <c r="H49" s="89">
        <f>SUM(B49:G49)</f>
        <v>2744106.43878</v>
      </c>
      <c r="I49" s="87">
        <f>+sgbelvar!B49</f>
        <v>166509.38644</v>
      </c>
      <c r="J49" s="113">
        <f>SUM(I49:I49)</f>
        <v>166509.38644</v>
      </c>
      <c r="K49" s="87">
        <f>+cbnavar!B49</f>
        <v>70114</v>
      </c>
      <c r="L49" s="87">
        <f>+scotiavar!B49</f>
        <v>72418</v>
      </c>
      <c r="M49" s="113">
        <f>SUM(K49:L49)</f>
        <v>142532</v>
      </c>
      <c r="N49" s="90">
        <f>+H49+J49+M49</f>
        <v>3053147.82522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c r="A50" s="419" t="s">
        <v>281</v>
      </c>
      <c r="B50" s="87">
        <f>+bncvar!B50</f>
        <v>0</v>
      </c>
      <c r="C50" s="87">
        <f>+bphvar!B50</f>
        <v>14325</v>
      </c>
      <c r="D50" s="87">
        <f>+buhvar!B50</f>
        <v>93847.200150000004</v>
      </c>
      <c r="E50" s="87">
        <f>+capitalbkvar!B50</f>
        <v>1384</v>
      </c>
      <c r="F50" s="87">
        <f>+sogebkvar!B50</f>
        <v>98479.455170000001</v>
      </c>
      <c r="G50" s="87">
        <f>+unibkvar!B50</f>
        <v>0</v>
      </c>
      <c r="H50" s="89">
        <f>SUM(B50:G50)</f>
        <v>208035.65532000002</v>
      </c>
      <c r="I50" s="87">
        <f>+sgbelvar!B50</f>
        <v>0</v>
      </c>
      <c r="J50" s="113">
        <f>SUM(I50:I50)</f>
        <v>0</v>
      </c>
      <c r="K50" s="87">
        <f>+cbnavar!B50</f>
        <v>0</v>
      </c>
      <c r="L50" s="87">
        <f>+scotiavar!B50</f>
        <v>0</v>
      </c>
      <c r="M50" s="113">
        <f>SUM(K50:L50)</f>
        <v>0</v>
      </c>
      <c r="N50" s="90">
        <f>+H50+J50+M50</f>
        <v>208035.65532000002</v>
      </c>
      <c r="O50" s="64"/>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row>
    <row r="51" spans="1:38" ht="17.25">
      <c r="A51" s="419" t="s">
        <v>282</v>
      </c>
      <c r="B51" s="199">
        <f>+bncvar!B51</f>
        <v>1364346.9051700002</v>
      </c>
      <c r="C51" s="199">
        <f>+bphvar!B51</f>
        <v>-139545.51522999999</v>
      </c>
      <c r="D51" s="199">
        <f>+buhvar!B51</f>
        <v>-293581.54925000004</v>
      </c>
      <c r="E51" s="199">
        <f>+capitalbkvar!B51</f>
        <v>596000</v>
      </c>
      <c r="F51" s="199">
        <f>+sogebkvar!B51</f>
        <v>1361409.0928600004</v>
      </c>
      <c r="G51" s="578">
        <f>+unibkvar!B51</f>
        <v>2837355.7598899999</v>
      </c>
      <c r="H51" s="262">
        <f>SUM(B51:G51)</f>
        <v>5725984.6934399996</v>
      </c>
      <c r="I51" s="993">
        <f>+sgbelvar!B51</f>
        <v>177180.36401000002</v>
      </c>
      <c r="J51" s="113">
        <f>SUM(I51:I51)</f>
        <v>177180.36401000002</v>
      </c>
      <c r="K51" s="722">
        <f>+cbnavar!B51</f>
        <v>216224</v>
      </c>
      <c r="L51" s="578">
        <f>+scotiavar!B51</f>
        <v>105968</v>
      </c>
      <c r="M51" s="262">
        <f>SUM(K51:L51)</f>
        <v>322192</v>
      </c>
      <c r="N51" s="587">
        <f>+H51+J51+M51</f>
        <v>6225357.0574499993</v>
      </c>
      <c r="O51" s="64"/>
      <c r="P51" s="424"/>
      <c r="Q51" s="424"/>
      <c r="R51" s="424"/>
      <c r="S51" s="419"/>
      <c r="T51" s="419"/>
      <c r="U51" s="419"/>
      <c r="V51" s="419"/>
      <c r="W51" s="419"/>
      <c r="X51" s="419"/>
      <c r="Y51" s="419"/>
      <c r="Z51" s="419"/>
      <c r="AA51" s="419"/>
      <c r="AB51" s="419"/>
      <c r="AC51" s="419"/>
      <c r="AD51" s="419"/>
      <c r="AE51" s="419"/>
      <c r="AF51" s="419"/>
      <c r="AG51" s="419"/>
      <c r="AH51" s="419"/>
      <c r="AI51" s="419"/>
      <c r="AJ51" s="419"/>
      <c r="AK51" s="419"/>
      <c r="AL51" s="419"/>
    </row>
    <row r="52" spans="1:38" ht="16.5" thickBot="1">
      <c r="A52" s="419" t="s">
        <v>54</v>
      </c>
      <c r="B52" s="97">
        <f t="shared" ref="B52:G52" si="10">SUM(B48:B51)</f>
        <v>3191363.1577500002</v>
      </c>
      <c r="C52" s="97">
        <f t="shared" si="10"/>
        <v>127762.48477000001</v>
      </c>
      <c r="D52" s="97">
        <f t="shared" si="10"/>
        <v>282671.47166000004</v>
      </c>
      <c r="E52" s="97">
        <f t="shared" si="10"/>
        <v>1074342</v>
      </c>
      <c r="F52" s="97">
        <f t="shared" si="10"/>
        <v>3881092.5410900004</v>
      </c>
      <c r="G52" s="97">
        <f t="shared" si="10"/>
        <v>5797198.1322699999</v>
      </c>
      <c r="H52" s="96">
        <f>SUM(B52:G52)</f>
        <v>14354429.78754</v>
      </c>
      <c r="I52" s="993">
        <f t="shared" ref="I52:N52" si="11">SUM(I48:I51)</f>
        <v>493689.75045000005</v>
      </c>
      <c r="J52" s="584">
        <f t="shared" si="11"/>
        <v>493689.75045000005</v>
      </c>
      <c r="K52" s="97">
        <f t="shared" si="11"/>
        <v>390175</v>
      </c>
      <c r="L52" s="97">
        <f t="shared" si="11"/>
        <v>272759</v>
      </c>
      <c r="M52" s="115">
        <f t="shared" si="11"/>
        <v>662934</v>
      </c>
      <c r="N52" s="95">
        <f t="shared" si="11"/>
        <v>15511053.53799</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t="s">
        <v>0</v>
      </c>
      <c r="B53" s="90">
        <f t="shared" ref="B53:J53" si="12">+B30+B36+B42+B44+B52</f>
        <v>42887715.977030002</v>
      </c>
      <c r="C53" s="90">
        <f t="shared" si="12"/>
        <v>3198879.3044413077</v>
      </c>
      <c r="D53" s="90">
        <f t="shared" si="12"/>
        <v>5633680.9026072985</v>
      </c>
      <c r="E53" s="90">
        <f t="shared" si="12"/>
        <v>12315640</v>
      </c>
      <c r="F53" s="90">
        <f t="shared" si="12"/>
        <v>53105996.676799998</v>
      </c>
      <c r="G53" s="90">
        <f t="shared" si="12"/>
        <v>59051093.042130753</v>
      </c>
      <c r="H53" s="89">
        <f t="shared" si="12"/>
        <v>176193005.90300933</v>
      </c>
      <c r="I53" s="90">
        <f t="shared" si="12"/>
        <v>6113904.231780001</v>
      </c>
      <c r="J53" s="1014">
        <f t="shared" si="12"/>
        <v>6113904.231780001</v>
      </c>
      <c r="K53" s="90">
        <f>+K30+K36+K42+K44+K52</f>
        <v>6360128</v>
      </c>
      <c r="L53" s="90">
        <f>+L30+L36+L42+L44+L52</f>
        <v>6133682</v>
      </c>
      <c r="M53" s="113">
        <f>+M30+M36+M42+M44+M52</f>
        <v>12493810</v>
      </c>
      <c r="N53" s="90">
        <f>(+N30+N36+N42+N44+N52)</f>
        <v>194800720.13478941</v>
      </c>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19"/>
      <c r="B55" s="65"/>
      <c r="C55" s="65"/>
      <c r="D55" s="64" t="s">
        <v>0</v>
      </c>
      <c r="E55" s="65"/>
      <c r="F55" s="64"/>
      <c r="G55" s="64"/>
      <c r="H55" s="64"/>
      <c r="I55" s="64"/>
      <c r="J55" s="566"/>
      <c r="K55" s="64"/>
      <c r="L55" s="65"/>
      <c r="M55" s="64"/>
      <c r="N55" s="64" t="s">
        <v>0</v>
      </c>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26" t="s">
        <v>283</v>
      </c>
      <c r="B56" s="87" t="s">
        <v>0</v>
      </c>
      <c r="C56" s="418"/>
      <c r="D56" s="418"/>
      <c r="E56" s="418"/>
      <c r="F56" s="418"/>
      <c r="G56" s="418"/>
      <c r="H56" s="418"/>
      <c r="I56" s="418"/>
      <c r="J56" s="567"/>
      <c r="K56" s="87" t="s">
        <v>0</v>
      </c>
      <c r="L56" s="418"/>
      <c r="M56" s="64"/>
      <c r="N56" s="64"/>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358</v>
      </c>
      <c r="B57" s="87">
        <f>+bncvar!B57</f>
        <v>0</v>
      </c>
      <c r="C57" s="87">
        <f>+bphvar!B57</f>
        <v>0</v>
      </c>
      <c r="D57" s="87">
        <f>+buhvar!B57</f>
        <v>0</v>
      </c>
      <c r="E57" s="87">
        <f>+capitalbkvar!B57</f>
        <v>0</v>
      </c>
      <c r="F57" s="87">
        <f>+sogebkvar!B57</f>
        <v>67323.023189999993</v>
      </c>
      <c r="G57" s="87">
        <f>+unibkvar!B57</f>
        <v>306.859376</v>
      </c>
      <c r="H57" s="89">
        <f>SUM(B57:G57)</f>
        <v>67629.882565999986</v>
      </c>
      <c r="I57" s="87">
        <f>+sgbelvar!B57</f>
        <v>0</v>
      </c>
      <c r="J57" s="113">
        <f>SUM(I57:I57)</f>
        <v>0</v>
      </c>
      <c r="K57" s="87">
        <f>+cbnavar!B57</f>
        <v>0</v>
      </c>
      <c r="L57" s="87">
        <f>+scotiavar!B57</f>
        <v>0</v>
      </c>
      <c r="M57" s="113">
        <f>SUM(K57:L57)</f>
        <v>0</v>
      </c>
      <c r="N57" s="90">
        <f>+H57+J57+M57</f>
        <v>67629.882565999986</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359</v>
      </c>
      <c r="B58" s="87">
        <f>+bncvar!B58</f>
        <v>140243.1</v>
      </c>
      <c r="C58" s="87">
        <f>+bphvar!B58</f>
        <v>0</v>
      </c>
      <c r="D58" s="87">
        <f>+buhvar!B58</f>
        <v>0</v>
      </c>
      <c r="E58" s="87">
        <f>+capitalbkvar!B58</f>
        <v>0</v>
      </c>
      <c r="F58" s="87">
        <f>+sogebkvar!B58</f>
        <v>653311.53195000009</v>
      </c>
      <c r="G58" s="87">
        <f>+unibkvar!B58</f>
        <v>740498.05838456901</v>
      </c>
      <c r="H58" s="89">
        <f>SUM(B58:G58)</f>
        <v>1534052.6903345692</v>
      </c>
      <c r="I58" s="87">
        <f>+sgbelvar!B58</f>
        <v>0</v>
      </c>
      <c r="J58" s="113">
        <f>SUM(I58:I58)</f>
        <v>0</v>
      </c>
      <c r="K58" s="87">
        <f>+cbnavar!B58</f>
        <v>94408.908490000002</v>
      </c>
      <c r="L58" s="87">
        <f>+scotiavar!B58</f>
        <v>98069</v>
      </c>
      <c r="M58" s="113">
        <f>SUM(K58:L58)</f>
        <v>192477.90849</v>
      </c>
      <c r="N58" s="90">
        <f>+H58+J58+M58</f>
        <v>1726530.5988245693</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A59" s="418" t="s">
        <v>360</v>
      </c>
      <c r="B59" s="87">
        <f>+bncvar!B59</f>
        <v>290995.48600000003</v>
      </c>
      <c r="C59" s="87">
        <f>+bphvar!B59</f>
        <v>246480.986180593</v>
      </c>
      <c r="D59" s="87">
        <f>+buhvar!B59</f>
        <v>150</v>
      </c>
      <c r="E59" s="87">
        <f>+capitalbkvar!B59</f>
        <v>144186</v>
      </c>
      <c r="F59" s="87">
        <f>+sogebkvar!B59</f>
        <v>3428832.8303299998</v>
      </c>
      <c r="G59" s="87">
        <f>+unibkvar!B59</f>
        <v>1098798.0231189532</v>
      </c>
      <c r="H59" s="89">
        <f>SUM(B59:G59)</f>
        <v>5209443.3256295463</v>
      </c>
      <c r="I59" s="87">
        <f>+sgbelvar!B59</f>
        <v>633300.95925700001</v>
      </c>
      <c r="J59" s="113">
        <f>SUM(I59:I59)</f>
        <v>633300.95925700001</v>
      </c>
      <c r="K59" s="87">
        <f>+cbnavar!B59</f>
        <v>6014002.3522700006</v>
      </c>
      <c r="L59" s="87">
        <f>+scotiavar!B59</f>
        <v>1308343</v>
      </c>
      <c r="M59" s="113">
        <f>SUM(K59:L59)</f>
        <v>7322345.3522700006</v>
      </c>
      <c r="N59" s="90">
        <f>+H59+J59+M59</f>
        <v>13165089.637156546</v>
      </c>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B60" s="87" t="s">
        <v>0</v>
      </c>
      <c r="C60" s="87"/>
      <c r="E60" s="88"/>
      <c r="F60" s="87"/>
      <c r="G60" s="87"/>
      <c r="H60" s="93"/>
      <c r="I60" s="87"/>
      <c r="J60" s="565"/>
      <c r="K60" s="87" t="s">
        <v>0</v>
      </c>
      <c r="L60" s="87"/>
      <c r="M60" s="114"/>
      <c r="N60" s="90"/>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89" t="s">
        <v>361</v>
      </c>
      <c r="B61" s="87">
        <f>+bncvar!B61</f>
        <v>10813284.875019999</v>
      </c>
      <c r="C61" s="87">
        <f>+bphvar!B61</f>
        <v>1281422.89417</v>
      </c>
      <c r="D61" s="87">
        <f>+buhvar!B61</f>
        <v>2322919.1499111876</v>
      </c>
      <c r="E61" s="87">
        <f>+capitalbkvar!B61</f>
        <v>5676483</v>
      </c>
      <c r="F61" s="87">
        <f>+sogebkvar!B61</f>
        <v>19826802.61067</v>
      </c>
      <c r="G61" s="87">
        <f>+unibkvar!B61</f>
        <v>24187118.400389999</v>
      </c>
      <c r="H61" s="89">
        <f>SUM(B61:G61)</f>
        <v>64108030.930161186</v>
      </c>
      <c r="I61" s="87">
        <f>+sgbelvar!B61</f>
        <v>3411437.504776</v>
      </c>
      <c r="J61" s="113">
        <f>SUM(I61:I61)</f>
        <v>3411437.504776</v>
      </c>
      <c r="K61" s="87">
        <f>+cbnavar!B61</f>
        <v>1798983</v>
      </c>
      <c r="L61" s="87">
        <f>+scotiavar!B61</f>
        <v>2144425</v>
      </c>
      <c r="M61" s="113">
        <f>SUM(K61:L61)</f>
        <v>3943408</v>
      </c>
      <c r="N61" s="90">
        <f>+H61+J61+M61</f>
        <v>71462876.434937179</v>
      </c>
      <c r="O61" s="64"/>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27" t="s">
        <v>362</v>
      </c>
      <c r="B62" s="87">
        <f>+bncvar!B62</f>
        <v>288590.68865000003</v>
      </c>
      <c r="C62" s="87">
        <f>+bphvar!B62</f>
        <v>422429.35891000001</v>
      </c>
      <c r="D62" s="87">
        <f>+buhvar!B62</f>
        <v>31279.765071694001</v>
      </c>
      <c r="E62" s="87">
        <f>+capitalbkvar!B62</f>
        <v>38511</v>
      </c>
      <c r="F62" s="87">
        <f>+sogebkvar!B62</f>
        <v>611730.08467999997</v>
      </c>
      <c r="G62" s="87">
        <f>+unibkvar!B62</f>
        <v>130698.53515</v>
      </c>
      <c r="H62" s="89">
        <f>SUM(B62:G62)</f>
        <v>1523239.4324616939</v>
      </c>
      <c r="I62" s="87">
        <f>+sgbelvar!B62</f>
        <v>66133.246619999991</v>
      </c>
      <c r="J62" s="113">
        <f>SUM(I62:I62)</f>
        <v>66133.246619999991</v>
      </c>
      <c r="K62" s="87">
        <f>+cbnavar!B62</f>
        <v>101</v>
      </c>
      <c r="L62" s="87">
        <f>+scotiavar!B62</f>
        <v>80814</v>
      </c>
      <c r="M62" s="113">
        <f>SUM(K62:L62)</f>
        <v>80915</v>
      </c>
      <c r="N62" s="90">
        <f>+H62+J62+M62</f>
        <v>1670287.6790816938</v>
      </c>
      <c r="O62" s="64" t="s">
        <v>0</v>
      </c>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A63" s="489" t="s">
        <v>363</v>
      </c>
      <c r="B63" s="87">
        <f>+bncvar!B63</f>
        <v>538835.47</v>
      </c>
      <c r="C63" s="87">
        <f>+bphvar!B63</f>
        <v>540118.52307780494</v>
      </c>
      <c r="D63" s="87">
        <f>+buhvar!B63</f>
        <v>67538</v>
      </c>
      <c r="E63" s="87">
        <f>+capitalbkvar!B63</f>
        <v>74112</v>
      </c>
      <c r="F63" s="87">
        <f>+sogebkvar!B63</f>
        <v>1303019</v>
      </c>
      <c r="G63" s="87">
        <f>+unibkvar!B63</f>
        <v>51853.025609999997</v>
      </c>
      <c r="H63" s="89">
        <f>SUM(B63:G63)</f>
        <v>2575476.0186878047</v>
      </c>
      <c r="I63" s="87">
        <f>+sgbelvar!B63</f>
        <v>326413.32256</v>
      </c>
      <c r="J63" s="113">
        <f>SUM(I63:I63)</f>
        <v>326413.32256</v>
      </c>
      <c r="K63" s="87">
        <f>+cbnavar!B63</f>
        <v>25</v>
      </c>
      <c r="L63" s="87">
        <f>+scotiavar!B63</f>
        <v>141406</v>
      </c>
      <c r="M63" s="113">
        <f>SUM(K63:L63)</f>
        <v>141431</v>
      </c>
      <c r="N63" s="90">
        <f>+H63+J63+M63</f>
        <v>3043320.3412478045</v>
      </c>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A65" s="421" t="s">
        <v>0</v>
      </c>
      <c r="B65" s="1460" t="s">
        <v>0</v>
      </c>
      <c r="C65" s="1460" t="s">
        <v>0</v>
      </c>
      <c r="D65" s="418"/>
      <c r="E65" s="418"/>
      <c r="F65" s="1460" t="s">
        <v>0</v>
      </c>
      <c r="G65" s="1460" t="s">
        <v>0</v>
      </c>
      <c r="H65" s="418"/>
      <c r="I65" s="418"/>
      <c r="J65" s="418"/>
      <c r="K65" s="1461" t="s">
        <v>0</v>
      </c>
      <c r="L65" s="1461" t="s">
        <v>0</v>
      </c>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23" t="s">
        <v>0</v>
      </c>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B68" s="418"/>
      <c r="C68" s="418"/>
      <c r="D68" s="418"/>
      <c r="E68" s="418"/>
      <c r="F68" s="418"/>
      <c r="G68" s="418"/>
      <c r="H68" s="418"/>
      <c r="I68" s="418"/>
      <c r="J68" s="418"/>
      <c r="K68" s="418"/>
      <c r="L68" s="418"/>
      <c r="M68" s="64"/>
      <c r="N68" s="64"/>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A69" s="418" t="s">
        <v>364</v>
      </c>
      <c r="B69" s="20">
        <f>+'bncgdes&amp;$ '!B30</f>
        <v>14356274.529310001</v>
      </c>
      <c r="C69" s="20">
        <f>+'bphgdes&amp;$'!B30</f>
        <v>1895744.6445899999</v>
      </c>
      <c r="D69" s="20">
        <f>+'buhgdes&amp;$'!B30</f>
        <v>2497761.247505975</v>
      </c>
      <c r="E69" s="20">
        <f>+'capitalbkgdes&amp;$'!B30</f>
        <v>6623756</v>
      </c>
      <c r="F69" s="20">
        <f>+'sogebkgdes&amp;$  '!B30</f>
        <v>25516968.386440001</v>
      </c>
      <c r="G69" s="20">
        <f>+'unibkgdes&amp;$'!B30</f>
        <v>30680322.285385784</v>
      </c>
      <c r="H69" s="89">
        <f>SUM(B69:G69)</f>
        <v>81570827.093231767</v>
      </c>
      <c r="I69" s="20">
        <f>+'sgbelgdes&amp;$'!B30</f>
        <v>3332456.9353400003</v>
      </c>
      <c r="J69" s="113">
        <f>+I69</f>
        <v>3332456.9353400003</v>
      </c>
      <c r="K69" s="20">
        <f>+'cbnagdes&amp;$'!B30</f>
        <v>2092611</v>
      </c>
      <c r="L69" s="20">
        <f>+'scotiagdes&amp;$'!B30</f>
        <v>2652874</v>
      </c>
      <c r="M69" s="113">
        <f>SUM(K69:L69)</f>
        <v>4745485</v>
      </c>
      <c r="N69" s="90">
        <f>+H69+J69+M69</f>
        <v>89648769.02857177</v>
      </c>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18"/>
      <c r="C73" s="418"/>
      <c r="D73" s="418"/>
      <c r="E73" s="418"/>
      <c r="F73" s="418"/>
      <c r="G73" s="418"/>
      <c r="H73" s="418"/>
      <c r="I73" s="418"/>
      <c r="J73" s="418"/>
      <c r="K73" s="418"/>
      <c r="L73" s="418"/>
      <c r="M73" s="64"/>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29"/>
      <c r="C74" s="417" t="s">
        <v>365</v>
      </c>
      <c r="D74" s="429"/>
      <c r="F74" s="592" t="s">
        <v>366</v>
      </c>
      <c r="G74" s="592"/>
      <c r="I74" s="1559" t="s">
        <v>637</v>
      </c>
      <c r="J74" s="1559"/>
      <c r="K74" s="418"/>
      <c r="L74" s="417" t="s">
        <v>779</v>
      </c>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418"/>
      <c r="C75" s="417"/>
      <c r="D75" s="429"/>
      <c r="F75" s="418"/>
      <c r="J75" s="418"/>
      <c r="K75" s="418"/>
      <c r="L75" s="418"/>
      <c r="M75" s="418"/>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65</v>
      </c>
      <c r="D76" s="671">
        <f>+unibkvar!B15</f>
        <v>20081261.154802661</v>
      </c>
      <c r="F76" s="670" t="s">
        <v>59</v>
      </c>
      <c r="G76" s="672">
        <f>+bncvar!B17</f>
        <v>3810000</v>
      </c>
      <c r="I76" s="670" t="s">
        <v>65</v>
      </c>
      <c r="J76" s="671">
        <f>+unibkvar!B20</f>
        <v>24056419.86524</v>
      </c>
      <c r="K76" s="418"/>
      <c r="L76" s="670" t="s">
        <v>65</v>
      </c>
      <c r="M76" s="671">
        <f>+unibkvar!B52</f>
        <v>5797198.1322699999</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64</v>
      </c>
      <c r="D77" s="671">
        <f>+sogebkvar!B15</f>
        <v>16696860.003529999</v>
      </c>
      <c r="F77" s="670" t="s">
        <v>64</v>
      </c>
      <c r="G77" s="672">
        <f>+sogebkvar!B17</f>
        <v>1300000</v>
      </c>
      <c r="I77" s="670" t="s">
        <v>64</v>
      </c>
      <c r="J77" s="671">
        <f>+sogebkvar!B20</f>
        <v>19215072.525990002</v>
      </c>
      <c r="K77" s="418"/>
      <c r="L77" s="670" t="s">
        <v>64</v>
      </c>
      <c r="M77" s="671">
        <f>+sogebkvar!B52</f>
        <v>3881092.5410900004</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59</v>
      </c>
      <c r="D78" s="671">
        <f>+bncvar!B15</f>
        <v>15578365.977</v>
      </c>
      <c r="F78" s="670" t="s">
        <v>68</v>
      </c>
      <c r="G78" s="672">
        <f>+cbnavar!B17</f>
        <v>796833</v>
      </c>
      <c r="I78" s="670" t="s">
        <v>59</v>
      </c>
      <c r="J78" s="671">
        <f>+bncvar!B20</f>
        <v>10524694.186369998</v>
      </c>
      <c r="K78" s="418"/>
      <c r="L78" s="670" t="s">
        <v>59</v>
      </c>
      <c r="M78" s="671">
        <f>+bncvar!B52</f>
        <v>3191363.1577500002</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66</v>
      </c>
      <c r="D79" s="671">
        <f>+capitalbkvar!B15</f>
        <v>4901707</v>
      </c>
      <c r="F79" s="670" t="s">
        <v>66</v>
      </c>
      <c r="G79" s="672">
        <f>+capitalbkvar!B17</f>
        <v>298391</v>
      </c>
      <c r="I79" s="670" t="s">
        <v>66</v>
      </c>
      <c r="J79" s="671">
        <f>+capitalbkvar!B20</f>
        <v>5637972</v>
      </c>
      <c r="K79" s="418"/>
      <c r="L79" s="670" t="s">
        <v>66</v>
      </c>
      <c r="M79" s="671">
        <f>+capitalbkvar!B52</f>
        <v>1074342</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69</v>
      </c>
      <c r="D80" s="671">
        <f>+scotiavar!B15</f>
        <v>3991811</v>
      </c>
      <c r="F80" s="670" t="s">
        <v>60</v>
      </c>
      <c r="G80" s="672">
        <f>+bphvar!B17</f>
        <v>223000</v>
      </c>
      <c r="I80" s="670" t="s">
        <v>67</v>
      </c>
      <c r="J80" s="671">
        <f>+sgbelvar!B20</f>
        <v>3345304.2581560002</v>
      </c>
      <c r="K80" s="418"/>
      <c r="L80" s="670" t="s">
        <v>67</v>
      </c>
      <c r="M80" s="671">
        <f>+sgbelvar!B52</f>
        <v>493689.75045000005</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68</v>
      </c>
      <c r="D81" s="671">
        <f>+cbnavar!B15</f>
        <v>3280379</v>
      </c>
      <c r="F81" s="670" t="s">
        <v>61</v>
      </c>
      <c r="G81" s="672">
        <f>+buhvar!B17</f>
        <v>180000</v>
      </c>
      <c r="I81" s="670" t="s">
        <v>61</v>
      </c>
      <c r="J81" s="671">
        <f>+buhvar!B20</f>
        <v>2291639.3848394938</v>
      </c>
      <c r="K81" s="418"/>
      <c r="L81" s="670" t="s">
        <v>68</v>
      </c>
      <c r="M81" s="671">
        <f>+cbnavar!B52</f>
        <v>390175</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61</v>
      </c>
      <c r="D82" s="671">
        <f>+buhvar!B15</f>
        <v>2697877.9434218104</v>
      </c>
      <c r="F82" s="670" t="s">
        <v>65</v>
      </c>
      <c r="G82" s="672">
        <f>+unibkvar!B17</f>
        <v>0</v>
      </c>
      <c r="I82" s="670" t="s">
        <v>69</v>
      </c>
      <c r="J82" s="671">
        <f>+scotiavar!B20</f>
        <v>2063611</v>
      </c>
      <c r="K82" s="418"/>
      <c r="L82" s="670" t="s">
        <v>61</v>
      </c>
      <c r="M82" s="671">
        <f>+buhvar!B52</f>
        <v>282671.47166000004</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67</v>
      </c>
      <c r="D83" s="671">
        <f>+sgbelvar!B15</f>
        <v>2356516.1196400002</v>
      </c>
      <c r="F83" s="670" t="s">
        <v>69</v>
      </c>
      <c r="G83" s="672">
        <f>+scotiavar!B17</f>
        <v>0</v>
      </c>
      <c r="I83" s="670" t="s">
        <v>68</v>
      </c>
      <c r="J83" s="671">
        <f>+cbnavar!B20</f>
        <v>1798882</v>
      </c>
      <c r="K83" s="418"/>
      <c r="L83" s="670" t="s">
        <v>69</v>
      </c>
      <c r="M83" s="671">
        <f>+scotiavar!B52</f>
        <v>272759</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C84" s="670" t="s">
        <v>60</v>
      </c>
      <c r="D84" s="671">
        <f>+bphvar!B15</f>
        <v>1719442.21624</v>
      </c>
      <c r="F84" s="670" t="s">
        <v>67</v>
      </c>
      <c r="G84" s="672">
        <f>+sgbelvar!B17</f>
        <v>0</v>
      </c>
      <c r="I84" s="670" t="s">
        <v>60</v>
      </c>
      <c r="J84" s="671">
        <f>+bphvar!B20</f>
        <v>858993.53526000003</v>
      </c>
      <c r="K84" s="418"/>
      <c r="L84" s="670" t="s">
        <v>60</v>
      </c>
      <c r="M84" s="671">
        <f>+bphvar!B52</f>
        <v>127762.48477000001</v>
      </c>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B86" s="591"/>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A87" s="670" t="s">
        <v>0</v>
      </c>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591" t="s">
        <v>0</v>
      </c>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B140" s="418"/>
      <c r="C140" s="65"/>
      <c r="D140" s="64"/>
      <c r="E140" s="64"/>
      <c r="F140" s="64"/>
      <c r="G140" s="64"/>
      <c r="H140" s="64"/>
      <c r="I140" s="64"/>
      <c r="J140" s="64"/>
      <c r="K140" s="418"/>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c r="B141" s="64"/>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9"/>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4"/>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9"/>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4"/>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9"/>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4"/>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9"/>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4"/>
      <c r="C156" s="71" t="s">
        <v>0</v>
      </c>
      <c r="D156" s="69" t="s">
        <v>0</v>
      </c>
      <c r="E156" s="69"/>
      <c r="F156" s="69">
        <f>+F107+F111+F113+F115+F130+F139+F141+F143+F145+F152</f>
        <v>0</v>
      </c>
      <c r="G156" s="69"/>
      <c r="H156" s="69"/>
      <c r="I156" s="69" t="s">
        <v>0</v>
      </c>
      <c r="J156" s="69"/>
      <c r="K156" s="64"/>
      <c r="L156" s="71" t="s">
        <v>0</v>
      </c>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t="s">
        <v>0</v>
      </c>
      <c r="B157" s="69" t="s">
        <v>0</v>
      </c>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row r="189" spans="1:38">
      <c r="A189" s="419"/>
      <c r="B189" s="64"/>
      <c r="K189" s="64"/>
      <c r="N189" s="64"/>
      <c r="O189" s="64"/>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row>
  </sheetData>
  <sortState ref="F76:G84">
    <sortCondition descending="1" ref="G76:G84"/>
  </sortState>
  <mergeCells count="1">
    <mergeCell ref="I74:J74"/>
  </mergeCells>
  <phoneticPr fontId="0" type="noConversion"/>
  <pageMargins left="0.2" right="0.21" top="0.68" bottom="0.45" header="0.5" footer="0.23"/>
  <pageSetup scale="55" orientation="landscape" r:id="rId1"/>
  <headerFooter alignWithMargins="0">
    <oddFooter>&amp;R&amp;16&amp;P</oddFooter>
  </headerFooter>
</worksheet>
</file>

<file path=xl/worksheets/sheet50.xml><?xml version="1.0" encoding="utf-8"?>
<worksheet xmlns="http://schemas.openxmlformats.org/spreadsheetml/2006/main" xmlns:r="http://schemas.openxmlformats.org/officeDocument/2006/relationships">
  <sheetPr>
    <pageSetUpPr fitToPage="1"/>
  </sheetPr>
  <dimension ref="A1:AN184"/>
  <sheetViews>
    <sheetView topLeftCell="A7" workbookViewId="0">
      <pane xSplit="1" ySplit="1" topLeftCell="B8" activePane="bottomRight" state="frozen"/>
      <selection activeCell="B6" sqref="B6"/>
      <selection pane="topRight" activeCell="B6" sqref="B6"/>
      <selection pane="bottomLeft" activeCell="B6" sqref="B6"/>
      <selection pane="bottomRight" activeCell="B9" sqref="B9"/>
    </sheetView>
  </sheetViews>
  <sheetFormatPr baseColWidth="10" defaultColWidth="9" defaultRowHeight="15.75"/>
  <cols>
    <col min="1" max="1" width="29.75" customWidth="1"/>
    <col min="2" max="3" width="13.75" style="21" customWidth="1"/>
    <col min="4" max="6" width="13.75" style="20" customWidth="1"/>
    <col min="7" max="7" width="13.75" style="21" customWidth="1"/>
    <col min="8" max="8" width="16" style="20" customWidth="1"/>
    <col min="9" max="9" width="13.75" style="20" customWidth="1"/>
    <col min="10" max="10" width="13.625" style="21" customWidth="1"/>
    <col min="11" max="11" width="13.75" style="20" customWidth="1"/>
    <col min="12" max="12" width="13.75" style="21" customWidth="1"/>
    <col min="13" max="13" width="16.25" style="20" customWidth="1"/>
    <col min="14" max="14" width="16.375" style="21" customWidth="1"/>
    <col min="15" max="16" width="13.75" style="20" customWidth="1"/>
    <col min="17" max="17" width="14.375" style="20" customWidth="1"/>
    <col min="18" max="22" width="14.375" customWidth="1"/>
  </cols>
  <sheetData>
    <row r="1" spans="1:40">
      <c r="A1" s="111" t="s">
        <v>192</v>
      </c>
      <c r="B1" s="43"/>
      <c r="C1" s="43"/>
      <c r="D1" s="42"/>
      <c r="E1" s="42"/>
      <c r="F1" s="42"/>
      <c r="G1" s="43"/>
      <c r="H1" s="42"/>
      <c r="I1" s="42"/>
      <c r="J1" s="43"/>
      <c r="K1" s="42"/>
      <c r="L1" s="43"/>
      <c r="M1" s="42"/>
      <c r="N1" s="43"/>
      <c r="O1" s="42"/>
    </row>
    <row r="2" spans="1:40">
      <c r="A2" s="111" t="s">
        <v>327</v>
      </c>
      <c r="B2" s="43"/>
      <c r="C2" s="43"/>
      <c r="D2" s="42"/>
      <c r="E2" s="42"/>
      <c r="F2" s="42"/>
      <c r="G2" s="43"/>
      <c r="H2" s="42"/>
      <c r="I2" s="42"/>
      <c r="J2" s="43"/>
      <c r="K2" s="42"/>
      <c r="L2" s="43"/>
      <c r="M2" s="42"/>
      <c r="N2" s="43"/>
      <c r="O2" s="42"/>
    </row>
    <row r="3" spans="1:40">
      <c r="A3" s="111" t="s">
        <v>367</v>
      </c>
      <c r="B3" s="43"/>
      <c r="C3" s="43"/>
      <c r="D3" s="42"/>
      <c r="E3" s="42"/>
      <c r="F3" s="42"/>
      <c r="G3" s="43"/>
      <c r="H3" s="42"/>
      <c r="I3" s="42"/>
      <c r="J3" s="43"/>
      <c r="K3" s="42"/>
      <c r="L3" s="43"/>
      <c r="M3" s="42"/>
      <c r="N3" s="43"/>
      <c r="O3" s="42"/>
    </row>
    <row r="4" spans="1:40">
      <c r="A4" s="111" t="s">
        <v>968</v>
      </c>
      <c r="B4" s="43"/>
      <c r="C4" s="43"/>
      <c r="D4" s="42"/>
      <c r="E4" s="42"/>
      <c r="F4" s="42"/>
      <c r="G4" s="43"/>
      <c r="H4" s="42"/>
      <c r="I4" s="42"/>
      <c r="J4" s="43"/>
      <c r="K4" s="42"/>
      <c r="L4" s="43"/>
      <c r="M4" s="42"/>
      <c r="N4" s="43"/>
      <c r="O4" s="42"/>
    </row>
    <row r="5" spans="1:40">
      <c r="A5" s="111" t="s">
        <v>198</v>
      </c>
      <c r="B5" s="43"/>
      <c r="C5" s="43"/>
      <c r="D5" s="42"/>
      <c r="E5" s="42"/>
      <c r="F5" s="42"/>
      <c r="G5" s="43"/>
      <c r="H5" s="42"/>
      <c r="I5" s="42"/>
      <c r="J5" s="43"/>
      <c r="K5" s="42"/>
      <c r="L5" s="43"/>
      <c r="M5" s="42"/>
      <c r="N5" s="43"/>
      <c r="O5" s="42"/>
    </row>
    <row r="6" spans="1:40">
      <c r="A6" s="10"/>
      <c r="B6" s="65"/>
      <c r="C6" s="65"/>
      <c r="D6" s="64"/>
      <c r="E6" s="64"/>
      <c r="F6" s="64"/>
      <c r="G6" s="65"/>
      <c r="H6" s="64"/>
      <c r="I6" s="64"/>
      <c r="J6" s="65"/>
      <c r="K6" s="64"/>
      <c r="L6" s="65"/>
      <c r="M6" s="64"/>
      <c r="N6" s="65"/>
      <c r="O6" s="64"/>
      <c r="P6" s="64"/>
      <c r="Q6" s="64"/>
      <c r="R6" s="10"/>
      <c r="S6" s="10"/>
      <c r="T6" s="10"/>
      <c r="U6" s="10"/>
      <c r="V6" s="10"/>
      <c r="W6" s="10"/>
      <c r="X6" s="10"/>
      <c r="Y6" s="10"/>
      <c r="Z6" s="10"/>
      <c r="AA6" s="10"/>
      <c r="AB6" s="10"/>
      <c r="AC6" s="10"/>
      <c r="AD6" s="10"/>
      <c r="AE6" s="10"/>
      <c r="AF6" s="10"/>
      <c r="AG6" s="10"/>
      <c r="AH6" s="10"/>
      <c r="AI6" s="10"/>
      <c r="AJ6" s="10"/>
      <c r="AK6" s="10"/>
      <c r="AL6" s="10"/>
      <c r="AM6" s="10"/>
      <c r="AN6" s="10"/>
    </row>
    <row r="7" spans="1:40">
      <c r="A7" s="10"/>
      <c r="B7" s="274" t="s">
        <v>59</v>
      </c>
      <c r="C7" s="274" t="s">
        <v>60</v>
      </c>
      <c r="D7" s="273" t="s">
        <v>61</v>
      </c>
      <c r="E7" s="274" t="s">
        <v>66</v>
      </c>
      <c r="F7" s="273" t="s">
        <v>64</v>
      </c>
      <c r="G7" s="273" t="s">
        <v>328</v>
      </c>
      <c r="H7" s="275" t="s">
        <v>329</v>
      </c>
      <c r="I7" s="273" t="s">
        <v>67</v>
      </c>
      <c r="J7" s="275" t="s">
        <v>329</v>
      </c>
      <c r="K7" s="273" t="s">
        <v>68</v>
      </c>
      <c r="L7" s="274" t="s">
        <v>69</v>
      </c>
      <c r="M7" s="275" t="s">
        <v>329</v>
      </c>
      <c r="N7" s="275" t="s">
        <v>621</v>
      </c>
      <c r="O7"/>
      <c r="P7"/>
      <c r="Q7" s="64"/>
      <c r="R7" s="10"/>
      <c r="S7" s="10"/>
      <c r="T7" s="10"/>
      <c r="U7" s="10"/>
      <c r="V7" s="10"/>
      <c r="W7" s="10"/>
      <c r="X7" s="10"/>
      <c r="Y7" s="10"/>
      <c r="Z7" s="10"/>
      <c r="AA7" s="10"/>
      <c r="AB7" s="10"/>
      <c r="AC7" s="10"/>
      <c r="AD7" s="10"/>
      <c r="AE7" s="10"/>
      <c r="AF7" s="10"/>
      <c r="AG7" s="10"/>
      <c r="AH7" s="10"/>
      <c r="AI7" s="10"/>
      <c r="AJ7" s="10"/>
      <c r="AK7" s="10"/>
      <c r="AL7" s="10"/>
      <c r="AM7" s="10"/>
      <c r="AN7" s="10"/>
    </row>
    <row r="8" spans="1:40">
      <c r="A8" s="164" t="s">
        <v>244</v>
      </c>
      <c r="B8" s="10"/>
      <c r="C8" s="10"/>
      <c r="D8" s="10"/>
      <c r="E8" s="10"/>
      <c r="F8" s="10"/>
      <c r="G8" s="10"/>
      <c r="H8" s="142"/>
      <c r="I8" s="10"/>
      <c r="J8" s="569"/>
      <c r="K8" s="10"/>
      <c r="L8" s="10"/>
      <c r="M8" s="142"/>
      <c r="N8" s="182"/>
      <c r="O8"/>
      <c r="P8"/>
      <c r="Q8" s="66"/>
      <c r="R8" s="67"/>
      <c r="S8" s="67"/>
      <c r="T8" s="67"/>
      <c r="U8" s="10"/>
      <c r="V8" s="10"/>
      <c r="W8" s="10"/>
      <c r="X8" s="10"/>
      <c r="Y8" s="10"/>
      <c r="Z8" s="10"/>
      <c r="AA8" s="10"/>
      <c r="AB8" s="10"/>
      <c r="AC8" s="10"/>
      <c r="AD8" s="10"/>
      <c r="AE8" s="10"/>
      <c r="AF8" s="10"/>
      <c r="AG8" s="10"/>
      <c r="AH8" s="10"/>
      <c r="AI8" s="10"/>
      <c r="AJ8" s="10"/>
      <c r="AK8" s="10"/>
      <c r="AL8" s="10"/>
      <c r="AM8" s="10"/>
      <c r="AN8" s="10"/>
    </row>
    <row r="9" spans="1:40">
      <c r="A9" s="10" t="s">
        <v>255</v>
      </c>
      <c r="B9" s="65"/>
      <c r="C9" s="65"/>
      <c r="D9" s="10"/>
      <c r="E9" s="65"/>
      <c r="F9" s="64"/>
      <c r="G9" s="64"/>
      <c r="H9" s="171"/>
      <c r="I9" s="64"/>
      <c r="J9" s="569"/>
      <c r="K9" s="64"/>
      <c r="L9" s="65"/>
      <c r="M9" s="171"/>
      <c r="N9" s="171"/>
      <c r="O9"/>
      <c r="P9"/>
      <c r="Q9" s="64"/>
      <c r="R9" s="10"/>
      <c r="S9" s="10"/>
      <c r="T9" s="10"/>
      <c r="U9" s="10"/>
      <c r="V9" s="10"/>
      <c r="W9" s="10"/>
      <c r="X9" s="10"/>
      <c r="Y9" s="10"/>
      <c r="Z9" s="10"/>
      <c r="AA9" s="10"/>
      <c r="AB9" s="10"/>
      <c r="AC9" s="10"/>
      <c r="AD9" s="10"/>
      <c r="AE9" s="10"/>
      <c r="AF9" s="10"/>
      <c r="AG9" s="10"/>
      <c r="AH9" s="10"/>
      <c r="AI9" s="10"/>
      <c r="AJ9" s="10"/>
      <c r="AK9" s="10"/>
      <c r="AL9" s="10"/>
      <c r="AM9" s="10"/>
      <c r="AN9" s="10"/>
    </row>
    <row r="10" spans="1:40">
      <c r="A10" s="10" t="s">
        <v>256</v>
      </c>
      <c r="B10" s="87">
        <f>+'bncgdes&amp;$ '!C10</f>
        <v>871745.25399999996</v>
      </c>
      <c r="C10" s="87">
        <f>+'bphgdes&amp;$'!C10</f>
        <v>99098.288549999997</v>
      </c>
      <c r="D10" s="87">
        <f>+'buhgdes&amp;$'!C10</f>
        <v>281099.96181000001</v>
      </c>
      <c r="E10" s="87">
        <f>+'capitalbkgdes&amp;$'!C10</f>
        <v>211230</v>
      </c>
      <c r="F10" s="87">
        <f>+'sogebkgdes&amp;$  '!C10</f>
        <v>1491114.70621</v>
      </c>
      <c r="G10" s="87">
        <f>+'unibkgdes&amp;$'!C10</f>
        <v>1000295.35112</v>
      </c>
      <c r="H10" s="172">
        <f>SUM(B10:G10)</f>
        <v>3954583.5616899999</v>
      </c>
      <c r="I10" s="87">
        <f>+'sgbelgdes&amp;$'!C10</f>
        <v>23399.555110000001</v>
      </c>
      <c r="J10" s="570">
        <f t="shared" ref="J10:J15" si="0">+I10</f>
        <v>23399.555110000001</v>
      </c>
      <c r="K10" s="87">
        <f>+'cbnagdes&amp;$'!C10</f>
        <v>61258</v>
      </c>
      <c r="L10" s="87">
        <f>+'scotiagdes&amp;$'!C10</f>
        <v>52091</v>
      </c>
      <c r="M10" s="178">
        <f>SUM(K10:L10)</f>
        <v>113349</v>
      </c>
      <c r="N10" s="172">
        <f>+H10+J10+M10</f>
        <v>4091332.1168</v>
      </c>
      <c r="O10"/>
      <c r="P10"/>
      <c r="Q10" s="64"/>
      <c r="R10" s="10"/>
      <c r="S10" s="10"/>
      <c r="T10" s="10"/>
      <c r="U10" s="10"/>
      <c r="V10" s="10"/>
      <c r="W10" s="10"/>
      <c r="X10" s="10"/>
      <c r="Y10" s="10"/>
      <c r="Z10" s="10"/>
      <c r="AA10" s="10"/>
      <c r="AB10" s="10"/>
      <c r="AC10" s="10"/>
      <c r="AD10" s="10"/>
      <c r="AE10" s="10"/>
      <c r="AF10" s="10"/>
      <c r="AG10" s="10"/>
      <c r="AH10" s="10"/>
      <c r="AI10" s="10"/>
      <c r="AJ10" s="10"/>
      <c r="AK10" s="10"/>
      <c r="AL10" s="10"/>
      <c r="AM10" s="10"/>
      <c r="AN10" s="10"/>
    </row>
    <row r="11" spans="1:40">
      <c r="A11" s="10" t="s">
        <v>257</v>
      </c>
      <c r="B11" s="87">
        <f>+'bncgdes&amp;$ '!C11</f>
        <v>6632313.6880000001</v>
      </c>
      <c r="C11" s="87">
        <f>+'bphgdes&amp;$'!C11</f>
        <v>220430.92856999999</v>
      </c>
      <c r="D11" s="87">
        <f>+'buhgdes&amp;$'!C11</f>
        <v>674278.03730999993</v>
      </c>
      <c r="E11" s="87">
        <f>+'capitalbkgdes&amp;$'!C11</f>
        <v>1051380</v>
      </c>
      <c r="F11" s="87">
        <f>+'sogebkgdes&amp;$  '!C11</f>
        <v>3779002.0327600003</v>
      </c>
      <c r="G11" s="87">
        <f>+'unibkgdes&amp;$'!C11</f>
        <v>4842868.23924</v>
      </c>
      <c r="H11" s="172">
        <f>SUM(B11:G11)</f>
        <v>17200272.92588</v>
      </c>
      <c r="I11" s="87">
        <f>+'sgbelgdes&amp;$'!C11</f>
        <v>85584.594100000002</v>
      </c>
      <c r="J11" s="570">
        <f t="shared" si="0"/>
        <v>85584.594100000002</v>
      </c>
      <c r="K11" s="87">
        <f>+'cbnagdes&amp;$'!C11</f>
        <v>1926738</v>
      </c>
      <c r="L11" s="87">
        <f>+'scotiagdes&amp;$'!C11</f>
        <v>1185011</v>
      </c>
      <c r="M11" s="178">
        <f>SUM(K11:L11)</f>
        <v>3111749</v>
      </c>
      <c r="N11" s="172">
        <f>+H11+J11+M11</f>
        <v>20397606.519979998</v>
      </c>
      <c r="O11"/>
      <c r="P11"/>
      <c r="Q11" s="64"/>
      <c r="R11" s="10"/>
      <c r="S11" s="10"/>
      <c r="T11" s="10"/>
      <c r="U11" s="10"/>
      <c r="V11" s="10"/>
      <c r="W11" s="10"/>
      <c r="X11" s="10"/>
      <c r="Y11" s="10"/>
      <c r="Z11" s="10"/>
      <c r="AA11" s="10"/>
      <c r="AB11" s="10"/>
      <c r="AC11" s="10"/>
      <c r="AD11" s="10"/>
      <c r="AE11" s="10"/>
      <c r="AF11" s="10"/>
      <c r="AG11" s="10"/>
      <c r="AH11" s="10"/>
      <c r="AI11" s="10"/>
      <c r="AJ11" s="10"/>
      <c r="AK11" s="10"/>
      <c r="AL11" s="10"/>
      <c r="AM11" s="10"/>
      <c r="AN11" s="10"/>
    </row>
    <row r="12" spans="1:40">
      <c r="A12" s="10" t="s">
        <v>258</v>
      </c>
      <c r="B12" s="87">
        <f>+'bncgdes&amp;$ '!C12</f>
        <v>0</v>
      </c>
      <c r="C12" s="87">
        <f>+'bphgdes&amp;$'!C12</f>
        <v>0</v>
      </c>
      <c r="D12" s="87">
        <f>+'buhgdes&amp;$'!C12</f>
        <v>0</v>
      </c>
      <c r="E12" s="87">
        <f>+'capitalbkgdes&amp;$'!C12</f>
        <v>0</v>
      </c>
      <c r="F12" s="87">
        <f>+'sogebkgdes&amp;$  '!C12</f>
        <v>0</v>
      </c>
      <c r="G12" s="87">
        <f>+'unibkgdes&amp;$'!C12</f>
        <v>0</v>
      </c>
      <c r="H12" s="172">
        <f>SUM(B12:G12)</f>
        <v>0</v>
      </c>
      <c r="I12" s="87">
        <f>+'sgbelgdes&amp;$'!C12</f>
        <v>0</v>
      </c>
      <c r="J12" s="570">
        <f t="shared" si="0"/>
        <v>0</v>
      </c>
      <c r="K12" s="87">
        <f>+'cbnagdes&amp;$'!C12</f>
        <v>0</v>
      </c>
      <c r="L12" s="87">
        <f>+'scotiagdes&amp;$'!C12</f>
        <v>0</v>
      </c>
      <c r="M12" s="178">
        <f>SUM(K12:L12)</f>
        <v>0</v>
      </c>
      <c r="N12" s="172">
        <f>+H12+J12+M12</f>
        <v>0</v>
      </c>
      <c r="O12"/>
      <c r="P12"/>
      <c r="Q12" s="64"/>
      <c r="R12" s="10"/>
      <c r="S12" s="10"/>
      <c r="T12" s="10"/>
      <c r="U12" s="10"/>
      <c r="V12" s="10"/>
      <c r="W12" s="10"/>
      <c r="X12" s="10"/>
      <c r="Y12" s="10"/>
      <c r="Z12" s="10"/>
      <c r="AA12" s="10"/>
      <c r="AB12" s="10"/>
      <c r="AC12" s="10"/>
      <c r="AD12" s="10"/>
      <c r="AE12" s="10"/>
      <c r="AF12" s="10"/>
      <c r="AG12" s="10"/>
      <c r="AH12" s="10"/>
      <c r="AI12" s="10"/>
      <c r="AJ12" s="10"/>
      <c r="AK12" s="10"/>
      <c r="AL12" s="10"/>
      <c r="AM12" s="10"/>
      <c r="AN12" s="10"/>
    </row>
    <row r="13" spans="1:40">
      <c r="A13" s="10" t="s">
        <v>259</v>
      </c>
      <c r="B13" s="87">
        <f>+'bncgdes&amp;$ '!C13</f>
        <v>0</v>
      </c>
      <c r="C13" s="87">
        <f>+'bphgdes&amp;$'!C13</f>
        <v>0</v>
      </c>
      <c r="D13" s="87">
        <f>+'buhgdes&amp;$'!C13</f>
        <v>97869.97209000001</v>
      </c>
      <c r="E13" s="87">
        <f>+'capitalbkgdes&amp;$'!C13</f>
        <v>32544</v>
      </c>
      <c r="F13" s="87">
        <f>+'sogebkgdes&amp;$  '!C13</f>
        <v>27361.042249999999</v>
      </c>
      <c r="G13" s="87">
        <f>+'unibkgdes&amp;$'!C13</f>
        <v>100.35460000019521</v>
      </c>
      <c r="H13" s="172">
        <f>SUM(B13:G13)</f>
        <v>157875.36894000019</v>
      </c>
      <c r="I13" s="87">
        <f>+'sgbelgdes&amp;$'!C13</f>
        <v>314670.55420000001</v>
      </c>
      <c r="J13" s="570">
        <f t="shared" si="0"/>
        <v>314670.55420000001</v>
      </c>
      <c r="K13" s="87">
        <f>+'cbnagdes&amp;$'!C13</f>
        <v>0</v>
      </c>
      <c r="L13" s="87">
        <f>+'scotiagdes&amp;$'!C13</f>
        <v>0</v>
      </c>
      <c r="M13" s="178">
        <f>SUM(K13:L13)</f>
        <v>0</v>
      </c>
      <c r="N13" s="172">
        <f>+H13+J13+M13</f>
        <v>472545.9231400002</v>
      </c>
      <c r="O13"/>
      <c r="P13"/>
      <c r="Q13" s="64"/>
      <c r="R13" s="10"/>
      <c r="S13" s="10"/>
      <c r="T13" s="10"/>
      <c r="U13" s="10"/>
      <c r="V13" s="10"/>
      <c r="W13" s="10"/>
      <c r="X13" s="10"/>
      <c r="Y13" s="10"/>
      <c r="Z13" s="10"/>
      <c r="AA13" s="10"/>
      <c r="AB13" s="10"/>
      <c r="AC13" s="10"/>
      <c r="AD13" s="10"/>
      <c r="AE13" s="10"/>
      <c r="AF13" s="10"/>
      <c r="AG13" s="10"/>
      <c r="AH13" s="10"/>
      <c r="AI13" s="10"/>
      <c r="AJ13" s="10"/>
      <c r="AK13" s="10"/>
      <c r="AL13" s="10"/>
      <c r="AM13" s="10"/>
      <c r="AN13" s="10"/>
    </row>
    <row r="14" spans="1:40">
      <c r="A14" s="10" t="s">
        <v>260</v>
      </c>
      <c r="B14" s="199">
        <f>+'bncgdes&amp;$ '!C14</f>
        <v>158583.894</v>
      </c>
      <c r="C14" s="199">
        <f>+'bphgdes&amp;$'!C14</f>
        <v>22576.615570000002</v>
      </c>
      <c r="D14" s="199">
        <f>+'buhgdes&amp;$'!C14</f>
        <v>308.82799999999997</v>
      </c>
      <c r="E14" s="199">
        <f>+'capitalbkgdes&amp;$'!C14</f>
        <v>72082</v>
      </c>
      <c r="F14" s="199">
        <f>+'sogebkgdes&amp;$  '!C14</f>
        <v>2942.7850400000002</v>
      </c>
      <c r="G14" s="547">
        <f>+'unibkgdes&amp;$'!C14</f>
        <v>354586.11968</v>
      </c>
      <c r="H14" s="270">
        <f>SUM(B14:G14)</f>
        <v>611080.24228999997</v>
      </c>
      <c r="I14" s="547">
        <f>+'sgbelgdes&amp;$'!C14</f>
        <v>11937.782579999999</v>
      </c>
      <c r="J14" s="572">
        <f t="shared" si="0"/>
        <v>11937.782579999999</v>
      </c>
      <c r="K14" s="605">
        <f>+'cbnagdes&amp;$'!C14</f>
        <v>102110</v>
      </c>
      <c r="L14" s="547">
        <f>+'scotiagdes&amp;$'!C14</f>
        <v>16310</v>
      </c>
      <c r="M14" s="276">
        <f>SUM(K14:L14)</f>
        <v>118420</v>
      </c>
      <c r="N14" s="270">
        <f>+H14+J14+M14</f>
        <v>741438.02486999996</v>
      </c>
      <c r="O14"/>
      <c r="P14"/>
      <c r="Q14" s="64"/>
      <c r="R14" s="10"/>
      <c r="S14" s="10"/>
      <c r="T14" s="10"/>
      <c r="U14" s="10"/>
      <c r="V14" s="10"/>
      <c r="W14" s="10"/>
      <c r="X14" s="10"/>
      <c r="Y14" s="10"/>
      <c r="Z14" s="10"/>
      <c r="AA14" s="10"/>
      <c r="AB14" s="10"/>
      <c r="AC14" s="10"/>
      <c r="AD14" s="10"/>
      <c r="AE14" s="10"/>
      <c r="AF14" s="10"/>
      <c r="AG14" s="10"/>
      <c r="AH14" s="10"/>
      <c r="AI14" s="10"/>
      <c r="AJ14" s="10"/>
      <c r="AK14" s="10"/>
      <c r="AL14" s="10"/>
      <c r="AM14" s="10"/>
      <c r="AN14" s="10"/>
    </row>
    <row r="15" spans="1:40" ht="15.6" customHeight="1">
      <c r="A15" s="10"/>
      <c r="B15" s="87">
        <f t="shared" ref="B15:H15" si="1">SUM(B10:B14)</f>
        <v>7662642.8360000001</v>
      </c>
      <c r="C15" s="87">
        <f t="shared" si="1"/>
        <v>342105.83269000001</v>
      </c>
      <c r="D15" s="87">
        <f t="shared" si="1"/>
        <v>1053556.7992099999</v>
      </c>
      <c r="E15" s="134">
        <f>SUM(E10:E14)</f>
        <v>1367236</v>
      </c>
      <c r="F15" s="87">
        <f t="shared" si="1"/>
        <v>5300420.5662600007</v>
      </c>
      <c r="G15" s="87">
        <f t="shared" si="1"/>
        <v>6197850.0646400005</v>
      </c>
      <c r="H15" s="172">
        <f t="shared" si="1"/>
        <v>21923812.0988</v>
      </c>
      <c r="I15" s="87">
        <f>SUM(I10:I14)</f>
        <v>435592.48599000002</v>
      </c>
      <c r="J15" s="570">
        <f t="shared" si="0"/>
        <v>435592.48599000002</v>
      </c>
      <c r="K15" s="87">
        <f>SUM(K10:K14)</f>
        <v>2090106</v>
      </c>
      <c r="L15" s="87">
        <f>SUM(L10:L14)</f>
        <v>1253412</v>
      </c>
      <c r="M15" s="178">
        <f>SUM(M10:M14)</f>
        <v>3343518</v>
      </c>
      <c r="N15" s="172">
        <f>SUM(N10:N14)</f>
        <v>25702922.584789999</v>
      </c>
      <c r="O15"/>
      <c r="P15"/>
      <c r="Q15" s="64"/>
      <c r="R15" s="10"/>
      <c r="S15" s="10"/>
      <c r="T15" s="10"/>
      <c r="U15" s="10"/>
      <c r="V15" s="10"/>
      <c r="W15" s="10"/>
      <c r="X15" s="10"/>
      <c r="Y15" s="10"/>
      <c r="Z15" s="10"/>
      <c r="AA15" s="10"/>
      <c r="AB15" s="10"/>
      <c r="AC15" s="10"/>
      <c r="AD15" s="10"/>
      <c r="AE15" s="10"/>
      <c r="AF15" s="10"/>
      <c r="AG15" s="10"/>
      <c r="AH15" s="10"/>
      <c r="AI15" s="10"/>
      <c r="AJ15" s="10"/>
      <c r="AK15" s="10"/>
      <c r="AL15" s="10"/>
      <c r="AM15" s="10"/>
      <c r="AN15" s="10"/>
    </row>
    <row r="16" spans="1:40" ht="7.9" customHeight="1">
      <c r="A16" s="10"/>
      <c r="B16" s="98" t="s">
        <v>0</v>
      </c>
      <c r="C16" s="88" t="s">
        <v>0</v>
      </c>
      <c r="D16" s="87"/>
      <c r="E16" s="87" t="s">
        <v>0</v>
      </c>
      <c r="F16" s="87"/>
      <c r="G16" s="87"/>
      <c r="H16" s="172"/>
      <c r="I16" s="87"/>
      <c r="J16" s="564"/>
      <c r="K16" s="87"/>
      <c r="L16" s="87" t="s">
        <v>0</v>
      </c>
      <c r="M16" s="178"/>
      <c r="N16" s="172"/>
      <c r="O16"/>
      <c r="P16"/>
      <c r="Q16" s="64"/>
      <c r="R16" s="10"/>
      <c r="S16" s="10"/>
      <c r="T16" s="10"/>
      <c r="U16" s="10"/>
      <c r="V16" s="10"/>
      <c r="W16" s="10"/>
      <c r="X16" s="10"/>
      <c r="Y16" s="10"/>
      <c r="Z16" s="10"/>
      <c r="AA16" s="10"/>
      <c r="AB16" s="10"/>
      <c r="AC16" s="10"/>
      <c r="AD16" s="10"/>
      <c r="AE16" s="10"/>
      <c r="AF16" s="10"/>
      <c r="AG16" s="10"/>
      <c r="AH16" s="10"/>
      <c r="AI16" s="10"/>
      <c r="AJ16" s="10"/>
      <c r="AK16" s="10"/>
      <c r="AL16" s="10"/>
      <c r="AM16" s="10"/>
      <c r="AN16" s="10"/>
    </row>
    <row r="17" spans="1:40" ht="15.6" customHeight="1">
      <c r="A17" s="10" t="s">
        <v>261</v>
      </c>
      <c r="B17" s="87">
        <f>+'bncgdes&amp;$ '!C17</f>
        <v>3810000</v>
      </c>
      <c r="C17" s="87">
        <f>+'bphgdes&amp;$'!C17</f>
        <v>223000</v>
      </c>
      <c r="D17" s="87">
        <f>+'buhgdes&amp;$'!C17</f>
        <v>180000</v>
      </c>
      <c r="E17" s="87">
        <f>+'capitalbkgdes&amp;$'!C17</f>
        <v>298391</v>
      </c>
      <c r="F17" s="87">
        <f>+'sogebkgdes&amp;$  '!C17</f>
        <v>1300000</v>
      </c>
      <c r="G17" s="87">
        <f>+'unibkgdes&amp;$'!C17</f>
        <v>0</v>
      </c>
      <c r="H17" s="172">
        <f t="shared" ref="H17:H22" si="2">SUM(B17:G17)</f>
        <v>5811391</v>
      </c>
      <c r="I17" s="87">
        <f>+'sgbelgdes&amp;$'!C17</f>
        <v>0</v>
      </c>
      <c r="J17" s="570">
        <f t="shared" ref="J17:J22" si="3">+I17</f>
        <v>0</v>
      </c>
      <c r="K17" s="87">
        <f>+'cbnagdes&amp;$'!C17</f>
        <v>796833</v>
      </c>
      <c r="L17" s="87">
        <f>+'scotiagdes&amp;$'!C17</f>
        <v>0</v>
      </c>
      <c r="M17" s="178">
        <f t="shared" ref="M17:M22" si="4">SUM(K17:L17)</f>
        <v>796833</v>
      </c>
      <c r="N17" s="172">
        <f t="shared" ref="N17:N22" si="5">+H17+J17+M17</f>
        <v>6608224</v>
      </c>
      <c r="O17"/>
      <c r="P17"/>
      <c r="Q17" s="64"/>
      <c r="R17" s="10"/>
      <c r="S17" s="10"/>
      <c r="T17" s="10"/>
      <c r="U17" s="10"/>
      <c r="V17" s="10"/>
      <c r="W17" s="10"/>
      <c r="X17" s="10"/>
      <c r="Y17" s="10"/>
      <c r="Z17" s="10"/>
      <c r="AA17" s="10"/>
      <c r="AB17" s="10"/>
      <c r="AC17" s="10"/>
      <c r="AD17" s="10"/>
      <c r="AE17" s="10"/>
      <c r="AF17" s="10"/>
      <c r="AG17" s="10"/>
      <c r="AH17" s="10"/>
      <c r="AI17" s="10"/>
      <c r="AJ17" s="10"/>
      <c r="AK17" s="10"/>
      <c r="AL17" s="10"/>
      <c r="AM17" s="10"/>
      <c r="AN17" s="10"/>
    </row>
    <row r="18" spans="1:40" ht="15.6" customHeight="1">
      <c r="A18" s="10" t="s">
        <v>909</v>
      </c>
      <c r="B18" s="87">
        <f>+'bncgdes&amp;$ '!C18</f>
        <v>2875000</v>
      </c>
      <c r="C18" s="87">
        <f>+'bphgdes&amp;$'!C18</f>
        <v>0</v>
      </c>
      <c r="D18" s="87">
        <f>+'buhgdes&amp;$'!C18</f>
        <v>0</v>
      </c>
      <c r="E18" s="87">
        <f>+'capitalbkgdes&amp;$'!C18</f>
        <v>0</v>
      </c>
      <c r="F18" s="87">
        <f>+'sogebkgdes&amp;$  '!C18</f>
        <v>0</v>
      </c>
      <c r="G18" s="87">
        <f>+'unibkgdes&amp;$'!C18</f>
        <v>0</v>
      </c>
      <c r="H18" s="172">
        <f t="shared" si="2"/>
        <v>2875000</v>
      </c>
      <c r="I18" s="87">
        <f>+'sgbelgdes&amp;$'!C18</f>
        <v>0</v>
      </c>
      <c r="J18" s="570">
        <f t="shared" si="3"/>
        <v>0</v>
      </c>
      <c r="K18" s="87">
        <f>+'cbnagdes&amp;$'!C18</f>
        <v>0</v>
      </c>
      <c r="L18" s="87">
        <f>+'scotiagdes&amp;$'!C18</f>
        <v>0</v>
      </c>
      <c r="M18" s="178">
        <f t="shared" si="4"/>
        <v>0</v>
      </c>
      <c r="N18" s="172">
        <f t="shared" si="5"/>
        <v>2875000</v>
      </c>
      <c r="O18"/>
      <c r="P18"/>
      <c r="Q18" s="64"/>
      <c r="R18" s="10"/>
      <c r="S18" s="10"/>
      <c r="T18" s="10"/>
      <c r="U18" s="10"/>
      <c r="V18" s="10"/>
      <c r="W18" s="10"/>
      <c r="X18" s="10"/>
      <c r="Y18" s="10"/>
      <c r="Z18" s="10"/>
      <c r="AA18" s="10"/>
      <c r="AB18" s="10"/>
      <c r="AC18" s="10"/>
      <c r="AD18" s="10"/>
      <c r="AE18" s="10"/>
      <c r="AF18" s="10"/>
      <c r="AG18" s="10"/>
      <c r="AH18" s="10"/>
      <c r="AI18" s="10"/>
      <c r="AJ18" s="10"/>
      <c r="AK18" s="10"/>
      <c r="AL18" s="10"/>
      <c r="AM18" s="10"/>
      <c r="AN18" s="10"/>
    </row>
    <row r="19" spans="1:40">
      <c r="A19" s="10" t="s">
        <v>262</v>
      </c>
      <c r="B19" s="87">
        <f>+'bncgdes&amp;$ '!C19</f>
        <v>1227083.932</v>
      </c>
      <c r="C19" s="87">
        <f>+'bphgdes&amp;$'!C19</f>
        <v>39537.047740000002</v>
      </c>
      <c r="D19" s="87">
        <f>+'buhgdes&amp;$'!C19</f>
        <v>103266.27748999999</v>
      </c>
      <c r="E19" s="87">
        <f>+'capitalbkgdes&amp;$'!C19</f>
        <v>295156</v>
      </c>
      <c r="F19" s="87">
        <f>+'sogebkgdes&amp;$  '!C19</f>
        <v>2848633.4383200002</v>
      </c>
      <c r="G19" s="87">
        <f>+'unibkgdes&amp;$'!C19</f>
        <v>9262846.3659100011</v>
      </c>
      <c r="H19" s="172">
        <f t="shared" si="2"/>
        <v>13776523.061460001</v>
      </c>
      <c r="I19" s="87">
        <f>+'sgbelgdes&amp;$'!C19</f>
        <v>50937.69503000001</v>
      </c>
      <c r="J19" s="570">
        <f t="shared" si="3"/>
        <v>50937.69503000001</v>
      </c>
      <c r="K19" s="87">
        <f>+'cbnagdes&amp;$'!C19</f>
        <v>0</v>
      </c>
      <c r="L19" s="87">
        <f>+'scotiagdes&amp;$'!C19</f>
        <v>0</v>
      </c>
      <c r="M19" s="178">
        <f t="shared" si="4"/>
        <v>0</v>
      </c>
      <c r="N19" s="172">
        <f t="shared" si="5"/>
        <v>13827460.756490001</v>
      </c>
      <c r="O19"/>
      <c r="P19" s="116" t="s">
        <v>0</v>
      </c>
      <c r="Q19" s="64"/>
      <c r="R19" s="10"/>
      <c r="S19" s="10"/>
      <c r="T19" s="10"/>
      <c r="U19" s="10"/>
      <c r="V19" s="10"/>
      <c r="W19" s="10"/>
      <c r="X19" s="10"/>
      <c r="Y19" s="10"/>
      <c r="Z19" s="10"/>
      <c r="AA19" s="10"/>
      <c r="AB19" s="10"/>
      <c r="AC19" s="10"/>
      <c r="AD19" s="10"/>
      <c r="AE19" s="10"/>
      <c r="AF19" s="10"/>
      <c r="AG19" s="10"/>
      <c r="AH19" s="10"/>
      <c r="AI19" s="10"/>
      <c r="AJ19" s="10"/>
      <c r="AK19" s="10"/>
      <c r="AL19" s="10"/>
      <c r="AM19" s="10"/>
      <c r="AN19" s="10"/>
    </row>
    <row r="20" spans="1:40">
      <c r="A20" s="10" t="s">
        <v>357</v>
      </c>
      <c r="B20" s="87">
        <f>+'bncgdes&amp;$ '!C20</f>
        <v>6956106.2193699991</v>
      </c>
      <c r="C20" s="87">
        <f>+'bphgdes&amp;$'!C20</f>
        <v>365601.90802999999</v>
      </c>
      <c r="D20" s="87">
        <f>+'buhgdes&amp;$'!C20</f>
        <v>823794.97849000001</v>
      </c>
      <c r="E20" s="87">
        <f>+'capitalbkgdes&amp;$'!C20</f>
        <v>2596896</v>
      </c>
      <c r="F20" s="87">
        <f>+'sogebkgdes&amp;$  '!C20</f>
        <v>10263786.2367</v>
      </c>
      <c r="G20" s="87">
        <f>+'unibkgdes&amp;$'!C20</f>
        <v>7757420.6525100004</v>
      </c>
      <c r="H20" s="172">
        <f t="shared" si="2"/>
        <v>28763605.995099999</v>
      </c>
      <c r="I20" s="87">
        <f>+'sgbelgdes&amp;$'!C20</f>
        <v>1902796.8036399998</v>
      </c>
      <c r="J20" s="570">
        <f t="shared" si="3"/>
        <v>1902796.8036399998</v>
      </c>
      <c r="K20" s="87">
        <f>+'cbnagdes&amp;$'!C20</f>
        <v>428340</v>
      </c>
      <c r="L20" s="87">
        <f>+'scotiagdes&amp;$'!C20</f>
        <v>1636745</v>
      </c>
      <c r="M20" s="178">
        <f t="shared" si="4"/>
        <v>2065085</v>
      </c>
      <c r="N20" s="172">
        <f t="shared" si="5"/>
        <v>32731487.79874</v>
      </c>
      <c r="O20"/>
      <c r="P20"/>
      <c r="Q20" s="64"/>
      <c r="R20" s="10"/>
      <c r="S20" s="10"/>
      <c r="T20" s="10"/>
      <c r="U20" s="10"/>
      <c r="V20" s="10"/>
      <c r="W20" s="10"/>
      <c r="X20" s="10"/>
      <c r="Y20" s="10"/>
      <c r="Z20" s="10"/>
      <c r="AA20" s="10"/>
      <c r="AB20" s="10"/>
      <c r="AC20" s="10"/>
      <c r="AD20" s="10"/>
      <c r="AE20" s="10"/>
      <c r="AF20" s="10"/>
      <c r="AG20" s="10"/>
      <c r="AH20" s="10"/>
      <c r="AI20" s="10"/>
      <c r="AJ20" s="10"/>
      <c r="AK20" s="10"/>
      <c r="AL20" s="10"/>
      <c r="AM20" s="10"/>
      <c r="AN20" s="10"/>
    </row>
    <row r="21" spans="1:40">
      <c r="A21" s="10" t="s">
        <v>264</v>
      </c>
      <c r="B21" s="87">
        <f>+'bncgdes&amp;$ '!C21</f>
        <v>1371154.9584999997</v>
      </c>
      <c r="C21" s="87">
        <f>+'bphgdes&amp;$'!C21</f>
        <v>305443.18223999999</v>
      </c>
      <c r="D21" s="87">
        <f>+'buhgdes&amp;$'!C21</f>
        <v>280545.03700000001</v>
      </c>
      <c r="E21" s="87">
        <f>+'capitalbkgdes&amp;$'!C21</f>
        <v>293320</v>
      </c>
      <c r="F21" s="87">
        <f>+'sogebkgdes&amp;$  '!C21</f>
        <v>2115040.9605199997</v>
      </c>
      <c r="G21" s="87">
        <f>+'unibkgdes&amp;$'!C21</f>
        <v>1437499.7739299997</v>
      </c>
      <c r="H21" s="172">
        <f t="shared" si="2"/>
        <v>5803003.9121899996</v>
      </c>
      <c r="I21" s="87">
        <f>+'sgbelgdes&amp;$'!C21</f>
        <v>210745.71995999999</v>
      </c>
      <c r="J21" s="570">
        <f t="shared" si="3"/>
        <v>210745.71995999999</v>
      </c>
      <c r="K21" s="87">
        <f>+'cbnagdes&amp;$'!C21</f>
        <v>356354</v>
      </c>
      <c r="L21" s="87">
        <f>+'scotiagdes&amp;$'!C21</f>
        <v>65712</v>
      </c>
      <c r="M21" s="178">
        <f t="shared" si="4"/>
        <v>422066</v>
      </c>
      <c r="N21" s="172">
        <f t="shared" si="5"/>
        <v>6435815.63215</v>
      </c>
      <c r="O21"/>
      <c r="P21"/>
      <c r="Q21" s="64"/>
      <c r="R21" s="10"/>
      <c r="S21" s="10"/>
      <c r="T21" s="10"/>
      <c r="U21" s="10"/>
      <c r="V21" s="10"/>
      <c r="W21" s="10"/>
      <c r="X21" s="10"/>
      <c r="Y21" s="10"/>
      <c r="Z21" s="10"/>
      <c r="AA21" s="10"/>
      <c r="AB21" s="10"/>
      <c r="AC21" s="10"/>
      <c r="AD21" s="10"/>
      <c r="AE21" s="10"/>
      <c r="AF21" s="10"/>
      <c r="AG21" s="10"/>
      <c r="AH21" s="10"/>
      <c r="AI21" s="10"/>
      <c r="AJ21" s="10"/>
      <c r="AK21" s="10"/>
      <c r="AL21" s="10"/>
      <c r="AM21" s="10"/>
      <c r="AN21" s="10"/>
    </row>
    <row r="22" spans="1:40">
      <c r="A22" s="10" t="s">
        <v>265</v>
      </c>
      <c r="B22" s="199">
        <f>+'bncgdes&amp;$ '!C22</f>
        <v>1843041.753</v>
      </c>
      <c r="C22" s="199">
        <f>+'bphgdes&amp;$'!C22</f>
        <v>21393.73199</v>
      </c>
      <c r="D22" s="199">
        <f>+'buhgdes&amp;$'!C22</f>
        <v>365130.52045999997</v>
      </c>
      <c r="E22" s="199">
        <f>+'capitalbkgdes&amp;$'!C22</f>
        <v>300545</v>
      </c>
      <c r="F22" s="199">
        <f>+'sogebkgdes&amp;$  '!C22</f>
        <v>1559837.2792</v>
      </c>
      <c r="G22" s="547">
        <f>+'unibkgdes&amp;$'!C22</f>
        <v>748896.95729999989</v>
      </c>
      <c r="H22" s="270">
        <f t="shared" si="2"/>
        <v>4838845.2419499997</v>
      </c>
      <c r="I22" s="547">
        <f>+'sgbelgdes&amp;$'!C22</f>
        <v>100013.78117</v>
      </c>
      <c r="J22" s="572">
        <f t="shared" si="3"/>
        <v>100013.78117</v>
      </c>
      <c r="K22" s="605">
        <f>+'cbnagdes&amp;$'!C22</f>
        <v>19744</v>
      </c>
      <c r="L22" s="547">
        <f>+'scotiagdes&amp;$'!C22</f>
        <v>18440</v>
      </c>
      <c r="M22" s="270">
        <f t="shared" si="4"/>
        <v>38184</v>
      </c>
      <c r="N22" s="270">
        <f t="shared" si="5"/>
        <v>4977043.02312</v>
      </c>
      <c r="O22"/>
      <c r="P22"/>
      <c r="Q22" s="64"/>
      <c r="R22" s="10"/>
      <c r="S22" s="10"/>
      <c r="T22" s="10"/>
      <c r="U22" s="10"/>
      <c r="V22" s="10"/>
      <c r="W22" s="10"/>
      <c r="X22" s="10"/>
      <c r="Y22" s="10"/>
      <c r="Z22" s="10"/>
      <c r="AA22" s="10"/>
      <c r="AB22" s="10"/>
      <c r="AC22" s="10"/>
      <c r="AD22" s="10"/>
      <c r="AE22" s="10"/>
      <c r="AF22" s="10"/>
      <c r="AG22" s="10"/>
      <c r="AH22" s="10"/>
      <c r="AI22" s="10"/>
      <c r="AJ22" s="10"/>
      <c r="AK22" s="10"/>
      <c r="AL22" s="10"/>
      <c r="AM22" s="10"/>
      <c r="AN22" s="10"/>
    </row>
    <row r="23" spans="1:40">
      <c r="A23" s="10" t="s">
        <v>54</v>
      </c>
      <c r="B23" s="90">
        <f t="shared" ref="B23:H23" si="6">SUM(B15:B22)</f>
        <v>25745029.698869996</v>
      </c>
      <c r="C23" s="90">
        <f t="shared" si="6"/>
        <v>1297081.7026899999</v>
      </c>
      <c r="D23" s="90">
        <f t="shared" si="6"/>
        <v>2806293.6126499996</v>
      </c>
      <c r="E23" s="13">
        <f>SUM(E15:E22)</f>
        <v>5151544</v>
      </c>
      <c r="F23" s="90">
        <f t="shared" si="6"/>
        <v>23387718.480999999</v>
      </c>
      <c r="G23" s="90">
        <f t="shared" si="6"/>
        <v>25404513.814290002</v>
      </c>
      <c r="H23" s="172">
        <f t="shared" si="6"/>
        <v>83792181.309500009</v>
      </c>
      <c r="I23" s="90">
        <f t="shared" ref="I23:N23" si="7">SUM(I15:I22)</f>
        <v>2700086.4857899994</v>
      </c>
      <c r="J23" s="582">
        <f t="shared" si="7"/>
        <v>2700086.4857899994</v>
      </c>
      <c r="K23" s="13">
        <f t="shared" si="7"/>
        <v>3691377</v>
      </c>
      <c r="L23" s="13">
        <f t="shared" si="7"/>
        <v>2974309</v>
      </c>
      <c r="M23" s="183">
        <f t="shared" si="7"/>
        <v>6665686</v>
      </c>
      <c r="N23" s="172">
        <f t="shared" si="7"/>
        <v>93157953.795289993</v>
      </c>
      <c r="O23"/>
      <c r="P23"/>
      <c r="Q23" s="64"/>
      <c r="R23" s="10"/>
      <c r="S23" s="10"/>
      <c r="T23" s="10"/>
      <c r="U23" s="10"/>
      <c r="V23" s="10"/>
      <c r="W23" s="10"/>
      <c r="X23" s="10"/>
      <c r="Y23" s="10"/>
      <c r="Z23" s="10"/>
      <c r="AA23" s="10"/>
      <c r="AB23" s="10"/>
      <c r="AC23" s="10"/>
      <c r="AD23" s="10"/>
      <c r="AE23" s="10"/>
      <c r="AF23" s="10"/>
      <c r="AG23" s="10"/>
      <c r="AH23" s="10"/>
      <c r="AI23" s="10"/>
      <c r="AJ23" s="10"/>
      <c r="AK23" s="10"/>
      <c r="AL23" s="10"/>
      <c r="AM23" s="10"/>
      <c r="AN23" s="10"/>
    </row>
    <row r="24" spans="1:40" ht="15.6" customHeight="1">
      <c r="A24" s="10"/>
      <c r="B24" s="98" t="s">
        <v>0</v>
      </c>
      <c r="C24" s="88" t="s">
        <v>0</v>
      </c>
      <c r="D24" s="87"/>
      <c r="E24" s="87" t="s">
        <v>0</v>
      </c>
      <c r="F24" s="87"/>
      <c r="G24" s="87"/>
      <c r="H24" s="93"/>
      <c r="I24" s="87"/>
      <c r="J24" s="571"/>
      <c r="K24" s="87"/>
      <c r="L24" s="87" t="s">
        <v>0</v>
      </c>
      <c r="M24" s="114"/>
      <c r="N24" s="93"/>
      <c r="O24"/>
      <c r="P24"/>
      <c r="Q24" s="64"/>
      <c r="R24" s="10"/>
      <c r="S24" s="10"/>
      <c r="T24" s="10"/>
      <c r="U24" s="10"/>
      <c r="V24" s="10"/>
      <c r="W24" s="10"/>
      <c r="X24" s="10"/>
      <c r="Y24" s="10"/>
      <c r="Z24" s="10"/>
      <c r="AA24" s="10"/>
      <c r="AB24" s="10"/>
      <c r="AC24" s="10"/>
      <c r="AD24" s="10"/>
      <c r="AE24" s="10"/>
      <c r="AF24" s="10"/>
      <c r="AG24" s="10"/>
      <c r="AH24" s="10"/>
      <c r="AI24" s="10"/>
      <c r="AJ24" s="10"/>
      <c r="AK24" s="10"/>
      <c r="AL24" s="10"/>
      <c r="AM24" s="10"/>
      <c r="AN24" s="10"/>
    </row>
    <row r="25" spans="1:40">
      <c r="A25" s="11" t="s">
        <v>266</v>
      </c>
      <c r="B25" s="98" t="s">
        <v>0</v>
      </c>
      <c r="C25" s="88" t="s">
        <v>0</v>
      </c>
      <c r="D25" s="87"/>
      <c r="E25" s="87" t="s">
        <v>0</v>
      </c>
      <c r="F25" s="87"/>
      <c r="G25" s="87"/>
      <c r="H25" s="93"/>
      <c r="I25" s="87"/>
      <c r="J25" s="571"/>
      <c r="K25" s="87"/>
      <c r="L25" s="87" t="s">
        <v>0</v>
      </c>
      <c r="M25" s="114"/>
      <c r="N25" s="93"/>
      <c r="O25" s="116" t="s">
        <v>0</v>
      </c>
      <c r="P25"/>
      <c r="Q25" s="64"/>
      <c r="R25" s="10"/>
      <c r="S25" s="10"/>
      <c r="T25" s="10"/>
      <c r="U25" s="10"/>
      <c r="V25" s="10"/>
      <c r="W25" s="10"/>
      <c r="X25" s="10"/>
      <c r="Y25" s="10"/>
      <c r="Z25" s="10"/>
      <c r="AA25" s="10"/>
      <c r="AB25" s="10"/>
      <c r="AC25" s="10"/>
      <c r="AD25" s="10"/>
      <c r="AE25" s="10"/>
      <c r="AF25" s="10"/>
      <c r="AG25" s="10"/>
      <c r="AH25" s="10"/>
      <c r="AI25" s="10"/>
      <c r="AJ25" s="10"/>
      <c r="AK25" s="10"/>
      <c r="AL25" s="10"/>
      <c r="AM25" s="10"/>
      <c r="AN25" s="10"/>
    </row>
    <row r="26" spans="1:40">
      <c r="A26" s="10" t="s">
        <v>267</v>
      </c>
      <c r="B26" s="98" t="s">
        <v>0</v>
      </c>
      <c r="C26" s="88" t="s">
        <v>0</v>
      </c>
      <c r="D26" s="87"/>
      <c r="E26" s="87" t="s">
        <v>0</v>
      </c>
      <c r="F26" s="87"/>
      <c r="G26" s="87"/>
      <c r="H26" s="93"/>
      <c r="I26" s="87"/>
      <c r="J26" s="571"/>
      <c r="K26" s="87"/>
      <c r="L26" s="87" t="s">
        <v>0</v>
      </c>
      <c r="M26" s="114"/>
      <c r="N26" s="93"/>
      <c r="O26"/>
      <c r="P26"/>
      <c r="Q26" s="64"/>
      <c r="R26" s="10"/>
      <c r="S26" s="10"/>
      <c r="T26" s="10"/>
      <c r="U26" s="10"/>
      <c r="V26" s="10"/>
      <c r="W26" s="10"/>
      <c r="X26" s="10"/>
      <c r="Y26" s="10"/>
      <c r="Z26" s="10"/>
      <c r="AA26" s="10"/>
      <c r="AB26" s="10"/>
      <c r="AC26" s="10"/>
      <c r="AD26" s="10"/>
      <c r="AE26" s="10"/>
      <c r="AF26" s="10"/>
      <c r="AG26" s="10"/>
      <c r="AH26" s="10"/>
      <c r="AI26" s="10"/>
      <c r="AJ26" s="10"/>
      <c r="AK26" s="10"/>
      <c r="AL26" s="10"/>
      <c r="AM26" s="10"/>
      <c r="AN26" s="10"/>
    </row>
    <row r="27" spans="1:40">
      <c r="A27" s="10" t="s">
        <v>268</v>
      </c>
      <c r="B27" s="87">
        <f>+'bncgdes&amp;$ '!C27</f>
        <v>10138469.56065</v>
      </c>
      <c r="C27" s="87">
        <f>+'bphgdes&amp;$'!C27</f>
        <v>410830.59531</v>
      </c>
      <c r="D27" s="87">
        <f>+'buhgdes&amp;$'!C27</f>
        <v>808599.26804999996</v>
      </c>
      <c r="E27" s="87">
        <f>+'capitalbkgdes&amp;$'!C27</f>
        <v>2462050</v>
      </c>
      <c r="F27" s="87">
        <f>+'sogebkgdes&amp;$  '!C27</f>
        <v>6312346.5468100011</v>
      </c>
      <c r="G27" s="87">
        <f>+'unibkgdes&amp;$'!C27</f>
        <v>9161104.1519299988</v>
      </c>
      <c r="H27" s="172">
        <f>SUM(B27:G27)</f>
        <v>29293400.122749999</v>
      </c>
      <c r="I27" s="87">
        <f>+'sgbelgdes&amp;$'!C27</f>
        <v>294610.80861000001</v>
      </c>
      <c r="J27" s="570">
        <f>+I27</f>
        <v>294610.80861000001</v>
      </c>
      <c r="K27" s="87">
        <f>+'cbnagdes&amp;$'!C27</f>
        <v>2331697</v>
      </c>
      <c r="L27" s="87">
        <f>+'scotiagdes&amp;$'!C27</f>
        <v>1398055</v>
      </c>
      <c r="M27" s="178">
        <f>SUM(K27:L27)</f>
        <v>3729752</v>
      </c>
      <c r="N27" s="172">
        <f>+H27+J27+M27</f>
        <v>33317762.931359999</v>
      </c>
      <c r="O27"/>
      <c r="P27" s="116" t="s">
        <v>0</v>
      </c>
      <c r="Q27" s="64"/>
      <c r="R27" s="10"/>
      <c r="S27" s="10"/>
      <c r="T27" s="10"/>
      <c r="U27" s="10"/>
      <c r="V27" s="10"/>
      <c r="W27" s="10"/>
      <c r="X27" s="10"/>
      <c r="Y27" s="10"/>
      <c r="Z27" s="10"/>
      <c r="AA27" s="10"/>
      <c r="AB27" s="10"/>
      <c r="AC27" s="10"/>
      <c r="AD27" s="10"/>
      <c r="AE27" s="10"/>
      <c r="AF27" s="10"/>
      <c r="AG27" s="10"/>
      <c r="AH27" s="10"/>
      <c r="AI27" s="10"/>
      <c r="AJ27" s="10"/>
      <c r="AK27" s="10"/>
      <c r="AL27" s="10"/>
      <c r="AM27" s="10"/>
      <c r="AN27" s="10"/>
    </row>
    <row r="28" spans="1:40">
      <c r="A28" s="10" t="s">
        <v>269</v>
      </c>
      <c r="B28" s="87">
        <f>+'bncgdes&amp;$ '!C28</f>
        <v>6471855.2016099999</v>
      </c>
      <c r="C28" s="87">
        <f>+'bphgdes&amp;$'!C28</f>
        <v>292957.63527999999</v>
      </c>
      <c r="D28" s="87">
        <f>+'buhgdes&amp;$'!C28</f>
        <v>1009159.98202</v>
      </c>
      <c r="E28" s="87">
        <f>+'capitalbkgdes&amp;$'!C28</f>
        <v>1081458</v>
      </c>
      <c r="F28" s="87">
        <f>+'sogebkgdes&amp;$  '!C28</f>
        <v>8055943.1709800009</v>
      </c>
      <c r="G28" s="87">
        <f>+'unibkgdes&amp;$'!C28</f>
        <v>7682638.8655399997</v>
      </c>
      <c r="H28" s="172">
        <f>SUM(B28:G28)</f>
        <v>24594012.85543</v>
      </c>
      <c r="I28" s="87">
        <f>+'sgbelgdes&amp;$'!C28</f>
        <v>207259.14601999999</v>
      </c>
      <c r="J28" s="570">
        <f>+I28</f>
        <v>207259.14601999999</v>
      </c>
      <c r="K28" s="87">
        <f>+'cbnagdes&amp;$'!C28</f>
        <v>12029</v>
      </c>
      <c r="L28" s="87">
        <f>+'scotiagdes&amp;$'!C28</f>
        <v>897063</v>
      </c>
      <c r="M28" s="178">
        <f>SUM(K28:L28)</f>
        <v>909092</v>
      </c>
      <c r="N28" s="172">
        <f>+H28+J28+M28</f>
        <v>25710364.001449998</v>
      </c>
      <c r="O28"/>
      <c r="P28"/>
      <c r="Q28" s="64"/>
      <c r="R28" s="10"/>
      <c r="S28" s="10"/>
      <c r="T28" s="10"/>
      <c r="U28" s="10"/>
      <c r="V28" s="10"/>
      <c r="W28" s="10"/>
      <c r="X28" s="10"/>
      <c r="Y28" s="10"/>
      <c r="Z28" s="10"/>
      <c r="AA28" s="10"/>
      <c r="AB28" s="10"/>
      <c r="AC28" s="10"/>
      <c r="AD28" s="10"/>
      <c r="AE28" s="10"/>
      <c r="AF28" s="10"/>
      <c r="AG28" s="10"/>
      <c r="AH28" s="10"/>
      <c r="AI28" s="10"/>
      <c r="AJ28" s="10"/>
      <c r="AK28" s="10"/>
      <c r="AL28" s="10"/>
      <c r="AM28" s="10"/>
      <c r="AN28" s="10"/>
    </row>
    <row r="29" spans="1:40">
      <c r="A29" s="10" t="s">
        <v>270</v>
      </c>
      <c r="B29" s="199">
        <f>+'bncgdes&amp;$ '!C29</f>
        <v>2909401.4798000003</v>
      </c>
      <c r="C29" s="199">
        <f>+'bphgdes&amp;$'!C29</f>
        <v>278372.75481000001</v>
      </c>
      <c r="D29" s="199">
        <f>+'buhgdes&amp;$'!C29</f>
        <v>383288.87552</v>
      </c>
      <c r="E29" s="199">
        <f>+'capitalbkgdes&amp;$'!C29</f>
        <v>252230</v>
      </c>
      <c r="F29" s="199">
        <f>+'sogebkgdes&amp;$  '!C29</f>
        <v>2959360.8041300001</v>
      </c>
      <c r="G29" s="547">
        <f>+'unibkgdes&amp;$'!C29</f>
        <v>1960710.7800199999</v>
      </c>
      <c r="H29" s="270">
        <f>SUM(B29:G29)</f>
        <v>8743364.6942800004</v>
      </c>
      <c r="I29" s="547">
        <f>+'sgbelgdes&amp;$'!C29</f>
        <v>710890.16549999989</v>
      </c>
      <c r="J29" s="572">
        <f>+I29</f>
        <v>710890.16549999989</v>
      </c>
      <c r="K29" s="605">
        <f>+'cbnagdes&amp;$'!C29</f>
        <v>151741</v>
      </c>
      <c r="L29" s="547">
        <f>+'scotiagdes&amp;$'!C29</f>
        <v>278204</v>
      </c>
      <c r="M29" s="270">
        <f>SUM(K29:L29)</f>
        <v>429945</v>
      </c>
      <c r="N29" s="270">
        <f>+H29+J29+M29</f>
        <v>9884199.8597800005</v>
      </c>
      <c r="O29"/>
      <c r="P29"/>
      <c r="Q29" s="64"/>
      <c r="R29" s="10"/>
      <c r="S29" s="10"/>
      <c r="T29" s="10"/>
      <c r="U29" s="10"/>
      <c r="V29" s="10"/>
      <c r="W29" s="10"/>
      <c r="X29" s="10"/>
      <c r="Y29" s="10"/>
      <c r="Z29" s="10"/>
      <c r="AA29" s="10"/>
      <c r="AB29" s="10"/>
      <c r="AC29" s="10"/>
      <c r="AD29" s="10"/>
      <c r="AE29" s="10"/>
      <c r="AF29" s="10"/>
      <c r="AG29" s="10"/>
      <c r="AH29" s="10"/>
      <c r="AI29" s="10"/>
      <c r="AJ29" s="10"/>
      <c r="AK29" s="10"/>
      <c r="AL29" s="10"/>
      <c r="AM29" s="10"/>
      <c r="AN29" s="10"/>
    </row>
    <row r="30" spans="1:40">
      <c r="A30" s="10"/>
      <c r="B30" s="87">
        <f t="shared" ref="B30:H30" si="8">SUM(B27:B29)</f>
        <v>19519726.242060002</v>
      </c>
      <c r="C30" s="87">
        <f t="shared" si="8"/>
        <v>982160.98540000012</v>
      </c>
      <c r="D30" s="87">
        <f t="shared" si="8"/>
        <v>2201048.1255900003</v>
      </c>
      <c r="E30" s="87">
        <f>SUM(E27:E29)</f>
        <v>3795738</v>
      </c>
      <c r="F30" s="87">
        <f t="shared" si="8"/>
        <v>17327650.521920003</v>
      </c>
      <c r="G30" s="87">
        <f t="shared" si="8"/>
        <v>18804453.797489997</v>
      </c>
      <c r="H30" s="172">
        <f t="shared" si="8"/>
        <v>62630777.672459997</v>
      </c>
      <c r="I30" s="87">
        <f t="shared" ref="I30:N30" si="9">SUM(I27:I29)</f>
        <v>1212760.1201299999</v>
      </c>
      <c r="J30" s="570">
        <f t="shared" si="9"/>
        <v>1212760.1201299999</v>
      </c>
      <c r="K30" s="87">
        <f t="shared" si="9"/>
        <v>2495467</v>
      </c>
      <c r="L30" s="87">
        <f t="shared" si="9"/>
        <v>2573322</v>
      </c>
      <c r="M30" s="178">
        <f t="shared" si="9"/>
        <v>5068789</v>
      </c>
      <c r="N30" s="172">
        <f t="shared" si="9"/>
        <v>68912326.792589992</v>
      </c>
      <c r="O30"/>
      <c r="P30"/>
      <c r="Q30" s="64"/>
      <c r="R30" s="10"/>
      <c r="S30" s="10"/>
      <c r="T30" s="10"/>
      <c r="U30" s="10"/>
      <c r="V30" s="10"/>
      <c r="W30" s="10"/>
      <c r="X30" s="10"/>
      <c r="Y30" s="10"/>
      <c r="Z30" s="10"/>
      <c r="AA30" s="10"/>
      <c r="AB30" s="10"/>
      <c r="AC30" s="10"/>
      <c r="AD30" s="10"/>
      <c r="AE30" s="10"/>
      <c r="AF30" s="10"/>
      <c r="AG30" s="10"/>
      <c r="AH30" s="10"/>
      <c r="AI30" s="10"/>
      <c r="AJ30" s="10"/>
      <c r="AK30" s="10"/>
      <c r="AL30" s="10"/>
      <c r="AM30" s="10"/>
      <c r="AN30" s="10"/>
    </row>
    <row r="31" spans="1:40" ht="7.9" customHeight="1">
      <c r="A31" s="10"/>
      <c r="B31" s="98" t="s">
        <v>0</v>
      </c>
      <c r="C31" s="88" t="s">
        <v>0</v>
      </c>
      <c r="D31" s="87"/>
      <c r="E31" s="87" t="s">
        <v>0</v>
      </c>
      <c r="F31" s="87"/>
      <c r="G31" s="87"/>
      <c r="H31" s="172"/>
      <c r="I31" s="87"/>
      <c r="J31" s="564"/>
      <c r="K31" s="87"/>
      <c r="L31" s="87" t="s">
        <v>0</v>
      </c>
      <c r="M31" s="178"/>
      <c r="N31" s="172"/>
      <c r="O31"/>
      <c r="P31"/>
      <c r="Q31" s="64"/>
      <c r="R31" s="10"/>
      <c r="S31" s="10"/>
      <c r="T31" s="10"/>
      <c r="U31" s="10"/>
      <c r="V31" s="10"/>
      <c r="W31" s="10"/>
      <c r="X31" s="10"/>
      <c r="Y31" s="10"/>
      <c r="Z31" s="10"/>
      <c r="AA31" s="10"/>
      <c r="AB31" s="10"/>
      <c r="AC31" s="10"/>
      <c r="AD31" s="10"/>
      <c r="AE31" s="10"/>
      <c r="AF31" s="10"/>
      <c r="AG31" s="10"/>
      <c r="AH31" s="10"/>
      <c r="AI31" s="10"/>
      <c r="AJ31" s="10"/>
      <c r="AK31" s="10"/>
      <c r="AL31" s="10"/>
      <c r="AM31" s="10"/>
      <c r="AN31" s="10"/>
    </row>
    <row r="32" spans="1:40">
      <c r="A32" s="10" t="s">
        <v>271</v>
      </c>
      <c r="B32" s="98" t="s">
        <v>0</v>
      </c>
      <c r="C32" s="88" t="s">
        <v>0</v>
      </c>
      <c r="D32" s="87"/>
      <c r="E32" s="87" t="s">
        <v>0</v>
      </c>
      <c r="F32" s="87"/>
      <c r="G32" s="87"/>
      <c r="H32" s="172"/>
      <c r="I32" s="87"/>
      <c r="J32" s="564"/>
      <c r="K32" s="87"/>
      <c r="L32" s="87" t="s">
        <v>0</v>
      </c>
      <c r="M32" s="178"/>
      <c r="N32" s="172"/>
      <c r="O32"/>
      <c r="P32"/>
      <c r="Q32" s="64"/>
      <c r="R32" s="10"/>
      <c r="S32" s="10"/>
      <c r="T32" s="10"/>
      <c r="U32" s="10"/>
      <c r="V32" s="10"/>
      <c r="W32" s="10"/>
      <c r="X32" s="10"/>
      <c r="Y32" s="10"/>
      <c r="Z32" s="10"/>
      <c r="AA32" s="10"/>
      <c r="AB32" s="10"/>
      <c r="AC32" s="10"/>
      <c r="AD32" s="10"/>
      <c r="AE32" s="10"/>
      <c r="AF32" s="10"/>
      <c r="AG32" s="10"/>
      <c r="AH32" s="10"/>
      <c r="AI32" s="10"/>
      <c r="AJ32" s="10"/>
      <c r="AK32" s="10"/>
      <c r="AL32" s="10"/>
      <c r="AM32" s="10"/>
      <c r="AN32" s="10"/>
    </row>
    <row r="33" spans="1:40">
      <c r="A33" s="10" t="s">
        <v>272</v>
      </c>
      <c r="B33" s="87">
        <f>+'bncgdes&amp;$ '!C33</f>
        <v>0</v>
      </c>
      <c r="C33" s="87">
        <f>+'bphgdes&amp;$'!C33</f>
        <v>0</v>
      </c>
      <c r="D33" s="87">
        <f>+'buhgdes&amp;$'!C33</f>
        <v>0</v>
      </c>
      <c r="E33" s="87">
        <f>+'capitalbkgdes&amp;$'!C33</f>
        <v>0</v>
      </c>
      <c r="F33" s="87">
        <f>+'sogebkgdes&amp;$  '!C33</f>
        <v>0</v>
      </c>
      <c r="G33" s="87">
        <f>+'unibkgdes&amp;$'!C33</f>
        <v>0</v>
      </c>
      <c r="H33" s="172">
        <f>SUM(B33:G33)</f>
        <v>0</v>
      </c>
      <c r="I33" s="87">
        <f>+'sgbelgdes&amp;$'!C33</f>
        <v>0</v>
      </c>
      <c r="J33" s="570">
        <f>+I33</f>
        <v>0</v>
      </c>
      <c r="K33" s="87">
        <f>+'cbnagdes&amp;$'!C33</f>
        <v>300000</v>
      </c>
      <c r="L33" s="87">
        <f>+'scotiagdes&amp;$'!C33</f>
        <v>0</v>
      </c>
      <c r="M33" s="178">
        <f>SUM(K33:L33)</f>
        <v>300000</v>
      </c>
      <c r="N33" s="172">
        <f>+H33+J33+M33</f>
        <v>300000</v>
      </c>
      <c r="O33"/>
      <c r="P33"/>
      <c r="Q33" s="64"/>
      <c r="R33" s="10"/>
      <c r="S33" s="10"/>
      <c r="T33" s="10"/>
      <c r="U33" s="10"/>
      <c r="V33" s="10"/>
      <c r="W33" s="10"/>
      <c r="X33" s="10"/>
      <c r="Y33" s="10"/>
      <c r="Z33" s="10"/>
      <c r="AA33" s="10"/>
      <c r="AB33" s="10"/>
      <c r="AC33" s="10"/>
      <c r="AD33" s="10"/>
      <c r="AE33" s="10"/>
      <c r="AF33" s="10"/>
      <c r="AG33" s="10"/>
      <c r="AH33" s="10"/>
      <c r="AI33" s="10"/>
      <c r="AJ33" s="10"/>
      <c r="AK33" s="10"/>
      <c r="AL33" s="10"/>
      <c r="AM33" s="10"/>
      <c r="AN33" s="10"/>
    </row>
    <row r="34" spans="1:40">
      <c r="A34" s="10" t="s">
        <v>273</v>
      </c>
      <c r="B34" s="87">
        <f>+'bncgdes&amp;$ '!C34</f>
        <v>0</v>
      </c>
      <c r="C34" s="87">
        <f>+'bphgdes&amp;$'!C34</f>
        <v>0</v>
      </c>
      <c r="D34" s="87">
        <f>+'buhgdes&amp;$'!C34</f>
        <v>0</v>
      </c>
      <c r="E34" s="87">
        <f>+'capitalbkgdes&amp;$'!C34</f>
        <v>0</v>
      </c>
      <c r="F34" s="87">
        <f>+'sogebkgdes&amp;$  '!C34</f>
        <v>0</v>
      </c>
      <c r="G34" s="87">
        <f>+'unibkgdes&amp;$'!C34</f>
        <v>0</v>
      </c>
      <c r="H34" s="172">
        <f>SUM(B34:G34)</f>
        <v>0</v>
      </c>
      <c r="I34" s="87">
        <f>+'sgbelgdes&amp;$'!C34</f>
        <v>0</v>
      </c>
      <c r="J34" s="570">
        <f>+I34</f>
        <v>0</v>
      </c>
      <c r="K34" s="87">
        <f>+'cbnagdes&amp;$'!C34</f>
        <v>0</v>
      </c>
      <c r="L34" s="87">
        <f>+'scotiagdes&amp;$'!C34</f>
        <v>0</v>
      </c>
      <c r="M34" s="178">
        <f>SUM(K34:L34)</f>
        <v>0</v>
      </c>
      <c r="N34" s="172">
        <f>+H34+J34+M34</f>
        <v>0</v>
      </c>
      <c r="O34"/>
      <c r="P34"/>
      <c r="Q34" s="64"/>
      <c r="R34" s="10"/>
      <c r="S34" s="10"/>
      <c r="T34" s="10"/>
      <c r="U34" s="10"/>
      <c r="V34" s="10"/>
      <c r="W34" s="10"/>
      <c r="X34" s="10"/>
      <c r="Y34" s="10"/>
      <c r="Z34" s="10"/>
      <c r="AA34" s="10"/>
      <c r="AB34" s="10"/>
      <c r="AC34" s="10"/>
      <c r="AD34" s="10"/>
      <c r="AE34" s="10"/>
      <c r="AF34" s="10"/>
      <c r="AG34" s="10"/>
      <c r="AH34" s="10"/>
      <c r="AI34" s="10"/>
      <c r="AJ34" s="10"/>
      <c r="AK34" s="10"/>
      <c r="AL34" s="10"/>
      <c r="AM34" s="10"/>
      <c r="AN34" s="10"/>
    </row>
    <row r="35" spans="1:40" ht="17.25">
      <c r="A35" s="10" t="s">
        <v>274</v>
      </c>
      <c r="B35" s="199">
        <f>+'bncgdes&amp;$ '!C35</f>
        <v>1309789.111</v>
      </c>
      <c r="C35" s="199">
        <f>+'bphgdes&amp;$'!C35</f>
        <v>136618.15005</v>
      </c>
      <c r="D35" s="199">
        <f>+'buhgdes&amp;$'!C35</f>
        <v>95235.972769999993</v>
      </c>
      <c r="E35" s="199">
        <f>+'capitalbkgdes&amp;$'!C35</f>
        <v>210295</v>
      </c>
      <c r="F35" s="199">
        <f>+'sogebkgdes&amp;$  '!C35</f>
        <v>881957.75723999995</v>
      </c>
      <c r="G35" s="547">
        <f>+'unibkgdes&amp;$'!C35</f>
        <v>962447.22031</v>
      </c>
      <c r="H35" s="270">
        <f>SUM(B35:G35)</f>
        <v>3596343.2113699997</v>
      </c>
      <c r="I35" s="547">
        <f>+'sgbelgdes&amp;$'!C35</f>
        <v>73492.731379999997</v>
      </c>
      <c r="J35" s="572">
        <f>+I35</f>
        <v>73492.731379999997</v>
      </c>
      <c r="K35" s="605">
        <f>+'cbnagdes&amp;$'!C35</f>
        <v>398709</v>
      </c>
      <c r="L35" s="547">
        <f>+'scotiagdes&amp;$'!C35</f>
        <v>94187</v>
      </c>
      <c r="M35" s="270">
        <f>SUM(K35:L35)</f>
        <v>492896</v>
      </c>
      <c r="N35" s="270">
        <f>+H35+J35+M35</f>
        <v>4162731.9427499995</v>
      </c>
      <c r="O35"/>
      <c r="P35"/>
      <c r="Q35" s="68"/>
      <c r="R35" s="70"/>
      <c r="S35" s="70"/>
      <c r="T35" s="70"/>
      <c r="U35" s="10"/>
      <c r="V35" s="10"/>
      <c r="W35" s="10"/>
      <c r="X35" s="10"/>
      <c r="Y35" s="10"/>
      <c r="Z35" s="10"/>
      <c r="AA35" s="10"/>
      <c r="AB35" s="10"/>
      <c r="AC35" s="10"/>
      <c r="AD35" s="10"/>
      <c r="AE35" s="10"/>
      <c r="AF35" s="10"/>
      <c r="AG35" s="10"/>
      <c r="AH35" s="10"/>
      <c r="AI35" s="10"/>
      <c r="AJ35" s="10"/>
      <c r="AK35" s="10"/>
      <c r="AL35" s="10"/>
      <c r="AM35" s="10"/>
      <c r="AN35" s="10"/>
    </row>
    <row r="36" spans="1:40">
      <c r="A36" s="10"/>
      <c r="B36" s="87">
        <f t="shared" ref="B36:H36" si="10">SUM(B33:B35)</f>
        <v>1309789.111</v>
      </c>
      <c r="C36" s="87">
        <f t="shared" si="10"/>
        <v>136618.15005</v>
      </c>
      <c r="D36" s="87">
        <f t="shared" si="10"/>
        <v>95235.972769999993</v>
      </c>
      <c r="E36" s="87">
        <f>SUM(E33:E35)</f>
        <v>210295</v>
      </c>
      <c r="F36" s="87">
        <f t="shared" si="10"/>
        <v>881957.75723999995</v>
      </c>
      <c r="G36" s="87">
        <f t="shared" si="10"/>
        <v>962447.22031</v>
      </c>
      <c r="H36" s="172">
        <f t="shared" si="10"/>
        <v>3596343.2113699997</v>
      </c>
      <c r="I36" s="87">
        <f t="shared" ref="I36:N36" si="11">SUM(I33:I35)</f>
        <v>73492.731379999997</v>
      </c>
      <c r="J36" s="180">
        <f t="shared" si="11"/>
        <v>73492.731379999997</v>
      </c>
      <c r="K36" s="87">
        <f t="shared" si="11"/>
        <v>698709</v>
      </c>
      <c r="L36" s="87">
        <f t="shared" si="11"/>
        <v>94187</v>
      </c>
      <c r="M36" s="178">
        <f t="shared" si="11"/>
        <v>792896</v>
      </c>
      <c r="N36" s="172">
        <f t="shared" si="11"/>
        <v>4462731.9427499995</v>
      </c>
      <c r="O36"/>
      <c r="P36"/>
      <c r="Q36" s="64"/>
      <c r="R36" s="10"/>
      <c r="S36" s="10"/>
      <c r="T36" s="10"/>
      <c r="U36" s="10"/>
      <c r="V36" s="10"/>
      <c r="W36" s="10"/>
      <c r="X36" s="10"/>
      <c r="Y36" s="10"/>
      <c r="Z36" s="10"/>
      <c r="AA36" s="10"/>
      <c r="AB36" s="10"/>
      <c r="AC36" s="10"/>
      <c r="AD36" s="10"/>
      <c r="AE36" s="10"/>
      <c r="AF36" s="10"/>
      <c r="AG36" s="10"/>
      <c r="AH36" s="10"/>
      <c r="AI36" s="10"/>
      <c r="AJ36" s="10"/>
      <c r="AK36" s="10"/>
      <c r="AL36" s="10"/>
      <c r="AM36" s="10"/>
      <c r="AN36" s="10"/>
    </row>
    <row r="37" spans="1:40" ht="7.15" customHeight="1">
      <c r="A37" s="10"/>
      <c r="B37" s="98" t="s">
        <v>0</v>
      </c>
      <c r="C37" s="88" t="s">
        <v>0</v>
      </c>
      <c r="D37" s="87"/>
      <c r="E37" s="87" t="s">
        <v>0</v>
      </c>
      <c r="F37" s="87"/>
      <c r="G37" s="87"/>
      <c r="H37" s="172"/>
      <c r="I37" s="87"/>
      <c r="J37" s="564"/>
      <c r="K37" s="87"/>
      <c r="L37" s="87" t="s">
        <v>0</v>
      </c>
      <c r="M37" s="178"/>
      <c r="N37" s="172"/>
      <c r="O37"/>
      <c r="P37"/>
      <c r="Q37" s="64"/>
      <c r="R37" s="10"/>
      <c r="S37" s="10"/>
      <c r="T37" s="10"/>
      <c r="U37" s="10"/>
      <c r="V37" s="10"/>
      <c r="W37" s="10"/>
      <c r="X37" s="10"/>
      <c r="Y37" s="10"/>
      <c r="Z37" s="10"/>
      <c r="AA37" s="10"/>
      <c r="AB37" s="10"/>
      <c r="AC37" s="10"/>
      <c r="AD37" s="10"/>
      <c r="AE37" s="10"/>
      <c r="AF37" s="10"/>
      <c r="AG37" s="10"/>
      <c r="AH37" s="10"/>
      <c r="AI37" s="10"/>
      <c r="AJ37" s="10"/>
      <c r="AK37" s="10"/>
      <c r="AL37" s="10"/>
      <c r="AM37" s="10"/>
      <c r="AN37" s="10"/>
    </row>
    <row r="38" spans="1:40">
      <c r="A38" s="10" t="s">
        <v>275</v>
      </c>
      <c r="B38" s="98" t="s">
        <v>0</v>
      </c>
      <c r="C38" s="88" t="s">
        <v>0</v>
      </c>
      <c r="D38" s="87"/>
      <c r="E38" s="87" t="s">
        <v>0</v>
      </c>
      <c r="F38" s="87"/>
      <c r="G38" s="87"/>
      <c r="H38" s="172"/>
      <c r="I38" s="87"/>
      <c r="J38" s="564"/>
      <c r="K38" s="87"/>
      <c r="L38" s="87" t="s">
        <v>0</v>
      </c>
      <c r="M38" s="178"/>
      <c r="N38" s="172"/>
      <c r="O38"/>
      <c r="P38"/>
      <c r="Q38" s="64"/>
      <c r="R38" s="10"/>
      <c r="S38" s="10"/>
      <c r="T38" s="10"/>
      <c r="U38" s="10"/>
      <c r="V38" s="10"/>
      <c r="W38" s="10"/>
      <c r="X38" s="10"/>
      <c r="Y38" s="10"/>
      <c r="Z38" s="10"/>
      <c r="AA38" s="10"/>
      <c r="AB38" s="10"/>
      <c r="AC38" s="10"/>
      <c r="AD38" s="10"/>
      <c r="AE38" s="10"/>
      <c r="AF38" s="10"/>
      <c r="AG38" s="10"/>
      <c r="AH38" s="10"/>
      <c r="AI38" s="10"/>
      <c r="AJ38" s="10"/>
      <c r="AK38" s="10"/>
      <c r="AL38" s="10"/>
      <c r="AM38" s="10"/>
      <c r="AN38" s="10"/>
    </row>
    <row r="39" spans="1:40">
      <c r="A39" s="10" t="s">
        <v>272</v>
      </c>
      <c r="B39" s="87">
        <f>+'bncgdes&amp;$ '!C39</f>
        <v>3000</v>
      </c>
      <c r="C39" s="87">
        <f>+'bphgdes&amp;$'!C39</f>
        <v>7132.5</v>
      </c>
      <c r="D39" s="87">
        <f>+'buhgdes&amp;$'!C39</f>
        <v>200000</v>
      </c>
      <c r="E39" s="87">
        <f>+'capitalbkgdes&amp;$'!C39</f>
        <v>0</v>
      </c>
      <c r="F39" s="87">
        <f>+'sogebkgdes&amp;$  '!C39</f>
        <v>0</v>
      </c>
      <c r="G39" s="87">
        <f>+'unibkgdes&amp;$'!C39</f>
        <v>0</v>
      </c>
      <c r="H39" s="172">
        <f>SUM(B39:G39)</f>
        <v>210132.5</v>
      </c>
      <c r="I39" s="87">
        <f>+'sgbelgdes&amp;$'!C39</f>
        <v>855000</v>
      </c>
      <c r="J39" s="570">
        <f>+I39</f>
        <v>855000</v>
      </c>
      <c r="K39" s="87">
        <f>+'cbnagdes&amp;$'!C39</f>
        <v>0</v>
      </c>
      <c r="L39" s="87">
        <f>+'scotiagdes&amp;$'!C39</f>
        <v>0</v>
      </c>
      <c r="M39" s="178">
        <f>SUM(K39:L39)</f>
        <v>0</v>
      </c>
      <c r="N39" s="172">
        <f>+H39+J39+M39</f>
        <v>1065132.5</v>
      </c>
      <c r="O39"/>
      <c r="P39"/>
      <c r="Q39" s="64"/>
      <c r="R39" s="10"/>
      <c r="S39" s="10"/>
      <c r="T39" s="10"/>
      <c r="U39" s="10"/>
      <c r="V39" s="10"/>
      <c r="W39" s="10"/>
      <c r="X39" s="10"/>
      <c r="Y39" s="10"/>
      <c r="Z39" s="10"/>
      <c r="AA39" s="10"/>
      <c r="AB39" s="10"/>
      <c r="AC39" s="10"/>
      <c r="AD39" s="10"/>
      <c r="AE39" s="10"/>
      <c r="AF39" s="10"/>
      <c r="AG39" s="10"/>
      <c r="AH39" s="10"/>
      <c r="AI39" s="10"/>
      <c r="AJ39" s="10"/>
      <c r="AK39" s="10"/>
      <c r="AL39" s="10"/>
      <c r="AM39" s="10"/>
      <c r="AN39" s="10"/>
    </row>
    <row r="40" spans="1:40">
      <c r="A40" s="10" t="s">
        <v>276</v>
      </c>
      <c r="B40" s="87">
        <f>+'bncgdes&amp;$ '!C40</f>
        <v>0</v>
      </c>
      <c r="C40" s="87">
        <f>+'bphgdes&amp;$'!C40</f>
        <v>0</v>
      </c>
      <c r="D40" s="87">
        <f>+'buhgdes&amp;$'!C40</f>
        <v>0</v>
      </c>
      <c r="E40" s="87">
        <f>+'capitalbkgdes&amp;$'!C40</f>
        <v>0</v>
      </c>
      <c r="F40" s="87">
        <f>+'sogebkgdes&amp;$  '!C40</f>
        <v>0</v>
      </c>
      <c r="G40" s="87">
        <f>+'unibkgdes&amp;$'!C40</f>
        <v>0</v>
      </c>
      <c r="H40" s="172">
        <f>SUM(B40:G40)</f>
        <v>0</v>
      </c>
      <c r="I40" s="87">
        <f>+'sgbelgdes&amp;$'!C40</f>
        <v>0</v>
      </c>
      <c r="J40" s="570">
        <f>+I40</f>
        <v>0</v>
      </c>
      <c r="K40" s="87">
        <f>+'cbnagdes&amp;$'!C40</f>
        <v>0</v>
      </c>
      <c r="L40" s="87">
        <f>+'scotiagdes&amp;$'!C40</f>
        <v>0</v>
      </c>
      <c r="M40" s="178">
        <f>SUM(K40:L40)</f>
        <v>0</v>
      </c>
      <c r="N40" s="172">
        <f>+H40+J40+M40</f>
        <v>0</v>
      </c>
      <c r="O40"/>
      <c r="P40"/>
      <c r="Q40" s="64"/>
      <c r="R40" s="10"/>
      <c r="S40" s="10"/>
      <c r="T40" s="10"/>
      <c r="U40" s="10"/>
      <c r="V40" s="10"/>
      <c r="W40" s="10"/>
      <c r="X40" s="10"/>
      <c r="Y40" s="10"/>
      <c r="Z40" s="10"/>
      <c r="AA40" s="10"/>
      <c r="AB40" s="10"/>
      <c r="AC40" s="10"/>
      <c r="AD40" s="10"/>
      <c r="AE40" s="10"/>
      <c r="AF40" s="10"/>
      <c r="AG40" s="10"/>
      <c r="AH40" s="10"/>
      <c r="AI40" s="10"/>
      <c r="AJ40" s="10"/>
      <c r="AK40" s="10"/>
      <c r="AL40" s="10"/>
      <c r="AM40" s="10"/>
      <c r="AN40" s="10"/>
    </row>
    <row r="41" spans="1:40" ht="17.25">
      <c r="A41" s="10" t="s">
        <v>274</v>
      </c>
      <c r="B41" s="199">
        <f>+'bncgdes&amp;$ '!C41</f>
        <v>863616.31917999999</v>
      </c>
      <c r="C41" s="199">
        <f>+'bphgdes&amp;$'!C41</f>
        <v>864.53490999999997</v>
      </c>
      <c r="D41" s="199">
        <f>+'buhgdes&amp;$'!C41</f>
        <v>267.62175000000002</v>
      </c>
      <c r="E41" s="199">
        <f>+'capitalbkgdes&amp;$'!C41</f>
        <v>60293</v>
      </c>
      <c r="F41" s="199">
        <f>+'sogebkgdes&amp;$  '!C41</f>
        <v>426382.22083000001</v>
      </c>
      <c r="G41" s="547">
        <f>+'unibkgdes&amp;$'!C41</f>
        <v>176263.35753000001</v>
      </c>
      <c r="H41" s="270">
        <f>SUM(B41:G41)</f>
        <v>1527687.0541999999</v>
      </c>
      <c r="I41" s="547">
        <f>+'sgbelgdes&amp;$'!C41</f>
        <v>63772.701469999971</v>
      </c>
      <c r="J41" s="572">
        <f>+I41</f>
        <v>63772.701469999971</v>
      </c>
      <c r="K41" s="605">
        <f>+'cbnagdes&amp;$'!C41</f>
        <v>104244</v>
      </c>
      <c r="L41" s="547">
        <f>+'scotiagdes&amp;$'!C41</f>
        <v>29171</v>
      </c>
      <c r="M41" s="270">
        <f>SUM(K41:L41)</f>
        <v>133415</v>
      </c>
      <c r="N41" s="270">
        <f>+H41+J41+M41</f>
        <v>1724874.7556699999</v>
      </c>
      <c r="O41"/>
      <c r="P41"/>
      <c r="Q41" s="68"/>
      <c r="R41" s="10"/>
      <c r="S41" s="10"/>
      <c r="T41" s="10"/>
      <c r="U41" s="10"/>
      <c r="V41" s="10"/>
      <c r="W41" s="10"/>
      <c r="X41" s="10"/>
      <c r="Y41" s="10"/>
      <c r="Z41" s="10"/>
      <c r="AA41" s="10"/>
      <c r="AB41" s="10"/>
      <c r="AC41" s="10"/>
      <c r="AD41" s="10"/>
      <c r="AE41" s="10"/>
      <c r="AF41" s="10"/>
      <c r="AG41" s="10"/>
      <c r="AH41" s="10"/>
      <c r="AI41" s="10"/>
      <c r="AJ41" s="10"/>
      <c r="AK41" s="10"/>
      <c r="AL41" s="10"/>
      <c r="AM41" s="10"/>
      <c r="AN41" s="10"/>
    </row>
    <row r="42" spans="1:40">
      <c r="A42" s="10"/>
      <c r="B42" s="87">
        <f t="shared" ref="B42:H42" si="12">SUM(B39:B41)</f>
        <v>866616.31917999999</v>
      </c>
      <c r="C42" s="87">
        <f t="shared" si="12"/>
        <v>7997.0349100000003</v>
      </c>
      <c r="D42" s="87">
        <f t="shared" si="12"/>
        <v>200267.62174999999</v>
      </c>
      <c r="E42" s="87">
        <f>SUM(E39:E41)</f>
        <v>60293</v>
      </c>
      <c r="F42" s="87">
        <f t="shared" si="12"/>
        <v>426382.22083000001</v>
      </c>
      <c r="G42" s="87">
        <f t="shared" si="12"/>
        <v>176263.35753000001</v>
      </c>
      <c r="H42" s="172">
        <f t="shared" si="12"/>
        <v>1737819.5541999999</v>
      </c>
      <c r="I42" s="87">
        <f t="shared" ref="I42:N42" si="13">SUM(I39:I41)</f>
        <v>918772.70146999997</v>
      </c>
      <c r="J42" s="180">
        <f t="shared" si="13"/>
        <v>918772.70146999997</v>
      </c>
      <c r="K42" s="87">
        <f t="shared" si="13"/>
        <v>104244</v>
      </c>
      <c r="L42" s="87">
        <f t="shared" si="13"/>
        <v>29171</v>
      </c>
      <c r="M42" s="178">
        <f t="shared" si="13"/>
        <v>133415</v>
      </c>
      <c r="N42" s="172">
        <f t="shared" si="13"/>
        <v>2790007.2556699999</v>
      </c>
      <c r="O42"/>
      <c r="P42"/>
      <c r="Q42" s="64"/>
      <c r="R42" s="10"/>
      <c r="S42" s="10"/>
      <c r="T42" s="10"/>
      <c r="U42" s="10"/>
      <c r="V42" s="10"/>
      <c r="W42" s="10"/>
      <c r="X42" s="10"/>
      <c r="Y42" s="10"/>
      <c r="Z42" s="10"/>
      <c r="AA42" s="10"/>
      <c r="AB42" s="10"/>
      <c r="AC42" s="10"/>
      <c r="AD42" s="10"/>
      <c r="AE42" s="10"/>
      <c r="AF42" s="10"/>
      <c r="AG42" s="10"/>
      <c r="AH42" s="10"/>
      <c r="AI42" s="10"/>
      <c r="AJ42" s="10"/>
      <c r="AK42" s="10"/>
      <c r="AL42" s="10"/>
      <c r="AM42" s="10"/>
      <c r="AN42" s="10"/>
    </row>
    <row r="43" spans="1:40" ht="8.4499999999999993" customHeight="1">
      <c r="A43" s="10"/>
      <c r="B43" s="98" t="s">
        <v>0</v>
      </c>
      <c r="C43" s="88" t="s">
        <v>0</v>
      </c>
      <c r="D43" s="87" t="str">
        <f>+'buhgdes&amp;$'!C43</f>
        <v xml:space="preserve"> </v>
      </c>
      <c r="E43" s="87" t="s">
        <v>0</v>
      </c>
      <c r="F43" s="87"/>
      <c r="G43" s="87"/>
      <c r="H43" s="172"/>
      <c r="I43" s="87"/>
      <c r="J43" s="564"/>
      <c r="K43" s="87"/>
      <c r="L43" s="87" t="str">
        <f>+'scotiagdes&amp;$'!C43</f>
        <v xml:space="preserve"> </v>
      </c>
      <c r="M43" s="178"/>
      <c r="N43" s="172"/>
      <c r="O43"/>
      <c r="P43"/>
      <c r="Q43" s="64"/>
      <c r="R43" s="10"/>
      <c r="S43" s="10"/>
      <c r="T43" s="10"/>
      <c r="U43" s="10"/>
      <c r="V43" s="10"/>
      <c r="W43" s="10"/>
      <c r="X43" s="10"/>
      <c r="Y43" s="10"/>
      <c r="Z43" s="10"/>
      <c r="AA43" s="10"/>
      <c r="AB43" s="10"/>
      <c r="AC43" s="10"/>
      <c r="AD43" s="10"/>
      <c r="AE43" s="10"/>
      <c r="AF43" s="10"/>
      <c r="AG43" s="10"/>
      <c r="AH43" s="10"/>
      <c r="AI43" s="10"/>
      <c r="AJ43" s="10"/>
      <c r="AK43" s="10"/>
      <c r="AL43" s="10"/>
      <c r="AM43" s="10"/>
      <c r="AN43" s="10"/>
    </row>
    <row r="44" spans="1:40">
      <c r="A44" s="10" t="s">
        <v>277</v>
      </c>
      <c r="B44" s="199">
        <f>+'bncgdes&amp;$ '!C44</f>
        <v>856742.446</v>
      </c>
      <c r="C44" s="199">
        <f>+'bphgdes&amp;$'!C44</f>
        <v>1162.3920700000001</v>
      </c>
      <c r="D44" s="199">
        <f>+'buhgdes&amp;$'!C44</f>
        <v>1379.1635099999999</v>
      </c>
      <c r="E44" s="199">
        <f>+'capitalbkgdes&amp;$'!C44</f>
        <v>167948</v>
      </c>
      <c r="F44" s="199">
        <f>+'sogebkgdes&amp;$  '!C44</f>
        <v>853258.20429999998</v>
      </c>
      <c r="G44" s="547">
        <f>+'unibkgdes&amp;$'!C44</f>
        <v>336173.65411999996</v>
      </c>
      <c r="H44" s="270">
        <f>SUM(B44:G44)</f>
        <v>2216663.86</v>
      </c>
      <c r="I44" s="547">
        <f>+'sgbelgdes&amp;$'!C44</f>
        <v>2639.92</v>
      </c>
      <c r="J44" s="572">
        <f>+I44</f>
        <v>2639.92</v>
      </c>
      <c r="K44" s="605">
        <f>+'cbnagdes&amp;$'!C44</f>
        <v>0</v>
      </c>
      <c r="L44" s="547">
        <f>+'scotiagdes&amp;$'!C44</f>
        <v>7941</v>
      </c>
      <c r="M44" s="270">
        <f>SUM(K44:L44)</f>
        <v>7941</v>
      </c>
      <c r="N44" s="270">
        <f>+H44+J44+M44</f>
        <v>2227244.7799999998</v>
      </c>
      <c r="O44"/>
      <c r="P44"/>
      <c r="Q44" s="64"/>
      <c r="R44" s="10"/>
      <c r="S44" s="10"/>
      <c r="T44" s="10"/>
      <c r="U44" s="10"/>
      <c r="V44" s="10"/>
      <c r="W44" s="10"/>
      <c r="X44" s="10"/>
      <c r="Y44" s="10"/>
      <c r="Z44" s="10"/>
      <c r="AA44" s="10"/>
      <c r="AB44" s="10"/>
      <c r="AC44" s="10"/>
      <c r="AD44" s="10"/>
      <c r="AE44" s="10"/>
      <c r="AF44" s="10"/>
      <c r="AG44" s="10"/>
      <c r="AH44" s="10"/>
      <c r="AI44" s="10"/>
      <c r="AJ44" s="10"/>
      <c r="AK44" s="10"/>
      <c r="AL44" s="10"/>
      <c r="AM44" s="10"/>
      <c r="AN44" s="10"/>
    </row>
    <row r="45" spans="1:40">
      <c r="A45" s="10"/>
      <c r="B45" s="87">
        <f t="shared" ref="B45:G45" si="14">+B30+B36+B42+B44</f>
        <v>22552874.118240003</v>
      </c>
      <c r="C45" s="87">
        <f t="shared" si="14"/>
        <v>1127938.5624300002</v>
      </c>
      <c r="D45" s="87">
        <f t="shared" si="14"/>
        <v>2497930.88362</v>
      </c>
      <c r="E45" s="87">
        <f>+E30+E36+E42+E44</f>
        <v>4234274</v>
      </c>
      <c r="F45" s="87">
        <f t="shared" si="14"/>
        <v>19489248.704290006</v>
      </c>
      <c r="G45" s="87">
        <f t="shared" si="14"/>
        <v>20279338.029449996</v>
      </c>
      <c r="H45" s="172">
        <f t="shared" ref="H45:N45" si="15">+H30+H36+H42+H44</f>
        <v>70181604.298029989</v>
      </c>
      <c r="I45" s="87">
        <f t="shared" si="15"/>
        <v>2207665.4729800001</v>
      </c>
      <c r="J45" s="180">
        <f t="shared" si="15"/>
        <v>2207665.4729800001</v>
      </c>
      <c r="K45" s="87">
        <f t="shared" si="15"/>
        <v>3298420</v>
      </c>
      <c r="L45" s="87">
        <f t="shared" si="15"/>
        <v>2704621</v>
      </c>
      <c r="M45" s="178">
        <f t="shared" si="15"/>
        <v>6003041</v>
      </c>
      <c r="N45" s="178">
        <f t="shared" si="15"/>
        <v>78392310.771009997</v>
      </c>
      <c r="O45"/>
      <c r="P45"/>
      <c r="Q45" s="64"/>
      <c r="R45" s="10"/>
      <c r="S45" s="10"/>
      <c r="T45" s="10"/>
      <c r="U45" s="10"/>
      <c r="V45" s="10"/>
      <c r="W45" s="10"/>
      <c r="X45" s="10"/>
      <c r="Y45" s="10"/>
      <c r="Z45" s="10"/>
      <c r="AA45" s="10"/>
      <c r="AB45" s="10"/>
      <c r="AC45" s="10"/>
      <c r="AD45" s="10"/>
      <c r="AE45" s="10"/>
      <c r="AF45" s="10"/>
      <c r="AG45" s="10"/>
      <c r="AH45" s="10"/>
      <c r="AI45" s="10"/>
      <c r="AJ45" s="10"/>
      <c r="AK45" s="10"/>
      <c r="AL45" s="10"/>
      <c r="AM45" s="10"/>
      <c r="AN45" s="10"/>
    </row>
    <row r="46" spans="1:40" ht="14.45" customHeight="1">
      <c r="A46" s="10"/>
      <c r="B46" s="98" t="s">
        <v>0</v>
      </c>
      <c r="C46" s="88" t="s">
        <v>0</v>
      </c>
      <c r="D46" s="87"/>
      <c r="E46" s="87" t="s">
        <v>0</v>
      </c>
      <c r="F46" s="87"/>
      <c r="G46" s="87"/>
      <c r="H46" s="172" t="s">
        <v>0</v>
      </c>
      <c r="I46" s="87"/>
      <c r="J46" s="564"/>
      <c r="K46" s="87"/>
      <c r="L46" s="87" t="s">
        <v>0</v>
      </c>
      <c r="M46" s="178"/>
      <c r="N46" s="172"/>
      <c r="O46"/>
      <c r="P46"/>
      <c r="Q46" s="64"/>
      <c r="R46" s="10"/>
      <c r="S46" s="10"/>
      <c r="T46" s="10"/>
      <c r="U46" s="10"/>
      <c r="V46" s="10"/>
      <c r="W46" s="10"/>
      <c r="X46" s="10"/>
      <c r="Y46" s="10"/>
      <c r="Z46" s="10"/>
      <c r="AA46" s="10"/>
      <c r="AB46" s="10"/>
      <c r="AC46" s="10"/>
      <c r="AD46" s="10"/>
      <c r="AE46" s="10"/>
      <c r="AF46" s="10"/>
      <c r="AG46" s="10"/>
      <c r="AH46" s="10"/>
      <c r="AI46" s="10"/>
      <c r="AJ46" s="10"/>
      <c r="AK46" s="10"/>
      <c r="AL46" s="10"/>
      <c r="AM46" s="10"/>
      <c r="AN46" s="10"/>
    </row>
    <row r="47" spans="1:40">
      <c r="A47" s="164" t="s">
        <v>278</v>
      </c>
      <c r="B47" s="98" t="s">
        <v>0</v>
      </c>
      <c r="C47" s="88" t="s">
        <v>0</v>
      </c>
      <c r="D47" s="87"/>
      <c r="E47" s="87" t="s">
        <v>0</v>
      </c>
      <c r="F47" s="87"/>
      <c r="G47" s="87"/>
      <c r="H47" s="172"/>
      <c r="I47" s="87"/>
      <c r="J47" s="564"/>
      <c r="K47" s="87"/>
      <c r="L47" s="87" t="s">
        <v>0</v>
      </c>
      <c r="M47" s="178"/>
      <c r="N47" s="172"/>
      <c r="O47"/>
      <c r="P47"/>
      <c r="Q47" s="64"/>
      <c r="R47" s="10"/>
      <c r="S47" s="10"/>
      <c r="T47" s="10"/>
      <c r="U47" s="10"/>
      <c r="V47" s="10"/>
      <c r="W47" s="10"/>
      <c r="X47" s="10"/>
      <c r="Y47" s="10"/>
      <c r="Z47" s="10"/>
      <c r="AA47" s="10"/>
      <c r="AB47" s="10"/>
      <c r="AC47" s="10"/>
      <c r="AD47" s="10"/>
      <c r="AE47" s="10"/>
      <c r="AF47" s="10"/>
      <c r="AG47" s="10"/>
      <c r="AH47" s="10"/>
      <c r="AI47" s="10"/>
      <c r="AJ47" s="10"/>
      <c r="AK47" s="10"/>
      <c r="AL47" s="10"/>
      <c r="AM47" s="10"/>
      <c r="AN47" s="10"/>
    </row>
    <row r="48" spans="1:40">
      <c r="A48" s="10" t="s">
        <v>279</v>
      </c>
      <c r="B48" s="87">
        <f>+'bncgdes&amp;$ '!C48</f>
        <v>1500000</v>
      </c>
      <c r="C48" s="87">
        <f>+'bphgdes&amp;$'!C48</f>
        <v>165000</v>
      </c>
      <c r="D48" s="87">
        <f>+'buhgdes&amp;$'!C48</f>
        <v>448651</v>
      </c>
      <c r="E48" s="87">
        <f>+'capitalbkgdes&amp;$'!C48</f>
        <v>270000</v>
      </c>
      <c r="F48" s="87">
        <f>+'sogebkgdes&amp;$  '!C48</f>
        <v>1200000</v>
      </c>
      <c r="G48" s="87">
        <f>+'unibkgdes&amp;$'!C48</f>
        <v>2092652</v>
      </c>
      <c r="H48" s="172">
        <f>SUM(B48:G48)</f>
        <v>5676303</v>
      </c>
      <c r="I48" s="87">
        <f>+'sgbelgdes&amp;$'!C48</f>
        <v>150000</v>
      </c>
      <c r="J48" s="570">
        <f>+I48</f>
        <v>150000</v>
      </c>
      <c r="K48" s="87">
        <f>+'cbnagdes&amp;$'!C48</f>
        <v>103837</v>
      </c>
      <c r="L48" s="87">
        <f>+'scotiagdes&amp;$'!C48</f>
        <v>94373</v>
      </c>
      <c r="M48" s="178">
        <f>SUM(K48:L48)</f>
        <v>198210</v>
      </c>
      <c r="N48" s="172">
        <f>+H48+J48+M48</f>
        <v>6024513</v>
      </c>
      <c r="O48"/>
      <c r="P48"/>
      <c r="Q48" s="64"/>
      <c r="R48" s="10"/>
      <c r="S48" s="10"/>
      <c r="T48" s="10"/>
      <c r="U48" s="10"/>
      <c r="V48" s="10"/>
      <c r="W48" s="10"/>
      <c r="X48" s="10"/>
      <c r="Y48" s="10"/>
      <c r="Z48" s="10"/>
      <c r="AA48" s="10"/>
      <c r="AB48" s="10"/>
      <c r="AC48" s="10"/>
      <c r="AD48" s="10"/>
      <c r="AE48" s="10"/>
      <c r="AF48" s="10"/>
      <c r="AG48" s="10"/>
      <c r="AH48" s="10"/>
      <c r="AI48" s="10"/>
      <c r="AJ48" s="10"/>
      <c r="AK48" s="10"/>
      <c r="AL48" s="10"/>
      <c r="AM48" s="10"/>
      <c r="AN48" s="10"/>
    </row>
    <row r="49" spans="1:40">
      <c r="A49" s="10" t="s">
        <v>280</v>
      </c>
      <c r="B49" s="87">
        <f>+'bncgdes&amp;$ '!C49</f>
        <v>327016.25258000003</v>
      </c>
      <c r="C49" s="87">
        <f>+'bphgdes&amp;$'!C49</f>
        <v>87983</v>
      </c>
      <c r="D49" s="87">
        <f>+'buhgdes&amp;$'!C49</f>
        <v>33754.820760000002</v>
      </c>
      <c r="E49" s="87">
        <f>+'capitalbkgdes&amp;$'!C49</f>
        <v>206958</v>
      </c>
      <c r="F49" s="87">
        <f>+'sogebkgdes&amp;$  '!C49</f>
        <v>1221203.99306</v>
      </c>
      <c r="G49" s="87">
        <f>+'unibkgdes&amp;$'!C49</f>
        <v>867190.37237999996</v>
      </c>
      <c r="H49" s="172">
        <f>SUM(B49:G49)</f>
        <v>2744106.43878</v>
      </c>
      <c r="I49" s="87">
        <f>+'sgbelgdes&amp;$'!C49</f>
        <v>166509.38644</v>
      </c>
      <c r="J49" s="570">
        <f>+I49</f>
        <v>166509.38644</v>
      </c>
      <c r="K49" s="87">
        <f>+'cbnagdes&amp;$'!C49</f>
        <v>70114</v>
      </c>
      <c r="L49" s="87">
        <f>+'scotiagdes&amp;$'!C49</f>
        <v>72418</v>
      </c>
      <c r="M49" s="178">
        <f>SUM(K49:L49)</f>
        <v>142532</v>
      </c>
      <c r="N49" s="172">
        <f>+H49+J49+M49</f>
        <v>3053147.82522</v>
      </c>
      <c r="O49"/>
      <c r="P49"/>
      <c r="Q49" s="64"/>
      <c r="R49" s="10"/>
      <c r="S49" s="10"/>
      <c r="T49" s="10"/>
      <c r="U49" s="10"/>
      <c r="V49" s="10"/>
      <c r="W49" s="10"/>
      <c r="X49" s="10"/>
      <c r="Y49" s="10"/>
      <c r="Z49" s="10"/>
      <c r="AA49" s="10"/>
      <c r="AB49" s="10"/>
      <c r="AC49" s="10"/>
      <c r="AD49" s="10"/>
      <c r="AE49" s="10"/>
      <c r="AF49" s="10"/>
      <c r="AG49" s="10"/>
      <c r="AH49" s="10"/>
      <c r="AI49" s="10"/>
      <c r="AJ49" s="10"/>
      <c r="AK49" s="10"/>
      <c r="AL49" s="10"/>
      <c r="AM49" s="10"/>
      <c r="AN49" s="10"/>
    </row>
    <row r="50" spans="1:40">
      <c r="A50" s="10" t="s">
        <v>290</v>
      </c>
      <c r="B50" s="87">
        <f>+'bncgdes&amp;$ '!C50</f>
        <v>0</v>
      </c>
      <c r="C50" s="87">
        <f>+'bphgdes&amp;$'!C50</f>
        <v>14325</v>
      </c>
      <c r="D50" s="87">
        <f>+'buhgdes&amp;$'!C50</f>
        <v>93847.200150000004</v>
      </c>
      <c r="E50" s="87">
        <f>+'capitalbkgdes&amp;$'!C50</f>
        <v>1384</v>
      </c>
      <c r="F50" s="87">
        <f>+'sogebkgdes&amp;$  '!C50</f>
        <v>98479.455170000001</v>
      </c>
      <c r="G50" s="87">
        <f>+'unibkgdes&amp;$'!C50</f>
        <v>0</v>
      </c>
      <c r="H50" s="172">
        <f>SUM(B50:G50)</f>
        <v>208035.65532000002</v>
      </c>
      <c r="I50" s="87">
        <f>+'sgbelgdes&amp;$'!C50</f>
        <v>0</v>
      </c>
      <c r="J50" s="570">
        <f>+I50</f>
        <v>0</v>
      </c>
      <c r="K50" s="87">
        <f>+'cbnagdes&amp;$'!C50</f>
        <v>0</v>
      </c>
      <c r="L50" s="87">
        <f>+'scotiagdes&amp;$'!C50</f>
        <v>0</v>
      </c>
      <c r="M50" s="178">
        <f>SUM(K50:L50)</f>
        <v>0</v>
      </c>
      <c r="N50" s="172">
        <f>+H50+J50+M50</f>
        <v>208035.65532000002</v>
      </c>
      <c r="O50"/>
      <c r="P50"/>
      <c r="Q50" s="64"/>
      <c r="R50" s="10"/>
      <c r="S50" s="10"/>
      <c r="T50" s="10"/>
      <c r="U50" s="10"/>
      <c r="V50" s="10"/>
      <c r="W50" s="10"/>
      <c r="X50" s="10"/>
      <c r="Y50" s="10"/>
      <c r="Z50" s="10"/>
      <c r="AA50" s="10"/>
      <c r="AB50" s="10"/>
      <c r="AC50" s="10"/>
      <c r="AD50" s="10"/>
      <c r="AE50" s="10"/>
      <c r="AF50" s="10"/>
      <c r="AG50" s="10"/>
      <c r="AH50" s="10"/>
      <c r="AI50" s="10"/>
      <c r="AJ50" s="10"/>
      <c r="AK50" s="10"/>
      <c r="AL50" s="10"/>
      <c r="AM50" s="10"/>
      <c r="AN50" s="10"/>
    </row>
    <row r="51" spans="1:40" ht="17.25">
      <c r="A51" s="10" t="s">
        <v>282</v>
      </c>
      <c r="B51" s="199">
        <f>+'bncgdes&amp;$ '!C51</f>
        <v>1364346.9051700002</v>
      </c>
      <c r="C51" s="199">
        <f>+'bphgdes&amp;$'!C51</f>
        <v>-139545.51522999999</v>
      </c>
      <c r="D51" s="199">
        <f>+'buhgdes&amp;$'!C51</f>
        <v>-293581.54925000004</v>
      </c>
      <c r="E51" s="199">
        <f>+'capitalbkgdes&amp;$'!C51</f>
        <v>596000</v>
      </c>
      <c r="F51" s="199">
        <f>+'sogebkgdes&amp;$  '!C51</f>
        <v>1361409.0928600004</v>
      </c>
      <c r="G51" s="547">
        <f>+'unibkgdes&amp;$'!C51</f>
        <v>2837355.7598899999</v>
      </c>
      <c r="H51" s="270">
        <f>SUM(B51:G51)</f>
        <v>5725984.6934399996</v>
      </c>
      <c r="I51" s="547">
        <f>+'sgbelgdes&amp;$'!C51</f>
        <v>177180.36401000002</v>
      </c>
      <c r="J51" s="570">
        <f>+I51</f>
        <v>177180.36401000002</v>
      </c>
      <c r="K51" s="605">
        <f>+'cbnagdes&amp;$'!C51</f>
        <v>216224</v>
      </c>
      <c r="L51" s="547">
        <f>+'scotiagdes&amp;$'!C51</f>
        <v>105968</v>
      </c>
      <c r="M51" s="270">
        <f>SUM(K51:L51)</f>
        <v>322192</v>
      </c>
      <c r="N51" s="270">
        <f>+H51+J51+M51</f>
        <v>6225357.0574499993</v>
      </c>
      <c r="O51"/>
      <c r="P51"/>
      <c r="Q51" s="64"/>
      <c r="R51" s="70"/>
      <c r="S51" s="70"/>
      <c r="T51" s="70"/>
      <c r="U51" s="10"/>
      <c r="V51" s="10"/>
      <c r="W51" s="10"/>
      <c r="X51" s="10"/>
      <c r="Y51" s="10"/>
      <c r="Z51" s="10"/>
      <c r="AA51" s="10"/>
      <c r="AB51" s="10"/>
      <c r="AC51" s="10"/>
      <c r="AD51" s="10"/>
      <c r="AE51" s="10"/>
      <c r="AF51" s="10"/>
      <c r="AG51" s="10"/>
      <c r="AH51" s="10"/>
      <c r="AI51" s="10"/>
      <c r="AJ51" s="10"/>
      <c r="AK51" s="10"/>
      <c r="AL51" s="10"/>
      <c r="AM51" s="10"/>
      <c r="AN51" s="10"/>
    </row>
    <row r="52" spans="1:40" ht="16.5" thickBot="1">
      <c r="A52" s="10" t="s">
        <v>54</v>
      </c>
      <c r="B52" s="97">
        <f t="shared" ref="B52:H52" si="16">SUM(B48:B51)</f>
        <v>3191363.1577500002</v>
      </c>
      <c r="C52" s="97">
        <f t="shared" si="16"/>
        <v>127762.48477000001</v>
      </c>
      <c r="D52" s="97">
        <f t="shared" si="16"/>
        <v>282671.47166000004</v>
      </c>
      <c r="E52" s="97">
        <f>SUM(E48:E51)</f>
        <v>1074342</v>
      </c>
      <c r="F52" s="97">
        <f t="shared" si="16"/>
        <v>3881092.5410900004</v>
      </c>
      <c r="G52" s="97">
        <f t="shared" si="16"/>
        <v>5797198.1322699999</v>
      </c>
      <c r="H52" s="173">
        <f t="shared" si="16"/>
        <v>14354429.78754</v>
      </c>
      <c r="I52" s="97">
        <f t="shared" ref="I52:N52" si="17">SUM(I48:I51)</f>
        <v>493689.75045000005</v>
      </c>
      <c r="J52" s="583">
        <f t="shared" si="17"/>
        <v>493689.75045000005</v>
      </c>
      <c r="K52" s="97">
        <f t="shared" si="17"/>
        <v>390175</v>
      </c>
      <c r="L52" s="97">
        <f t="shared" si="17"/>
        <v>272759</v>
      </c>
      <c r="M52" s="179">
        <f t="shared" si="17"/>
        <v>662934</v>
      </c>
      <c r="N52" s="173">
        <f t="shared" si="17"/>
        <v>15511053.53799</v>
      </c>
      <c r="O52"/>
      <c r="P52"/>
      <c r="Q52" s="64"/>
      <c r="R52" s="10"/>
      <c r="S52" s="10"/>
      <c r="T52" s="10"/>
      <c r="U52" s="10"/>
      <c r="V52" s="10"/>
      <c r="W52" s="10"/>
      <c r="X52" s="10"/>
      <c r="Y52" s="10"/>
      <c r="Z52" s="10"/>
      <c r="AA52" s="10"/>
      <c r="AB52" s="10"/>
      <c r="AC52" s="10"/>
      <c r="AD52" s="10"/>
      <c r="AE52" s="10"/>
      <c r="AF52" s="10"/>
      <c r="AG52" s="10"/>
      <c r="AH52" s="10"/>
      <c r="AI52" s="10"/>
      <c r="AJ52" s="10"/>
      <c r="AK52" s="10"/>
      <c r="AL52" s="10"/>
      <c r="AM52" s="10"/>
      <c r="AN52" s="10"/>
    </row>
    <row r="53" spans="1:40">
      <c r="A53" s="10" t="s">
        <v>0</v>
      </c>
      <c r="B53" s="90">
        <f t="shared" ref="B53:H53" si="18">+B30+B36+B42+B44+B52</f>
        <v>25744237.275990002</v>
      </c>
      <c r="C53" s="90">
        <f t="shared" si="18"/>
        <v>1255701.0472000001</v>
      </c>
      <c r="D53" s="90">
        <f t="shared" si="18"/>
        <v>2780602.3552799998</v>
      </c>
      <c r="E53" s="90">
        <f>+E30+E36+E42+E44+E52</f>
        <v>5308616</v>
      </c>
      <c r="F53" s="90">
        <f t="shared" si="18"/>
        <v>23370341.245380007</v>
      </c>
      <c r="G53" s="90">
        <f t="shared" si="18"/>
        <v>26076536.161719996</v>
      </c>
      <c r="H53" s="172">
        <f t="shared" si="18"/>
        <v>84536034.085569993</v>
      </c>
      <c r="I53" s="90">
        <f t="shared" ref="I53:N53" si="19">+I30+I36+I42+I44+I52</f>
        <v>2701355.2234300002</v>
      </c>
      <c r="J53" s="582">
        <f t="shared" si="19"/>
        <v>2701355.2234300002</v>
      </c>
      <c r="K53" s="90">
        <f t="shared" si="19"/>
        <v>3688595</v>
      </c>
      <c r="L53" s="90">
        <f t="shared" si="19"/>
        <v>2977380</v>
      </c>
      <c r="M53" s="178">
        <f t="shared" si="19"/>
        <v>6665975</v>
      </c>
      <c r="N53" s="172">
        <f t="shared" si="19"/>
        <v>93903364.309</v>
      </c>
      <c r="O53" s="116" t="s">
        <v>0</v>
      </c>
      <c r="P53"/>
      <c r="Q53" s="64"/>
      <c r="R53" s="10"/>
      <c r="S53" s="10"/>
      <c r="T53" s="10"/>
      <c r="U53" s="10"/>
      <c r="V53" s="10"/>
      <c r="W53" s="10"/>
      <c r="X53" s="10"/>
      <c r="Y53" s="10"/>
      <c r="Z53" s="10"/>
      <c r="AA53" s="10"/>
      <c r="AB53" s="10"/>
      <c r="AC53" s="10"/>
      <c r="AD53" s="10"/>
      <c r="AE53" s="10"/>
      <c r="AF53" s="10"/>
      <c r="AG53" s="10"/>
      <c r="AH53" s="10"/>
      <c r="AI53" s="10"/>
      <c r="AJ53" s="10"/>
      <c r="AK53" s="10"/>
      <c r="AL53" s="10"/>
      <c r="AM53" s="10"/>
      <c r="AN53" s="10"/>
    </row>
    <row r="54" spans="1:40">
      <c r="A54" s="10"/>
      <c r="B54" s="65"/>
      <c r="C54" s="65"/>
      <c r="D54" s="64"/>
      <c r="E54" s="64"/>
      <c r="F54" s="64"/>
      <c r="G54" s="64"/>
      <c r="H54" s="85"/>
      <c r="I54" s="64"/>
      <c r="J54" s="280"/>
      <c r="K54" s="64"/>
      <c r="L54" s="65"/>
      <c r="M54" s="279"/>
      <c r="N54" s="85"/>
      <c r="O54"/>
      <c r="P54"/>
      <c r="Q54" s="64"/>
      <c r="R54" s="10"/>
      <c r="S54" s="10"/>
      <c r="T54" s="10"/>
      <c r="U54" s="10"/>
      <c r="V54" s="10"/>
      <c r="W54" s="10"/>
      <c r="X54" s="10"/>
      <c r="Y54" s="10"/>
      <c r="Z54" s="10"/>
      <c r="AA54" s="10"/>
      <c r="AB54" s="10"/>
      <c r="AC54" s="10"/>
      <c r="AD54" s="10"/>
      <c r="AE54" s="10"/>
      <c r="AF54" s="10"/>
      <c r="AG54" s="10"/>
      <c r="AH54" s="10"/>
      <c r="AI54" s="10"/>
      <c r="AJ54" s="10"/>
      <c r="AK54" s="10"/>
      <c r="AL54" s="10"/>
      <c r="AM54" s="10"/>
      <c r="AN54" s="10"/>
    </row>
    <row r="55" spans="1:40">
      <c r="A55" s="10"/>
      <c r="B55" s="65"/>
      <c r="C55" s="65"/>
      <c r="D55" s="64"/>
      <c r="E55" s="64"/>
      <c r="F55" s="64"/>
      <c r="G55" s="64"/>
      <c r="H55" s="85"/>
      <c r="I55" s="64"/>
      <c r="J55" s="280"/>
      <c r="K55" s="64"/>
      <c r="L55" s="65"/>
      <c r="M55" s="279"/>
      <c r="N55" s="85"/>
      <c r="O55" s="116" t="s">
        <v>0</v>
      </c>
      <c r="P55"/>
      <c r="Q55" s="64"/>
      <c r="R55" s="10"/>
      <c r="S55" s="10"/>
      <c r="T55" s="10"/>
      <c r="U55" s="10"/>
      <c r="V55" s="10"/>
      <c r="W55" s="10"/>
      <c r="X55" s="10"/>
      <c r="Y55" s="10"/>
      <c r="Z55" s="10"/>
      <c r="AA55" s="10"/>
      <c r="AB55" s="10"/>
      <c r="AC55" s="10"/>
      <c r="AD55" s="10"/>
      <c r="AE55" s="10"/>
      <c r="AF55" s="10"/>
      <c r="AG55" s="10"/>
      <c r="AH55" s="10"/>
      <c r="AI55" s="10"/>
      <c r="AJ55" s="10"/>
      <c r="AK55" s="10"/>
      <c r="AL55" s="10"/>
      <c r="AM55" s="10"/>
      <c r="AN55" s="10"/>
    </row>
    <row r="56" spans="1:40">
      <c r="B56"/>
      <c r="C56"/>
      <c r="D56"/>
      <c r="E56"/>
      <c r="F56"/>
      <c r="G56"/>
      <c r="H56" s="278"/>
      <c r="I56"/>
      <c r="J56" s="278"/>
      <c r="K56"/>
      <c r="L56"/>
      <c r="M56" s="85"/>
      <c r="N56" s="85"/>
      <c r="O56"/>
      <c r="P56"/>
      <c r="Q56" s="64"/>
      <c r="R56" s="10"/>
      <c r="S56" s="10"/>
      <c r="T56" s="10"/>
      <c r="U56" s="10"/>
      <c r="V56" s="10"/>
      <c r="W56" s="10"/>
      <c r="X56" s="10"/>
      <c r="Y56" s="10"/>
      <c r="Z56" s="10"/>
      <c r="AA56" s="10"/>
      <c r="AB56" s="10"/>
      <c r="AC56" s="10"/>
      <c r="AD56" s="10"/>
      <c r="AE56" s="10"/>
      <c r="AF56" s="10"/>
      <c r="AG56" s="10"/>
      <c r="AH56" s="10"/>
      <c r="AI56" s="10"/>
      <c r="AJ56" s="10"/>
      <c r="AK56" s="10"/>
      <c r="AL56" s="10"/>
      <c r="AM56" s="10"/>
      <c r="AN56" s="10"/>
    </row>
    <row r="57" spans="1:40" ht="18.75">
      <c r="A57" s="117" t="s">
        <v>0</v>
      </c>
      <c r="B57" s="87" t="s">
        <v>0</v>
      </c>
      <c r="C57" s="87" t="s">
        <v>0</v>
      </c>
      <c r="D57" s="87" t="s">
        <v>0</v>
      </c>
      <c r="E57" s="87"/>
      <c r="F57" s="87" t="s">
        <v>0</v>
      </c>
      <c r="G57" s="87" t="s">
        <v>0</v>
      </c>
      <c r="H57" s="93" t="s">
        <v>0</v>
      </c>
      <c r="I57" s="87" t="s">
        <v>0</v>
      </c>
      <c r="J57" s="277" t="s">
        <v>0</v>
      </c>
      <c r="K57" s="87" t="s">
        <v>0</v>
      </c>
      <c r="L57" s="87" t="s">
        <v>0</v>
      </c>
      <c r="M57" s="271" t="s">
        <v>0</v>
      </c>
      <c r="N57" s="93" t="s">
        <v>0</v>
      </c>
      <c r="O57"/>
      <c r="P57"/>
      <c r="Q57" s="64" t="s">
        <v>0</v>
      </c>
      <c r="R57" s="10" t="s">
        <v>0</v>
      </c>
      <c r="S57" s="10" t="s">
        <v>0</v>
      </c>
      <c r="T57" s="10" t="s">
        <v>0</v>
      </c>
      <c r="U57" s="10"/>
      <c r="V57" s="10"/>
      <c r="W57" s="10"/>
      <c r="X57" s="10"/>
      <c r="Y57" s="10"/>
      <c r="Z57" s="10"/>
      <c r="AA57" s="10"/>
      <c r="AB57" s="10"/>
      <c r="AC57" s="10"/>
      <c r="AD57" s="10"/>
      <c r="AE57" s="10"/>
      <c r="AF57" s="10"/>
      <c r="AG57" s="10"/>
      <c r="AH57" s="10"/>
      <c r="AI57" s="10"/>
      <c r="AJ57" s="10"/>
      <c r="AK57" s="10"/>
      <c r="AL57" s="10"/>
      <c r="AM57" s="10"/>
      <c r="AN57" s="10"/>
    </row>
    <row r="58" spans="1:40">
      <c r="B58"/>
      <c r="C58"/>
      <c r="D58"/>
      <c r="E58"/>
      <c r="F58"/>
      <c r="G58"/>
      <c r="H58"/>
      <c r="I58"/>
      <c r="J58"/>
      <c r="K58"/>
      <c r="L58"/>
      <c r="M58"/>
      <c r="N58"/>
      <c r="O58"/>
      <c r="P58"/>
      <c r="Q58"/>
    </row>
    <row r="59" spans="1:40">
      <c r="B59"/>
      <c r="C59"/>
      <c r="D59"/>
      <c r="E59"/>
      <c r="F59"/>
      <c r="G59"/>
      <c r="H59"/>
      <c r="I59"/>
      <c r="J59"/>
      <c r="K59"/>
      <c r="L59"/>
      <c r="M59"/>
      <c r="N59"/>
      <c r="O59"/>
      <c r="P59"/>
      <c r="Q59"/>
    </row>
    <row r="60" spans="1:40">
      <c r="B60"/>
      <c r="C60"/>
      <c r="D60"/>
      <c r="E60"/>
      <c r="F60"/>
      <c r="G60"/>
      <c r="H60"/>
      <c r="I60"/>
      <c r="J60"/>
      <c r="K60"/>
      <c r="L60"/>
      <c r="M60"/>
      <c r="N60"/>
      <c r="O60" s="64"/>
      <c r="P60" s="64"/>
      <c r="Q60" s="64"/>
      <c r="R60" s="10"/>
      <c r="S60" s="10"/>
      <c r="T60" s="10"/>
      <c r="U60" s="10"/>
      <c r="V60" s="10"/>
      <c r="W60" s="10"/>
      <c r="X60" s="10"/>
      <c r="Y60" s="10"/>
      <c r="Z60" s="10"/>
      <c r="AA60" s="10"/>
      <c r="AB60" s="10"/>
      <c r="AC60" s="10"/>
      <c r="AD60" s="10"/>
      <c r="AE60" s="10"/>
      <c r="AF60" s="10"/>
      <c r="AG60" s="10"/>
      <c r="AH60" s="10"/>
      <c r="AI60" s="10"/>
      <c r="AJ60" s="10"/>
      <c r="AK60" s="10"/>
      <c r="AL60" s="10"/>
      <c r="AM60" s="10"/>
      <c r="AN60" s="10"/>
    </row>
    <row r="61" spans="1:40">
      <c r="B61"/>
      <c r="C61"/>
      <c r="D61"/>
      <c r="E61"/>
      <c r="F61"/>
      <c r="G61"/>
      <c r="H61"/>
      <c r="I61"/>
      <c r="J61"/>
      <c r="K61"/>
      <c r="L61"/>
      <c r="M61"/>
      <c r="N61"/>
      <c r="O61" s="64"/>
      <c r="P61" s="64"/>
      <c r="Q61" s="64"/>
      <c r="R61" s="10"/>
      <c r="S61" s="10"/>
      <c r="T61" s="10"/>
      <c r="U61" s="10"/>
      <c r="V61" s="10"/>
      <c r="W61" s="10"/>
      <c r="X61" s="10"/>
      <c r="Y61" s="10"/>
      <c r="Z61" s="10"/>
      <c r="AA61" s="10"/>
      <c r="AB61" s="10"/>
      <c r="AC61" s="10"/>
      <c r="AD61" s="10"/>
      <c r="AE61" s="10"/>
      <c r="AF61" s="10"/>
      <c r="AG61" s="10"/>
      <c r="AH61" s="10"/>
      <c r="AI61" s="10"/>
      <c r="AJ61" s="10"/>
      <c r="AK61" s="10"/>
      <c r="AL61" s="10"/>
      <c r="AM61" s="10"/>
      <c r="AN61" s="10"/>
    </row>
    <row r="62" spans="1:40">
      <c r="B62"/>
      <c r="C62"/>
      <c r="D62"/>
      <c r="E62"/>
      <c r="F62"/>
      <c r="G62"/>
      <c r="H62"/>
      <c r="I62"/>
      <c r="J62"/>
      <c r="K62"/>
      <c r="L62"/>
      <c r="M62"/>
      <c r="N62"/>
      <c r="O62" s="64"/>
      <c r="P62" s="64"/>
      <c r="Q62" s="64"/>
      <c r="R62" s="10"/>
      <c r="S62" s="10"/>
      <c r="T62" s="10"/>
      <c r="U62" s="10"/>
      <c r="V62" s="10"/>
      <c r="W62" s="10"/>
      <c r="X62" s="10"/>
      <c r="Y62" s="10"/>
      <c r="Z62" s="10"/>
      <c r="AA62" s="10"/>
      <c r="AB62" s="10"/>
      <c r="AC62" s="10"/>
      <c r="AD62" s="10"/>
      <c r="AE62" s="10"/>
      <c r="AF62" s="10"/>
      <c r="AG62" s="10"/>
      <c r="AH62" s="10"/>
      <c r="AI62" s="10"/>
      <c r="AJ62" s="10"/>
      <c r="AK62" s="10"/>
      <c r="AL62" s="10"/>
      <c r="AM62" s="10"/>
      <c r="AN62" s="10"/>
    </row>
    <row r="63" spans="1:40">
      <c r="B63"/>
      <c r="C63"/>
      <c r="D63"/>
      <c r="E63"/>
      <c r="F63"/>
      <c r="G63"/>
      <c r="H63"/>
      <c r="I63"/>
      <c r="J63"/>
      <c r="K63"/>
      <c r="L63"/>
      <c r="M63"/>
      <c r="N63"/>
      <c r="O63" s="64"/>
      <c r="P63" s="64"/>
      <c r="Q63" s="64"/>
      <c r="R63" s="10"/>
      <c r="S63" s="10"/>
      <c r="T63" s="10"/>
      <c r="U63" s="10"/>
      <c r="V63" s="10"/>
      <c r="W63" s="10"/>
      <c r="X63" s="10"/>
      <c r="Y63" s="10"/>
      <c r="Z63" s="10"/>
      <c r="AA63" s="10"/>
      <c r="AB63" s="10"/>
      <c r="AC63" s="10"/>
      <c r="AD63" s="10"/>
      <c r="AE63" s="10"/>
      <c r="AF63" s="10"/>
      <c r="AG63" s="10"/>
      <c r="AH63" s="10"/>
      <c r="AI63" s="10"/>
      <c r="AJ63" s="10"/>
      <c r="AK63" s="10"/>
      <c r="AL63" s="10"/>
      <c r="AM63" s="10"/>
      <c r="AN63" s="10"/>
    </row>
    <row r="64" spans="1:40">
      <c r="B64"/>
      <c r="C64"/>
      <c r="D64"/>
      <c r="E64"/>
      <c r="F64"/>
      <c r="G64"/>
      <c r="H64"/>
      <c r="I64"/>
      <c r="J64"/>
      <c r="K64"/>
      <c r="L64"/>
      <c r="M64"/>
      <c r="N64"/>
      <c r="O64" s="64"/>
      <c r="P64" s="64"/>
      <c r="Q64" s="64"/>
      <c r="R64" s="10"/>
      <c r="S64" s="10"/>
      <c r="T64" s="10"/>
      <c r="U64" s="10"/>
      <c r="V64" s="10"/>
      <c r="W64" s="10"/>
      <c r="X64" s="10"/>
      <c r="Y64" s="10"/>
      <c r="Z64" s="10"/>
      <c r="AA64" s="10"/>
      <c r="AB64" s="10"/>
      <c r="AC64" s="10"/>
      <c r="AD64" s="10"/>
      <c r="AE64" s="10"/>
      <c r="AF64" s="10"/>
      <c r="AG64" s="10"/>
      <c r="AH64" s="10"/>
      <c r="AI64" s="10"/>
      <c r="AJ64" s="10"/>
      <c r="AK64" s="10"/>
      <c r="AL64" s="10"/>
      <c r="AM64" s="10"/>
      <c r="AN64" s="10"/>
    </row>
    <row r="65" spans="2:40">
      <c r="B65"/>
      <c r="C65"/>
      <c r="D65"/>
      <c r="E65"/>
      <c r="F65"/>
      <c r="G65"/>
      <c r="H65"/>
      <c r="I65"/>
      <c r="J65"/>
      <c r="K65"/>
      <c r="L65"/>
      <c r="M65"/>
      <c r="N65"/>
      <c r="O65" s="64"/>
      <c r="P65" s="64"/>
      <c r="Q65" s="64"/>
      <c r="R65" s="10"/>
      <c r="S65" s="10"/>
      <c r="T65" s="10"/>
      <c r="U65" s="10"/>
      <c r="V65" s="10"/>
      <c r="W65" s="10"/>
      <c r="X65" s="10"/>
      <c r="Y65" s="10"/>
      <c r="Z65" s="10"/>
      <c r="AA65" s="10"/>
      <c r="AB65" s="10"/>
      <c r="AC65" s="10"/>
      <c r="AD65" s="10"/>
      <c r="AE65" s="10"/>
      <c r="AF65" s="10"/>
      <c r="AG65" s="10"/>
      <c r="AH65" s="10"/>
      <c r="AI65" s="10"/>
      <c r="AJ65" s="10"/>
      <c r="AK65" s="10"/>
      <c r="AL65" s="10"/>
      <c r="AM65" s="10"/>
      <c r="AN65" s="10"/>
    </row>
    <row r="66" spans="2:40">
      <c r="B66"/>
      <c r="C66"/>
      <c r="D66"/>
      <c r="E66"/>
      <c r="F66"/>
      <c r="G66"/>
      <c r="H66"/>
      <c r="I66"/>
      <c r="J66"/>
      <c r="K66"/>
      <c r="L66"/>
      <c r="M66"/>
      <c r="N66"/>
      <c r="O66" s="64"/>
      <c r="P66" s="64"/>
      <c r="Q66" s="64"/>
      <c r="R66" s="10"/>
      <c r="S66" s="10"/>
      <c r="T66" s="10"/>
      <c r="U66" s="10"/>
      <c r="V66" s="10"/>
      <c r="W66" s="10"/>
      <c r="X66" s="10"/>
      <c r="Y66" s="10"/>
      <c r="Z66" s="10"/>
      <c r="AA66" s="10"/>
      <c r="AB66" s="10"/>
      <c r="AC66" s="10"/>
      <c r="AD66" s="10"/>
      <c r="AE66" s="10"/>
      <c r="AF66" s="10"/>
      <c r="AG66" s="10"/>
      <c r="AH66" s="10"/>
      <c r="AI66" s="10"/>
      <c r="AJ66" s="10"/>
      <c r="AK66" s="10"/>
      <c r="AL66" s="10"/>
      <c r="AM66" s="10"/>
      <c r="AN66" s="10"/>
    </row>
    <row r="67" spans="2:40">
      <c r="B67"/>
      <c r="C67"/>
      <c r="D67"/>
      <c r="E67"/>
      <c r="F67"/>
      <c r="G67"/>
      <c r="H67"/>
      <c r="I67"/>
      <c r="J67"/>
      <c r="K67"/>
      <c r="L67"/>
      <c r="M67"/>
      <c r="N67"/>
      <c r="O67" s="64"/>
      <c r="P67" s="64"/>
      <c r="Q67" s="64"/>
      <c r="R67" s="10"/>
      <c r="S67" s="10"/>
      <c r="T67" s="10"/>
      <c r="U67" s="10"/>
      <c r="V67" s="10"/>
      <c r="W67" s="10"/>
      <c r="X67" s="10"/>
      <c r="Y67" s="10"/>
      <c r="Z67" s="10"/>
      <c r="AA67" s="10"/>
      <c r="AB67" s="10"/>
      <c r="AC67" s="10"/>
      <c r="AD67" s="10"/>
      <c r="AE67" s="10"/>
      <c r="AF67" s="10"/>
      <c r="AG67" s="10"/>
      <c r="AH67" s="10"/>
      <c r="AI67" s="10"/>
      <c r="AJ67" s="10"/>
      <c r="AK67" s="10"/>
      <c r="AL67" s="10"/>
      <c r="AM67" s="10"/>
      <c r="AN67" s="10"/>
    </row>
    <row r="68" spans="2:40">
      <c r="B68"/>
      <c r="C68"/>
      <c r="D68"/>
      <c r="E68"/>
      <c r="F68"/>
      <c r="G68"/>
      <c r="H68"/>
      <c r="I68"/>
      <c r="J68"/>
      <c r="K68"/>
      <c r="L68"/>
      <c r="M68"/>
      <c r="N68"/>
      <c r="O68" s="64"/>
      <c r="P68" s="64"/>
      <c r="Q68" s="64"/>
      <c r="R68" s="10"/>
      <c r="S68" s="10"/>
      <c r="T68" s="10"/>
      <c r="U68" s="10"/>
      <c r="V68" s="10"/>
      <c r="W68" s="10"/>
      <c r="X68" s="10"/>
      <c r="Y68" s="10"/>
      <c r="Z68" s="10"/>
      <c r="AA68" s="10"/>
      <c r="AB68" s="10"/>
      <c r="AC68" s="10"/>
      <c r="AD68" s="10"/>
      <c r="AE68" s="10"/>
      <c r="AF68" s="10"/>
      <c r="AG68" s="10"/>
      <c r="AH68" s="10"/>
      <c r="AI68" s="10"/>
      <c r="AJ68" s="10"/>
      <c r="AK68" s="10"/>
      <c r="AL68" s="10"/>
      <c r="AM68" s="10"/>
      <c r="AN68" s="10"/>
    </row>
    <row r="69" spans="2:40">
      <c r="B69"/>
      <c r="C69"/>
      <c r="D69"/>
      <c r="E69"/>
      <c r="F69"/>
      <c r="G69"/>
      <c r="H69"/>
      <c r="I69"/>
      <c r="J69"/>
      <c r="K69"/>
      <c r="L69"/>
      <c r="M69"/>
      <c r="N69"/>
      <c r="O69" s="64"/>
      <c r="P69" s="64"/>
      <c r="Q69" s="64"/>
      <c r="R69" s="10"/>
      <c r="S69" s="10"/>
      <c r="T69" s="10"/>
      <c r="U69" s="10"/>
      <c r="V69" s="10"/>
      <c r="W69" s="10"/>
      <c r="X69" s="10"/>
      <c r="Y69" s="10"/>
      <c r="Z69" s="10"/>
      <c r="AA69" s="10"/>
      <c r="AB69" s="10"/>
      <c r="AC69" s="10"/>
      <c r="AD69" s="10"/>
      <c r="AE69" s="10"/>
      <c r="AF69" s="10"/>
      <c r="AG69" s="10"/>
      <c r="AH69" s="10"/>
      <c r="AI69" s="10"/>
      <c r="AJ69" s="10"/>
      <c r="AK69" s="10"/>
      <c r="AL69" s="10"/>
      <c r="AM69" s="10"/>
      <c r="AN69" s="10"/>
    </row>
    <row r="70" spans="2:40">
      <c r="B70"/>
      <c r="C70"/>
      <c r="D70"/>
      <c r="E70"/>
      <c r="F70"/>
      <c r="G70"/>
      <c r="H70"/>
      <c r="I70"/>
      <c r="J70"/>
      <c r="K70"/>
      <c r="L70"/>
      <c r="M70"/>
      <c r="N70"/>
      <c r="O70" s="64"/>
      <c r="P70" s="64"/>
      <c r="Q70" s="64"/>
      <c r="R70" s="10"/>
      <c r="S70" s="10"/>
      <c r="T70" s="10"/>
      <c r="U70" s="10"/>
      <c r="V70" s="10"/>
      <c r="W70" s="10"/>
      <c r="X70" s="10"/>
      <c r="Y70" s="10"/>
      <c r="Z70" s="10"/>
      <c r="AA70" s="10"/>
      <c r="AB70" s="10"/>
      <c r="AC70" s="10"/>
      <c r="AD70" s="10"/>
      <c r="AE70" s="10"/>
      <c r="AF70" s="10"/>
      <c r="AG70" s="10"/>
      <c r="AH70" s="10"/>
      <c r="AI70" s="10"/>
      <c r="AJ70" s="10"/>
      <c r="AK70" s="10"/>
      <c r="AL70" s="10"/>
      <c r="AM70" s="10"/>
      <c r="AN70" s="10"/>
    </row>
    <row r="71" spans="2:40">
      <c r="B71"/>
      <c r="C71"/>
      <c r="D71"/>
      <c r="E71"/>
      <c r="F71"/>
      <c r="G71"/>
      <c r="H71"/>
      <c r="I71"/>
      <c r="J71"/>
      <c r="K71"/>
      <c r="L71"/>
      <c r="M71"/>
      <c r="N71"/>
      <c r="O71" s="64"/>
      <c r="P71" s="64"/>
      <c r="Q71" s="64"/>
      <c r="R71" s="10"/>
      <c r="S71" s="10"/>
      <c r="T71" s="10"/>
      <c r="U71" s="10"/>
      <c r="V71" s="10"/>
      <c r="W71" s="10"/>
      <c r="X71" s="10"/>
      <c r="Y71" s="10"/>
      <c r="Z71" s="10"/>
      <c r="AA71" s="10"/>
      <c r="AB71" s="10"/>
      <c r="AC71" s="10"/>
      <c r="AD71" s="10"/>
      <c r="AE71" s="10"/>
      <c r="AF71" s="10"/>
      <c r="AG71" s="10"/>
      <c r="AH71" s="10"/>
      <c r="AI71" s="10"/>
      <c r="AJ71" s="10"/>
      <c r="AK71" s="10"/>
      <c r="AL71" s="10"/>
      <c r="AM71" s="10"/>
      <c r="AN71" s="10"/>
    </row>
    <row r="72" spans="2:40">
      <c r="B72"/>
      <c r="C72"/>
      <c r="D72"/>
      <c r="E72"/>
      <c r="F72"/>
      <c r="G72"/>
      <c r="H72"/>
      <c r="I72"/>
      <c r="J72"/>
      <c r="K72"/>
      <c r="L72"/>
      <c r="M72"/>
      <c r="N72"/>
      <c r="O72" s="64"/>
      <c r="P72" s="64"/>
      <c r="Q72" s="64"/>
      <c r="R72" s="10"/>
      <c r="S72" s="10"/>
      <c r="T72" s="10"/>
      <c r="U72" s="10"/>
      <c r="V72" s="10"/>
      <c r="W72" s="10"/>
      <c r="X72" s="10"/>
      <c r="Y72" s="10"/>
      <c r="Z72" s="10"/>
      <c r="AA72" s="10"/>
      <c r="AB72" s="10"/>
      <c r="AC72" s="10"/>
      <c r="AD72" s="10"/>
      <c r="AE72" s="10"/>
      <c r="AF72" s="10"/>
      <c r="AG72" s="10"/>
      <c r="AH72" s="10"/>
      <c r="AI72" s="10"/>
      <c r="AJ72" s="10"/>
      <c r="AK72" s="10"/>
      <c r="AL72" s="10"/>
      <c r="AM72" s="10"/>
      <c r="AN72" s="10"/>
    </row>
    <row r="73" spans="2:40">
      <c r="B73"/>
      <c r="C73"/>
      <c r="D73"/>
      <c r="E73"/>
      <c r="F73"/>
      <c r="G73"/>
      <c r="H73"/>
      <c r="I73"/>
      <c r="J73"/>
      <c r="K73"/>
      <c r="L73"/>
      <c r="M73"/>
      <c r="N73"/>
      <c r="O73" s="64"/>
      <c r="P73" s="64"/>
      <c r="Q73" s="64"/>
      <c r="R73" s="10"/>
      <c r="S73" s="10"/>
      <c r="T73" s="10"/>
      <c r="U73" s="10"/>
      <c r="V73" s="10"/>
      <c r="W73" s="10"/>
      <c r="X73" s="10"/>
      <c r="Y73" s="10"/>
      <c r="Z73" s="10"/>
      <c r="AA73" s="10"/>
      <c r="AB73" s="10"/>
      <c r="AC73" s="10"/>
      <c r="AD73" s="10"/>
      <c r="AE73" s="10"/>
      <c r="AF73" s="10"/>
      <c r="AG73" s="10"/>
      <c r="AH73" s="10"/>
      <c r="AI73" s="10"/>
      <c r="AJ73" s="10"/>
      <c r="AK73" s="10"/>
      <c r="AL73" s="10"/>
      <c r="AM73" s="10"/>
      <c r="AN73" s="10"/>
    </row>
    <row r="74" spans="2:40">
      <c r="B74"/>
      <c r="C74"/>
      <c r="D74"/>
      <c r="E74"/>
      <c r="F74"/>
      <c r="G74"/>
      <c r="H74"/>
      <c r="I74"/>
      <c r="J74"/>
      <c r="K74"/>
      <c r="L74"/>
      <c r="M74"/>
      <c r="N74"/>
      <c r="O74" s="64"/>
      <c r="P74" s="64"/>
      <c r="Q74" s="64"/>
      <c r="R74" s="10"/>
      <c r="S74" s="10"/>
      <c r="T74" s="10"/>
      <c r="U74" s="10"/>
      <c r="V74" s="10"/>
      <c r="W74" s="10"/>
      <c r="X74" s="10"/>
      <c r="Y74" s="10"/>
      <c r="Z74" s="10"/>
      <c r="AA74" s="10"/>
      <c r="AB74" s="10"/>
      <c r="AC74" s="10"/>
      <c r="AD74" s="10"/>
      <c r="AE74" s="10"/>
      <c r="AF74" s="10"/>
      <c r="AG74" s="10"/>
      <c r="AH74" s="10"/>
      <c r="AI74" s="10"/>
      <c r="AJ74" s="10"/>
      <c r="AK74" s="10"/>
      <c r="AL74" s="10"/>
      <c r="AM74" s="10"/>
      <c r="AN74" s="10"/>
    </row>
    <row r="75" spans="2:40">
      <c r="B75"/>
      <c r="C75"/>
      <c r="D75"/>
      <c r="E75"/>
      <c r="F75"/>
      <c r="G75"/>
      <c r="H75"/>
      <c r="I75"/>
      <c r="J75"/>
      <c r="K75"/>
      <c r="L75"/>
      <c r="M75"/>
      <c r="N75"/>
      <c r="O75" s="64"/>
      <c r="P75" s="64"/>
      <c r="Q75" s="64"/>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2:40">
      <c r="B76"/>
      <c r="C76"/>
      <c r="D76"/>
      <c r="E76"/>
      <c r="F76"/>
      <c r="G76"/>
      <c r="H76"/>
      <c r="I76"/>
      <c r="J76"/>
      <c r="K76"/>
      <c r="L76"/>
      <c r="M76"/>
      <c r="N76"/>
      <c r="O76" s="64"/>
      <c r="P76" s="64"/>
      <c r="Q76" s="64"/>
      <c r="R76" s="10"/>
      <c r="S76" s="10"/>
      <c r="T76" s="10"/>
      <c r="U76" s="10"/>
      <c r="V76" s="10"/>
      <c r="W76" s="10"/>
      <c r="X76" s="10"/>
      <c r="Y76" s="10"/>
      <c r="Z76" s="10"/>
      <c r="AA76" s="10"/>
      <c r="AB76" s="10"/>
      <c r="AC76" s="10"/>
      <c r="AD76" s="10"/>
      <c r="AE76" s="10"/>
      <c r="AF76" s="10"/>
      <c r="AG76" s="10"/>
      <c r="AH76" s="10"/>
      <c r="AI76" s="10"/>
      <c r="AJ76" s="10"/>
      <c r="AK76" s="10"/>
      <c r="AL76" s="10"/>
      <c r="AM76" s="10"/>
      <c r="AN76" s="10"/>
    </row>
    <row r="77" spans="2:40">
      <c r="B77"/>
      <c r="C77"/>
      <c r="D77"/>
      <c r="E77"/>
      <c r="F77"/>
      <c r="G77"/>
      <c r="H77"/>
      <c r="I77"/>
      <c r="J77"/>
      <c r="K77"/>
      <c r="L77"/>
      <c r="M77"/>
      <c r="N77"/>
      <c r="O77" s="64"/>
      <c r="P77" s="64"/>
      <c r="Q77" s="64"/>
      <c r="R77" s="10"/>
      <c r="S77" s="10"/>
      <c r="T77" s="10"/>
      <c r="U77" s="10"/>
      <c r="V77" s="10"/>
      <c r="W77" s="10"/>
      <c r="X77" s="10"/>
      <c r="Y77" s="10"/>
      <c r="Z77" s="10"/>
      <c r="AA77" s="10"/>
      <c r="AB77" s="10"/>
      <c r="AC77" s="10"/>
      <c r="AD77" s="10"/>
      <c r="AE77" s="10"/>
      <c r="AF77" s="10"/>
      <c r="AG77" s="10"/>
      <c r="AH77" s="10"/>
      <c r="AI77" s="10"/>
      <c r="AJ77" s="10"/>
      <c r="AK77" s="10"/>
      <c r="AL77" s="10"/>
      <c r="AM77" s="10"/>
      <c r="AN77" s="10"/>
    </row>
    <row r="78" spans="2:40">
      <c r="B78"/>
      <c r="C78"/>
      <c r="D78"/>
      <c r="E78"/>
      <c r="F78"/>
      <c r="G78"/>
      <c r="H78"/>
      <c r="I78"/>
      <c r="J78"/>
      <c r="K78"/>
      <c r="L78"/>
      <c r="M78"/>
      <c r="N78"/>
      <c r="O78" s="64"/>
      <c r="P78" s="64"/>
      <c r="Q78" s="64"/>
      <c r="R78" s="10"/>
      <c r="S78" s="10"/>
      <c r="T78" s="10"/>
      <c r="U78" s="10"/>
      <c r="V78" s="10"/>
      <c r="W78" s="10"/>
      <c r="X78" s="10"/>
      <c r="Y78" s="10"/>
      <c r="Z78" s="10"/>
      <c r="AA78" s="10"/>
      <c r="AB78" s="10"/>
      <c r="AC78" s="10"/>
      <c r="AD78" s="10"/>
      <c r="AE78" s="10"/>
      <c r="AF78" s="10"/>
      <c r="AG78" s="10"/>
      <c r="AH78" s="10"/>
      <c r="AI78" s="10"/>
      <c r="AJ78" s="10"/>
      <c r="AK78" s="10"/>
      <c r="AL78" s="10"/>
      <c r="AM78" s="10"/>
      <c r="AN78" s="10"/>
    </row>
    <row r="79" spans="2:40">
      <c r="B79"/>
      <c r="C79"/>
      <c r="D79"/>
      <c r="E79"/>
      <c r="F79"/>
      <c r="G79"/>
      <c r="H79"/>
      <c r="I79"/>
      <c r="J79"/>
      <c r="K79"/>
      <c r="L79"/>
      <c r="M79"/>
      <c r="N79"/>
      <c r="O79" s="64"/>
      <c r="P79" s="64"/>
      <c r="Q79" s="64"/>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2:40">
      <c r="B80"/>
      <c r="C80"/>
      <c r="D80"/>
      <c r="E80"/>
      <c r="F80"/>
      <c r="G80"/>
      <c r="H80"/>
      <c r="I80"/>
      <c r="J80"/>
      <c r="K80"/>
      <c r="L80"/>
      <c r="M80"/>
      <c r="N80"/>
      <c r="O80" s="64"/>
      <c r="P80" s="64"/>
      <c r="Q80" s="64"/>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40">
      <c r="B81"/>
      <c r="C81"/>
      <c r="D81"/>
      <c r="E81"/>
      <c r="F81"/>
      <c r="G81"/>
      <c r="H81"/>
      <c r="I81"/>
      <c r="J81"/>
      <c r="K81"/>
      <c r="L81"/>
      <c r="M81"/>
      <c r="N81"/>
      <c r="O81" s="64"/>
      <c r="P81" s="64"/>
      <c r="Q81" s="64"/>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2:40">
      <c r="B82"/>
      <c r="C82"/>
      <c r="D82"/>
      <c r="E82"/>
      <c r="F82"/>
      <c r="G82"/>
      <c r="H82"/>
      <c r="I82"/>
      <c r="J82"/>
      <c r="K82"/>
      <c r="L82"/>
      <c r="M82"/>
      <c r="N82"/>
      <c r="O82" s="64"/>
      <c r="P82" s="64"/>
      <c r="Q82" s="64"/>
      <c r="R82" s="10"/>
      <c r="S82" s="10"/>
      <c r="T82" s="10"/>
      <c r="U82" s="10"/>
      <c r="V82" s="10"/>
      <c r="W82" s="10"/>
      <c r="X82" s="10"/>
      <c r="Y82" s="10"/>
      <c r="Z82" s="10"/>
      <c r="AA82" s="10"/>
      <c r="AB82" s="10"/>
      <c r="AC82" s="10"/>
      <c r="AD82" s="10"/>
      <c r="AE82" s="10"/>
      <c r="AF82" s="10"/>
      <c r="AG82" s="10"/>
      <c r="AH82" s="10"/>
      <c r="AI82" s="10"/>
      <c r="AJ82" s="10"/>
      <c r="AK82" s="10"/>
      <c r="AL82" s="10"/>
      <c r="AM82" s="10"/>
      <c r="AN82" s="10"/>
    </row>
    <row r="83" spans="2:40">
      <c r="B83"/>
      <c r="C83"/>
      <c r="D83"/>
      <c r="E83"/>
      <c r="F83"/>
      <c r="G83"/>
      <c r="H83"/>
      <c r="I83"/>
      <c r="J83"/>
      <c r="K83"/>
      <c r="L83"/>
      <c r="M83"/>
      <c r="N83"/>
      <c r="O83" s="64"/>
      <c r="P83" s="64"/>
      <c r="Q83" s="64"/>
      <c r="R83" s="10"/>
      <c r="S83" s="10"/>
      <c r="T83" s="10"/>
      <c r="U83" s="10"/>
      <c r="V83" s="10"/>
      <c r="W83" s="10"/>
      <c r="X83" s="10"/>
      <c r="Y83" s="10"/>
      <c r="Z83" s="10"/>
      <c r="AA83" s="10"/>
      <c r="AB83" s="10"/>
      <c r="AC83" s="10"/>
      <c r="AD83" s="10"/>
      <c r="AE83" s="10"/>
      <c r="AF83" s="10"/>
      <c r="AG83" s="10"/>
      <c r="AH83" s="10"/>
      <c r="AI83" s="10"/>
      <c r="AJ83" s="10"/>
      <c r="AK83" s="10"/>
      <c r="AL83" s="10"/>
      <c r="AM83" s="10"/>
      <c r="AN83" s="10"/>
    </row>
    <row r="84" spans="2:40">
      <c r="B84"/>
      <c r="C84"/>
      <c r="D84"/>
      <c r="E84"/>
      <c r="F84"/>
      <c r="G84"/>
      <c r="H84"/>
      <c r="I84"/>
      <c r="J84"/>
      <c r="K84"/>
      <c r="L84"/>
      <c r="M84"/>
      <c r="N84"/>
      <c r="O84" s="64"/>
      <c r="P84" s="64"/>
      <c r="Q84" s="64"/>
      <c r="R84" s="10"/>
      <c r="S84" s="10"/>
      <c r="T84" s="10"/>
      <c r="U84" s="10"/>
      <c r="V84" s="10"/>
      <c r="W84" s="10"/>
      <c r="X84" s="10"/>
      <c r="Y84" s="10"/>
      <c r="Z84" s="10"/>
      <c r="AA84" s="10"/>
      <c r="AB84" s="10"/>
      <c r="AC84" s="10"/>
      <c r="AD84" s="10"/>
      <c r="AE84" s="10"/>
      <c r="AF84" s="10"/>
      <c r="AG84" s="10"/>
      <c r="AH84" s="10"/>
      <c r="AI84" s="10"/>
      <c r="AJ84" s="10"/>
      <c r="AK84" s="10"/>
      <c r="AL84" s="10"/>
      <c r="AM84" s="10"/>
      <c r="AN84" s="10"/>
    </row>
    <row r="85" spans="2:40">
      <c r="B85"/>
      <c r="C85"/>
      <c r="D85"/>
      <c r="E85"/>
      <c r="F85"/>
      <c r="G85"/>
      <c r="H85"/>
      <c r="I85"/>
      <c r="J85"/>
      <c r="K85"/>
      <c r="L85"/>
      <c r="M85"/>
      <c r="N85"/>
      <c r="O85" s="64"/>
      <c r="P85" s="64"/>
      <c r="Q85" s="64"/>
      <c r="R85" s="10"/>
      <c r="S85" s="10"/>
      <c r="T85" s="10"/>
      <c r="U85" s="10"/>
      <c r="V85" s="10"/>
      <c r="W85" s="10"/>
      <c r="X85" s="10"/>
      <c r="Y85" s="10"/>
      <c r="Z85" s="10"/>
      <c r="AA85" s="10"/>
      <c r="AB85" s="10"/>
      <c r="AC85" s="10"/>
      <c r="AD85" s="10"/>
      <c r="AE85" s="10"/>
      <c r="AF85" s="10"/>
      <c r="AG85" s="10"/>
      <c r="AH85" s="10"/>
      <c r="AI85" s="10"/>
      <c r="AJ85" s="10"/>
      <c r="AK85" s="10"/>
      <c r="AL85" s="10"/>
      <c r="AM85" s="10"/>
      <c r="AN85" s="10"/>
    </row>
    <row r="86" spans="2:40">
      <c r="B86"/>
      <c r="C86"/>
      <c r="D86"/>
      <c r="E86"/>
      <c r="F86"/>
      <c r="G86"/>
      <c r="H86"/>
      <c r="I86"/>
      <c r="J86"/>
      <c r="K86"/>
      <c r="L86"/>
      <c r="M86"/>
      <c r="N86"/>
      <c r="O86" s="64"/>
      <c r="P86" s="64"/>
      <c r="Q86" s="64"/>
      <c r="R86" s="10"/>
      <c r="S86" s="10"/>
      <c r="T86" s="10"/>
      <c r="U86" s="10"/>
      <c r="V86" s="10"/>
      <c r="W86" s="10"/>
      <c r="X86" s="10"/>
      <c r="Y86" s="10"/>
      <c r="Z86" s="10"/>
      <c r="AA86" s="10"/>
      <c r="AB86" s="10"/>
      <c r="AC86" s="10"/>
      <c r="AD86" s="10"/>
      <c r="AE86" s="10"/>
      <c r="AF86" s="10"/>
      <c r="AG86" s="10"/>
      <c r="AH86" s="10"/>
      <c r="AI86" s="10"/>
      <c r="AJ86" s="10"/>
      <c r="AK86" s="10"/>
      <c r="AL86" s="10"/>
      <c r="AM86" s="10"/>
      <c r="AN86" s="10"/>
    </row>
    <row r="87" spans="2:40">
      <c r="B87"/>
      <c r="C87"/>
      <c r="D87"/>
      <c r="E87"/>
      <c r="F87"/>
      <c r="G87"/>
      <c r="H87"/>
      <c r="I87"/>
      <c r="J87"/>
      <c r="K87"/>
      <c r="L87"/>
      <c r="M87"/>
      <c r="N87"/>
      <c r="O87" s="64"/>
      <c r="P87" s="64"/>
      <c r="Q87" s="64"/>
      <c r="R87" s="10"/>
      <c r="S87" s="10"/>
      <c r="T87" s="10"/>
      <c r="U87" s="10"/>
      <c r="V87" s="10"/>
      <c r="W87" s="10"/>
      <c r="X87" s="10"/>
      <c r="Y87" s="10"/>
      <c r="Z87" s="10"/>
      <c r="AA87" s="10"/>
      <c r="AB87" s="10"/>
      <c r="AC87" s="10"/>
      <c r="AD87" s="10"/>
      <c r="AE87" s="10"/>
      <c r="AF87" s="10"/>
      <c r="AG87" s="10"/>
      <c r="AH87" s="10"/>
      <c r="AI87" s="10"/>
      <c r="AJ87" s="10"/>
      <c r="AK87" s="10"/>
      <c r="AL87" s="10"/>
      <c r="AM87" s="10"/>
      <c r="AN87" s="10"/>
    </row>
    <row r="88" spans="2:40">
      <c r="B88"/>
      <c r="C88"/>
      <c r="D88"/>
      <c r="E88"/>
      <c r="F88"/>
      <c r="G88"/>
      <c r="H88"/>
      <c r="I88"/>
      <c r="J88"/>
      <c r="K88"/>
      <c r="L88"/>
      <c r="M88"/>
      <c r="N88"/>
      <c r="O88" s="64"/>
      <c r="P88" s="64"/>
      <c r="Q88" s="64"/>
      <c r="R88" s="10"/>
      <c r="S88" s="10"/>
      <c r="T88" s="10"/>
      <c r="U88" s="10"/>
      <c r="V88" s="10"/>
      <c r="W88" s="10"/>
      <c r="X88" s="10"/>
      <c r="Y88" s="10"/>
      <c r="Z88" s="10"/>
      <c r="AA88" s="10"/>
      <c r="AB88" s="10"/>
      <c r="AC88" s="10"/>
      <c r="AD88" s="10"/>
      <c r="AE88" s="10"/>
      <c r="AF88" s="10"/>
      <c r="AG88" s="10"/>
      <c r="AH88" s="10"/>
      <c r="AI88" s="10"/>
      <c r="AJ88" s="10"/>
      <c r="AK88" s="10"/>
      <c r="AL88" s="10"/>
      <c r="AM88" s="10"/>
      <c r="AN88" s="10"/>
    </row>
    <row r="89" spans="2:40">
      <c r="B89"/>
      <c r="C89"/>
      <c r="D89"/>
      <c r="E89"/>
      <c r="F89"/>
      <c r="G89"/>
      <c r="H89"/>
      <c r="I89"/>
      <c r="J89"/>
      <c r="K89"/>
      <c r="L89"/>
      <c r="M89"/>
      <c r="N89"/>
      <c r="O89" s="64"/>
      <c r="P89" s="64"/>
      <c r="Q89" s="64"/>
      <c r="R89" s="10"/>
      <c r="S89" s="10"/>
      <c r="T89" s="10"/>
      <c r="U89" s="10"/>
      <c r="V89" s="10"/>
      <c r="W89" s="10"/>
      <c r="X89" s="10"/>
      <c r="Y89" s="10"/>
      <c r="Z89" s="10"/>
      <c r="AA89" s="10"/>
      <c r="AB89" s="10"/>
      <c r="AC89" s="10"/>
      <c r="AD89" s="10"/>
      <c r="AE89" s="10"/>
      <c r="AF89" s="10"/>
      <c r="AG89" s="10"/>
      <c r="AH89" s="10"/>
      <c r="AI89" s="10"/>
      <c r="AJ89" s="10"/>
      <c r="AK89" s="10"/>
      <c r="AL89" s="10"/>
      <c r="AM89" s="10"/>
      <c r="AN89" s="10"/>
    </row>
    <row r="90" spans="2:40">
      <c r="B90"/>
      <c r="C90"/>
      <c r="D90"/>
      <c r="E90"/>
      <c r="F90"/>
      <c r="G90"/>
      <c r="H90"/>
      <c r="I90"/>
      <c r="J90"/>
      <c r="K90"/>
      <c r="L90"/>
      <c r="M90"/>
      <c r="N90"/>
      <c r="O90" s="64"/>
      <c r="P90" s="64"/>
      <c r="Q90" s="64"/>
      <c r="R90" s="10"/>
      <c r="S90" s="10"/>
      <c r="T90" s="10"/>
      <c r="U90" s="10"/>
      <c r="V90" s="10"/>
      <c r="W90" s="10"/>
      <c r="X90" s="10"/>
      <c r="Y90" s="10"/>
      <c r="Z90" s="10"/>
      <c r="AA90" s="10"/>
      <c r="AB90" s="10"/>
      <c r="AC90" s="10"/>
      <c r="AD90" s="10"/>
      <c r="AE90" s="10"/>
      <c r="AF90" s="10"/>
      <c r="AG90" s="10"/>
      <c r="AH90" s="10"/>
      <c r="AI90" s="10"/>
      <c r="AJ90" s="10"/>
      <c r="AK90" s="10"/>
      <c r="AL90" s="10"/>
      <c r="AM90" s="10"/>
      <c r="AN90" s="10"/>
    </row>
    <row r="91" spans="2:40">
      <c r="B91"/>
      <c r="C91"/>
      <c r="D91"/>
      <c r="E91"/>
      <c r="F91"/>
      <c r="G91"/>
      <c r="H91"/>
      <c r="I91"/>
      <c r="J91"/>
      <c r="K91"/>
      <c r="L91"/>
      <c r="M91"/>
      <c r="N91"/>
      <c r="O91" s="64"/>
      <c r="P91" s="64"/>
      <c r="Q91" s="64"/>
      <c r="R91" s="10"/>
      <c r="S91" s="10"/>
      <c r="T91" s="10"/>
      <c r="U91" s="10"/>
      <c r="V91" s="10"/>
      <c r="W91" s="10"/>
      <c r="X91" s="10"/>
      <c r="Y91" s="10"/>
      <c r="Z91" s="10"/>
      <c r="AA91" s="10"/>
      <c r="AB91" s="10"/>
      <c r="AC91" s="10"/>
      <c r="AD91" s="10"/>
      <c r="AE91" s="10"/>
      <c r="AF91" s="10"/>
      <c r="AG91" s="10"/>
      <c r="AH91" s="10"/>
      <c r="AI91" s="10"/>
      <c r="AJ91" s="10"/>
      <c r="AK91" s="10"/>
      <c r="AL91" s="10"/>
      <c r="AM91" s="10"/>
      <c r="AN91" s="10"/>
    </row>
    <row r="92" spans="2:40">
      <c r="B92"/>
      <c r="C92"/>
      <c r="D92"/>
      <c r="E92"/>
      <c r="F92"/>
      <c r="G92"/>
      <c r="H92"/>
      <c r="I92"/>
      <c r="J92"/>
      <c r="K92"/>
      <c r="L92"/>
      <c r="M92"/>
      <c r="N92"/>
      <c r="O92" s="64"/>
      <c r="P92" s="64"/>
      <c r="Q92" s="64"/>
      <c r="R92" s="10"/>
      <c r="S92" s="10"/>
      <c r="T92" s="10"/>
      <c r="U92" s="10"/>
      <c r="V92" s="10"/>
      <c r="W92" s="10"/>
      <c r="X92" s="10"/>
      <c r="Y92" s="10"/>
      <c r="Z92" s="10"/>
      <c r="AA92" s="10"/>
      <c r="AB92" s="10"/>
      <c r="AC92" s="10"/>
      <c r="AD92" s="10"/>
      <c r="AE92" s="10"/>
      <c r="AF92" s="10"/>
      <c r="AG92" s="10"/>
      <c r="AH92" s="10"/>
      <c r="AI92" s="10"/>
      <c r="AJ92" s="10"/>
      <c r="AK92" s="10"/>
      <c r="AL92" s="10"/>
      <c r="AM92" s="10"/>
      <c r="AN92" s="10"/>
    </row>
    <row r="93" spans="2:40">
      <c r="B93"/>
      <c r="C93"/>
      <c r="D93"/>
      <c r="E93"/>
      <c r="F93"/>
      <c r="G93"/>
      <c r="H93"/>
      <c r="I93"/>
      <c r="J93"/>
      <c r="K93"/>
      <c r="L93"/>
      <c r="M93"/>
      <c r="N93"/>
      <c r="O93" s="64"/>
      <c r="P93" s="64"/>
      <c r="Q93" s="64"/>
      <c r="R93" s="10"/>
      <c r="S93" s="10"/>
      <c r="T93" s="10"/>
      <c r="U93" s="10"/>
      <c r="V93" s="10"/>
      <c r="W93" s="10"/>
      <c r="X93" s="10"/>
      <c r="Y93" s="10"/>
      <c r="Z93" s="10"/>
      <c r="AA93" s="10"/>
      <c r="AB93" s="10"/>
      <c r="AC93" s="10"/>
      <c r="AD93" s="10"/>
      <c r="AE93" s="10"/>
      <c r="AF93" s="10"/>
      <c r="AG93" s="10"/>
      <c r="AH93" s="10"/>
      <c r="AI93" s="10"/>
      <c r="AJ93" s="10"/>
      <c r="AK93" s="10"/>
      <c r="AL93" s="10"/>
      <c r="AM93" s="10"/>
      <c r="AN93" s="10"/>
    </row>
    <row r="94" spans="2:40">
      <c r="B94"/>
      <c r="C94"/>
      <c r="D94"/>
      <c r="E94"/>
      <c r="F94"/>
      <c r="G94"/>
      <c r="H94"/>
      <c r="I94"/>
      <c r="J94"/>
      <c r="K94"/>
      <c r="L94"/>
      <c r="M94"/>
      <c r="N94"/>
      <c r="O94" s="64"/>
      <c r="P94" s="64"/>
      <c r="Q94" s="64"/>
      <c r="R94" s="10"/>
      <c r="S94" s="10"/>
      <c r="T94" s="10"/>
      <c r="U94" s="10"/>
      <c r="V94" s="10"/>
      <c r="W94" s="10"/>
      <c r="X94" s="10"/>
      <c r="Y94" s="10"/>
      <c r="Z94" s="10"/>
      <c r="AA94" s="10"/>
      <c r="AB94" s="10"/>
      <c r="AC94" s="10"/>
      <c r="AD94" s="10"/>
      <c r="AE94" s="10"/>
      <c r="AF94" s="10"/>
      <c r="AG94" s="10"/>
      <c r="AH94" s="10"/>
      <c r="AI94" s="10"/>
      <c r="AJ94" s="10"/>
      <c r="AK94" s="10"/>
      <c r="AL94" s="10"/>
      <c r="AM94" s="10"/>
      <c r="AN94" s="10"/>
    </row>
    <row r="95" spans="2:40">
      <c r="B95"/>
      <c r="C95"/>
      <c r="D95"/>
      <c r="E95"/>
      <c r="F95"/>
      <c r="G95"/>
      <c r="H95"/>
      <c r="I95"/>
      <c r="J95"/>
      <c r="K95"/>
      <c r="L95"/>
      <c r="M95"/>
      <c r="N95"/>
      <c r="O95" s="64"/>
      <c r="P95" s="64"/>
      <c r="Q95" s="64"/>
      <c r="R95" s="10"/>
      <c r="S95" s="10"/>
      <c r="T95" s="10"/>
      <c r="U95" s="10"/>
      <c r="V95" s="10"/>
      <c r="W95" s="10"/>
      <c r="X95" s="10"/>
      <c r="Y95" s="10"/>
      <c r="Z95" s="10"/>
      <c r="AA95" s="10"/>
      <c r="AB95" s="10"/>
      <c r="AC95" s="10"/>
      <c r="AD95" s="10"/>
      <c r="AE95" s="10"/>
      <c r="AF95" s="10"/>
      <c r="AG95" s="10"/>
      <c r="AH95" s="10"/>
      <c r="AI95" s="10"/>
      <c r="AJ95" s="10"/>
      <c r="AK95" s="10"/>
      <c r="AL95" s="10"/>
      <c r="AM95" s="10"/>
      <c r="AN95" s="10"/>
    </row>
    <row r="96" spans="2:40">
      <c r="B96"/>
      <c r="C96"/>
      <c r="D96"/>
      <c r="E96"/>
      <c r="F96"/>
      <c r="G96"/>
      <c r="H96"/>
      <c r="I96"/>
      <c r="J96"/>
      <c r="K96"/>
      <c r="L96"/>
      <c r="M96"/>
      <c r="N96"/>
      <c r="O96" s="64"/>
      <c r="P96" s="64"/>
      <c r="Q96" s="64"/>
      <c r="R96" s="10"/>
      <c r="S96" s="10"/>
      <c r="T96" s="10"/>
      <c r="U96" s="10"/>
      <c r="V96" s="10"/>
      <c r="W96" s="10"/>
      <c r="X96" s="10"/>
      <c r="Y96" s="10"/>
      <c r="Z96" s="10"/>
      <c r="AA96" s="10"/>
      <c r="AB96" s="10"/>
      <c r="AC96" s="10"/>
      <c r="AD96" s="10"/>
      <c r="AE96" s="10"/>
      <c r="AF96" s="10"/>
      <c r="AG96" s="10"/>
      <c r="AH96" s="10"/>
      <c r="AI96" s="10"/>
      <c r="AJ96" s="10"/>
      <c r="AK96" s="10"/>
      <c r="AL96" s="10"/>
      <c r="AM96" s="10"/>
      <c r="AN96" s="10"/>
    </row>
    <row r="97" spans="2:40">
      <c r="B97"/>
      <c r="C97"/>
      <c r="D97"/>
      <c r="E97"/>
      <c r="F97"/>
      <c r="G97"/>
      <c r="H97"/>
      <c r="I97"/>
      <c r="J97"/>
      <c r="K97"/>
      <c r="L97"/>
      <c r="M97"/>
      <c r="N97"/>
      <c r="O97" s="64"/>
      <c r="P97" s="64"/>
      <c r="Q97" s="64"/>
      <c r="R97" s="10"/>
      <c r="S97" s="10"/>
      <c r="T97" s="10"/>
      <c r="U97" s="10"/>
      <c r="V97" s="10"/>
      <c r="W97" s="10"/>
      <c r="X97" s="10"/>
      <c r="Y97" s="10"/>
      <c r="Z97" s="10"/>
      <c r="AA97" s="10"/>
      <c r="AB97" s="10"/>
      <c r="AC97" s="10"/>
      <c r="AD97" s="10"/>
      <c r="AE97" s="10"/>
      <c r="AF97" s="10"/>
      <c r="AG97" s="10"/>
      <c r="AH97" s="10"/>
      <c r="AI97" s="10"/>
      <c r="AJ97" s="10"/>
      <c r="AK97" s="10"/>
      <c r="AL97" s="10"/>
      <c r="AM97" s="10"/>
      <c r="AN97" s="10"/>
    </row>
    <row r="98" spans="2:40">
      <c r="B98"/>
      <c r="C98"/>
      <c r="D98"/>
      <c r="E98"/>
      <c r="F98"/>
      <c r="G98"/>
      <c r="H98"/>
      <c r="I98"/>
      <c r="J98"/>
      <c r="K98"/>
      <c r="L98"/>
      <c r="M98"/>
      <c r="N98"/>
      <c r="O98" s="64"/>
      <c r="P98" s="64"/>
      <c r="Q98" s="64"/>
      <c r="R98" s="10"/>
      <c r="S98" s="10"/>
      <c r="T98" s="10"/>
      <c r="U98" s="10"/>
      <c r="V98" s="10"/>
      <c r="W98" s="10"/>
      <c r="X98" s="10"/>
      <c r="Y98" s="10"/>
      <c r="Z98" s="10"/>
      <c r="AA98" s="10"/>
      <c r="AB98" s="10"/>
      <c r="AC98" s="10"/>
      <c r="AD98" s="10"/>
      <c r="AE98" s="10"/>
      <c r="AF98" s="10"/>
      <c r="AG98" s="10"/>
      <c r="AH98" s="10"/>
      <c r="AI98" s="10"/>
      <c r="AJ98" s="10"/>
      <c r="AK98" s="10"/>
      <c r="AL98" s="10"/>
      <c r="AM98" s="10"/>
      <c r="AN98" s="10"/>
    </row>
    <row r="99" spans="2:40">
      <c r="B99"/>
      <c r="C99"/>
      <c r="D99"/>
      <c r="E99"/>
      <c r="F99"/>
      <c r="G99"/>
      <c r="H99"/>
      <c r="I99"/>
      <c r="J99"/>
      <c r="K99"/>
      <c r="L99"/>
      <c r="M99"/>
      <c r="N99"/>
      <c r="O99" s="64"/>
      <c r="P99" s="64"/>
      <c r="Q99" s="64"/>
      <c r="R99" s="10"/>
      <c r="S99" s="10"/>
      <c r="T99" s="10"/>
      <c r="U99" s="10"/>
      <c r="V99" s="10"/>
      <c r="W99" s="10"/>
      <c r="X99" s="10"/>
      <c r="Y99" s="10"/>
      <c r="Z99" s="10"/>
      <c r="AA99" s="10"/>
      <c r="AB99" s="10"/>
      <c r="AC99" s="10"/>
      <c r="AD99" s="10"/>
      <c r="AE99" s="10"/>
      <c r="AF99" s="10"/>
      <c r="AG99" s="10"/>
      <c r="AH99" s="10"/>
      <c r="AI99" s="10"/>
      <c r="AJ99" s="10"/>
      <c r="AK99" s="10"/>
      <c r="AL99" s="10"/>
      <c r="AM99" s="10"/>
      <c r="AN99" s="10"/>
    </row>
    <row r="100" spans="2:40">
      <c r="B100"/>
      <c r="C100"/>
      <c r="D100"/>
      <c r="E100"/>
      <c r="F100"/>
      <c r="G100"/>
      <c r="H100"/>
      <c r="I100"/>
      <c r="J100"/>
      <c r="K100"/>
      <c r="L100"/>
      <c r="M100"/>
      <c r="N100"/>
      <c r="O100" s="64"/>
      <c r="P100" s="64"/>
      <c r="Q100" s="64"/>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row>
    <row r="101" spans="2:40">
      <c r="B101"/>
      <c r="C101"/>
      <c r="D101"/>
      <c r="E101"/>
      <c r="F101"/>
      <c r="G101"/>
      <c r="H101"/>
      <c r="I101"/>
      <c r="J101"/>
      <c r="K101"/>
      <c r="L101"/>
      <c r="M101"/>
      <c r="N101"/>
      <c r="O101" s="64"/>
      <c r="P101" s="64"/>
      <c r="Q101" s="64"/>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row>
    <row r="102" spans="2:40">
      <c r="B102"/>
      <c r="C102"/>
      <c r="D102"/>
      <c r="E102"/>
      <c r="F102"/>
      <c r="G102"/>
      <c r="H102"/>
      <c r="I102"/>
      <c r="J102"/>
      <c r="K102"/>
      <c r="L102"/>
      <c r="M102"/>
      <c r="N102"/>
      <c r="O102" s="64"/>
      <c r="P102" s="64"/>
      <c r="Q102" s="64"/>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row>
    <row r="103" spans="2:40">
      <c r="B103"/>
      <c r="C103"/>
      <c r="D103"/>
      <c r="E103"/>
      <c r="F103"/>
      <c r="G103"/>
      <c r="H103"/>
      <c r="I103"/>
      <c r="J103"/>
      <c r="K103"/>
      <c r="L103"/>
      <c r="M103"/>
      <c r="N103"/>
      <c r="O103" s="64"/>
      <c r="P103" s="64"/>
      <c r="Q103" s="64"/>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row>
    <row r="104" spans="2:40">
      <c r="B104"/>
      <c r="C104"/>
      <c r="D104"/>
      <c r="E104"/>
      <c r="F104"/>
      <c r="G104"/>
      <c r="H104"/>
      <c r="I104"/>
      <c r="J104"/>
      <c r="K104"/>
      <c r="L104"/>
      <c r="M104"/>
      <c r="N104"/>
      <c r="O104" s="64"/>
      <c r="P104" s="64"/>
      <c r="Q104" s="64"/>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row>
    <row r="105" spans="2:40">
      <c r="B105"/>
      <c r="C105"/>
      <c r="D105"/>
      <c r="E105"/>
      <c r="F105"/>
      <c r="G105"/>
      <c r="H105"/>
      <c r="I105"/>
      <c r="J105"/>
      <c r="K105"/>
      <c r="L105"/>
      <c r="M105"/>
      <c r="N105"/>
      <c r="O105" s="64"/>
      <c r="P105" s="64"/>
      <c r="Q105" s="64"/>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row>
    <row r="106" spans="2:40">
      <c r="B106"/>
      <c r="C106"/>
      <c r="D106"/>
      <c r="E106"/>
      <c r="F106"/>
      <c r="G106"/>
      <c r="H106"/>
      <c r="I106"/>
      <c r="J106"/>
      <c r="K106"/>
      <c r="L106"/>
      <c r="M106"/>
      <c r="N106"/>
      <c r="O106" s="64"/>
      <c r="P106" s="64"/>
      <c r="Q106" s="64"/>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row>
    <row r="107" spans="2:40">
      <c r="B107"/>
      <c r="C107"/>
      <c r="D107"/>
      <c r="E107"/>
      <c r="F107"/>
      <c r="G107"/>
      <c r="H107"/>
      <c r="I107"/>
      <c r="J107"/>
      <c r="K107"/>
      <c r="L107"/>
      <c r="M107"/>
      <c r="N107"/>
      <c r="O107" s="64"/>
      <c r="P107" s="64"/>
      <c r="Q107" s="64"/>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row>
    <row r="108" spans="2:40">
      <c r="B108"/>
      <c r="C108"/>
      <c r="D108"/>
      <c r="E108"/>
      <c r="F108"/>
      <c r="G108"/>
      <c r="H108"/>
      <c r="I108"/>
      <c r="J108"/>
      <c r="K108"/>
      <c r="L108"/>
      <c r="M108"/>
      <c r="N108"/>
      <c r="O108" s="64"/>
      <c r="P108" s="64"/>
      <c r="Q108" s="64"/>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row>
    <row r="109" spans="2:40">
      <c r="B109"/>
      <c r="C109"/>
      <c r="D109"/>
      <c r="E109"/>
      <c r="F109"/>
      <c r="G109"/>
      <c r="H109"/>
      <c r="I109"/>
      <c r="J109"/>
      <c r="K109"/>
      <c r="L109"/>
      <c r="M109"/>
      <c r="N109"/>
      <c r="O109" s="64"/>
      <c r="P109" s="64"/>
      <c r="Q109" s="64"/>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row>
    <row r="110" spans="2:40">
      <c r="B110"/>
      <c r="C110"/>
      <c r="D110"/>
      <c r="E110"/>
      <c r="F110"/>
      <c r="G110"/>
      <c r="H110"/>
      <c r="I110"/>
      <c r="J110"/>
      <c r="K110"/>
      <c r="L110"/>
      <c r="M110"/>
      <c r="N110"/>
      <c r="O110" s="64"/>
      <c r="P110" s="64"/>
      <c r="Q110" s="64"/>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row>
    <row r="111" spans="2:40">
      <c r="B111"/>
      <c r="C111"/>
      <c r="D111"/>
      <c r="E111"/>
      <c r="F111"/>
      <c r="G111"/>
      <c r="H111"/>
      <c r="I111"/>
      <c r="J111"/>
      <c r="K111"/>
      <c r="L111"/>
      <c r="M111"/>
      <c r="N111"/>
      <c r="O111" s="64"/>
      <c r="P111" s="64"/>
      <c r="Q111" s="64"/>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row>
    <row r="112" spans="2:40">
      <c r="B112"/>
      <c r="C112"/>
      <c r="D112"/>
      <c r="E112"/>
      <c r="F112"/>
      <c r="G112"/>
      <c r="H112"/>
      <c r="I112"/>
      <c r="J112"/>
      <c r="K112"/>
      <c r="L112"/>
      <c r="M112"/>
      <c r="N112"/>
      <c r="O112" s="64"/>
      <c r="P112" s="64"/>
      <c r="Q112" s="64"/>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row>
    <row r="113" spans="2:40">
      <c r="B113"/>
      <c r="C113"/>
      <c r="D113"/>
      <c r="E113"/>
      <c r="F113"/>
      <c r="G113"/>
      <c r="H113"/>
      <c r="I113"/>
      <c r="J113"/>
      <c r="K113"/>
      <c r="L113"/>
      <c r="M113"/>
      <c r="N113"/>
      <c r="O113" s="64"/>
      <c r="P113" s="64"/>
      <c r="Q113" s="64"/>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row>
    <row r="114" spans="2:40">
      <c r="B114"/>
      <c r="C114"/>
      <c r="D114"/>
      <c r="E114"/>
      <c r="F114"/>
      <c r="G114"/>
      <c r="H114"/>
      <c r="I114"/>
      <c r="J114"/>
      <c r="K114"/>
      <c r="L114"/>
      <c r="M114"/>
      <c r="N114"/>
      <c r="O114" s="64"/>
      <c r="P114" s="64"/>
      <c r="Q114" s="64"/>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row>
    <row r="115" spans="2:40">
      <c r="B115"/>
      <c r="C115"/>
      <c r="D115"/>
      <c r="E115"/>
      <c r="F115"/>
      <c r="G115"/>
      <c r="H115"/>
      <c r="I115"/>
      <c r="J115"/>
      <c r="K115"/>
      <c r="L115"/>
      <c r="M115"/>
      <c r="N115"/>
      <c r="O115" s="64"/>
      <c r="P115" s="64"/>
      <c r="Q115" s="64"/>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row>
    <row r="116" spans="2:40">
      <c r="B116"/>
      <c r="C116"/>
      <c r="D116"/>
      <c r="E116"/>
      <c r="F116"/>
      <c r="G116"/>
      <c r="H116"/>
      <c r="I116"/>
      <c r="J116"/>
      <c r="K116"/>
      <c r="L116"/>
      <c r="M116"/>
      <c r="N116"/>
      <c r="O116" s="64"/>
      <c r="P116" s="64"/>
      <c r="Q116" s="64"/>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row>
    <row r="117" spans="2:40">
      <c r="B117"/>
      <c r="C117"/>
      <c r="D117"/>
      <c r="E117"/>
      <c r="F117"/>
      <c r="G117"/>
      <c r="H117"/>
      <c r="I117"/>
      <c r="J117"/>
      <c r="K117"/>
      <c r="L117"/>
      <c r="M117"/>
      <c r="N117"/>
      <c r="O117" s="64"/>
      <c r="P117" s="64"/>
      <c r="Q117" s="64"/>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row>
    <row r="118" spans="2:40">
      <c r="B118"/>
      <c r="C118"/>
      <c r="D118"/>
      <c r="E118"/>
      <c r="F118"/>
      <c r="G118"/>
      <c r="H118"/>
      <c r="I118"/>
      <c r="J118"/>
      <c r="K118"/>
      <c r="L118"/>
      <c r="M118"/>
      <c r="N118"/>
      <c r="O118" s="64"/>
      <c r="P118" s="64"/>
      <c r="Q118" s="64"/>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row>
    <row r="119" spans="2:40">
      <c r="B119"/>
      <c r="C119"/>
      <c r="D119"/>
      <c r="E119"/>
      <c r="F119"/>
      <c r="G119"/>
      <c r="H119"/>
      <c r="I119"/>
      <c r="J119"/>
      <c r="K119"/>
      <c r="L119"/>
      <c r="M119"/>
      <c r="N119"/>
      <c r="O119" s="64"/>
      <c r="P119" s="64"/>
      <c r="Q119" s="64"/>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row>
    <row r="120" spans="2:40">
      <c r="B120"/>
      <c r="C120"/>
      <c r="D120"/>
      <c r="E120"/>
      <c r="F120"/>
      <c r="G120"/>
      <c r="H120"/>
      <c r="I120"/>
      <c r="J120"/>
      <c r="K120"/>
      <c r="L120"/>
      <c r="M120"/>
      <c r="N120"/>
      <c r="O120" s="64"/>
      <c r="P120" s="64"/>
      <c r="Q120" s="64"/>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row>
    <row r="121" spans="2:40">
      <c r="B121"/>
      <c r="C121"/>
      <c r="D121"/>
      <c r="E121"/>
      <c r="F121"/>
      <c r="G121"/>
      <c r="H121"/>
      <c r="I121"/>
      <c r="J121"/>
      <c r="K121"/>
      <c r="L121"/>
      <c r="M121"/>
      <c r="N121"/>
      <c r="O121" s="64"/>
      <c r="P121" s="64"/>
      <c r="Q121" s="64"/>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spans="2:40">
      <c r="B122"/>
      <c r="C122"/>
      <c r="D122"/>
      <c r="E122"/>
      <c r="F122"/>
      <c r="G122"/>
      <c r="H122"/>
      <c r="I122"/>
      <c r="J122"/>
      <c r="K122"/>
      <c r="L122"/>
      <c r="M122"/>
      <c r="N122"/>
      <c r="O122" s="64"/>
      <c r="P122" s="64"/>
      <c r="Q122" s="64"/>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row>
    <row r="123" spans="2:40">
      <c r="B123"/>
      <c r="C123"/>
      <c r="D123"/>
      <c r="E123"/>
      <c r="F123"/>
      <c r="G123"/>
      <c r="H123"/>
      <c r="I123"/>
      <c r="J123"/>
      <c r="K123"/>
      <c r="L123"/>
      <c r="M123"/>
      <c r="N123"/>
      <c r="O123" s="64"/>
      <c r="P123" s="64"/>
      <c r="Q123" s="64"/>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row>
    <row r="124" spans="2:40">
      <c r="B124"/>
      <c r="C124"/>
      <c r="D124"/>
      <c r="E124"/>
      <c r="F124"/>
      <c r="G124"/>
      <c r="H124"/>
      <c r="I124"/>
      <c r="J124"/>
      <c r="K124"/>
      <c r="L124"/>
      <c r="M124"/>
      <c r="N124"/>
      <c r="O124" s="64"/>
      <c r="P124" s="64"/>
      <c r="Q124" s="64"/>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row>
    <row r="125" spans="2:40">
      <c r="B125"/>
      <c r="C125"/>
      <c r="D125"/>
      <c r="E125"/>
      <c r="F125"/>
      <c r="G125"/>
      <c r="H125"/>
      <c r="I125"/>
      <c r="J125"/>
      <c r="K125"/>
      <c r="L125"/>
      <c r="M125"/>
      <c r="N125"/>
      <c r="O125" s="64"/>
      <c r="P125" s="64"/>
      <c r="Q125" s="64"/>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row>
    <row r="126" spans="2:40">
      <c r="B126"/>
      <c r="C126"/>
      <c r="D126"/>
      <c r="E126"/>
      <c r="F126"/>
      <c r="G126"/>
      <c r="H126"/>
      <c r="I126"/>
      <c r="J126"/>
      <c r="K126"/>
      <c r="L126"/>
      <c r="M126"/>
      <c r="N126"/>
      <c r="O126" s="64"/>
      <c r="P126" s="64"/>
      <c r="Q126" s="64"/>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row>
    <row r="127" spans="2:40">
      <c r="B127"/>
      <c r="C127"/>
      <c r="D127"/>
      <c r="E127"/>
      <c r="F127"/>
      <c r="G127"/>
      <c r="H127"/>
      <c r="I127"/>
      <c r="J127"/>
      <c r="K127"/>
      <c r="L127"/>
      <c r="M127"/>
      <c r="N127"/>
      <c r="O127" s="64"/>
      <c r="P127" s="64"/>
      <c r="Q127" s="64"/>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row>
    <row r="128" spans="2:40">
      <c r="B128"/>
      <c r="C128"/>
      <c r="D128"/>
      <c r="E128"/>
      <c r="F128"/>
      <c r="G128"/>
      <c r="H128"/>
      <c r="I128"/>
      <c r="J128"/>
      <c r="K128"/>
      <c r="L128"/>
      <c r="M128"/>
      <c r="N128"/>
      <c r="O128" s="64"/>
      <c r="P128" s="64"/>
      <c r="Q128" s="64"/>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row>
    <row r="129" spans="1:40">
      <c r="B129"/>
      <c r="C129"/>
      <c r="D129"/>
      <c r="E129"/>
      <c r="F129"/>
      <c r="G129"/>
      <c r="H129"/>
      <c r="I129"/>
      <c r="J129"/>
      <c r="K129"/>
      <c r="L129"/>
      <c r="M129"/>
      <c r="N129"/>
      <c r="O129" s="64"/>
      <c r="P129" s="64"/>
      <c r="Q129" s="64"/>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row>
    <row r="130" spans="1:40">
      <c r="B130"/>
      <c r="C130"/>
      <c r="D130"/>
      <c r="E130"/>
      <c r="F130"/>
      <c r="G130"/>
      <c r="H130"/>
      <c r="I130"/>
      <c r="J130"/>
      <c r="K130"/>
      <c r="L130"/>
      <c r="M130"/>
      <c r="N130"/>
      <c r="O130" s="64"/>
      <c r="P130" s="64"/>
      <c r="Q130" s="64"/>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c r="B131"/>
      <c r="C131"/>
      <c r="D131"/>
      <c r="E131"/>
      <c r="F131"/>
      <c r="G131"/>
      <c r="H131"/>
      <c r="I131"/>
      <c r="J131"/>
      <c r="K131"/>
      <c r="L131"/>
      <c r="M131"/>
      <c r="N131"/>
      <c r="O131" s="64"/>
      <c r="P131" s="64"/>
      <c r="Q131" s="64"/>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row>
    <row r="132" spans="1:40">
      <c r="B132"/>
      <c r="C132"/>
      <c r="D132"/>
      <c r="E132"/>
      <c r="F132"/>
      <c r="G132"/>
      <c r="H132"/>
      <c r="I132"/>
      <c r="J132"/>
      <c r="K132"/>
      <c r="L132"/>
      <c r="M132"/>
      <c r="N132"/>
      <c r="O132" s="64"/>
      <c r="P132" s="64"/>
      <c r="Q132" s="64"/>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row>
    <row r="133" spans="1:40">
      <c r="B133"/>
      <c r="C133"/>
      <c r="D133"/>
      <c r="E133"/>
      <c r="F133"/>
      <c r="G133"/>
      <c r="H133"/>
      <c r="I133"/>
      <c r="J133"/>
      <c r="K133"/>
      <c r="L133"/>
      <c r="M133"/>
      <c r="N133"/>
      <c r="O133" s="64"/>
      <c r="P133" s="64"/>
      <c r="Q133" s="64"/>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row>
    <row r="134" spans="1:40">
      <c r="B134"/>
      <c r="C134"/>
      <c r="D134"/>
      <c r="E134"/>
      <c r="F134"/>
      <c r="G134"/>
      <c r="H134"/>
      <c r="I134"/>
      <c r="J134"/>
      <c r="K134"/>
      <c r="L134"/>
      <c r="M134"/>
      <c r="N134"/>
      <c r="O134" s="64"/>
      <c r="P134" s="64"/>
      <c r="Q134" s="64"/>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row>
    <row r="135" spans="1:40">
      <c r="B135"/>
      <c r="C135"/>
      <c r="D135"/>
      <c r="E135"/>
      <c r="F135"/>
      <c r="G135"/>
      <c r="H135"/>
      <c r="I135"/>
      <c r="J135"/>
      <c r="K135"/>
      <c r="L135"/>
      <c r="M135"/>
      <c r="N135"/>
      <c r="O135" s="64"/>
      <c r="P135" s="64"/>
      <c r="Q135" s="64"/>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row>
    <row r="136" spans="1:40">
      <c r="A136" s="10"/>
      <c r="B136" s="65"/>
      <c r="C136" s="65"/>
      <c r="D136" s="64"/>
      <c r="E136" s="64"/>
      <c r="F136" s="64"/>
      <c r="G136" s="65"/>
      <c r="H136" s="64"/>
      <c r="I136" s="64"/>
      <c r="J136" s="65"/>
      <c r="K136" s="64"/>
      <c r="L136" s="65"/>
      <c r="M136" s="64"/>
      <c r="N136" s="65"/>
      <c r="O136" s="64"/>
      <c r="P136" s="64"/>
      <c r="Q136" s="64"/>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row>
    <row r="137" spans="1:40">
      <c r="A137" s="10" t="s">
        <v>0</v>
      </c>
      <c r="B137" s="71"/>
      <c r="C137" s="71"/>
      <c r="D137" s="69"/>
      <c r="E137" s="69"/>
      <c r="F137" s="69"/>
      <c r="G137" s="71"/>
      <c r="H137" s="69"/>
      <c r="I137" s="69"/>
      <c r="J137" s="71"/>
      <c r="K137" s="69"/>
      <c r="L137" s="71"/>
      <c r="M137" s="64"/>
      <c r="N137" s="71"/>
      <c r="O137" s="64"/>
      <c r="P137" s="64"/>
      <c r="Q137" s="64"/>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row>
    <row r="138" spans="1:40">
      <c r="A138" s="10"/>
      <c r="B138" s="65"/>
      <c r="C138" s="65"/>
      <c r="D138" s="64"/>
      <c r="E138" s="64"/>
      <c r="F138" s="64"/>
      <c r="G138" s="65"/>
      <c r="H138" s="64"/>
      <c r="I138" s="64"/>
      <c r="J138" s="65"/>
      <c r="K138" s="64"/>
      <c r="L138" s="65"/>
      <c r="M138" s="64"/>
      <c r="N138" s="65"/>
      <c r="O138" s="64"/>
      <c r="P138" s="64"/>
      <c r="Q138" s="64"/>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row>
    <row r="139" spans="1:40">
      <c r="A139" s="10" t="s">
        <v>0</v>
      </c>
      <c r="B139" s="71"/>
      <c r="C139" s="71"/>
      <c r="D139" s="69"/>
      <c r="E139" s="69"/>
      <c r="F139" s="69"/>
      <c r="G139" s="71"/>
      <c r="H139" s="69"/>
      <c r="I139" s="69"/>
      <c r="J139" s="71"/>
      <c r="K139" s="69"/>
      <c r="L139" s="71"/>
      <c r="M139" s="64"/>
      <c r="N139" s="71"/>
      <c r="O139" s="64"/>
      <c r="P139" s="64"/>
      <c r="Q139" s="64"/>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row>
    <row r="140" spans="1:40">
      <c r="A140" s="10" t="s">
        <v>0</v>
      </c>
      <c r="B140" s="65"/>
      <c r="C140" s="65"/>
      <c r="D140" s="64"/>
      <c r="E140" s="64"/>
      <c r="F140" s="64"/>
      <c r="G140" s="65"/>
      <c r="H140" s="64"/>
      <c r="I140" s="64"/>
      <c r="J140" s="65"/>
      <c r="K140" s="64"/>
      <c r="L140" s="65"/>
      <c r="M140" s="64"/>
      <c r="N140" s="65"/>
      <c r="O140" s="64"/>
      <c r="P140" s="64"/>
      <c r="Q140" s="64"/>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row>
    <row r="141" spans="1:40">
      <c r="A141" s="10" t="s">
        <v>0</v>
      </c>
      <c r="B141" s="71"/>
      <c r="C141" s="71"/>
      <c r="D141" s="69"/>
      <c r="E141" s="69"/>
      <c r="F141" s="69"/>
      <c r="G141" s="71"/>
      <c r="H141" s="69"/>
      <c r="I141" s="69"/>
      <c r="J141" s="71"/>
      <c r="K141" s="69"/>
      <c r="L141" s="71"/>
      <c r="M141" s="64"/>
      <c r="N141" s="71"/>
      <c r="O141" s="64"/>
      <c r="P141" s="64"/>
      <c r="Q141" s="64"/>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row>
    <row r="142" spans="1:40">
      <c r="A142" s="10" t="s">
        <v>0</v>
      </c>
      <c r="B142" s="65"/>
      <c r="C142" s="65"/>
      <c r="D142" s="64"/>
      <c r="E142" s="64"/>
      <c r="F142" s="64"/>
      <c r="G142" s="65"/>
      <c r="H142" s="64"/>
      <c r="I142" s="64"/>
      <c r="J142" s="65"/>
      <c r="K142" s="64"/>
      <c r="L142" s="65"/>
      <c r="M142" s="64"/>
      <c r="N142" s="65"/>
      <c r="O142" s="64"/>
      <c r="P142" s="64"/>
      <c r="Q142" s="64"/>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row>
    <row r="143" spans="1:40">
      <c r="A143" s="10" t="s">
        <v>0</v>
      </c>
      <c r="B143" s="65"/>
      <c r="C143" s="65"/>
      <c r="D143" s="64"/>
      <c r="E143" s="64"/>
      <c r="F143" s="64"/>
      <c r="G143" s="65"/>
      <c r="H143" s="64"/>
      <c r="I143" s="64"/>
      <c r="J143" s="65"/>
      <c r="K143" s="64"/>
      <c r="L143" s="65"/>
      <c r="M143" s="64"/>
      <c r="N143" s="65"/>
      <c r="O143" s="64"/>
      <c r="P143" s="64"/>
      <c r="Q143" s="64"/>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row>
    <row r="144" spans="1:40">
      <c r="A144" s="10" t="s">
        <v>0</v>
      </c>
      <c r="B144" s="65"/>
      <c r="C144" s="65"/>
      <c r="D144" s="64"/>
      <c r="E144" s="64"/>
      <c r="F144" s="64"/>
      <c r="G144" s="65"/>
      <c r="H144" s="64"/>
      <c r="I144" s="64"/>
      <c r="J144" s="65"/>
      <c r="K144" s="64"/>
      <c r="L144" s="65"/>
      <c r="M144" s="64"/>
      <c r="N144" s="65"/>
      <c r="O144" s="64"/>
      <c r="P144" s="64"/>
      <c r="Q144" s="64"/>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row>
    <row r="145" spans="1:40">
      <c r="A145" s="10" t="s">
        <v>0</v>
      </c>
      <c r="B145" s="65"/>
      <c r="C145" s="65"/>
      <c r="D145" s="64"/>
      <c r="E145" s="64"/>
      <c r="F145" s="64"/>
      <c r="G145" s="65"/>
      <c r="H145" s="64"/>
      <c r="I145" s="64"/>
      <c r="J145" s="65"/>
      <c r="K145" s="64"/>
      <c r="L145" s="65"/>
      <c r="M145" s="64"/>
      <c r="N145" s="65"/>
      <c r="O145" s="64"/>
      <c r="P145" s="64"/>
      <c r="Q145" s="64"/>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row>
    <row r="146" spans="1:40">
      <c r="A146" s="10" t="s">
        <v>0</v>
      </c>
      <c r="B146" s="65"/>
      <c r="C146" s="65"/>
      <c r="D146" s="64"/>
      <c r="E146" s="64"/>
      <c r="F146" s="64"/>
      <c r="G146" s="65"/>
      <c r="H146" s="64"/>
      <c r="I146" s="64"/>
      <c r="J146" s="65"/>
      <c r="K146" s="64"/>
      <c r="L146" s="65"/>
      <c r="M146" s="64"/>
      <c r="N146" s="65"/>
      <c r="O146" s="64"/>
      <c r="P146" s="64"/>
      <c r="Q146" s="64"/>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row>
    <row r="147" spans="1:40">
      <c r="A147" s="10" t="s">
        <v>0</v>
      </c>
      <c r="B147" s="65"/>
      <c r="C147" s="65"/>
      <c r="D147" s="64"/>
      <c r="E147" s="64"/>
      <c r="F147" s="64"/>
      <c r="G147" s="65"/>
      <c r="H147" s="64"/>
      <c r="I147" s="64"/>
      <c r="J147" s="65"/>
      <c r="K147" s="64"/>
      <c r="L147" s="65"/>
      <c r="M147" s="64"/>
      <c r="N147" s="65"/>
      <c r="O147" s="64"/>
      <c r="P147" s="64"/>
      <c r="Q147" s="64"/>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row>
    <row r="148" spans="1:40">
      <c r="A148" s="10" t="s">
        <v>0</v>
      </c>
      <c r="B148" s="71"/>
      <c r="C148" s="71"/>
      <c r="D148" s="69"/>
      <c r="E148" s="69"/>
      <c r="F148" s="69"/>
      <c r="G148" s="71"/>
      <c r="H148" s="69"/>
      <c r="I148" s="69"/>
      <c r="J148" s="71"/>
      <c r="K148" s="69"/>
      <c r="L148" s="71"/>
      <c r="M148" s="64"/>
      <c r="N148" s="71"/>
      <c r="O148" s="64"/>
      <c r="P148" s="64"/>
      <c r="Q148" s="64"/>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row>
    <row r="149" spans="1:40">
      <c r="A149" s="10" t="s">
        <v>0</v>
      </c>
      <c r="B149" s="65"/>
      <c r="C149" s="65"/>
      <c r="D149" s="64"/>
      <c r="E149" s="64"/>
      <c r="F149" s="64"/>
      <c r="G149" s="65"/>
      <c r="H149" s="64"/>
      <c r="I149" s="64"/>
      <c r="J149" s="65"/>
      <c r="K149" s="64"/>
      <c r="L149" s="65"/>
      <c r="M149" s="64"/>
      <c r="N149" s="65"/>
      <c r="O149" s="64"/>
      <c r="P149" s="64"/>
      <c r="Q149" s="64"/>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row>
    <row r="150" spans="1:40">
      <c r="A150" s="10" t="s">
        <v>0</v>
      </c>
      <c r="B150" s="65"/>
      <c r="C150" s="65"/>
      <c r="D150" s="64"/>
      <c r="E150" s="64"/>
      <c r="F150" s="64"/>
      <c r="G150" s="65"/>
      <c r="H150" s="64"/>
      <c r="I150" s="64"/>
      <c r="J150" s="65"/>
      <c r="K150" s="64"/>
      <c r="L150" s="65"/>
      <c r="M150" s="64"/>
      <c r="N150" s="65"/>
      <c r="O150" s="64"/>
      <c r="P150" s="64"/>
      <c r="Q150" s="64"/>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row>
    <row r="151" spans="1:40">
      <c r="A151" s="10" t="s">
        <v>0</v>
      </c>
      <c r="B151" s="65"/>
      <c r="C151" s="65"/>
      <c r="D151" s="64"/>
      <c r="E151" s="64"/>
      <c r="F151" s="64"/>
      <c r="G151" s="65"/>
      <c r="H151" s="64"/>
      <c r="I151" s="64"/>
      <c r="J151" s="65"/>
      <c r="K151" s="64"/>
      <c r="L151" s="65"/>
      <c r="M151" s="64"/>
      <c r="N151" s="65"/>
      <c r="O151" s="64"/>
      <c r="P151" s="64"/>
      <c r="Q151" s="64"/>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row>
    <row r="152" spans="1:40">
      <c r="A152" s="10" t="s">
        <v>0</v>
      </c>
      <c r="B152" s="71" t="s">
        <v>0</v>
      </c>
      <c r="C152" s="71"/>
      <c r="D152" s="69" t="s">
        <v>0</v>
      </c>
      <c r="E152" s="69"/>
      <c r="F152" s="69" t="s">
        <v>0</v>
      </c>
      <c r="G152" s="71" t="s">
        <v>0</v>
      </c>
      <c r="H152" s="69"/>
      <c r="I152" s="69"/>
      <c r="J152" s="71" t="s">
        <v>0</v>
      </c>
      <c r="K152" s="69" t="s">
        <v>0</v>
      </c>
      <c r="L152" s="71" t="s">
        <v>0</v>
      </c>
      <c r="M152" s="64" t="s">
        <v>0</v>
      </c>
      <c r="N152" s="71" t="s">
        <v>0</v>
      </c>
      <c r="O152" s="64"/>
      <c r="P152" s="64"/>
      <c r="Q152" s="64"/>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row>
    <row r="153" spans="1:40">
      <c r="A153" s="10"/>
      <c r="B153" s="65"/>
      <c r="C153" s="65"/>
      <c r="D153" s="64"/>
      <c r="E153" s="64"/>
      <c r="F153" s="64"/>
      <c r="G153" s="65"/>
      <c r="H153" s="64"/>
      <c r="I153" s="64"/>
      <c r="J153" s="65"/>
      <c r="K153" s="64"/>
      <c r="L153" s="65"/>
      <c r="M153" s="64"/>
      <c r="N153" s="65"/>
      <c r="O153" s="64"/>
      <c r="P153" s="64"/>
      <c r="Q153" s="64"/>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row>
    <row r="154" spans="1:40">
      <c r="A154" s="10"/>
      <c r="B154" s="65"/>
      <c r="C154" s="65"/>
      <c r="D154" s="64"/>
      <c r="E154" s="64"/>
      <c r="F154" s="64"/>
      <c r="G154" s="65"/>
      <c r="H154" s="64"/>
      <c r="I154" s="64"/>
      <c r="J154" s="65"/>
      <c r="K154" s="64"/>
      <c r="L154" s="65"/>
      <c r="M154" s="64"/>
      <c r="N154" s="65"/>
      <c r="O154" s="64"/>
      <c r="P154" s="64"/>
      <c r="Q154" s="64"/>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row>
    <row r="155" spans="1:40">
      <c r="A155" s="10"/>
      <c r="B155" s="65"/>
      <c r="C155" s="65"/>
      <c r="D155" s="64"/>
      <c r="E155" s="64"/>
      <c r="F155" s="64"/>
      <c r="G155" s="65"/>
      <c r="H155" s="64"/>
      <c r="I155" s="64"/>
      <c r="J155" s="65"/>
      <c r="K155" s="64"/>
      <c r="L155" s="65"/>
      <c r="M155" s="64"/>
      <c r="N155" s="65"/>
      <c r="O155" s="64"/>
      <c r="P155" s="64"/>
      <c r="Q155" s="64"/>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row>
    <row r="156" spans="1:40">
      <c r="A156" s="10"/>
      <c r="B156" s="65"/>
      <c r="C156" s="65"/>
      <c r="D156" s="64"/>
      <c r="E156" s="64"/>
      <c r="F156" s="64"/>
      <c r="G156" s="65"/>
      <c r="H156" s="64"/>
      <c r="I156" s="64"/>
      <c r="J156" s="65"/>
      <c r="K156" s="64"/>
      <c r="L156" s="65"/>
      <c r="M156" s="64"/>
      <c r="N156" s="65"/>
      <c r="O156" s="64"/>
      <c r="P156" s="64"/>
      <c r="Q156" s="64"/>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row>
    <row r="157" spans="1:40">
      <c r="A157" s="10"/>
      <c r="B157" s="65"/>
      <c r="C157" s="65"/>
      <c r="D157" s="64"/>
      <c r="E157" s="64"/>
      <c r="F157" s="64"/>
      <c r="G157" s="65"/>
      <c r="H157" s="64"/>
      <c r="I157" s="64"/>
      <c r="J157" s="65"/>
      <c r="K157" s="64"/>
      <c r="L157" s="65"/>
      <c r="M157" s="64"/>
      <c r="N157" s="65"/>
      <c r="O157" s="64"/>
      <c r="P157" s="64"/>
      <c r="Q157" s="64"/>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row>
    <row r="158" spans="1:40">
      <c r="A158" s="10"/>
      <c r="B158" s="65"/>
      <c r="C158" s="65"/>
      <c r="D158" s="64"/>
      <c r="E158" s="64"/>
      <c r="F158" s="64"/>
      <c r="G158" s="65"/>
      <c r="H158" s="64"/>
      <c r="I158" s="64"/>
      <c r="J158" s="65"/>
      <c r="K158" s="64"/>
      <c r="L158" s="65"/>
      <c r="M158" s="64"/>
      <c r="N158" s="65"/>
      <c r="O158" s="64"/>
      <c r="P158" s="64"/>
      <c r="Q158" s="64"/>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row>
    <row r="159" spans="1:40">
      <c r="A159" s="10"/>
      <c r="B159" s="65"/>
      <c r="C159" s="65"/>
      <c r="D159" s="64"/>
      <c r="E159" s="64"/>
      <c r="F159" s="64"/>
      <c r="G159" s="65"/>
      <c r="H159" s="64"/>
      <c r="I159" s="64"/>
      <c r="J159" s="65"/>
      <c r="K159" s="64"/>
      <c r="L159" s="65"/>
      <c r="M159" s="64"/>
      <c r="N159" s="65"/>
      <c r="O159" s="64"/>
      <c r="P159" s="64"/>
      <c r="Q159" s="64"/>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row>
    <row r="160" spans="1:40">
      <c r="A160" s="10"/>
      <c r="B160" s="65"/>
      <c r="C160" s="65"/>
      <c r="D160" s="64"/>
      <c r="E160" s="64"/>
      <c r="F160" s="64"/>
      <c r="G160" s="65"/>
      <c r="H160" s="64"/>
      <c r="I160" s="64"/>
      <c r="J160" s="65"/>
      <c r="K160" s="64"/>
      <c r="L160" s="65"/>
      <c r="M160" s="64"/>
      <c r="N160" s="65"/>
      <c r="O160" s="64"/>
      <c r="P160" s="64"/>
      <c r="Q160" s="64"/>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row>
    <row r="161" spans="1:40">
      <c r="A161" s="10"/>
      <c r="B161" s="65"/>
      <c r="C161" s="65"/>
      <c r="D161" s="64"/>
      <c r="E161" s="64"/>
      <c r="F161" s="64"/>
      <c r="G161" s="65"/>
      <c r="H161" s="64"/>
      <c r="I161" s="64"/>
      <c r="J161" s="65"/>
      <c r="K161" s="64"/>
      <c r="L161" s="65"/>
      <c r="M161" s="64"/>
      <c r="N161" s="65"/>
      <c r="O161" s="64"/>
      <c r="P161" s="64"/>
      <c r="Q161" s="64"/>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row>
    <row r="162" spans="1:40">
      <c r="A162" s="10"/>
      <c r="B162" s="65"/>
      <c r="C162" s="65"/>
      <c r="D162" s="64"/>
      <c r="E162" s="64"/>
      <c r="F162" s="64"/>
      <c r="G162" s="65"/>
      <c r="H162" s="64"/>
      <c r="I162" s="64"/>
      <c r="J162" s="65"/>
      <c r="K162" s="64"/>
      <c r="L162" s="65"/>
      <c r="M162" s="64"/>
      <c r="N162" s="65"/>
      <c r="O162" s="64"/>
      <c r="P162" s="64"/>
      <c r="Q162" s="64"/>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row>
    <row r="163" spans="1:40">
      <c r="A163" s="10"/>
      <c r="B163" s="65"/>
      <c r="C163" s="65"/>
      <c r="D163" s="64"/>
      <c r="E163" s="64"/>
      <c r="F163" s="64"/>
      <c r="G163" s="65"/>
      <c r="H163" s="64"/>
      <c r="I163" s="64"/>
      <c r="J163" s="65"/>
      <c r="K163" s="64"/>
      <c r="L163" s="65"/>
      <c r="M163" s="64"/>
      <c r="N163" s="65"/>
      <c r="O163" s="64"/>
      <c r="P163" s="64"/>
      <c r="Q163" s="64"/>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row>
    <row r="164" spans="1:40">
      <c r="A164" s="10"/>
      <c r="B164" s="65"/>
      <c r="C164" s="65"/>
      <c r="D164" s="64"/>
      <c r="E164" s="64"/>
      <c r="F164" s="64"/>
      <c r="G164" s="65"/>
      <c r="H164" s="64"/>
      <c r="I164" s="64"/>
      <c r="J164" s="65"/>
      <c r="K164" s="64"/>
      <c r="L164" s="65"/>
      <c r="M164" s="64"/>
      <c r="N164" s="65"/>
      <c r="O164" s="64"/>
      <c r="P164" s="64"/>
      <c r="Q164" s="64"/>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row>
    <row r="165" spans="1:40">
      <c r="A165" s="10"/>
      <c r="B165" s="65"/>
      <c r="C165" s="65"/>
      <c r="D165" s="64"/>
      <c r="E165" s="64"/>
      <c r="F165" s="64"/>
      <c r="G165" s="65"/>
      <c r="H165" s="64"/>
      <c r="I165" s="64"/>
      <c r="J165" s="65"/>
      <c r="K165" s="64"/>
      <c r="L165" s="65"/>
      <c r="M165" s="64"/>
      <c r="N165" s="65"/>
      <c r="O165" s="64"/>
      <c r="P165" s="64"/>
      <c r="Q165" s="64"/>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row>
    <row r="166" spans="1:40">
      <c r="A166" s="10"/>
      <c r="B166" s="65"/>
      <c r="C166" s="65"/>
      <c r="D166" s="64"/>
      <c r="E166" s="64"/>
      <c r="F166" s="64"/>
      <c r="G166" s="65"/>
      <c r="H166" s="64"/>
      <c r="I166" s="64"/>
      <c r="J166" s="65"/>
      <c r="K166" s="64"/>
      <c r="L166" s="65"/>
      <c r="M166" s="64"/>
      <c r="N166" s="65"/>
      <c r="O166" s="64"/>
      <c r="P166" s="64"/>
      <c r="Q166" s="64"/>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row>
    <row r="167" spans="1:40">
      <c r="A167" s="10"/>
      <c r="B167" s="65"/>
      <c r="C167" s="65"/>
      <c r="D167" s="64"/>
      <c r="E167" s="64"/>
      <c r="F167" s="64"/>
      <c r="G167" s="65"/>
      <c r="H167" s="64"/>
      <c r="I167" s="64"/>
      <c r="J167" s="65"/>
      <c r="K167" s="64"/>
      <c r="L167" s="65"/>
      <c r="M167" s="64"/>
      <c r="N167" s="65"/>
      <c r="O167" s="64"/>
      <c r="P167" s="64"/>
      <c r="Q167" s="64"/>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row>
    <row r="168" spans="1:40">
      <c r="A168" s="10"/>
      <c r="B168" s="65"/>
      <c r="C168" s="65"/>
      <c r="D168" s="64"/>
      <c r="E168" s="64"/>
      <c r="F168" s="64"/>
      <c r="G168" s="65"/>
      <c r="H168" s="64"/>
      <c r="I168" s="64"/>
      <c r="J168" s="65"/>
      <c r="K168" s="64"/>
      <c r="L168" s="65"/>
      <c r="M168" s="64"/>
      <c r="N168" s="65"/>
      <c r="O168" s="64"/>
      <c r="P168" s="64"/>
      <c r="Q168" s="64"/>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row>
    <row r="169" spans="1:40">
      <c r="A169" s="10"/>
      <c r="B169" s="65"/>
      <c r="C169" s="65"/>
      <c r="D169" s="64"/>
      <c r="E169" s="64"/>
      <c r="F169" s="64"/>
      <c r="G169" s="65"/>
      <c r="H169" s="64"/>
      <c r="I169" s="64"/>
      <c r="J169" s="65"/>
      <c r="K169" s="64"/>
      <c r="L169" s="65"/>
      <c r="M169" s="64"/>
      <c r="N169" s="65"/>
      <c r="O169" s="64"/>
      <c r="P169" s="64"/>
      <c r="Q169" s="64"/>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row>
    <row r="170" spans="1:40">
      <c r="A170" s="10"/>
      <c r="B170" s="65"/>
      <c r="C170" s="65"/>
      <c r="D170" s="64"/>
      <c r="E170" s="64"/>
      <c r="F170" s="64"/>
      <c r="G170" s="65"/>
      <c r="H170" s="64"/>
      <c r="I170" s="64"/>
      <c r="J170" s="65"/>
      <c r="K170" s="64"/>
      <c r="L170" s="65"/>
      <c r="M170" s="64"/>
      <c r="N170" s="65"/>
      <c r="O170" s="64"/>
      <c r="P170" s="64"/>
      <c r="Q170" s="64"/>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row>
    <row r="171" spans="1:40">
      <c r="A171" s="10"/>
      <c r="B171" s="65"/>
      <c r="C171" s="65"/>
      <c r="D171" s="64"/>
      <c r="E171" s="64"/>
      <c r="F171" s="64"/>
      <c r="G171" s="65"/>
      <c r="H171" s="64"/>
      <c r="I171" s="64"/>
      <c r="J171" s="65"/>
      <c r="K171" s="64"/>
      <c r="L171" s="65"/>
      <c r="M171" s="64"/>
      <c r="N171" s="65"/>
      <c r="O171" s="64"/>
      <c r="P171" s="64"/>
      <c r="Q171" s="64"/>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row>
    <row r="172" spans="1:40">
      <c r="A172" s="10"/>
      <c r="B172" s="65"/>
      <c r="C172" s="65"/>
      <c r="D172" s="64"/>
      <c r="E172" s="64"/>
      <c r="F172" s="64"/>
      <c r="G172" s="65"/>
      <c r="H172" s="64"/>
      <c r="I172" s="64"/>
      <c r="J172" s="65"/>
      <c r="K172" s="64"/>
      <c r="L172" s="65"/>
      <c r="M172" s="64"/>
      <c r="N172" s="65"/>
      <c r="O172" s="64"/>
      <c r="P172" s="64"/>
      <c r="Q172" s="64"/>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row>
    <row r="173" spans="1:40">
      <c r="A173" s="10"/>
      <c r="B173" s="65"/>
      <c r="C173" s="65"/>
      <c r="D173" s="64"/>
      <c r="E173" s="64"/>
      <c r="F173" s="64"/>
      <c r="G173" s="65"/>
      <c r="H173" s="64"/>
      <c r="I173" s="64"/>
      <c r="J173" s="65"/>
      <c r="K173" s="64"/>
      <c r="L173" s="65"/>
      <c r="M173" s="64"/>
      <c r="N173" s="65"/>
      <c r="O173" s="64"/>
      <c r="P173" s="64"/>
      <c r="Q173" s="64"/>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row>
    <row r="174" spans="1:40">
      <c r="A174" s="10"/>
      <c r="B174" s="65"/>
      <c r="C174" s="65"/>
      <c r="D174" s="64"/>
      <c r="E174" s="64"/>
      <c r="F174" s="64"/>
      <c r="G174" s="65"/>
      <c r="H174" s="64"/>
      <c r="I174" s="64"/>
      <c r="J174" s="65"/>
      <c r="K174" s="64"/>
      <c r="L174" s="65"/>
      <c r="M174" s="64"/>
      <c r="N174" s="65"/>
      <c r="O174" s="64"/>
      <c r="P174" s="64"/>
      <c r="Q174" s="64"/>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row>
    <row r="175" spans="1:40">
      <c r="A175" s="10"/>
      <c r="B175" s="65"/>
      <c r="C175" s="65"/>
      <c r="D175" s="64"/>
      <c r="E175" s="64"/>
      <c r="F175" s="64"/>
      <c r="G175" s="65"/>
      <c r="H175" s="64"/>
      <c r="I175" s="64"/>
      <c r="J175" s="65"/>
      <c r="K175" s="64"/>
      <c r="L175" s="65"/>
      <c r="M175" s="64"/>
      <c r="N175" s="65"/>
      <c r="O175" s="64"/>
      <c r="P175" s="64"/>
      <c r="Q175" s="64"/>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row>
    <row r="176" spans="1:40">
      <c r="A176" s="10"/>
      <c r="B176" s="65"/>
      <c r="C176" s="65"/>
      <c r="D176" s="64"/>
      <c r="E176" s="64"/>
      <c r="F176" s="64"/>
      <c r="G176" s="65"/>
      <c r="H176" s="64"/>
      <c r="I176" s="64"/>
      <c r="J176" s="65"/>
      <c r="K176" s="64"/>
      <c r="L176" s="65"/>
      <c r="M176" s="64"/>
      <c r="N176" s="65"/>
      <c r="O176" s="64"/>
      <c r="P176" s="64"/>
      <c r="Q176" s="64"/>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row>
    <row r="177" spans="1:40">
      <c r="A177" s="10"/>
      <c r="B177" s="65"/>
      <c r="C177" s="65"/>
      <c r="D177" s="64"/>
      <c r="E177" s="64"/>
      <c r="F177" s="64"/>
      <c r="G177" s="65"/>
      <c r="H177" s="64"/>
      <c r="I177" s="64"/>
      <c r="J177" s="65"/>
      <c r="K177" s="64"/>
      <c r="L177" s="65"/>
      <c r="M177" s="64"/>
      <c r="N177" s="65"/>
      <c r="O177" s="64"/>
      <c r="P177" s="64"/>
      <c r="Q177" s="64"/>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row>
    <row r="178" spans="1:40">
      <c r="A178" s="10"/>
      <c r="B178" s="65"/>
      <c r="C178" s="65"/>
      <c r="D178" s="64"/>
      <c r="E178" s="64"/>
      <c r="F178" s="64"/>
      <c r="G178" s="65"/>
      <c r="H178" s="64"/>
      <c r="I178" s="64"/>
      <c r="J178" s="65"/>
      <c r="K178" s="64"/>
      <c r="L178" s="65"/>
      <c r="M178" s="64"/>
      <c r="N178" s="65"/>
      <c r="O178" s="64"/>
      <c r="P178" s="64"/>
      <c r="Q178" s="64"/>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row>
    <row r="179" spans="1:40">
      <c r="A179" s="10"/>
      <c r="B179" s="65"/>
      <c r="C179" s="65"/>
      <c r="D179" s="64"/>
      <c r="E179" s="64"/>
      <c r="F179" s="64"/>
      <c r="G179" s="65"/>
      <c r="H179" s="64"/>
      <c r="I179" s="64"/>
      <c r="J179" s="65"/>
      <c r="K179" s="64"/>
      <c r="L179" s="65"/>
      <c r="M179" s="64"/>
      <c r="N179" s="65"/>
      <c r="O179" s="64"/>
      <c r="P179" s="64"/>
      <c r="Q179" s="64"/>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row>
    <row r="180" spans="1:40">
      <c r="A180" s="10"/>
      <c r="B180" s="65"/>
      <c r="C180" s="65"/>
      <c r="D180" s="64"/>
      <c r="E180" s="64"/>
      <c r="F180" s="64"/>
      <c r="G180" s="65"/>
      <c r="H180" s="64"/>
      <c r="I180" s="64"/>
      <c r="J180" s="65"/>
      <c r="K180" s="64"/>
      <c r="L180" s="65"/>
      <c r="M180" s="64"/>
      <c r="N180" s="65"/>
      <c r="O180" s="64"/>
      <c r="P180" s="64"/>
      <c r="Q180" s="64"/>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row>
    <row r="181" spans="1:40">
      <c r="A181" s="10"/>
      <c r="B181" s="65"/>
      <c r="C181" s="65"/>
      <c r="D181" s="64"/>
      <c r="E181" s="64"/>
      <c r="F181" s="64"/>
      <c r="G181" s="65"/>
      <c r="H181" s="64"/>
      <c r="I181" s="64"/>
      <c r="J181" s="65"/>
      <c r="K181" s="64"/>
      <c r="L181" s="65"/>
      <c r="M181" s="64"/>
      <c r="N181" s="65"/>
      <c r="O181" s="64"/>
      <c r="P181" s="64"/>
      <c r="Q181" s="64"/>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row>
    <row r="182" spans="1:40">
      <c r="A182" s="10"/>
      <c r="B182" s="65"/>
      <c r="C182" s="65"/>
      <c r="D182" s="64"/>
      <c r="E182" s="64"/>
      <c r="F182" s="64"/>
      <c r="G182" s="65"/>
      <c r="H182" s="64"/>
      <c r="I182" s="64"/>
      <c r="J182" s="65"/>
      <c r="K182" s="64"/>
      <c r="L182" s="65"/>
      <c r="M182" s="64"/>
      <c r="N182" s="65"/>
      <c r="O182" s="64"/>
      <c r="P182" s="64"/>
      <c r="Q182" s="64"/>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row>
    <row r="183" spans="1:40">
      <c r="A183" s="10"/>
      <c r="B183" s="65"/>
      <c r="C183" s="65"/>
      <c r="D183" s="64"/>
      <c r="E183" s="64"/>
      <c r="F183" s="64"/>
      <c r="G183" s="65"/>
      <c r="H183" s="64"/>
      <c r="I183" s="64"/>
      <c r="J183" s="65"/>
      <c r="K183" s="64"/>
      <c r="L183" s="65"/>
      <c r="M183" s="64"/>
      <c r="N183" s="65"/>
      <c r="O183" s="64"/>
      <c r="P183" s="64"/>
      <c r="Q183" s="64"/>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row>
    <row r="184" spans="1:40">
      <c r="A184" s="10"/>
      <c r="B184" s="65"/>
      <c r="C184" s="65"/>
      <c r="D184" s="64"/>
      <c r="E184" s="64"/>
      <c r="F184" s="64"/>
      <c r="G184" s="65"/>
      <c r="H184" s="64"/>
      <c r="I184" s="64"/>
      <c r="J184" s="65"/>
      <c r="K184" s="64"/>
      <c r="L184" s="65"/>
      <c r="M184" s="64"/>
      <c r="N184" s="65"/>
      <c r="O184" s="64"/>
      <c r="P184" s="64"/>
      <c r="Q184" s="64"/>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row>
  </sheetData>
  <phoneticPr fontId="0" type="noConversion"/>
  <pageMargins left="0.2" right="0.21" top="0.68" bottom="0.66" header="0.5" footer="0.5"/>
  <pageSetup scale="58" orientation="landscape" r:id="rId1"/>
  <headerFooter alignWithMargins="0">
    <oddFooter>&amp;L&amp;"CG Times,Bold"&amp;16 &amp;R&amp;16&amp;P</oddFooter>
  </headerFooter>
</worksheet>
</file>

<file path=xl/worksheets/sheet51.xml><?xml version="1.0" encoding="utf-8"?>
<worksheet xmlns="http://schemas.openxmlformats.org/spreadsheetml/2006/main" xmlns:r="http://schemas.openxmlformats.org/officeDocument/2006/relationships">
  <sheetPr>
    <pageSetUpPr fitToPage="1"/>
  </sheetPr>
  <dimension ref="A1:AN184"/>
  <sheetViews>
    <sheetView topLeftCell="A6" workbookViewId="0">
      <pane xSplit="1" ySplit="2"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6.625" customWidth="1"/>
    <col min="2" max="3" width="13.75" style="21" customWidth="1"/>
    <col min="4" max="6" width="13.75" style="20" customWidth="1"/>
    <col min="7" max="7" width="13.75" style="21" customWidth="1"/>
    <col min="8" max="8" width="16" style="20" customWidth="1"/>
    <col min="9" max="9" width="13.75" style="20" customWidth="1"/>
    <col min="10" max="10" width="13.625" style="21" customWidth="1"/>
    <col min="11" max="11" width="13.75" style="20" customWidth="1"/>
    <col min="12" max="12" width="13.75" style="21" customWidth="1"/>
    <col min="13" max="13" width="16.25" style="20" customWidth="1"/>
    <col min="14" max="14" width="16.375" style="21" customWidth="1"/>
    <col min="15" max="16" width="13.75" style="20" customWidth="1"/>
    <col min="17" max="17" width="14.375" style="20" customWidth="1"/>
    <col min="18" max="22" width="14.375" customWidth="1"/>
  </cols>
  <sheetData>
    <row r="1" spans="1:40">
      <c r="A1" s="111" t="s">
        <v>192</v>
      </c>
      <c r="B1" s="43"/>
      <c r="C1" s="43"/>
      <c r="D1" s="42"/>
      <c r="E1" s="42"/>
      <c r="F1" s="42"/>
      <c r="G1" s="43"/>
      <c r="H1" s="42"/>
      <c r="I1" s="42"/>
      <c r="J1" s="43"/>
      <c r="K1" s="42"/>
      <c r="L1" s="43"/>
      <c r="M1" s="42"/>
      <c r="N1" s="43"/>
      <c r="O1" s="42"/>
    </row>
    <row r="2" spans="1:40">
      <c r="A2" s="111" t="s">
        <v>327</v>
      </c>
      <c r="B2" s="43"/>
      <c r="C2" s="43"/>
      <c r="D2" s="42"/>
      <c r="E2" s="42"/>
      <c r="F2" s="42"/>
      <c r="G2" s="43"/>
      <c r="H2" s="42"/>
      <c r="I2" s="42"/>
      <c r="J2" s="43"/>
      <c r="K2" s="42"/>
      <c r="L2" s="43"/>
      <c r="M2" s="42"/>
      <c r="N2" s="43"/>
      <c r="O2" s="42"/>
    </row>
    <row r="3" spans="1:40">
      <c r="A3" s="111" t="s">
        <v>368</v>
      </c>
      <c r="B3" s="43"/>
      <c r="C3" s="43"/>
      <c r="D3" s="42"/>
      <c r="E3" s="42"/>
      <c r="F3" s="42"/>
      <c r="G3" s="43"/>
      <c r="H3" s="42"/>
      <c r="I3" s="42"/>
      <c r="J3" s="43"/>
      <c r="K3" s="42"/>
      <c r="L3" s="43"/>
      <c r="M3" s="42"/>
      <c r="N3" s="43"/>
      <c r="O3" s="42"/>
    </row>
    <row r="4" spans="1:40">
      <c r="A4" s="111" t="s">
        <v>968</v>
      </c>
      <c r="B4" s="43"/>
      <c r="C4" s="43"/>
      <c r="D4" s="42"/>
      <c r="E4" s="42"/>
      <c r="F4" s="42"/>
      <c r="G4" s="43"/>
      <c r="H4" s="42"/>
      <c r="I4" s="42"/>
      <c r="J4" s="43"/>
      <c r="K4" s="42"/>
      <c r="L4" s="43"/>
      <c r="M4" s="42"/>
      <c r="N4" s="43"/>
      <c r="O4" s="42"/>
    </row>
    <row r="5" spans="1:40">
      <c r="A5" s="111" t="s">
        <v>198</v>
      </c>
      <c r="B5" s="43"/>
      <c r="C5" s="43"/>
      <c r="D5" s="42"/>
      <c r="E5" s="42"/>
      <c r="F5" s="42"/>
      <c r="G5" s="43"/>
      <c r="H5" s="42"/>
      <c r="I5" s="42"/>
      <c r="J5" s="43"/>
      <c r="K5" s="42"/>
      <c r="L5" s="43"/>
      <c r="M5" s="42"/>
      <c r="N5" s="43"/>
      <c r="O5" s="42"/>
    </row>
    <row r="6" spans="1:40">
      <c r="A6" s="10"/>
      <c r="B6" s="65"/>
      <c r="C6" s="65"/>
      <c r="D6" s="64"/>
      <c r="E6" s="64"/>
      <c r="F6" s="64"/>
      <c r="G6" s="65"/>
      <c r="H6" s="64"/>
      <c r="I6" s="64"/>
      <c r="J6" s="65"/>
      <c r="K6" s="64"/>
      <c r="L6" s="65"/>
      <c r="M6" s="64"/>
      <c r="N6" s="65"/>
      <c r="O6" s="64"/>
      <c r="P6" s="64"/>
      <c r="Q6" s="64"/>
      <c r="R6" s="10"/>
      <c r="S6" s="10"/>
      <c r="T6" s="10"/>
      <c r="U6" s="10"/>
      <c r="V6" s="10"/>
      <c r="W6" s="10"/>
      <c r="X6" s="10"/>
      <c r="Y6" s="10"/>
      <c r="Z6" s="10"/>
      <c r="AA6" s="10"/>
      <c r="AB6" s="10"/>
      <c r="AC6" s="10"/>
      <c r="AD6" s="10"/>
      <c r="AE6" s="10"/>
      <c r="AF6" s="10"/>
      <c r="AG6" s="10"/>
      <c r="AH6" s="10"/>
      <c r="AI6" s="10"/>
      <c r="AJ6" s="10"/>
      <c r="AK6" s="10"/>
      <c r="AL6" s="10"/>
      <c r="AM6" s="10"/>
      <c r="AN6" s="10"/>
    </row>
    <row r="7" spans="1:40">
      <c r="A7" s="10"/>
      <c r="B7" s="274" t="s">
        <v>59</v>
      </c>
      <c r="C7" s="274" t="s">
        <v>60</v>
      </c>
      <c r="D7" s="273" t="s">
        <v>61</v>
      </c>
      <c r="E7" s="274" t="s">
        <v>66</v>
      </c>
      <c r="F7" s="273" t="s">
        <v>64</v>
      </c>
      <c r="G7" s="273" t="s">
        <v>328</v>
      </c>
      <c r="H7" s="275" t="s">
        <v>329</v>
      </c>
      <c r="I7" s="273" t="s">
        <v>67</v>
      </c>
      <c r="J7" s="275" t="s">
        <v>329</v>
      </c>
      <c r="K7" s="273" t="s">
        <v>68</v>
      </c>
      <c r="L7" s="274" t="s">
        <v>69</v>
      </c>
      <c r="M7" s="275" t="s">
        <v>329</v>
      </c>
      <c r="N7" s="275" t="s">
        <v>621</v>
      </c>
      <c r="O7"/>
      <c r="P7"/>
      <c r="Q7" s="64"/>
      <c r="R7" s="10"/>
      <c r="S7" s="10"/>
      <c r="T7" s="10"/>
      <c r="U7" s="10"/>
      <c r="V7" s="10"/>
      <c r="W7" s="10"/>
      <c r="X7" s="10"/>
      <c r="Y7" s="10"/>
      <c r="Z7" s="10"/>
      <c r="AA7" s="10"/>
      <c r="AB7" s="10"/>
      <c r="AC7" s="10"/>
      <c r="AD7" s="10"/>
      <c r="AE7" s="10"/>
      <c r="AF7" s="10"/>
      <c r="AG7" s="10"/>
      <c r="AH7" s="10"/>
      <c r="AI7" s="10"/>
      <c r="AJ7" s="10"/>
      <c r="AK7" s="10"/>
      <c r="AL7" s="10"/>
      <c r="AM7" s="10"/>
      <c r="AN7" s="10"/>
    </row>
    <row r="8" spans="1:40">
      <c r="A8" s="164" t="s">
        <v>244</v>
      </c>
      <c r="B8" s="10"/>
      <c r="C8" s="10"/>
      <c r="D8" s="10"/>
      <c r="E8" s="10"/>
      <c r="F8" s="10"/>
      <c r="G8" s="10"/>
      <c r="H8" s="142"/>
      <c r="I8" s="10"/>
      <c r="J8" s="569"/>
      <c r="K8" s="10"/>
      <c r="L8" s="10"/>
      <c r="M8" s="142"/>
      <c r="N8" s="182"/>
      <c r="O8"/>
      <c r="P8"/>
      <c r="Q8" s="66"/>
      <c r="R8" s="67"/>
      <c r="S8" s="67"/>
      <c r="T8" s="67"/>
      <c r="U8" s="10"/>
      <c r="V8" s="10"/>
      <c r="W8" s="10"/>
      <c r="X8" s="10"/>
      <c r="Y8" s="10"/>
      <c r="Z8" s="10"/>
      <c r="AA8" s="10"/>
      <c r="AB8" s="10"/>
      <c r="AC8" s="10"/>
      <c r="AD8" s="10"/>
      <c r="AE8" s="10"/>
      <c r="AF8" s="10"/>
      <c r="AG8" s="10"/>
      <c r="AH8" s="10"/>
      <c r="AI8" s="10"/>
      <c r="AJ8" s="10"/>
      <c r="AK8" s="10"/>
      <c r="AL8" s="10"/>
      <c r="AM8" s="10"/>
      <c r="AN8" s="10"/>
    </row>
    <row r="9" spans="1:40">
      <c r="A9" s="10" t="s">
        <v>255</v>
      </c>
      <c r="B9" s="65"/>
      <c r="C9" s="65"/>
      <c r="D9" s="10"/>
      <c r="E9" s="65"/>
      <c r="F9" s="64"/>
      <c r="G9" s="64"/>
      <c r="H9" s="171"/>
      <c r="I9" s="64"/>
      <c r="J9" s="569"/>
      <c r="K9" s="64"/>
      <c r="L9" s="65"/>
      <c r="M9" s="171"/>
      <c r="N9" s="171"/>
      <c r="O9"/>
      <c r="P9"/>
      <c r="Q9" s="64"/>
      <c r="R9" s="10"/>
      <c r="S9" s="10"/>
      <c r="T9" s="10"/>
      <c r="U9" s="10"/>
      <c r="V9" s="10"/>
      <c r="W9" s="10"/>
      <c r="X9" s="10"/>
      <c r="Y9" s="10"/>
      <c r="Z9" s="10"/>
      <c r="AA9" s="10"/>
      <c r="AB9" s="10"/>
      <c r="AC9" s="10"/>
      <c r="AD9" s="10"/>
      <c r="AE9" s="10"/>
      <c r="AF9" s="10"/>
      <c r="AG9" s="10"/>
      <c r="AH9" s="10"/>
      <c r="AI9" s="10"/>
      <c r="AJ9" s="10"/>
      <c r="AK9" s="10"/>
      <c r="AL9" s="10"/>
      <c r="AM9" s="10"/>
      <c r="AN9" s="10"/>
    </row>
    <row r="10" spans="1:40">
      <c r="A10" s="10" t="s">
        <v>256</v>
      </c>
      <c r="B10" s="87">
        <f>+'bncgdes&amp;$ '!B10</f>
        <v>3813260.429</v>
      </c>
      <c r="C10" s="87">
        <f>+'bphgdes&amp;$'!B10</f>
        <v>59246.619460000002</v>
      </c>
      <c r="D10" s="87">
        <f>+'buhgdes&amp;$'!B10</f>
        <v>100713.005064299</v>
      </c>
      <c r="E10" s="87">
        <f>+'capitalbkgdes&amp;$'!B10</f>
        <v>167986</v>
      </c>
      <c r="F10" s="87">
        <f>+'sogebkgdes&amp;$  '!B10</f>
        <v>1028781.8602700001</v>
      </c>
      <c r="G10" s="87">
        <f>+'unibkgdes&amp;$'!B10</f>
        <v>592464.98694155214</v>
      </c>
      <c r="H10" s="172">
        <f>SUM(B10:G10)</f>
        <v>5762452.9007358514</v>
      </c>
      <c r="I10" s="87">
        <f>+'sgbelgdes&amp;$'!B10</f>
        <v>7526.3394900000003</v>
      </c>
      <c r="J10" s="570">
        <f t="shared" ref="J10:J15" si="0">+I10</f>
        <v>7526.3394900000003</v>
      </c>
      <c r="K10" s="87">
        <f>+'cbnagdes&amp;$'!B10</f>
        <v>29033</v>
      </c>
      <c r="L10" s="87">
        <f>+'scotiagdes&amp;$'!B10</f>
        <v>42209</v>
      </c>
      <c r="M10" s="178">
        <f>SUM(K10:L10)</f>
        <v>71242</v>
      </c>
      <c r="N10" s="172">
        <f>+H10+J10+M10</f>
        <v>5841221.2402258515</v>
      </c>
      <c r="O10"/>
      <c r="P10"/>
      <c r="Q10" s="64"/>
      <c r="R10" s="10"/>
      <c r="S10" s="10"/>
      <c r="T10" s="10"/>
      <c r="U10" s="10"/>
      <c r="V10" s="10"/>
      <c r="W10" s="10"/>
      <c r="X10" s="10"/>
      <c r="Y10" s="10"/>
      <c r="Z10" s="10"/>
      <c r="AA10" s="10"/>
      <c r="AB10" s="10"/>
      <c r="AC10" s="10"/>
      <c r="AD10" s="10"/>
      <c r="AE10" s="10"/>
      <c r="AF10" s="10"/>
      <c r="AG10" s="10"/>
      <c r="AH10" s="10"/>
      <c r="AI10" s="10"/>
      <c r="AJ10" s="10"/>
      <c r="AK10" s="10"/>
      <c r="AL10" s="10"/>
      <c r="AM10" s="10"/>
      <c r="AN10" s="10"/>
    </row>
    <row r="11" spans="1:40">
      <c r="A11" s="10" t="s">
        <v>257</v>
      </c>
      <c r="B11" s="87">
        <f>+'bncgdes&amp;$ '!B11</f>
        <v>3608369.8489999999</v>
      </c>
      <c r="C11" s="87">
        <f>+'bphgdes&amp;$'!B11</f>
        <v>1253698.0629799999</v>
      </c>
      <c r="D11" s="87">
        <f>+'buhgdes&amp;$'!B11</f>
        <v>1275374.404265278</v>
      </c>
      <c r="E11" s="87">
        <f>+'capitalbkgdes&amp;$'!B11</f>
        <v>2617709</v>
      </c>
      <c r="F11" s="87">
        <f>+'sogebkgdes&amp;$  '!B11</f>
        <v>9655679.5968800001</v>
      </c>
      <c r="G11" s="87">
        <f>+'unibkgdes&amp;$'!B11</f>
        <v>11751539.529294468</v>
      </c>
      <c r="H11" s="172">
        <f>SUM(B11:G11)</f>
        <v>30162370.442419745</v>
      </c>
      <c r="I11" s="87">
        <f>+'sgbelgdes&amp;$'!B11</f>
        <v>497934.62901999999</v>
      </c>
      <c r="J11" s="570">
        <f t="shared" si="0"/>
        <v>497934.62901999999</v>
      </c>
      <c r="K11" s="87">
        <f>+'cbnagdes&amp;$'!B11</f>
        <v>1283094</v>
      </c>
      <c r="L11" s="87">
        <f>+'scotiagdes&amp;$'!B11</f>
        <v>1229128</v>
      </c>
      <c r="M11" s="178">
        <f>SUM(K11:L11)</f>
        <v>2512222</v>
      </c>
      <c r="N11" s="172">
        <f>+H11+J11+M11</f>
        <v>33172527.071439747</v>
      </c>
      <c r="O11"/>
      <c r="P11"/>
      <c r="Q11" s="64"/>
      <c r="R11" s="10"/>
      <c r="S11" s="10"/>
      <c r="T11" s="10"/>
      <c r="U11" s="10"/>
      <c r="V11" s="10"/>
      <c r="W11" s="10"/>
      <c r="X11" s="10"/>
      <c r="Y11" s="10"/>
      <c r="Z11" s="10"/>
      <c r="AA11" s="10"/>
      <c r="AB11" s="10"/>
      <c r="AC11" s="10"/>
      <c r="AD11" s="10"/>
      <c r="AE11" s="10"/>
      <c r="AF11" s="10"/>
      <c r="AG11" s="10"/>
      <c r="AH11" s="10"/>
      <c r="AI11" s="10"/>
      <c r="AJ11" s="10"/>
      <c r="AK11" s="10"/>
      <c r="AL11" s="10"/>
      <c r="AM11" s="10"/>
      <c r="AN11" s="10"/>
    </row>
    <row r="12" spans="1:40">
      <c r="A12" s="10" t="s">
        <v>258</v>
      </c>
      <c r="B12" s="87">
        <f>+'bncgdes&amp;$ '!B12</f>
        <v>459217.15899999999</v>
      </c>
      <c r="C12" s="87">
        <f>+'bphgdes&amp;$'!B12</f>
        <v>58764.294320000001</v>
      </c>
      <c r="D12" s="87">
        <f>+'buhgdes&amp;$'!B12</f>
        <v>189898.52423664901</v>
      </c>
      <c r="E12" s="87">
        <f>+'capitalbkgdes&amp;$'!B12</f>
        <v>699005</v>
      </c>
      <c r="F12" s="87">
        <f>+'sogebkgdes&amp;$  '!B12</f>
        <v>660482.48953999998</v>
      </c>
      <c r="G12" s="87">
        <f>+'unibkgdes&amp;$'!B12</f>
        <v>1379362.4548048549</v>
      </c>
      <c r="H12" s="172">
        <f>SUM(B12:G12)</f>
        <v>3446729.921901504</v>
      </c>
      <c r="I12" s="87">
        <f>+'sgbelgdes&amp;$'!B12</f>
        <v>10976.945239999999</v>
      </c>
      <c r="J12" s="570">
        <f t="shared" si="0"/>
        <v>10976.945239999999</v>
      </c>
      <c r="K12" s="87">
        <f>+'cbnagdes&amp;$'!B12</f>
        <v>-135142</v>
      </c>
      <c r="L12" s="87">
        <f>+'scotiagdes&amp;$'!B12</f>
        <v>1449049</v>
      </c>
      <c r="M12" s="178">
        <f>SUM(K12:L12)</f>
        <v>1313907</v>
      </c>
      <c r="N12" s="172">
        <f>+H12+J12+M12</f>
        <v>4771613.8671415038</v>
      </c>
      <c r="O12"/>
      <c r="P12"/>
      <c r="Q12" s="64"/>
      <c r="R12" s="10"/>
      <c r="S12" s="10"/>
      <c r="T12" s="10"/>
      <c r="U12" s="10"/>
      <c r="V12" s="10"/>
      <c r="W12" s="10"/>
      <c r="X12" s="10"/>
      <c r="Y12" s="10"/>
      <c r="Z12" s="10"/>
      <c r="AA12" s="10"/>
      <c r="AB12" s="10"/>
      <c r="AC12" s="10"/>
      <c r="AD12" s="10"/>
      <c r="AE12" s="10"/>
      <c r="AF12" s="10"/>
      <c r="AG12" s="10"/>
      <c r="AH12" s="10"/>
      <c r="AI12" s="10"/>
      <c r="AJ12" s="10"/>
      <c r="AK12" s="10"/>
      <c r="AL12" s="10"/>
      <c r="AM12" s="10"/>
      <c r="AN12" s="10"/>
    </row>
    <row r="13" spans="1:40">
      <c r="A13" s="10" t="s">
        <v>259</v>
      </c>
      <c r="B13" s="87">
        <f>+'bncgdes&amp;$ '!B13</f>
        <v>0</v>
      </c>
      <c r="C13" s="87">
        <f>+'bphgdes&amp;$'!B13</f>
        <v>0</v>
      </c>
      <c r="D13" s="87">
        <f>+'buhgdes&amp;$'!B13</f>
        <v>78335.210645583997</v>
      </c>
      <c r="E13" s="87">
        <f>+'capitalbkgdes&amp;$'!B13</f>
        <v>1124</v>
      </c>
      <c r="F13" s="87">
        <f>+'sogebkgdes&amp;$  '!B13</f>
        <v>1072.6026000000002</v>
      </c>
      <c r="G13" s="87">
        <f>+'unibkgdes&amp;$'!B13</f>
        <v>241.98105446413805</v>
      </c>
      <c r="H13" s="172">
        <f>SUM(B13:G13)</f>
        <v>80773.794300048132</v>
      </c>
      <c r="I13" s="87">
        <f>+'sgbelgdes&amp;$'!B13</f>
        <v>1400873.1609499999</v>
      </c>
      <c r="J13" s="570">
        <f t="shared" si="0"/>
        <v>1400873.1609499999</v>
      </c>
      <c r="K13" s="87">
        <f>+'cbnagdes&amp;$'!B13</f>
        <v>0</v>
      </c>
      <c r="L13" s="87">
        <f>+'scotiagdes&amp;$'!B13</f>
        <v>0</v>
      </c>
      <c r="M13" s="178">
        <f>SUM(K13:L13)</f>
        <v>0</v>
      </c>
      <c r="N13" s="172">
        <f>+H13+J13+M13</f>
        <v>1481646.9552500481</v>
      </c>
      <c r="O13"/>
      <c r="P13"/>
      <c r="Q13" s="64"/>
      <c r="R13" s="10"/>
      <c r="S13" s="10"/>
      <c r="T13" s="10"/>
      <c r="U13" s="10"/>
      <c r="V13" s="10"/>
      <c r="W13" s="10"/>
      <c r="X13" s="10"/>
      <c r="Y13" s="10"/>
      <c r="Z13" s="10"/>
      <c r="AA13" s="10"/>
      <c r="AB13" s="10"/>
      <c r="AC13" s="10"/>
      <c r="AD13" s="10"/>
      <c r="AE13" s="10"/>
      <c r="AF13" s="10"/>
      <c r="AG13" s="10"/>
      <c r="AH13" s="10"/>
      <c r="AI13" s="10"/>
      <c r="AJ13" s="10"/>
      <c r="AK13" s="10"/>
      <c r="AL13" s="10"/>
      <c r="AM13" s="10"/>
      <c r="AN13" s="10"/>
    </row>
    <row r="14" spans="1:40">
      <c r="A14" s="10" t="s">
        <v>260</v>
      </c>
      <c r="B14" s="199">
        <f>+'bncgdes&amp;$ '!B14</f>
        <v>34875.703999999998</v>
      </c>
      <c r="C14" s="199">
        <f>+'bphgdes&amp;$'!B14</f>
        <v>5627.40679</v>
      </c>
      <c r="D14" s="199">
        <f>+'buhgdes&amp;$'!B14</f>
        <v>0</v>
      </c>
      <c r="E14" s="199">
        <f>+'capitalbkgdes&amp;$'!B14</f>
        <v>48647</v>
      </c>
      <c r="F14" s="199">
        <f>+'sogebkgdes&amp;$  '!B14</f>
        <v>50422.88798</v>
      </c>
      <c r="G14" s="547">
        <f>+'unibkgdes&amp;$'!B14</f>
        <v>159802.13806732101</v>
      </c>
      <c r="H14" s="270">
        <f>SUM(B14:G14)</f>
        <v>299375.13683732098</v>
      </c>
      <c r="I14" s="547">
        <f>+'sgbelgdes&amp;$'!B14</f>
        <v>3612.5589500000001</v>
      </c>
      <c r="J14" s="572">
        <f t="shared" si="0"/>
        <v>3612.5589500000001</v>
      </c>
      <c r="K14" s="605">
        <f>+'cbnagdes&amp;$'!B14</f>
        <v>13288</v>
      </c>
      <c r="L14" s="547">
        <f>+'scotiagdes&amp;$'!B14</f>
        <v>18013</v>
      </c>
      <c r="M14" s="276">
        <f>SUM(K14:L14)</f>
        <v>31301</v>
      </c>
      <c r="N14" s="270">
        <f>+H14+J14+M14</f>
        <v>334288.69578732096</v>
      </c>
      <c r="O14"/>
      <c r="P14"/>
      <c r="Q14" s="64"/>
      <c r="R14" s="10"/>
      <c r="S14" s="10"/>
      <c r="T14" s="10"/>
      <c r="U14" s="10"/>
      <c r="V14" s="10"/>
      <c r="W14" s="10"/>
      <c r="X14" s="10"/>
      <c r="Y14" s="10"/>
      <c r="Z14" s="10"/>
      <c r="AA14" s="10"/>
      <c r="AB14" s="10"/>
      <c r="AC14" s="10"/>
      <c r="AD14" s="10"/>
      <c r="AE14" s="10"/>
      <c r="AF14" s="10"/>
      <c r="AG14" s="10"/>
      <c r="AH14" s="10"/>
      <c r="AI14" s="10"/>
      <c r="AJ14" s="10"/>
      <c r="AK14" s="10"/>
      <c r="AL14" s="10"/>
      <c r="AM14" s="10"/>
      <c r="AN14" s="10"/>
    </row>
    <row r="15" spans="1:40" ht="15.6" customHeight="1">
      <c r="A15" s="10"/>
      <c r="B15" s="87">
        <f t="shared" ref="B15:I15" si="1">SUM(B10:B14)</f>
        <v>7915723.1409999998</v>
      </c>
      <c r="C15" s="87">
        <f t="shared" si="1"/>
        <v>1377336.3835499999</v>
      </c>
      <c r="D15" s="87">
        <f t="shared" si="1"/>
        <v>1644321.1442118101</v>
      </c>
      <c r="E15" s="134">
        <f t="shared" si="1"/>
        <v>3534471</v>
      </c>
      <c r="F15" s="87">
        <f t="shared" si="1"/>
        <v>11396439.437270001</v>
      </c>
      <c r="G15" s="87">
        <f t="shared" si="1"/>
        <v>13883411.090162661</v>
      </c>
      <c r="H15" s="172">
        <f t="shared" si="1"/>
        <v>39751702.196194462</v>
      </c>
      <c r="I15" s="87">
        <f t="shared" si="1"/>
        <v>1920923.6336499997</v>
      </c>
      <c r="J15" s="570">
        <f t="shared" si="0"/>
        <v>1920923.6336499997</v>
      </c>
      <c r="K15" s="87">
        <f>SUM(K10:K14)</f>
        <v>1190273</v>
      </c>
      <c r="L15" s="87">
        <f>SUM(L10:L14)</f>
        <v>2738399</v>
      </c>
      <c r="M15" s="178">
        <f>SUM(M10:M14)</f>
        <v>3928672</v>
      </c>
      <c r="N15" s="172">
        <f>SUM(N10:N14)</f>
        <v>45601297.82984446</v>
      </c>
      <c r="O15"/>
      <c r="P15"/>
      <c r="Q15" s="64"/>
      <c r="R15" s="10"/>
      <c r="S15" s="10"/>
      <c r="T15" s="10"/>
      <c r="U15" s="10"/>
      <c r="V15" s="10"/>
      <c r="W15" s="10"/>
      <c r="X15" s="10"/>
      <c r="Y15" s="10"/>
      <c r="Z15" s="10"/>
      <c r="AA15" s="10"/>
      <c r="AB15" s="10"/>
      <c r="AC15" s="10"/>
      <c r="AD15" s="10"/>
      <c r="AE15" s="10"/>
      <c r="AF15" s="10"/>
      <c r="AG15" s="10"/>
      <c r="AH15" s="10"/>
      <c r="AI15" s="10"/>
      <c r="AJ15" s="10"/>
      <c r="AK15" s="10"/>
      <c r="AL15" s="10"/>
      <c r="AM15" s="10"/>
      <c r="AN15" s="10"/>
    </row>
    <row r="16" spans="1:40" ht="7.9" customHeight="1">
      <c r="A16" s="10"/>
      <c r="B16" s="98" t="s">
        <v>0</v>
      </c>
      <c r="C16" s="88" t="s">
        <v>0</v>
      </c>
      <c r="D16" s="87"/>
      <c r="E16" s="87" t="s">
        <v>0</v>
      </c>
      <c r="F16" s="87"/>
      <c r="G16" s="87"/>
      <c r="H16" s="172"/>
      <c r="I16" s="87"/>
      <c r="J16" s="564"/>
      <c r="K16" s="87"/>
      <c r="L16" s="87" t="s">
        <v>0</v>
      </c>
      <c r="M16" s="178"/>
      <c r="N16" s="172"/>
      <c r="O16"/>
      <c r="P16"/>
      <c r="Q16" s="64"/>
      <c r="R16" s="10"/>
      <c r="S16" s="10"/>
      <c r="T16" s="10"/>
      <c r="U16" s="10"/>
      <c r="V16" s="10"/>
      <c r="W16" s="10"/>
      <c r="X16" s="10"/>
      <c r="Y16" s="10"/>
      <c r="Z16" s="10"/>
      <c r="AA16" s="10"/>
      <c r="AB16" s="10"/>
      <c r="AC16" s="10"/>
      <c r="AD16" s="10"/>
      <c r="AE16" s="10"/>
      <c r="AF16" s="10"/>
      <c r="AG16" s="10"/>
      <c r="AH16" s="10"/>
      <c r="AI16" s="10"/>
      <c r="AJ16" s="10"/>
      <c r="AK16" s="10"/>
      <c r="AL16" s="10"/>
      <c r="AM16" s="10"/>
      <c r="AN16" s="10"/>
    </row>
    <row r="17" spans="1:40" ht="15.6" customHeight="1">
      <c r="A17" s="10" t="s">
        <v>261</v>
      </c>
      <c r="B17" s="87">
        <f>+'bncgdes&amp;$ '!B17</f>
        <v>0</v>
      </c>
      <c r="C17" s="87">
        <f>+'bphgdes&amp;$'!B17</f>
        <v>0</v>
      </c>
      <c r="D17" s="87">
        <f>+'buhgdes&amp;$'!B17</f>
        <v>0</v>
      </c>
      <c r="E17" s="87">
        <f>+'capitalbkgdes&amp;$'!B17</f>
        <v>0</v>
      </c>
      <c r="F17" s="87">
        <f>+'sogebkgdes&amp;$  '!B17</f>
        <v>0</v>
      </c>
      <c r="G17" s="87">
        <f>+'unibkgdes&amp;$'!B17</f>
        <v>0</v>
      </c>
      <c r="H17" s="172">
        <f t="shared" ref="H17:H22" si="2">SUM(B17:G17)</f>
        <v>0</v>
      </c>
      <c r="I17" s="87">
        <f>+'sgbelgdes&amp;$'!B17</f>
        <v>0</v>
      </c>
      <c r="J17" s="570">
        <f t="shared" ref="J17:J23" si="3">+I17</f>
        <v>0</v>
      </c>
      <c r="K17" s="87">
        <f>+'cbnagdes&amp;$'!B17</f>
        <v>0</v>
      </c>
      <c r="L17" s="87">
        <f>+'scotiagdes&amp;$'!B17</f>
        <v>0</v>
      </c>
      <c r="M17" s="178">
        <f t="shared" ref="M17:M22" si="4">SUM(K17:L17)</f>
        <v>0</v>
      </c>
      <c r="N17" s="172">
        <f t="shared" ref="N17:N22" si="5">+H17+J17+M17</f>
        <v>0</v>
      </c>
      <c r="O17"/>
      <c r="P17"/>
      <c r="Q17" s="64"/>
      <c r="R17" s="10"/>
      <c r="S17" s="10"/>
      <c r="T17" s="10"/>
      <c r="U17" s="10"/>
      <c r="V17" s="10"/>
      <c r="W17" s="10"/>
      <c r="X17" s="10"/>
      <c r="Y17" s="10"/>
      <c r="Z17" s="10"/>
      <c r="AA17" s="10"/>
      <c r="AB17" s="10"/>
      <c r="AC17" s="10"/>
      <c r="AD17" s="10"/>
      <c r="AE17" s="10"/>
      <c r="AF17" s="10"/>
      <c r="AG17" s="10"/>
      <c r="AH17" s="10"/>
      <c r="AI17" s="10"/>
      <c r="AJ17" s="10"/>
      <c r="AK17" s="10"/>
      <c r="AL17" s="10"/>
      <c r="AM17" s="10"/>
      <c r="AN17" s="10"/>
    </row>
    <row r="18" spans="1:40" ht="15.6" customHeight="1">
      <c r="A18" s="10" t="s">
        <v>909</v>
      </c>
      <c r="B18" s="87">
        <f>+'bncgdes&amp;$ '!B18</f>
        <v>0</v>
      </c>
      <c r="C18" s="87">
        <f>+'bphgdes&amp;$'!B18</f>
        <v>0</v>
      </c>
      <c r="D18" s="87">
        <f>+'buhgdes&amp;$'!B18</f>
        <v>0</v>
      </c>
      <c r="E18" s="87">
        <f>+'capitalbkgdes&amp;$'!B18</f>
        <v>0</v>
      </c>
      <c r="F18" s="87">
        <f>+'sogebkgdes&amp;$  '!B18</f>
        <v>0</v>
      </c>
      <c r="G18" s="87">
        <f>+'unibkgdes&amp;$'!B18</f>
        <v>0</v>
      </c>
      <c r="H18" s="172">
        <f t="shared" si="2"/>
        <v>0</v>
      </c>
      <c r="I18" s="87">
        <f>+'sgbelgdes&amp;$'!B18</f>
        <v>0</v>
      </c>
      <c r="J18" s="570">
        <f t="shared" si="3"/>
        <v>0</v>
      </c>
      <c r="K18" s="87">
        <f>+'cbnagdes&amp;$'!B18</f>
        <v>0</v>
      </c>
      <c r="L18" s="87">
        <f>+'scotiagdes&amp;$'!B18</f>
        <v>0</v>
      </c>
      <c r="M18" s="178">
        <f t="shared" si="4"/>
        <v>0</v>
      </c>
      <c r="N18" s="172">
        <f t="shared" si="5"/>
        <v>0</v>
      </c>
      <c r="O18"/>
      <c r="P18"/>
      <c r="Q18" s="64"/>
      <c r="R18" s="10"/>
      <c r="S18" s="10"/>
      <c r="T18" s="10"/>
      <c r="U18" s="10"/>
      <c r="V18" s="10"/>
      <c r="W18" s="10"/>
      <c r="X18" s="10"/>
      <c r="Y18" s="10"/>
      <c r="Z18" s="10"/>
      <c r="AA18" s="10"/>
      <c r="AB18" s="10"/>
      <c r="AC18" s="10"/>
      <c r="AD18" s="10"/>
      <c r="AE18" s="10"/>
      <c r="AF18" s="10"/>
      <c r="AG18" s="10"/>
      <c r="AH18" s="10"/>
      <c r="AI18" s="10"/>
      <c r="AJ18" s="10"/>
      <c r="AK18" s="10"/>
      <c r="AL18" s="10"/>
      <c r="AM18" s="10"/>
      <c r="AN18" s="10"/>
    </row>
    <row r="19" spans="1:40">
      <c r="A19" s="10" t="s">
        <v>262</v>
      </c>
      <c r="B19" s="87">
        <f>+'bncgdes&amp;$ '!B19</f>
        <v>5577770.0877399994</v>
      </c>
      <c r="C19" s="87">
        <f>+'bphgdes&amp;$'!B19</f>
        <v>26873.058389999998</v>
      </c>
      <c r="D19" s="87">
        <f>+'buhgdes&amp;$'!B19</f>
        <v>31457.269683476003</v>
      </c>
      <c r="E19" s="87">
        <f>+'capitalbkgdes&amp;$'!B19</f>
        <v>419800</v>
      </c>
      <c r="F19" s="87">
        <f>+'sogebkgdes&amp;$  '!B19</f>
        <v>8524084.2313500009</v>
      </c>
      <c r="G19" s="87">
        <f>+'unibkgdes&amp;$'!B19</f>
        <v>3282932.8366202563</v>
      </c>
      <c r="H19" s="172">
        <f t="shared" si="2"/>
        <v>17862917.483783733</v>
      </c>
      <c r="I19" s="87">
        <f>+'sgbelgdes&amp;$'!B19</f>
        <v>4674.7700000000004</v>
      </c>
      <c r="J19" s="570">
        <f t="shared" si="3"/>
        <v>4674.7700000000004</v>
      </c>
      <c r="K19" s="87">
        <f>+'cbnagdes&amp;$'!B19</f>
        <v>0</v>
      </c>
      <c r="L19" s="87">
        <f>+'scotiagdes&amp;$'!B19</f>
        <v>0</v>
      </c>
      <c r="M19" s="178">
        <f t="shared" si="4"/>
        <v>0</v>
      </c>
      <c r="N19" s="172">
        <f t="shared" si="5"/>
        <v>17867592.253783733</v>
      </c>
      <c r="O19"/>
      <c r="P19"/>
      <c r="Q19" s="64"/>
      <c r="R19" s="10"/>
      <c r="S19" s="10"/>
      <c r="T19" s="10"/>
      <c r="U19" s="10"/>
      <c r="V19" s="10"/>
      <c r="W19" s="10"/>
      <c r="X19" s="10"/>
      <c r="Y19" s="10"/>
      <c r="Z19" s="10"/>
      <c r="AA19" s="10"/>
      <c r="AB19" s="10"/>
      <c r="AC19" s="10"/>
      <c r="AD19" s="10"/>
      <c r="AE19" s="10"/>
      <c r="AF19" s="10"/>
      <c r="AG19" s="10"/>
      <c r="AH19" s="10"/>
      <c r="AI19" s="10"/>
      <c r="AJ19" s="10"/>
      <c r="AK19" s="10"/>
      <c r="AL19" s="10"/>
      <c r="AM19" s="10"/>
      <c r="AN19" s="10"/>
    </row>
    <row r="20" spans="1:40">
      <c r="A20" s="10" t="s">
        <v>357</v>
      </c>
      <c r="B20" s="87">
        <f>+'bncgdes&amp;$ '!B20</f>
        <v>3568587.9669999997</v>
      </c>
      <c r="C20" s="87">
        <f>+'bphgdes&amp;$'!B20</f>
        <v>493391.62722999998</v>
      </c>
      <c r="D20" s="87">
        <f>+'buhgdes&amp;$'!B20</f>
        <v>1467844.4063494934</v>
      </c>
      <c r="E20" s="87">
        <f>+'capitalbkgdes&amp;$'!B20</f>
        <v>3041076</v>
      </c>
      <c r="F20" s="87">
        <f>+'sogebkgdes&amp;$  '!B20</f>
        <v>8951286.2892899998</v>
      </c>
      <c r="G20" s="87">
        <f>+'unibkgdes&amp;$'!B20</f>
        <v>16298999.21273</v>
      </c>
      <c r="H20" s="172">
        <f t="shared" si="2"/>
        <v>33821185.502599493</v>
      </c>
      <c r="I20" s="87">
        <f>+'sgbelgdes&amp;$'!B20</f>
        <v>1442507.4545159999</v>
      </c>
      <c r="J20" s="570">
        <f t="shared" si="3"/>
        <v>1442507.4545159999</v>
      </c>
      <c r="K20" s="87">
        <f>+'cbnagdes&amp;$'!B20</f>
        <v>1370542</v>
      </c>
      <c r="L20" s="87">
        <f>+'scotiagdes&amp;$'!B20</f>
        <v>426866</v>
      </c>
      <c r="M20" s="178">
        <f t="shared" si="4"/>
        <v>1797408</v>
      </c>
      <c r="N20" s="172">
        <f t="shared" si="5"/>
        <v>37061100.957115494</v>
      </c>
      <c r="O20"/>
      <c r="P20"/>
      <c r="Q20" s="64"/>
      <c r="R20" s="10"/>
      <c r="S20" s="10"/>
      <c r="T20" s="10"/>
      <c r="U20" s="10"/>
      <c r="V20" s="10"/>
      <c r="W20" s="10"/>
      <c r="X20" s="10"/>
      <c r="Y20" s="10"/>
      <c r="Z20" s="10"/>
      <c r="AA20" s="10"/>
      <c r="AB20" s="10"/>
      <c r="AC20" s="10"/>
      <c r="AD20" s="10"/>
      <c r="AE20" s="10"/>
      <c r="AF20" s="10"/>
      <c r="AG20" s="10"/>
      <c r="AH20" s="10"/>
      <c r="AI20" s="10"/>
      <c r="AJ20" s="10"/>
      <c r="AK20" s="10"/>
      <c r="AL20" s="10"/>
      <c r="AM20" s="10"/>
      <c r="AN20" s="10"/>
    </row>
    <row r="21" spans="1:40">
      <c r="A21" s="10" t="s">
        <v>264</v>
      </c>
      <c r="B21" s="87">
        <f>+'bncgdes&amp;$ '!B21</f>
        <v>0</v>
      </c>
      <c r="C21" s="87">
        <f>+'bphgdes&amp;$'!B21</f>
        <v>0</v>
      </c>
      <c r="D21" s="87">
        <f>+'buhgdes&amp;$'!B21</f>
        <v>0</v>
      </c>
      <c r="E21" s="87">
        <f>+'capitalbkgdes&amp;$'!B21</f>
        <v>0</v>
      </c>
      <c r="F21" s="87">
        <f>+'sogebkgdes&amp;$  '!B21</f>
        <v>0</v>
      </c>
      <c r="G21" s="87">
        <f>+'unibkgdes&amp;$'!B21</f>
        <v>0</v>
      </c>
      <c r="H21" s="172">
        <f t="shared" si="2"/>
        <v>0</v>
      </c>
      <c r="I21" s="87">
        <f>+'sgbelgdes&amp;$'!B21</f>
        <v>0</v>
      </c>
      <c r="J21" s="570">
        <f t="shared" si="3"/>
        <v>0</v>
      </c>
      <c r="K21" s="87">
        <f>+'cbnagdes&amp;$'!B21</f>
        <v>0</v>
      </c>
      <c r="L21" s="87">
        <f>+'scotiagdes&amp;$'!B21</f>
        <v>0</v>
      </c>
      <c r="M21" s="178">
        <f t="shared" si="4"/>
        <v>0</v>
      </c>
      <c r="N21" s="172">
        <f t="shared" si="5"/>
        <v>0</v>
      </c>
      <c r="O21"/>
      <c r="P21"/>
      <c r="Q21" s="64"/>
      <c r="R21" s="10"/>
      <c r="S21" s="10"/>
      <c r="T21" s="10"/>
      <c r="U21" s="10"/>
      <c r="V21" s="10"/>
      <c r="W21" s="10"/>
      <c r="X21" s="10"/>
      <c r="Y21" s="10"/>
      <c r="Z21" s="10"/>
      <c r="AA21" s="10"/>
      <c r="AB21" s="10"/>
      <c r="AC21" s="10"/>
      <c r="AD21" s="10"/>
      <c r="AE21" s="10"/>
      <c r="AF21" s="10"/>
      <c r="AG21" s="10"/>
      <c r="AH21" s="10"/>
      <c r="AI21" s="10"/>
      <c r="AJ21" s="10"/>
      <c r="AK21" s="10"/>
      <c r="AL21" s="10"/>
      <c r="AM21" s="10"/>
      <c r="AN21" s="10"/>
    </row>
    <row r="22" spans="1:40">
      <c r="A22" s="10" t="s">
        <v>265</v>
      </c>
      <c r="B22" s="199">
        <f>+'bncgdes&amp;$ '!B22</f>
        <v>80605.083459999994</v>
      </c>
      <c r="C22" s="199">
        <f>+'bphgdes&amp;$'!B22</f>
        <v>4196.53262</v>
      </c>
      <c r="D22" s="199">
        <f>+'buhgdes&amp;$'!B22</f>
        <v>-316235.53028788604</v>
      </c>
      <c r="E22" s="199">
        <f>+'capitalbkgdes&amp;$'!B22</f>
        <v>168749</v>
      </c>
      <c r="F22" s="199">
        <f>+'sogebkgdes&amp;$  '!B22</f>
        <v>846468.23789000011</v>
      </c>
      <c r="G22" s="547">
        <f>+'unibkgdes&amp;$'!B22</f>
        <v>181236.09054150202</v>
      </c>
      <c r="H22" s="270">
        <f t="shared" si="2"/>
        <v>965019.41422361601</v>
      </c>
      <c r="I22" s="547">
        <f>+'sgbelgdes&amp;$'!B22</f>
        <v>45711.887849999999</v>
      </c>
      <c r="J22" s="572">
        <f t="shared" si="3"/>
        <v>45711.887849999999</v>
      </c>
      <c r="K22" s="605">
        <f>+'cbnagdes&amp;$'!B22</f>
        <v>107936</v>
      </c>
      <c r="L22" s="547">
        <f>+'scotiagdes&amp;$'!B22</f>
        <v>-5892</v>
      </c>
      <c r="M22" s="270">
        <f t="shared" si="4"/>
        <v>102044</v>
      </c>
      <c r="N22" s="270">
        <f t="shared" si="5"/>
        <v>1112775.3020736161</v>
      </c>
      <c r="O22"/>
      <c r="P22"/>
      <c r="Q22" s="64"/>
      <c r="R22" s="10"/>
      <c r="S22" s="10"/>
      <c r="T22" s="10"/>
      <c r="U22" s="10"/>
      <c r="V22" s="10"/>
      <c r="W22" s="10"/>
      <c r="X22" s="10"/>
      <c r="Y22" s="10"/>
      <c r="Z22" s="10"/>
      <c r="AA22" s="10"/>
      <c r="AB22" s="10"/>
      <c r="AC22" s="10"/>
      <c r="AD22" s="10"/>
      <c r="AE22" s="10"/>
      <c r="AF22" s="10"/>
      <c r="AG22" s="10"/>
      <c r="AH22" s="10"/>
      <c r="AI22" s="10"/>
      <c r="AJ22" s="10"/>
      <c r="AK22" s="10"/>
      <c r="AL22" s="10"/>
      <c r="AM22" s="10"/>
      <c r="AN22" s="10"/>
    </row>
    <row r="23" spans="1:40">
      <c r="A23" s="10" t="s">
        <v>54</v>
      </c>
      <c r="B23" s="90">
        <f t="shared" ref="B23:I23" si="6">SUM(B15:B22)</f>
        <v>17142686.279199999</v>
      </c>
      <c r="C23" s="90">
        <f t="shared" si="6"/>
        <v>1901797.6017899998</v>
      </c>
      <c r="D23" s="90">
        <f t="shared" si="6"/>
        <v>2827387.2899568938</v>
      </c>
      <c r="E23" s="13">
        <f t="shared" si="6"/>
        <v>7164096</v>
      </c>
      <c r="F23" s="90">
        <f t="shared" si="6"/>
        <v>29718278.195800003</v>
      </c>
      <c r="G23" s="90">
        <f t="shared" si="6"/>
        <v>33646579.230054423</v>
      </c>
      <c r="H23" s="172">
        <f t="shared" si="6"/>
        <v>92400824.596801296</v>
      </c>
      <c r="I23" s="90">
        <f t="shared" si="6"/>
        <v>3413817.7460159999</v>
      </c>
      <c r="J23" s="570">
        <f t="shared" si="3"/>
        <v>3413817.7460159999</v>
      </c>
      <c r="K23" s="13">
        <f>SUM(K15:K22)</f>
        <v>2668751</v>
      </c>
      <c r="L23" s="13">
        <f>SUM(L15:L22)</f>
        <v>3159373</v>
      </c>
      <c r="M23" s="183">
        <f>SUM(M15:M22)</f>
        <v>5828124</v>
      </c>
      <c r="N23" s="172">
        <f>SUM(N15:N22)</f>
        <v>101642766.34281729</v>
      </c>
      <c r="O23"/>
      <c r="P23"/>
      <c r="Q23" s="64"/>
      <c r="R23" s="10"/>
      <c r="S23" s="10"/>
      <c r="T23" s="10"/>
      <c r="U23" s="10"/>
      <c r="V23" s="10"/>
      <c r="W23" s="10"/>
      <c r="X23" s="10"/>
      <c r="Y23" s="10"/>
      <c r="Z23" s="10"/>
      <c r="AA23" s="10"/>
      <c r="AB23" s="10"/>
      <c r="AC23" s="10"/>
      <c r="AD23" s="10"/>
      <c r="AE23" s="10"/>
      <c r="AF23" s="10"/>
      <c r="AG23" s="10"/>
      <c r="AH23" s="10"/>
      <c r="AI23" s="10"/>
      <c r="AJ23" s="10"/>
      <c r="AK23" s="10"/>
      <c r="AL23" s="10"/>
      <c r="AM23" s="10"/>
      <c r="AN23" s="10"/>
    </row>
    <row r="24" spans="1:40" ht="15.6" customHeight="1">
      <c r="A24" s="10"/>
      <c r="B24" s="98" t="s">
        <v>0</v>
      </c>
      <c r="C24" s="88" t="s">
        <v>0</v>
      </c>
      <c r="D24" s="87"/>
      <c r="E24" s="87" t="s">
        <v>0</v>
      </c>
      <c r="F24" s="87"/>
      <c r="G24" s="87"/>
      <c r="H24" s="93"/>
      <c r="I24" s="87"/>
      <c r="J24" s="571"/>
      <c r="K24" s="87"/>
      <c r="L24" s="87" t="s">
        <v>0</v>
      </c>
      <c r="M24" s="114"/>
      <c r="N24" s="93"/>
      <c r="O24"/>
      <c r="P24"/>
      <c r="Q24" s="64"/>
      <c r="R24" s="10"/>
      <c r="S24" s="10"/>
      <c r="T24" s="10"/>
      <c r="U24" s="10"/>
      <c r="V24" s="10"/>
      <c r="W24" s="10"/>
      <c r="X24" s="10"/>
      <c r="Y24" s="10"/>
      <c r="Z24" s="10"/>
      <c r="AA24" s="10"/>
      <c r="AB24" s="10"/>
      <c r="AC24" s="10"/>
      <c r="AD24" s="10"/>
      <c r="AE24" s="10"/>
      <c r="AF24" s="10"/>
      <c r="AG24" s="10"/>
      <c r="AH24" s="10"/>
      <c r="AI24" s="10"/>
      <c r="AJ24" s="10"/>
      <c r="AK24" s="10"/>
      <c r="AL24" s="10"/>
      <c r="AM24" s="10"/>
      <c r="AN24" s="10"/>
    </row>
    <row r="25" spans="1:40">
      <c r="A25" s="11" t="s">
        <v>266</v>
      </c>
      <c r="B25" s="98" t="s">
        <v>0</v>
      </c>
      <c r="C25" s="88" t="s">
        <v>0</v>
      </c>
      <c r="D25" s="87"/>
      <c r="E25" s="87" t="s">
        <v>0</v>
      </c>
      <c r="F25" s="87"/>
      <c r="G25" s="87"/>
      <c r="H25" s="93"/>
      <c r="I25" s="87"/>
      <c r="J25" s="571"/>
      <c r="K25" s="87"/>
      <c r="L25" s="87" t="s">
        <v>0</v>
      </c>
      <c r="M25" s="114"/>
      <c r="N25" s="93"/>
      <c r="O25" s="116" t="s">
        <v>0</v>
      </c>
      <c r="P25" s="116" t="s">
        <v>0</v>
      </c>
      <c r="Q25" s="64"/>
      <c r="R25" s="10"/>
      <c r="S25" s="10"/>
      <c r="T25" s="10"/>
      <c r="U25" s="10"/>
      <c r="V25" s="10"/>
      <c r="W25" s="10"/>
      <c r="X25" s="10"/>
      <c r="Y25" s="10"/>
      <c r="Z25" s="10"/>
      <c r="AA25" s="10"/>
      <c r="AB25" s="10"/>
      <c r="AC25" s="10"/>
      <c r="AD25" s="10"/>
      <c r="AE25" s="10"/>
      <c r="AF25" s="10"/>
      <c r="AG25" s="10"/>
      <c r="AH25" s="10"/>
      <c r="AI25" s="10"/>
      <c r="AJ25" s="10"/>
      <c r="AK25" s="10"/>
      <c r="AL25" s="10"/>
      <c r="AM25" s="10"/>
      <c r="AN25" s="10"/>
    </row>
    <row r="26" spans="1:40">
      <c r="A26" s="10" t="s">
        <v>267</v>
      </c>
      <c r="B26" s="98" t="s">
        <v>0</v>
      </c>
      <c r="C26" s="88" t="s">
        <v>0</v>
      </c>
      <c r="D26" s="87"/>
      <c r="E26" s="87" t="s">
        <v>0</v>
      </c>
      <c r="F26" s="87"/>
      <c r="G26" s="87"/>
      <c r="H26" s="93"/>
      <c r="I26" s="87"/>
      <c r="J26" s="571"/>
      <c r="K26" s="87"/>
      <c r="L26" s="87" t="s">
        <v>0</v>
      </c>
      <c r="M26" s="114"/>
      <c r="N26" s="93"/>
      <c r="O26"/>
      <c r="P26"/>
      <c r="Q26" s="64"/>
      <c r="R26" s="10"/>
      <c r="S26" s="10"/>
      <c r="T26" s="10"/>
      <c r="U26" s="10"/>
      <c r="V26" s="10"/>
      <c r="W26" s="10"/>
      <c r="X26" s="10"/>
      <c r="Y26" s="10"/>
      <c r="Z26" s="10"/>
      <c r="AA26" s="10"/>
      <c r="AB26" s="10"/>
      <c r="AC26" s="10"/>
      <c r="AD26" s="10"/>
      <c r="AE26" s="10"/>
      <c r="AF26" s="10"/>
      <c r="AG26" s="10"/>
      <c r="AH26" s="10"/>
      <c r="AI26" s="10"/>
      <c r="AJ26" s="10"/>
      <c r="AK26" s="10"/>
      <c r="AL26" s="10"/>
      <c r="AM26" s="10"/>
      <c r="AN26" s="10"/>
    </row>
    <row r="27" spans="1:40">
      <c r="A27" s="10" t="s">
        <v>268</v>
      </c>
      <c r="B27" s="87">
        <f>+'bncgdes&amp;$ '!B27</f>
        <v>9935669.9360000007</v>
      </c>
      <c r="C27" s="87">
        <f>+'bphgdes&amp;$'!B27</f>
        <v>1015654.91166</v>
      </c>
      <c r="D27" s="87">
        <f>+'buhgdes&amp;$'!B27</f>
        <v>811297.89367024205</v>
      </c>
      <c r="E27" s="87">
        <f>+'capitalbkgdes&amp;$'!B27</f>
        <v>3073203</v>
      </c>
      <c r="F27" s="87">
        <f>+'sogebkgdes&amp;$  '!B27</f>
        <v>8474599.4695500024</v>
      </c>
      <c r="G27" s="87">
        <f>+'unibkgdes&amp;$'!B27</f>
        <v>13631663.334553052</v>
      </c>
      <c r="H27" s="172">
        <f>SUM(B27:G27)</f>
        <v>36942088.545433298</v>
      </c>
      <c r="I27" s="87">
        <f>+'sgbelgdes&amp;$'!B27</f>
        <v>789146.41282000009</v>
      </c>
      <c r="J27" s="570">
        <f>+I27</f>
        <v>789146.41282000009</v>
      </c>
      <c r="K27" s="87">
        <f>+'cbnagdes&amp;$'!B27</f>
        <v>1580652</v>
      </c>
      <c r="L27" s="87">
        <f>+'scotiagdes&amp;$'!B27</f>
        <v>1813309</v>
      </c>
      <c r="M27" s="178">
        <f>SUM(K27:L27)</f>
        <v>3393961</v>
      </c>
      <c r="N27" s="172">
        <f>+H27+J27+M27</f>
        <v>41125195.958253294</v>
      </c>
      <c r="O27"/>
      <c r="P27"/>
      <c r="Q27" s="64"/>
      <c r="R27" s="10"/>
      <c r="S27" s="10"/>
      <c r="T27" s="10"/>
      <c r="U27" s="10"/>
      <c r="V27" s="10"/>
      <c r="W27" s="10"/>
      <c r="X27" s="10"/>
      <c r="Y27" s="10"/>
      <c r="Z27" s="10"/>
      <c r="AA27" s="10"/>
      <c r="AB27" s="10"/>
      <c r="AC27" s="10"/>
      <c r="AD27" s="10"/>
      <c r="AE27" s="10"/>
      <c r="AF27" s="10"/>
      <c r="AG27" s="10"/>
      <c r="AH27" s="10"/>
      <c r="AI27" s="10"/>
      <c r="AJ27" s="10"/>
      <c r="AK27" s="10"/>
      <c r="AL27" s="10"/>
      <c r="AM27" s="10"/>
      <c r="AN27" s="10"/>
    </row>
    <row r="28" spans="1:40">
      <c r="A28" s="10" t="s">
        <v>269</v>
      </c>
      <c r="B28" s="87">
        <f>+'bncgdes&amp;$ '!B28</f>
        <v>3354500.2510000002</v>
      </c>
      <c r="C28" s="87">
        <f>+'bphgdes&amp;$'!B28</f>
        <v>286974.94578000001</v>
      </c>
      <c r="D28" s="87">
        <f>+'buhgdes&amp;$'!B28</f>
        <v>832674.31916409009</v>
      </c>
      <c r="E28" s="87">
        <f>+'capitalbkgdes&amp;$'!B28</f>
        <v>1595125</v>
      </c>
      <c r="F28" s="87">
        <f>+'sogebkgdes&amp;$  '!B28</f>
        <v>10522401.55896</v>
      </c>
      <c r="G28" s="87">
        <f>+'unibkgdes&amp;$'!B28</f>
        <v>12605529.589360606</v>
      </c>
      <c r="H28" s="172">
        <f>SUM(B28:G28)</f>
        <v>29197205.664264698</v>
      </c>
      <c r="I28" s="87">
        <f>+'sgbelgdes&amp;$'!B28</f>
        <v>301560.29267999995</v>
      </c>
      <c r="J28" s="570">
        <f>+I28</f>
        <v>301560.29267999995</v>
      </c>
      <c r="K28" s="87">
        <f>+'cbnagdes&amp;$'!B28</f>
        <v>282609</v>
      </c>
      <c r="L28" s="87">
        <f>+'scotiagdes&amp;$'!B28</f>
        <v>792166</v>
      </c>
      <c r="M28" s="178">
        <f>SUM(K28:L28)</f>
        <v>1074775</v>
      </c>
      <c r="N28" s="172">
        <f>+H28+J28+M28</f>
        <v>30573540.956944697</v>
      </c>
      <c r="O28"/>
      <c r="P28"/>
      <c r="Q28" s="64"/>
      <c r="R28" s="10"/>
      <c r="S28" s="10"/>
      <c r="T28" s="10"/>
      <c r="U28" s="10"/>
      <c r="V28" s="10"/>
      <c r="W28" s="10"/>
      <c r="X28" s="10"/>
      <c r="Y28" s="10"/>
      <c r="Z28" s="10"/>
      <c r="AA28" s="10"/>
      <c r="AB28" s="10"/>
      <c r="AC28" s="10"/>
      <c r="AD28" s="10"/>
      <c r="AE28" s="10"/>
      <c r="AF28" s="10"/>
      <c r="AG28" s="10"/>
      <c r="AH28" s="10"/>
      <c r="AI28" s="10"/>
      <c r="AJ28" s="10"/>
      <c r="AK28" s="10"/>
      <c r="AL28" s="10"/>
      <c r="AM28" s="10"/>
      <c r="AN28" s="10"/>
    </row>
    <row r="29" spans="1:40">
      <c r="A29" s="10" t="s">
        <v>270</v>
      </c>
      <c r="B29" s="199">
        <f>+'bncgdes&amp;$ '!B29</f>
        <v>1066104.34231</v>
      </c>
      <c r="C29" s="199">
        <f>+'bphgdes&amp;$'!B29</f>
        <v>593114.78714999999</v>
      </c>
      <c r="D29" s="199">
        <f>+'buhgdes&amp;$'!B29</f>
        <v>853789.03467164305</v>
      </c>
      <c r="E29" s="199">
        <f>+'capitalbkgdes&amp;$'!B29</f>
        <v>1955428</v>
      </c>
      <c r="F29" s="199">
        <f>+'sogebkgdes&amp;$  '!B29</f>
        <v>6519967.357929999</v>
      </c>
      <c r="G29" s="547">
        <f>+'unibkgdes&amp;$'!B29</f>
        <v>4443129.3614721252</v>
      </c>
      <c r="H29" s="270">
        <f>SUM(B29:G29)</f>
        <v>15431532.883533768</v>
      </c>
      <c r="I29" s="547">
        <f>+'sgbelgdes&amp;$'!B29</f>
        <v>2241750.2298400002</v>
      </c>
      <c r="J29" s="572">
        <f>+I29</f>
        <v>2241750.2298400002</v>
      </c>
      <c r="K29" s="605">
        <f>+'cbnagdes&amp;$'!B29</f>
        <v>229350</v>
      </c>
      <c r="L29" s="547">
        <f>+'scotiagdes&amp;$'!B29</f>
        <v>47399</v>
      </c>
      <c r="M29" s="270">
        <f>SUM(K29:L29)</f>
        <v>276749</v>
      </c>
      <c r="N29" s="270">
        <f>+H29+J29+M29</f>
        <v>17950032.113373768</v>
      </c>
      <c r="O29"/>
      <c r="P29"/>
      <c r="Q29" s="64"/>
      <c r="R29" s="10"/>
      <c r="S29" s="10"/>
      <c r="T29" s="10"/>
      <c r="U29" s="10"/>
      <c r="V29" s="10"/>
      <c r="W29" s="10"/>
      <c r="X29" s="10"/>
      <c r="Y29" s="10"/>
      <c r="Z29" s="10"/>
      <c r="AA29" s="10"/>
      <c r="AB29" s="10"/>
      <c r="AC29" s="10"/>
      <c r="AD29" s="10"/>
      <c r="AE29" s="10"/>
      <c r="AF29" s="10"/>
      <c r="AG29" s="10"/>
      <c r="AH29" s="10"/>
      <c r="AI29" s="10"/>
      <c r="AJ29" s="10"/>
      <c r="AK29" s="10"/>
      <c r="AL29" s="10"/>
      <c r="AM29" s="10"/>
      <c r="AN29" s="10"/>
    </row>
    <row r="30" spans="1:40">
      <c r="A30" s="10"/>
      <c r="B30" s="87">
        <f t="shared" ref="B30:N30" si="7">SUM(B27:B29)</f>
        <v>14356274.529310001</v>
      </c>
      <c r="C30" s="87">
        <f t="shared" si="7"/>
        <v>1895744.6445899999</v>
      </c>
      <c r="D30" s="87">
        <f t="shared" si="7"/>
        <v>2497761.247505975</v>
      </c>
      <c r="E30" s="87">
        <f t="shared" si="7"/>
        <v>6623756</v>
      </c>
      <c r="F30" s="87">
        <f t="shared" si="7"/>
        <v>25516968.386440001</v>
      </c>
      <c r="G30" s="87">
        <f t="shared" si="7"/>
        <v>30680322.285385784</v>
      </c>
      <c r="H30" s="172">
        <f t="shared" si="7"/>
        <v>81570827.093231767</v>
      </c>
      <c r="I30" s="87">
        <f t="shared" si="7"/>
        <v>3332456.9353400003</v>
      </c>
      <c r="J30" s="570">
        <f t="shared" si="7"/>
        <v>3332456.9353400003</v>
      </c>
      <c r="K30" s="87">
        <f t="shared" si="7"/>
        <v>2092611</v>
      </c>
      <c r="L30" s="87">
        <f t="shared" si="7"/>
        <v>2652874</v>
      </c>
      <c r="M30" s="178">
        <f t="shared" si="7"/>
        <v>4745485</v>
      </c>
      <c r="N30" s="172">
        <f t="shared" si="7"/>
        <v>89648769.02857177</v>
      </c>
      <c r="O30"/>
      <c r="P30"/>
      <c r="Q30" s="64"/>
      <c r="R30" s="10"/>
      <c r="S30" s="10"/>
      <c r="T30" s="10"/>
      <c r="U30" s="10"/>
      <c r="V30" s="10"/>
      <c r="W30" s="10"/>
      <c r="X30" s="10"/>
      <c r="Y30" s="10"/>
      <c r="Z30" s="10"/>
      <c r="AA30" s="10"/>
      <c r="AB30" s="10"/>
      <c r="AC30" s="10"/>
      <c r="AD30" s="10"/>
      <c r="AE30" s="10"/>
      <c r="AF30" s="10"/>
      <c r="AG30" s="10"/>
      <c r="AH30" s="10"/>
      <c r="AI30" s="10"/>
      <c r="AJ30" s="10"/>
      <c r="AK30" s="10"/>
      <c r="AL30" s="10"/>
      <c r="AM30" s="10"/>
      <c r="AN30" s="10"/>
    </row>
    <row r="31" spans="1:40" ht="7.9" customHeight="1">
      <c r="A31" s="10"/>
      <c r="B31" s="98" t="s">
        <v>0</v>
      </c>
      <c r="C31" s="88" t="s">
        <v>0</v>
      </c>
      <c r="D31" s="87"/>
      <c r="E31" s="87" t="s">
        <v>0</v>
      </c>
      <c r="F31" s="87"/>
      <c r="G31" s="87"/>
      <c r="H31" s="172"/>
      <c r="I31" s="87"/>
      <c r="J31" s="564"/>
      <c r="K31" s="87"/>
      <c r="L31" s="87" t="s">
        <v>0</v>
      </c>
      <c r="M31" s="178"/>
      <c r="N31" s="172"/>
      <c r="O31"/>
      <c r="P31"/>
      <c r="Q31" s="64"/>
      <c r="R31" s="10"/>
      <c r="S31" s="10"/>
      <c r="T31" s="10"/>
      <c r="U31" s="10"/>
      <c r="V31" s="10"/>
      <c r="W31" s="10"/>
      <c r="X31" s="10"/>
      <c r="Y31" s="10"/>
      <c r="Z31" s="10"/>
      <c r="AA31" s="10"/>
      <c r="AB31" s="10"/>
      <c r="AC31" s="10"/>
      <c r="AD31" s="10"/>
      <c r="AE31" s="10"/>
      <c r="AF31" s="10"/>
      <c r="AG31" s="10"/>
      <c r="AH31" s="10"/>
      <c r="AI31" s="10"/>
      <c r="AJ31" s="10"/>
      <c r="AK31" s="10"/>
      <c r="AL31" s="10"/>
      <c r="AM31" s="10"/>
      <c r="AN31" s="10"/>
    </row>
    <row r="32" spans="1:40">
      <c r="A32" s="10" t="s">
        <v>271</v>
      </c>
      <c r="B32" s="98" t="s">
        <v>0</v>
      </c>
      <c r="C32" s="88" t="s">
        <v>0</v>
      </c>
      <c r="D32" s="87"/>
      <c r="E32" s="87" t="s">
        <v>0</v>
      </c>
      <c r="F32" s="87"/>
      <c r="G32" s="87"/>
      <c r="H32" s="172"/>
      <c r="I32" s="87"/>
      <c r="J32" s="564"/>
      <c r="K32" s="87"/>
      <c r="L32" s="87" t="s">
        <v>0</v>
      </c>
      <c r="M32" s="178"/>
      <c r="N32" s="172"/>
      <c r="O32"/>
      <c r="P32"/>
      <c r="Q32" s="64"/>
      <c r="R32" s="10"/>
      <c r="S32" s="10"/>
      <c r="T32" s="10"/>
      <c r="U32" s="10"/>
      <c r="V32" s="10"/>
      <c r="W32" s="10"/>
      <c r="X32" s="10"/>
      <c r="Y32" s="10"/>
      <c r="Z32" s="10"/>
      <c r="AA32" s="10"/>
      <c r="AB32" s="10"/>
      <c r="AC32" s="10"/>
      <c r="AD32" s="10"/>
      <c r="AE32" s="10"/>
      <c r="AF32" s="10"/>
      <c r="AG32" s="10"/>
      <c r="AH32" s="10"/>
      <c r="AI32" s="10"/>
      <c r="AJ32" s="10"/>
      <c r="AK32" s="10"/>
      <c r="AL32" s="10"/>
      <c r="AM32" s="10"/>
      <c r="AN32" s="10"/>
    </row>
    <row r="33" spans="1:40">
      <c r="A33" s="10" t="s">
        <v>272</v>
      </c>
      <c r="B33" s="87">
        <f>+'bncgdes&amp;$ '!B33</f>
        <v>0</v>
      </c>
      <c r="C33" s="87">
        <f>+'bphgdes&amp;$'!B33</f>
        <v>0</v>
      </c>
      <c r="D33" s="87">
        <f>+'buhgdes&amp;$'!B33</f>
        <v>0</v>
      </c>
      <c r="E33" s="87">
        <f>+'capitalbkgdes&amp;$'!B33</f>
        <v>0</v>
      </c>
      <c r="F33" s="87">
        <f>+'sogebkgdes&amp;$  '!B33</f>
        <v>0</v>
      </c>
      <c r="G33" s="87">
        <f>+'unibkgdes&amp;$'!B33</f>
        <v>0</v>
      </c>
      <c r="H33" s="172">
        <f>SUM(B33:G33)</f>
        <v>0</v>
      </c>
      <c r="I33" s="87">
        <f>+'sgbelgdes&amp;$'!B33</f>
        <v>0</v>
      </c>
      <c r="J33" s="570">
        <f>+I33</f>
        <v>0</v>
      </c>
      <c r="K33" s="87">
        <f>+'cbnagdes&amp;$'!B33</f>
        <v>0</v>
      </c>
      <c r="L33" s="87">
        <f>+'scotiagdes&amp;$'!B33</f>
        <v>0</v>
      </c>
      <c r="M33" s="178">
        <f>SUM(K33:L33)</f>
        <v>0</v>
      </c>
      <c r="N33" s="172">
        <f>+H33+J33+M33</f>
        <v>0</v>
      </c>
      <c r="O33"/>
      <c r="P33"/>
      <c r="Q33" s="64"/>
      <c r="R33" s="10"/>
      <c r="S33" s="10"/>
      <c r="T33" s="10"/>
      <c r="U33" s="10"/>
      <c r="V33" s="10"/>
      <c r="W33" s="10"/>
      <c r="X33" s="10"/>
      <c r="Y33" s="10"/>
      <c r="Z33" s="10"/>
      <c r="AA33" s="10"/>
      <c r="AB33" s="10"/>
      <c r="AC33" s="10"/>
      <c r="AD33" s="10"/>
      <c r="AE33" s="10"/>
      <c r="AF33" s="10"/>
      <c r="AG33" s="10"/>
      <c r="AH33" s="10"/>
      <c r="AI33" s="10"/>
      <c r="AJ33" s="10"/>
      <c r="AK33" s="10"/>
      <c r="AL33" s="10"/>
      <c r="AM33" s="10"/>
      <c r="AN33" s="10"/>
    </row>
    <row r="34" spans="1:40">
      <c r="A34" s="10" t="s">
        <v>273</v>
      </c>
      <c r="B34" s="87">
        <f>+'bncgdes&amp;$ '!B34</f>
        <v>0</v>
      </c>
      <c r="C34" s="87">
        <f>+'bphgdes&amp;$'!B34</f>
        <v>0</v>
      </c>
      <c r="D34" s="87">
        <f>+'buhgdes&amp;$'!B34</f>
        <v>0</v>
      </c>
      <c r="E34" s="87">
        <f>+'capitalbkgdes&amp;$'!B34</f>
        <v>0</v>
      </c>
      <c r="F34" s="87">
        <f>+'sogebkgdes&amp;$  '!B34</f>
        <v>0</v>
      </c>
      <c r="G34" s="87">
        <f>+'unibkgdes&amp;$'!B34</f>
        <v>0</v>
      </c>
      <c r="H34" s="172">
        <f>SUM(B34:G34)</f>
        <v>0</v>
      </c>
      <c r="I34" s="87">
        <f>+'sgbelgdes&amp;$'!B34</f>
        <v>0</v>
      </c>
      <c r="J34" s="570">
        <f>+I34</f>
        <v>0</v>
      </c>
      <c r="K34" s="87">
        <f>+'cbnagdes&amp;$'!B34</f>
        <v>140243</v>
      </c>
      <c r="L34" s="87">
        <f>+'scotiagdes&amp;$'!B34</f>
        <v>0</v>
      </c>
      <c r="M34" s="178">
        <f>SUM(K34:L34)</f>
        <v>140243</v>
      </c>
      <c r="N34" s="172">
        <f>+H34+J34+M34</f>
        <v>140243</v>
      </c>
      <c r="O34"/>
      <c r="P34"/>
      <c r="Q34" s="64"/>
      <c r="R34" s="10"/>
      <c r="S34" s="10"/>
      <c r="T34" s="10"/>
      <c r="U34" s="10"/>
      <c r="V34" s="10"/>
      <c r="W34" s="10"/>
      <c r="X34" s="10"/>
      <c r="Y34" s="10"/>
      <c r="Z34" s="10"/>
      <c r="AA34" s="10"/>
      <c r="AB34" s="10"/>
      <c r="AC34" s="10"/>
      <c r="AD34" s="10"/>
      <c r="AE34" s="10"/>
      <c r="AF34" s="10"/>
      <c r="AG34" s="10"/>
      <c r="AH34" s="10"/>
      <c r="AI34" s="10"/>
      <c r="AJ34" s="10"/>
      <c r="AK34" s="10"/>
      <c r="AL34" s="10"/>
      <c r="AM34" s="10"/>
      <c r="AN34" s="10"/>
    </row>
    <row r="35" spans="1:40" ht="17.25">
      <c r="A35" s="10" t="s">
        <v>274</v>
      </c>
      <c r="B35" s="199">
        <f>+'bncgdes&amp;$ '!B35</f>
        <v>293675.86573000002</v>
      </c>
      <c r="C35" s="199">
        <f>+'bphgdes&amp;$'!B35</f>
        <v>43763.918201307002</v>
      </c>
      <c r="D35" s="199">
        <f>+'buhgdes&amp;$'!B35</f>
        <v>147240.08817621198</v>
      </c>
      <c r="E35" s="199">
        <f>+'capitalbkgdes&amp;$'!B35</f>
        <v>123957</v>
      </c>
      <c r="F35" s="199">
        <f>+'sogebkgdes&amp;$  '!B35</f>
        <v>618048.88956000004</v>
      </c>
      <c r="G35" s="547">
        <f>+'unibkgdes&amp;$'!B35</f>
        <v>1246608.260137266</v>
      </c>
      <c r="H35" s="270">
        <f>SUM(B35:G35)</f>
        <v>2473294.0218047854</v>
      </c>
      <c r="I35" s="547">
        <f>+'sgbelgdes&amp;$'!B35</f>
        <v>14330.57662</v>
      </c>
      <c r="J35" s="572">
        <f>+I35</f>
        <v>14330.57662</v>
      </c>
      <c r="K35" s="605">
        <f>+'cbnagdes&amp;$'!B35</f>
        <v>308011</v>
      </c>
      <c r="L35" s="547">
        <f>+'scotiagdes&amp;$'!B35</f>
        <v>135500</v>
      </c>
      <c r="M35" s="270">
        <f>SUM(K35:L35)</f>
        <v>443511</v>
      </c>
      <c r="N35" s="270">
        <f>+H35+J35+M35</f>
        <v>2931135.5984247853</v>
      </c>
      <c r="O35"/>
      <c r="P35"/>
      <c r="Q35" s="68"/>
      <c r="R35" s="70"/>
      <c r="S35" s="70"/>
      <c r="T35" s="70"/>
      <c r="U35" s="10"/>
      <c r="V35" s="10"/>
      <c r="W35" s="10"/>
      <c r="X35" s="10"/>
      <c r="Y35" s="10"/>
      <c r="Z35" s="10"/>
      <c r="AA35" s="10"/>
      <c r="AB35" s="10"/>
      <c r="AC35" s="10"/>
      <c r="AD35" s="10"/>
      <c r="AE35" s="10"/>
      <c r="AF35" s="10"/>
      <c r="AG35" s="10"/>
      <c r="AH35" s="10"/>
      <c r="AI35" s="10"/>
      <c r="AJ35" s="10"/>
      <c r="AK35" s="10"/>
      <c r="AL35" s="10"/>
      <c r="AM35" s="10"/>
      <c r="AN35" s="10"/>
    </row>
    <row r="36" spans="1:40">
      <c r="A36" s="10"/>
      <c r="B36" s="87">
        <f t="shared" ref="B36:J36" si="8">SUM(B33:B35)</f>
        <v>293675.86573000002</v>
      </c>
      <c r="C36" s="87">
        <f t="shared" si="8"/>
        <v>43763.918201307002</v>
      </c>
      <c r="D36" s="87">
        <f t="shared" si="8"/>
        <v>147240.08817621198</v>
      </c>
      <c r="E36" s="87">
        <f t="shared" si="8"/>
        <v>123957</v>
      </c>
      <c r="F36" s="87">
        <f t="shared" si="8"/>
        <v>618048.88956000004</v>
      </c>
      <c r="G36" s="87">
        <f t="shared" si="8"/>
        <v>1246608.260137266</v>
      </c>
      <c r="H36" s="172">
        <f t="shared" si="8"/>
        <v>2473294.0218047854</v>
      </c>
      <c r="I36" s="87">
        <f t="shared" si="8"/>
        <v>14330.57662</v>
      </c>
      <c r="J36" s="180">
        <f t="shared" si="8"/>
        <v>14330.57662</v>
      </c>
      <c r="K36" s="87">
        <f>SUM(K33:K35)</f>
        <v>448254</v>
      </c>
      <c r="L36" s="87">
        <f>SUM(L33:L35)</f>
        <v>135500</v>
      </c>
      <c r="M36" s="178">
        <f>SUM(M33:M35)</f>
        <v>583754</v>
      </c>
      <c r="N36" s="172">
        <f>SUM(N33:N35)</f>
        <v>3071378.5984247853</v>
      </c>
      <c r="O36"/>
      <c r="P36"/>
      <c r="Q36" s="64"/>
      <c r="R36" s="10"/>
      <c r="S36" s="10"/>
      <c r="T36" s="10"/>
      <c r="U36" s="10"/>
      <c r="V36" s="10"/>
      <c r="W36" s="10"/>
      <c r="X36" s="10"/>
      <c r="Y36" s="10"/>
      <c r="Z36" s="10"/>
      <c r="AA36" s="10"/>
      <c r="AB36" s="10"/>
      <c r="AC36" s="10"/>
      <c r="AD36" s="10"/>
      <c r="AE36" s="10"/>
      <c r="AF36" s="10"/>
      <c r="AG36" s="10"/>
      <c r="AH36" s="10"/>
      <c r="AI36" s="10"/>
      <c r="AJ36" s="10"/>
      <c r="AK36" s="10"/>
      <c r="AL36" s="10"/>
      <c r="AM36" s="10"/>
      <c r="AN36" s="10"/>
    </row>
    <row r="37" spans="1:40" ht="7.15" customHeight="1">
      <c r="A37" s="10"/>
      <c r="B37" s="98" t="s">
        <v>0</v>
      </c>
      <c r="C37" s="88" t="s">
        <v>0</v>
      </c>
      <c r="D37" s="87"/>
      <c r="E37" s="87" t="s">
        <v>0</v>
      </c>
      <c r="F37" s="87"/>
      <c r="G37" s="87"/>
      <c r="H37" s="172"/>
      <c r="I37" s="87"/>
      <c r="J37" s="564"/>
      <c r="K37" s="87"/>
      <c r="L37" s="87" t="s">
        <v>0</v>
      </c>
      <c r="M37" s="178"/>
      <c r="N37" s="172"/>
      <c r="O37"/>
      <c r="P37"/>
      <c r="Q37" s="64"/>
      <c r="R37" s="10"/>
      <c r="S37" s="10"/>
      <c r="T37" s="10"/>
      <c r="U37" s="10"/>
      <c r="V37" s="10"/>
      <c r="W37" s="10"/>
      <c r="X37" s="10"/>
      <c r="Y37" s="10"/>
      <c r="Z37" s="10"/>
      <c r="AA37" s="10"/>
      <c r="AB37" s="10"/>
      <c r="AC37" s="10"/>
      <c r="AD37" s="10"/>
      <c r="AE37" s="10"/>
      <c r="AF37" s="10"/>
      <c r="AG37" s="10"/>
      <c r="AH37" s="10"/>
      <c r="AI37" s="10"/>
      <c r="AJ37" s="10"/>
      <c r="AK37" s="10"/>
      <c r="AL37" s="10"/>
      <c r="AM37" s="10"/>
      <c r="AN37" s="10"/>
    </row>
    <row r="38" spans="1:40">
      <c r="A38" s="10" t="s">
        <v>275</v>
      </c>
      <c r="B38" s="98" t="s">
        <v>0</v>
      </c>
      <c r="C38" s="88" t="s">
        <v>0</v>
      </c>
      <c r="D38" s="87"/>
      <c r="E38" s="87" t="s">
        <v>0</v>
      </c>
      <c r="F38" s="87"/>
      <c r="G38" s="87"/>
      <c r="H38" s="172"/>
      <c r="I38" s="87"/>
      <c r="J38" s="564"/>
      <c r="K38" s="87"/>
      <c r="L38" s="87" t="s">
        <v>0</v>
      </c>
      <c r="M38" s="178"/>
      <c r="N38" s="172"/>
      <c r="O38"/>
      <c r="P38"/>
      <c r="Q38" s="64"/>
      <c r="R38" s="10"/>
      <c r="S38" s="10"/>
      <c r="T38" s="10"/>
      <c r="U38" s="10"/>
      <c r="V38" s="10"/>
      <c r="W38" s="10"/>
      <c r="X38" s="10"/>
      <c r="Y38" s="10"/>
      <c r="Z38" s="10"/>
      <c r="AA38" s="10"/>
      <c r="AB38" s="10"/>
      <c r="AC38" s="10"/>
      <c r="AD38" s="10"/>
      <c r="AE38" s="10"/>
      <c r="AF38" s="10"/>
      <c r="AG38" s="10"/>
      <c r="AH38" s="10"/>
      <c r="AI38" s="10"/>
      <c r="AJ38" s="10"/>
      <c r="AK38" s="10"/>
      <c r="AL38" s="10"/>
      <c r="AM38" s="10"/>
      <c r="AN38" s="10"/>
    </row>
    <row r="39" spans="1:40">
      <c r="A39" s="10" t="s">
        <v>272</v>
      </c>
      <c r="B39" s="87">
        <f>+'bncgdes&amp;$ '!B39</f>
        <v>0</v>
      </c>
      <c r="C39" s="87">
        <f>+'bphgdes&amp;$'!B39</f>
        <v>0</v>
      </c>
      <c r="D39" s="87">
        <f>+'buhgdes&amp;$'!B39</f>
        <v>0</v>
      </c>
      <c r="E39" s="87">
        <f>+'capitalbkgdes&amp;$'!B39</f>
        <v>0</v>
      </c>
      <c r="F39" s="87">
        <f>+'sogebkgdes&amp;$  '!B39</f>
        <v>0</v>
      </c>
      <c r="G39" s="87">
        <f>+'unibkgdes&amp;$'!B39</f>
        <v>0</v>
      </c>
      <c r="H39" s="172">
        <f>SUM(B39:G39)</f>
        <v>0</v>
      </c>
      <c r="I39" s="87">
        <f>+'sgbelgdes&amp;$'!B39</f>
        <v>0</v>
      </c>
      <c r="J39" s="570">
        <f>+I39</f>
        <v>0</v>
      </c>
      <c r="K39" s="87">
        <f>+'cbnagdes&amp;$'!B39</f>
        <v>0</v>
      </c>
      <c r="L39" s="87">
        <f>+'scotiagdes&amp;$'!B39</f>
        <v>0</v>
      </c>
      <c r="M39" s="178">
        <f>SUM(K39:L39)</f>
        <v>0</v>
      </c>
      <c r="N39" s="172">
        <f>+H39+J39+M39</f>
        <v>0</v>
      </c>
      <c r="O39"/>
      <c r="P39"/>
      <c r="Q39" s="64"/>
      <c r="R39" s="10"/>
      <c r="S39" s="10"/>
      <c r="T39" s="10"/>
      <c r="U39" s="10"/>
      <c r="V39" s="10"/>
      <c r="W39" s="10"/>
      <c r="X39" s="10"/>
      <c r="Y39" s="10"/>
      <c r="Z39" s="10"/>
      <c r="AA39" s="10"/>
      <c r="AB39" s="10"/>
      <c r="AC39" s="10"/>
      <c r="AD39" s="10"/>
      <c r="AE39" s="10"/>
      <c r="AF39" s="10"/>
      <c r="AG39" s="10"/>
      <c r="AH39" s="10"/>
      <c r="AI39" s="10"/>
      <c r="AJ39" s="10"/>
      <c r="AK39" s="10"/>
      <c r="AL39" s="10"/>
      <c r="AM39" s="10"/>
      <c r="AN39" s="10"/>
    </row>
    <row r="40" spans="1:40">
      <c r="A40" s="10" t="s">
        <v>276</v>
      </c>
      <c r="B40" s="87">
        <f>+'bncgdes&amp;$ '!B40</f>
        <v>0</v>
      </c>
      <c r="C40" s="87">
        <f>+'bphgdes&amp;$'!B40</f>
        <v>0</v>
      </c>
      <c r="D40" s="87">
        <f>+'buhgdes&amp;$'!B40</f>
        <v>0</v>
      </c>
      <c r="E40" s="87">
        <f>+'capitalbkgdes&amp;$'!B40</f>
        <v>0</v>
      </c>
      <c r="F40" s="87">
        <f>+'sogebkgdes&amp;$  '!B40</f>
        <v>2467523.4976900001</v>
      </c>
      <c r="G40" s="87">
        <f>+'unibkgdes&amp;$'!B40</f>
        <v>607720.1</v>
      </c>
      <c r="H40" s="172">
        <f>SUM(B40:G40)</f>
        <v>3075243.5976900002</v>
      </c>
      <c r="I40" s="87">
        <f>+'sgbelgdes&amp;$'!B40</f>
        <v>0</v>
      </c>
      <c r="J40" s="570">
        <f>+I40</f>
        <v>0</v>
      </c>
      <c r="K40" s="87">
        <f>+'cbnagdes&amp;$'!B40</f>
        <v>0</v>
      </c>
      <c r="L40" s="87">
        <f>+'scotiagdes&amp;$'!B40</f>
        <v>0</v>
      </c>
      <c r="M40" s="178">
        <f>SUM(K40:L40)</f>
        <v>0</v>
      </c>
      <c r="N40" s="172">
        <f>+H40+J40+M40</f>
        <v>3075243.5976900002</v>
      </c>
      <c r="O40"/>
      <c r="P40"/>
      <c r="Q40" s="64"/>
      <c r="R40" s="10"/>
      <c r="S40" s="10"/>
      <c r="T40" s="10"/>
      <c r="U40" s="10"/>
      <c r="V40" s="10"/>
      <c r="W40" s="10"/>
      <c r="X40" s="10"/>
      <c r="Y40" s="10"/>
      <c r="Z40" s="10"/>
      <c r="AA40" s="10"/>
      <c r="AB40" s="10"/>
      <c r="AC40" s="10"/>
      <c r="AD40" s="10"/>
      <c r="AE40" s="10"/>
      <c r="AF40" s="10"/>
      <c r="AG40" s="10"/>
      <c r="AH40" s="10"/>
      <c r="AI40" s="10"/>
      <c r="AJ40" s="10"/>
      <c r="AK40" s="10"/>
      <c r="AL40" s="10"/>
      <c r="AM40" s="10"/>
      <c r="AN40" s="10"/>
    </row>
    <row r="41" spans="1:40" ht="17.25">
      <c r="A41" s="10" t="s">
        <v>274</v>
      </c>
      <c r="B41" s="199">
        <f>+'bncgdes&amp;$ '!B41</f>
        <v>2493528.3059999999</v>
      </c>
      <c r="C41" s="199">
        <f>+'bphgdes&amp;$'!B41</f>
        <v>3669.69445</v>
      </c>
      <c r="D41" s="199">
        <f>+'buhgdes&amp;$'!B41</f>
        <v>1402.431</v>
      </c>
      <c r="E41" s="199">
        <f>+'capitalbkgdes&amp;$'!B41</f>
        <v>0</v>
      </c>
      <c r="F41" s="199">
        <f>+'sogebkgdes&amp;$  '!B41</f>
        <v>91406.875590000011</v>
      </c>
      <c r="G41" s="547">
        <f>+'unibkgdes&amp;$'!B41</f>
        <v>272092.793512962</v>
      </c>
      <c r="H41" s="270">
        <f>SUM(B41:G41)</f>
        <v>2862100.1005529612</v>
      </c>
      <c r="I41" s="547">
        <f>+'sgbelgdes&amp;$'!B41</f>
        <v>0</v>
      </c>
      <c r="J41" s="572">
        <f>+I41</f>
        <v>0</v>
      </c>
      <c r="K41" s="605">
        <f>+'cbnagdes&amp;$'!B41</f>
        <v>21123</v>
      </c>
      <c r="L41" s="547">
        <f>+'scotiagdes&amp;$'!B41</f>
        <v>0</v>
      </c>
      <c r="M41" s="270">
        <f>SUM(K41:L41)</f>
        <v>21123</v>
      </c>
      <c r="N41" s="270">
        <f>+H41+J41+M41</f>
        <v>2883223.1005529612</v>
      </c>
      <c r="O41"/>
      <c r="P41"/>
      <c r="Q41" s="68"/>
      <c r="R41" s="10"/>
      <c r="S41" s="10"/>
      <c r="T41" s="10"/>
      <c r="U41" s="10"/>
      <c r="V41" s="10"/>
      <c r="W41" s="10"/>
      <c r="X41" s="10"/>
      <c r="Y41" s="10"/>
      <c r="Z41" s="10"/>
      <c r="AA41" s="10"/>
      <c r="AB41" s="10"/>
      <c r="AC41" s="10"/>
      <c r="AD41" s="10"/>
      <c r="AE41" s="10"/>
      <c r="AF41" s="10"/>
      <c r="AG41" s="10"/>
      <c r="AH41" s="10"/>
      <c r="AI41" s="10"/>
      <c r="AJ41" s="10"/>
      <c r="AK41" s="10"/>
      <c r="AL41" s="10"/>
      <c r="AM41" s="10"/>
      <c r="AN41" s="10"/>
    </row>
    <row r="42" spans="1:40">
      <c r="A42" s="10"/>
      <c r="B42" s="87">
        <f t="shared" ref="B42:J42" si="9">SUM(B39:B41)</f>
        <v>2493528.3059999999</v>
      </c>
      <c r="C42" s="87">
        <f t="shared" si="9"/>
        <v>3669.69445</v>
      </c>
      <c r="D42" s="87">
        <f t="shared" si="9"/>
        <v>1402.431</v>
      </c>
      <c r="E42" s="87">
        <f t="shared" si="9"/>
        <v>0</v>
      </c>
      <c r="F42" s="87">
        <f t="shared" si="9"/>
        <v>2558930.3732799999</v>
      </c>
      <c r="G42" s="87">
        <f t="shared" si="9"/>
        <v>879812.89351296192</v>
      </c>
      <c r="H42" s="172">
        <f t="shared" si="9"/>
        <v>5937343.6982429614</v>
      </c>
      <c r="I42" s="87">
        <f t="shared" si="9"/>
        <v>0</v>
      </c>
      <c r="J42" s="180">
        <f t="shared" si="9"/>
        <v>0</v>
      </c>
      <c r="K42" s="87">
        <f>SUM(K39:K41)</f>
        <v>21123</v>
      </c>
      <c r="L42" s="87">
        <f>SUM(L39:L41)</f>
        <v>0</v>
      </c>
      <c r="M42" s="178">
        <f>SUM(M39:M41)</f>
        <v>21123</v>
      </c>
      <c r="N42" s="172">
        <f>SUM(N39:N41)</f>
        <v>5958466.6982429614</v>
      </c>
      <c r="O42"/>
      <c r="P42"/>
      <c r="Q42" s="64"/>
      <c r="R42" s="10"/>
      <c r="S42" s="10"/>
      <c r="T42" s="10"/>
      <c r="U42" s="10"/>
      <c r="V42" s="10"/>
      <c r="W42" s="10"/>
      <c r="X42" s="10"/>
      <c r="Y42" s="10"/>
      <c r="Z42" s="10"/>
      <c r="AA42" s="10"/>
      <c r="AB42" s="10"/>
      <c r="AC42" s="10"/>
      <c r="AD42" s="10"/>
      <c r="AE42" s="10"/>
      <c r="AF42" s="10"/>
      <c r="AG42" s="10"/>
      <c r="AH42" s="10"/>
      <c r="AI42" s="10"/>
      <c r="AJ42" s="10"/>
      <c r="AK42" s="10"/>
      <c r="AL42" s="10"/>
      <c r="AM42" s="10"/>
      <c r="AN42" s="10"/>
    </row>
    <row r="43" spans="1:40" ht="8.4499999999999993" customHeight="1">
      <c r="A43" s="10"/>
      <c r="B43" s="98" t="s">
        <v>0</v>
      </c>
      <c r="C43" s="88" t="s">
        <v>0</v>
      </c>
      <c r="D43" s="87"/>
      <c r="E43" s="87" t="s">
        <v>0</v>
      </c>
      <c r="F43" s="87"/>
      <c r="G43" s="87"/>
      <c r="H43" s="172"/>
      <c r="I43" s="87"/>
      <c r="J43" s="564"/>
      <c r="K43" s="87"/>
      <c r="L43" s="87" t="s">
        <v>0</v>
      </c>
      <c r="M43" s="178"/>
      <c r="N43" s="172"/>
      <c r="O43"/>
      <c r="P43"/>
      <c r="Q43" s="64"/>
      <c r="R43" s="10"/>
      <c r="S43" s="10"/>
      <c r="T43" s="10"/>
      <c r="U43" s="10"/>
      <c r="V43" s="10"/>
      <c r="W43" s="10"/>
      <c r="X43" s="10"/>
      <c r="Y43" s="10"/>
      <c r="Z43" s="10"/>
      <c r="AA43" s="10"/>
      <c r="AB43" s="10"/>
      <c r="AC43" s="10"/>
      <c r="AD43" s="10"/>
      <c r="AE43" s="10"/>
      <c r="AF43" s="10"/>
      <c r="AG43" s="10"/>
      <c r="AH43" s="10"/>
      <c r="AI43" s="10"/>
      <c r="AJ43" s="10"/>
      <c r="AK43" s="10"/>
      <c r="AL43" s="10"/>
      <c r="AM43" s="10"/>
      <c r="AN43" s="10"/>
    </row>
    <row r="44" spans="1:40">
      <c r="A44" s="10" t="s">
        <v>277</v>
      </c>
      <c r="B44" s="199">
        <f>+'bncgdes&amp;$ '!B44</f>
        <v>0</v>
      </c>
      <c r="C44" s="199">
        <f>+'bphgdes&amp;$'!B44</f>
        <v>0</v>
      </c>
      <c r="D44" s="199">
        <f>+'buhgdes&amp;$'!B44</f>
        <v>206674.78064511105</v>
      </c>
      <c r="E44" s="199">
        <f>+'capitalbkgdes&amp;$'!B44</f>
        <v>259311</v>
      </c>
      <c r="F44" s="199">
        <f>+'sogebkgdes&amp;$  '!B44</f>
        <v>1041707.78214</v>
      </c>
      <c r="G44" s="547">
        <f>+'unibkgdes&amp;$'!B44</f>
        <v>167813.44137473602</v>
      </c>
      <c r="H44" s="270">
        <f>SUM(B44:G44)</f>
        <v>1675507.0041598473</v>
      </c>
      <c r="I44" s="547">
        <f>+'sgbelgdes&amp;$'!B44</f>
        <v>65761.496389999986</v>
      </c>
      <c r="J44" s="572">
        <f>+I44</f>
        <v>65761.496389999986</v>
      </c>
      <c r="K44" s="605">
        <f>+'cbnagdes&amp;$'!B44</f>
        <v>109545</v>
      </c>
      <c r="L44" s="547">
        <f>+'scotiagdes&amp;$'!B44</f>
        <v>367928</v>
      </c>
      <c r="M44" s="270">
        <f>SUM(K44:L44)</f>
        <v>477473</v>
      </c>
      <c r="N44" s="270">
        <f>+H44+J44+M44</f>
        <v>2218741.5005498473</v>
      </c>
      <c r="O44"/>
      <c r="P44"/>
      <c r="Q44" s="64"/>
      <c r="R44" s="10"/>
      <c r="S44" s="10"/>
      <c r="T44" s="10"/>
      <c r="U44" s="10"/>
      <c r="V44" s="10"/>
      <c r="W44" s="10"/>
      <c r="X44" s="10"/>
      <c r="Y44" s="10"/>
      <c r="Z44" s="10"/>
      <c r="AA44" s="10"/>
      <c r="AB44" s="10"/>
      <c r="AC44" s="10"/>
      <c r="AD44" s="10"/>
      <c r="AE44" s="10"/>
      <c r="AF44" s="10"/>
      <c r="AG44" s="10"/>
      <c r="AH44" s="10"/>
      <c r="AI44" s="10"/>
      <c r="AJ44" s="10"/>
      <c r="AK44" s="10"/>
      <c r="AL44" s="10"/>
      <c r="AM44" s="10"/>
      <c r="AN44" s="10"/>
    </row>
    <row r="45" spans="1:40">
      <c r="A45" s="10"/>
      <c r="B45" s="87">
        <f t="shared" ref="B45:N45" si="10">+B30+B36+B42+B44</f>
        <v>17143478.70104</v>
      </c>
      <c r="C45" s="87">
        <f t="shared" si="10"/>
        <v>1943178.2572413071</v>
      </c>
      <c r="D45" s="87">
        <f t="shared" si="10"/>
        <v>2853078.5473272977</v>
      </c>
      <c r="E45" s="87">
        <f t="shared" si="10"/>
        <v>7007024</v>
      </c>
      <c r="F45" s="87">
        <f t="shared" si="10"/>
        <v>29735655.431420002</v>
      </c>
      <c r="G45" s="87">
        <f t="shared" si="10"/>
        <v>32974556.880410749</v>
      </c>
      <c r="H45" s="172">
        <f t="shared" si="10"/>
        <v>91656971.817439362</v>
      </c>
      <c r="I45" s="87">
        <f t="shared" si="10"/>
        <v>3412549.0083500003</v>
      </c>
      <c r="J45" s="977">
        <f t="shared" si="10"/>
        <v>3412549.0083500003</v>
      </c>
      <c r="K45" s="87">
        <f t="shared" si="10"/>
        <v>2671533</v>
      </c>
      <c r="L45" s="87">
        <f t="shared" si="10"/>
        <v>3156302</v>
      </c>
      <c r="M45" s="178">
        <f t="shared" si="10"/>
        <v>5827835</v>
      </c>
      <c r="N45" s="178">
        <f t="shared" si="10"/>
        <v>100897355.82578938</v>
      </c>
      <c r="O45"/>
      <c r="P45"/>
      <c r="Q45" s="64"/>
      <c r="R45" s="10"/>
      <c r="S45" s="10"/>
      <c r="T45" s="10"/>
      <c r="U45" s="10"/>
      <c r="V45" s="10"/>
      <c r="W45" s="10"/>
      <c r="X45" s="10"/>
      <c r="Y45" s="10"/>
      <c r="Z45" s="10"/>
      <c r="AA45" s="10"/>
      <c r="AB45" s="10"/>
      <c r="AC45" s="10"/>
      <c r="AD45" s="10"/>
      <c r="AE45" s="10"/>
      <c r="AF45" s="10"/>
      <c r="AG45" s="10"/>
      <c r="AH45" s="10"/>
      <c r="AI45" s="10"/>
      <c r="AJ45" s="10"/>
      <c r="AK45" s="10"/>
      <c r="AL45" s="10"/>
      <c r="AM45" s="10"/>
      <c r="AN45" s="10"/>
    </row>
    <row r="46" spans="1:40" ht="14.45" customHeight="1">
      <c r="A46" s="10"/>
      <c r="B46" s="98" t="s">
        <v>0</v>
      </c>
      <c r="C46" s="88" t="s">
        <v>0</v>
      </c>
      <c r="D46" s="87"/>
      <c r="E46" s="87" t="s">
        <v>0</v>
      </c>
      <c r="F46" s="87"/>
      <c r="G46" s="87"/>
      <c r="H46" s="172" t="s">
        <v>0</v>
      </c>
      <c r="I46" s="87"/>
      <c r="J46" s="564"/>
      <c r="K46" s="87"/>
      <c r="L46" s="87" t="s">
        <v>0</v>
      </c>
      <c r="M46" s="178"/>
      <c r="N46" s="172"/>
      <c r="O46"/>
      <c r="P46"/>
      <c r="Q46" s="64"/>
      <c r="R46" s="10"/>
      <c r="S46" s="10"/>
      <c r="T46" s="10"/>
      <c r="U46" s="10"/>
      <c r="V46" s="10"/>
      <c r="W46" s="10"/>
      <c r="X46" s="10"/>
      <c r="Y46" s="10"/>
      <c r="Z46" s="10"/>
      <c r="AA46" s="10"/>
      <c r="AB46" s="10"/>
      <c r="AC46" s="10"/>
      <c r="AD46" s="10"/>
      <c r="AE46" s="10"/>
      <c r="AF46" s="10"/>
      <c r="AG46" s="10"/>
      <c r="AH46" s="10"/>
      <c r="AI46" s="10"/>
      <c r="AJ46" s="10"/>
      <c r="AK46" s="10"/>
      <c r="AL46" s="10"/>
      <c r="AM46" s="10"/>
      <c r="AN46" s="10"/>
    </row>
    <row r="47" spans="1:40">
      <c r="A47" s="164" t="s">
        <v>278</v>
      </c>
      <c r="B47" s="98" t="s">
        <v>0</v>
      </c>
      <c r="C47" s="88" t="s">
        <v>0</v>
      </c>
      <c r="D47" s="87"/>
      <c r="E47" s="87" t="s">
        <v>0</v>
      </c>
      <c r="F47" s="87"/>
      <c r="G47" s="87"/>
      <c r="H47" s="172"/>
      <c r="I47" s="87"/>
      <c r="J47" s="564"/>
      <c r="K47" s="87"/>
      <c r="L47" s="87" t="s">
        <v>0</v>
      </c>
      <c r="M47" s="178"/>
      <c r="N47" s="172"/>
      <c r="O47"/>
      <c r="P47"/>
      <c r="Q47" s="64"/>
      <c r="R47" s="10"/>
      <c r="S47" s="10"/>
      <c r="T47" s="10"/>
      <c r="U47" s="10"/>
      <c r="V47" s="10"/>
      <c r="W47" s="10"/>
      <c r="X47" s="10"/>
      <c r="Y47" s="10"/>
      <c r="Z47" s="10"/>
      <c r="AA47" s="10"/>
      <c r="AB47" s="10"/>
      <c r="AC47" s="10"/>
      <c r="AD47" s="10"/>
      <c r="AE47" s="10"/>
      <c r="AF47" s="10"/>
      <c r="AG47" s="10"/>
      <c r="AH47" s="10"/>
      <c r="AI47" s="10"/>
      <c r="AJ47" s="10"/>
      <c r="AK47" s="10"/>
      <c r="AL47" s="10"/>
      <c r="AM47" s="10"/>
      <c r="AN47" s="10"/>
    </row>
    <row r="48" spans="1:40">
      <c r="A48" s="10" t="s">
        <v>279</v>
      </c>
      <c r="B48" s="87">
        <f>+'bncgdes&amp;$ '!B48</f>
        <v>0</v>
      </c>
      <c r="C48" s="87">
        <f>+'bphgdes&amp;$'!B48</f>
        <v>0</v>
      </c>
      <c r="D48" s="87">
        <f>+'buhgdes&amp;$'!B48</f>
        <v>0</v>
      </c>
      <c r="E48" s="87">
        <f>+'capitalbkgdes&amp;$'!B48</f>
        <v>0</v>
      </c>
      <c r="F48" s="87">
        <f>+'sogebkgdes&amp;$  '!B48</f>
        <v>0</v>
      </c>
      <c r="G48" s="87">
        <f>+'unibkgdes&amp;$'!B48</f>
        <v>0</v>
      </c>
      <c r="H48" s="172">
        <f>SUM(B48:G48)</f>
        <v>0</v>
      </c>
      <c r="I48" s="87">
        <f>+'sgbelgdes&amp;$'!B48</f>
        <v>0</v>
      </c>
      <c r="J48" s="570">
        <f>+I48</f>
        <v>0</v>
      </c>
      <c r="K48" s="87">
        <f>+'cbnagdes&amp;$'!B48</f>
        <v>0</v>
      </c>
      <c r="L48" s="87">
        <f>+'scotiagdes&amp;$'!B48</f>
        <v>0</v>
      </c>
      <c r="M48" s="178">
        <f>SUM(K48:L48)</f>
        <v>0</v>
      </c>
      <c r="N48" s="172">
        <f>+H48+J48+M48</f>
        <v>0</v>
      </c>
      <c r="O48"/>
      <c r="P48"/>
      <c r="Q48" s="64"/>
      <c r="R48" s="10"/>
      <c r="S48" s="10"/>
      <c r="T48" s="10"/>
      <c r="U48" s="10"/>
      <c r="V48" s="10"/>
      <c r="W48" s="10"/>
      <c r="X48" s="10"/>
      <c r="Y48" s="10"/>
      <c r="Z48" s="10"/>
      <c r="AA48" s="10"/>
      <c r="AB48" s="10"/>
      <c r="AC48" s="10"/>
      <c r="AD48" s="10"/>
      <c r="AE48" s="10"/>
      <c r="AF48" s="10"/>
      <c r="AG48" s="10"/>
      <c r="AH48" s="10"/>
      <c r="AI48" s="10"/>
      <c r="AJ48" s="10"/>
      <c r="AK48" s="10"/>
      <c r="AL48" s="10"/>
      <c r="AM48" s="10"/>
      <c r="AN48" s="10"/>
    </row>
    <row r="49" spans="1:40">
      <c r="A49" s="10" t="s">
        <v>280</v>
      </c>
      <c r="B49" s="87">
        <f>+'bncgdes&amp;$ '!B49</f>
        <v>0</v>
      </c>
      <c r="C49" s="87">
        <f>+'bphgdes&amp;$'!B49</f>
        <v>0</v>
      </c>
      <c r="D49" s="87">
        <f>+'buhgdes&amp;$'!B49</f>
        <v>0</v>
      </c>
      <c r="E49" s="87">
        <f>+'capitalbkgdes&amp;$'!B49</f>
        <v>0</v>
      </c>
      <c r="F49" s="87">
        <f>+'sogebkgdes&amp;$  '!B49</f>
        <v>0</v>
      </c>
      <c r="G49" s="87">
        <f>+'unibkgdes&amp;$'!B49</f>
        <v>0</v>
      </c>
      <c r="H49" s="172">
        <f>SUM(B49:G49)</f>
        <v>0</v>
      </c>
      <c r="I49" s="87">
        <f>+'sgbelgdes&amp;$'!B49</f>
        <v>0</v>
      </c>
      <c r="J49" s="570">
        <f>+I49</f>
        <v>0</v>
      </c>
      <c r="K49" s="87">
        <f>+'cbnagdes&amp;$'!B49</f>
        <v>0</v>
      </c>
      <c r="L49" s="87">
        <f>+'scotiagdes&amp;$'!B49</f>
        <v>0</v>
      </c>
      <c r="M49" s="178">
        <f>SUM(K49:L49)</f>
        <v>0</v>
      </c>
      <c r="N49" s="172">
        <f>+H49+J49+M49</f>
        <v>0</v>
      </c>
      <c r="O49"/>
      <c r="P49"/>
      <c r="Q49" s="64"/>
      <c r="R49" s="10"/>
      <c r="S49" s="10"/>
      <c r="T49" s="10"/>
      <c r="U49" s="10"/>
      <c r="V49" s="10"/>
      <c r="W49" s="10"/>
      <c r="X49" s="10"/>
      <c r="Y49" s="10"/>
      <c r="Z49" s="10"/>
      <c r="AA49" s="10"/>
      <c r="AB49" s="10"/>
      <c r="AC49" s="10"/>
      <c r="AD49" s="10"/>
      <c r="AE49" s="10"/>
      <c r="AF49" s="10"/>
      <c r="AG49" s="10"/>
      <c r="AH49" s="10"/>
      <c r="AI49" s="10"/>
      <c r="AJ49" s="10"/>
      <c r="AK49" s="10"/>
      <c r="AL49" s="10"/>
      <c r="AM49" s="10"/>
      <c r="AN49" s="10"/>
    </row>
    <row r="50" spans="1:40">
      <c r="A50" s="10" t="s">
        <v>290</v>
      </c>
      <c r="B50" s="87">
        <f>+'bncgdes&amp;$ '!B50</f>
        <v>0</v>
      </c>
      <c r="C50" s="87">
        <f>+'bphgdes&amp;$'!B50</f>
        <v>0</v>
      </c>
      <c r="D50" s="87">
        <f>+'buhgdes&amp;$'!B50</f>
        <v>0</v>
      </c>
      <c r="E50" s="87">
        <f>+'capitalbkgdes&amp;$'!B50</f>
        <v>0</v>
      </c>
      <c r="F50" s="87">
        <f>+'sogebkgdes&amp;$  '!B50</f>
        <v>0</v>
      </c>
      <c r="G50" s="87">
        <f>+'unibkgdes&amp;$'!B50</f>
        <v>0</v>
      </c>
      <c r="H50" s="172">
        <f>SUM(B50:G50)</f>
        <v>0</v>
      </c>
      <c r="I50" s="87">
        <f>+'sgbelgdes&amp;$'!B50</f>
        <v>0</v>
      </c>
      <c r="J50" s="570">
        <f>+I50</f>
        <v>0</v>
      </c>
      <c r="K50" s="87">
        <f>+'cbnagdes&amp;$'!B50</f>
        <v>0</v>
      </c>
      <c r="L50" s="87">
        <f>+'scotiagdes&amp;$'!B50</f>
        <v>0</v>
      </c>
      <c r="M50" s="178">
        <f>SUM(K50:L50)</f>
        <v>0</v>
      </c>
      <c r="N50" s="172">
        <f>+H50+J50+M50</f>
        <v>0</v>
      </c>
      <c r="O50"/>
      <c r="P50"/>
      <c r="Q50" s="64"/>
      <c r="R50" s="10"/>
      <c r="S50" s="10"/>
      <c r="T50" s="10"/>
      <c r="U50" s="10"/>
      <c r="V50" s="10"/>
      <c r="W50" s="10"/>
      <c r="X50" s="10"/>
      <c r="Y50" s="10"/>
      <c r="Z50" s="10"/>
      <c r="AA50" s="10"/>
      <c r="AB50" s="10"/>
      <c r="AC50" s="10"/>
      <c r="AD50" s="10"/>
      <c r="AE50" s="10"/>
      <c r="AF50" s="10"/>
      <c r="AG50" s="10"/>
      <c r="AH50" s="10"/>
      <c r="AI50" s="10"/>
      <c r="AJ50" s="10"/>
      <c r="AK50" s="10"/>
      <c r="AL50" s="10"/>
      <c r="AM50" s="10"/>
      <c r="AN50" s="10"/>
    </row>
    <row r="51" spans="1:40" ht="17.25">
      <c r="A51" s="10" t="s">
        <v>282</v>
      </c>
      <c r="B51" s="199">
        <f>+'bncgdes&amp;$ '!B51</f>
        <v>0</v>
      </c>
      <c r="C51" s="199">
        <f>+'bphgdes&amp;$'!B51</f>
        <v>0</v>
      </c>
      <c r="D51" s="199">
        <f>+'buhgdes&amp;$'!B51</f>
        <v>0</v>
      </c>
      <c r="E51" s="199">
        <f>+'capitalbkgdes&amp;$'!B51</f>
        <v>0</v>
      </c>
      <c r="F51" s="199">
        <f>+'sogebkgdes&amp;$  '!B51</f>
        <v>0</v>
      </c>
      <c r="G51" s="547">
        <f>+'unibkgdes&amp;$'!B51</f>
        <v>0</v>
      </c>
      <c r="H51" s="270">
        <f>SUM(B51:G51)</f>
        <v>0</v>
      </c>
      <c r="I51" s="547">
        <f>+'sgbelgdes&amp;$'!B51</f>
        <v>0</v>
      </c>
      <c r="J51" s="570">
        <f>+I51</f>
        <v>0</v>
      </c>
      <c r="K51" s="605">
        <f>+'cbnagdes&amp;$'!B51</f>
        <v>0</v>
      </c>
      <c r="L51" s="547">
        <f>+'scotiagdes&amp;$'!B51</f>
        <v>0</v>
      </c>
      <c r="M51" s="270">
        <f>SUM(K51:L51)</f>
        <v>0</v>
      </c>
      <c r="N51" s="270">
        <f>+H51+J51+M51</f>
        <v>0</v>
      </c>
      <c r="O51"/>
      <c r="P51"/>
      <c r="Q51" s="64"/>
      <c r="R51" s="70"/>
      <c r="S51" s="70"/>
      <c r="T51" s="70"/>
      <c r="U51" s="10"/>
      <c r="V51" s="10"/>
      <c r="W51" s="10"/>
      <c r="X51" s="10"/>
      <c r="Y51" s="10"/>
      <c r="Z51" s="10"/>
      <c r="AA51" s="10"/>
      <c r="AB51" s="10"/>
      <c r="AC51" s="10"/>
      <c r="AD51" s="10"/>
      <c r="AE51" s="10"/>
      <c r="AF51" s="10"/>
      <c r="AG51" s="10"/>
      <c r="AH51" s="10"/>
      <c r="AI51" s="10"/>
      <c r="AJ51" s="10"/>
      <c r="AK51" s="10"/>
      <c r="AL51" s="10"/>
      <c r="AM51" s="10"/>
      <c r="AN51" s="10"/>
    </row>
    <row r="52" spans="1:40" ht="16.5" thickBot="1">
      <c r="A52" s="10" t="s">
        <v>54</v>
      </c>
      <c r="B52" s="97">
        <f t="shared" ref="B52:N52" si="11">SUM(B48:B51)</f>
        <v>0</v>
      </c>
      <c r="C52" s="97">
        <f t="shared" si="11"/>
        <v>0</v>
      </c>
      <c r="D52" s="97">
        <f t="shared" si="11"/>
        <v>0</v>
      </c>
      <c r="E52" s="97">
        <f t="shared" si="11"/>
        <v>0</v>
      </c>
      <c r="F52" s="97">
        <f t="shared" si="11"/>
        <v>0</v>
      </c>
      <c r="G52" s="97">
        <f t="shared" si="11"/>
        <v>0</v>
      </c>
      <c r="H52" s="173">
        <f t="shared" si="11"/>
        <v>0</v>
      </c>
      <c r="I52" s="97">
        <f t="shared" si="11"/>
        <v>0</v>
      </c>
      <c r="J52" s="583">
        <f t="shared" si="11"/>
        <v>0</v>
      </c>
      <c r="K52" s="97">
        <f t="shared" si="11"/>
        <v>0</v>
      </c>
      <c r="L52" s="97">
        <f t="shared" si="11"/>
        <v>0</v>
      </c>
      <c r="M52" s="179">
        <f t="shared" si="11"/>
        <v>0</v>
      </c>
      <c r="N52" s="173">
        <f t="shared" si="11"/>
        <v>0</v>
      </c>
      <c r="O52"/>
      <c r="P52"/>
      <c r="Q52" s="64"/>
      <c r="R52" s="10"/>
      <c r="S52" s="10"/>
      <c r="T52" s="10"/>
      <c r="U52" s="10"/>
      <c r="V52" s="10"/>
      <c r="W52" s="10"/>
      <c r="X52" s="10"/>
      <c r="Y52" s="10"/>
      <c r="Z52" s="10"/>
      <c r="AA52" s="10"/>
      <c r="AB52" s="10"/>
      <c r="AC52" s="10"/>
      <c r="AD52" s="10"/>
      <c r="AE52" s="10"/>
      <c r="AF52" s="10"/>
      <c r="AG52" s="10"/>
      <c r="AH52" s="10"/>
      <c r="AI52" s="10"/>
      <c r="AJ52" s="10"/>
      <c r="AK52" s="10"/>
      <c r="AL52" s="10"/>
      <c r="AM52" s="10"/>
      <c r="AN52" s="10"/>
    </row>
    <row r="53" spans="1:40">
      <c r="A53" s="10" t="s">
        <v>0</v>
      </c>
      <c r="B53" s="90">
        <f t="shared" ref="B53:N53" si="12">+B30+B36+B42+B44+B52</f>
        <v>17143478.70104</v>
      </c>
      <c r="C53" s="90">
        <f t="shared" si="12"/>
        <v>1943178.2572413071</v>
      </c>
      <c r="D53" s="90">
        <f t="shared" si="12"/>
        <v>2853078.5473272977</v>
      </c>
      <c r="E53" s="90">
        <f t="shared" si="12"/>
        <v>7007024</v>
      </c>
      <c r="F53" s="90">
        <f t="shared" si="12"/>
        <v>29735655.431420002</v>
      </c>
      <c r="G53" s="90">
        <f t="shared" si="12"/>
        <v>32974556.880410749</v>
      </c>
      <c r="H53" s="172">
        <f t="shared" si="12"/>
        <v>91656971.817439362</v>
      </c>
      <c r="I53" s="90">
        <f t="shared" si="12"/>
        <v>3412549.0083500003</v>
      </c>
      <c r="J53" s="180">
        <f t="shared" si="12"/>
        <v>3412549.0083500003</v>
      </c>
      <c r="K53" s="90">
        <f t="shared" si="12"/>
        <v>2671533</v>
      </c>
      <c r="L53" s="90">
        <f t="shared" si="12"/>
        <v>3156302</v>
      </c>
      <c r="M53" s="178">
        <f t="shared" si="12"/>
        <v>5827835</v>
      </c>
      <c r="N53" s="172">
        <f t="shared" si="12"/>
        <v>100897355.82578938</v>
      </c>
      <c r="O53"/>
      <c r="P53"/>
      <c r="Q53" s="64"/>
      <c r="R53" s="10"/>
      <c r="S53" s="10"/>
      <c r="T53" s="10"/>
      <c r="U53" s="10"/>
      <c r="V53" s="10"/>
      <c r="W53" s="10"/>
      <c r="X53" s="10"/>
      <c r="Y53" s="10"/>
      <c r="Z53" s="10"/>
      <c r="AA53" s="10"/>
      <c r="AB53" s="10"/>
      <c r="AC53" s="10"/>
      <c r="AD53" s="10"/>
      <c r="AE53" s="10"/>
      <c r="AF53" s="10"/>
      <c r="AG53" s="10"/>
      <c r="AH53" s="10"/>
      <c r="AI53" s="10"/>
      <c r="AJ53" s="10"/>
      <c r="AK53" s="10"/>
      <c r="AL53" s="10"/>
      <c r="AM53" s="10"/>
      <c r="AN53" s="10"/>
    </row>
    <row r="54" spans="1:40">
      <c r="A54" s="10"/>
      <c r="B54" s="65"/>
      <c r="C54" s="65"/>
      <c r="D54" s="64"/>
      <c r="E54" s="64"/>
      <c r="F54" s="64"/>
      <c r="G54" s="64"/>
      <c r="H54" s="85"/>
      <c r="I54" s="64"/>
      <c r="J54" s="280"/>
      <c r="K54" s="64"/>
      <c r="L54" s="65"/>
      <c r="M54" s="279"/>
      <c r="N54" s="85"/>
      <c r="O54"/>
      <c r="P54" s="116" t="s">
        <v>0</v>
      </c>
      <c r="Q54" s="64"/>
      <c r="R54" s="10"/>
      <c r="S54" s="10"/>
      <c r="T54" s="10"/>
      <c r="U54" s="10"/>
      <c r="V54" s="10"/>
      <c r="W54" s="10"/>
      <c r="X54" s="10"/>
      <c r="Y54" s="10"/>
      <c r="Z54" s="10"/>
      <c r="AA54" s="10"/>
      <c r="AB54" s="10"/>
      <c r="AC54" s="10"/>
      <c r="AD54" s="10"/>
      <c r="AE54" s="10"/>
      <c r="AF54" s="10"/>
      <c r="AG54" s="10"/>
      <c r="AH54" s="10"/>
      <c r="AI54" s="10"/>
      <c r="AJ54" s="10"/>
      <c r="AK54" s="10"/>
      <c r="AL54" s="10"/>
      <c r="AM54" s="10"/>
      <c r="AN54" s="10"/>
    </row>
    <row r="55" spans="1:40">
      <c r="A55" s="10"/>
      <c r="B55" s="65"/>
      <c r="C55" s="65"/>
      <c r="D55" s="64"/>
      <c r="E55" s="64"/>
      <c r="F55" s="64"/>
      <c r="G55" s="64"/>
      <c r="H55" s="85"/>
      <c r="I55" s="64"/>
      <c r="J55" s="280"/>
      <c r="K55" s="64"/>
      <c r="L55" s="65"/>
      <c r="M55" s="279"/>
      <c r="N55" s="85"/>
      <c r="O55" s="116" t="s">
        <v>0</v>
      </c>
      <c r="P55"/>
      <c r="Q55" s="64"/>
      <c r="R55" s="10"/>
      <c r="S55" s="10"/>
      <c r="T55" s="10"/>
      <c r="U55" s="10"/>
      <c r="V55" s="10"/>
      <c r="W55" s="10"/>
      <c r="X55" s="10"/>
      <c r="Y55" s="10"/>
      <c r="Z55" s="10"/>
      <c r="AA55" s="10"/>
      <c r="AB55" s="10"/>
      <c r="AC55" s="10"/>
      <c r="AD55" s="10"/>
      <c r="AE55" s="10"/>
      <c r="AF55" s="10"/>
      <c r="AG55" s="10"/>
      <c r="AH55" s="10"/>
      <c r="AI55" s="10"/>
      <c r="AJ55" s="10"/>
      <c r="AK55" s="10"/>
      <c r="AL55" s="10"/>
      <c r="AM55" s="10"/>
      <c r="AN55" s="10"/>
    </row>
    <row r="56" spans="1:40">
      <c r="A56" s="11" t="s">
        <v>369</v>
      </c>
      <c r="B56" s="133">
        <f>+B23/'bilsysbandéc. 14  '!B23</f>
        <v>0.39971087030994279</v>
      </c>
      <c r="C56" s="133">
        <f>+C23/'bilsysbandéc. 14  '!C23</f>
        <v>0.59451996176490629</v>
      </c>
      <c r="D56" s="133">
        <f>+D23/'bilsysbandéc. 14  '!D23</f>
        <v>0.50187210437292706</v>
      </c>
      <c r="E56" s="133">
        <f>+E23/'bilsysbandéc. 14  '!E23</f>
        <v>0.58170716259975119</v>
      </c>
      <c r="F56" s="133">
        <f>+F23/'bilsysbandéc. 14  '!F23</f>
        <v>0.55960305907944274</v>
      </c>
      <c r="G56" s="133">
        <f>+G23/'bilsysbandéc. 14  '!G23</f>
        <v>0.56978757708663441</v>
      </c>
      <c r="H56" s="174">
        <f>+H23/'bilsysbandéc. 14  '!H23</f>
        <v>0.52442958289694919</v>
      </c>
      <c r="I56" s="133">
        <f>+I23/'bilsysbandéc. 14  '!I23</f>
        <v>0.5583695158744062</v>
      </c>
      <c r="J56" s="174">
        <f>+J23/'bilsysbandéc. 14  '!J23</f>
        <v>0.5583695158744062</v>
      </c>
      <c r="K56" s="133">
        <f>+K23/'bilsysbandéc. 14  '!K23</f>
        <v>0.41960649219638346</v>
      </c>
      <c r="L56" s="133">
        <f>+L23/'bilsysbandéc. 14  '!L23</f>
        <v>0.5150858815308651</v>
      </c>
      <c r="M56" s="174">
        <f>+M23/'bilsysbandéc. 14  '!M23</f>
        <v>0.46648092135225366</v>
      </c>
      <c r="N56" s="647">
        <f>+N23/'bilsysbandéc. 14  '!N23</f>
        <v>0.52177818578265989</v>
      </c>
      <c r="O56"/>
      <c r="P56"/>
      <c r="Q56" s="64"/>
      <c r="R56" s="10"/>
      <c r="S56" s="10"/>
      <c r="T56" s="10"/>
      <c r="U56" s="10"/>
      <c r="V56" s="10"/>
      <c r="W56" s="10"/>
      <c r="X56" s="10"/>
      <c r="Y56" s="10"/>
      <c r="Z56" s="10"/>
      <c r="AA56" s="10"/>
      <c r="AB56" s="10"/>
      <c r="AC56" s="10"/>
      <c r="AD56" s="10"/>
      <c r="AE56" s="10"/>
      <c r="AF56" s="10"/>
      <c r="AG56" s="10"/>
      <c r="AH56" s="10"/>
      <c r="AI56" s="10"/>
      <c r="AJ56" s="10"/>
      <c r="AK56" s="10"/>
      <c r="AL56" s="10"/>
      <c r="AM56" s="10"/>
      <c r="AN56" s="10"/>
    </row>
    <row r="57" spans="1:40">
      <c r="A57" s="11" t="s">
        <v>370</v>
      </c>
      <c r="B57" s="98">
        <f>+B30/'bilsysbandéc. 14  '!B30</f>
        <v>0.4237889420950503</v>
      </c>
      <c r="C57" s="98">
        <f>+C30/'bilsysbandéc. 14  '!C30</f>
        <v>0.65872369991388047</v>
      </c>
      <c r="D57" s="98">
        <f>+D30/'bilsysbandéc. 14  '!D30</f>
        <v>0.53157322401871299</v>
      </c>
      <c r="E57" s="98">
        <f>+E30/'bilsysbandéc. 14  '!E30</f>
        <v>0.63570802958377826</v>
      </c>
      <c r="F57" s="98">
        <f>+F30/'bilsysbandéc. 14  '!F30</f>
        <v>0.5955699697322091</v>
      </c>
      <c r="G57" s="98">
        <f>+G30/'bilsysbandéc. 14  '!G30</f>
        <v>0.61999517253555303</v>
      </c>
      <c r="H57" s="174">
        <f>+H30/'bilsysbandéc. 14  '!H30</f>
        <v>0.56567211735107525</v>
      </c>
      <c r="I57" s="98">
        <f>+I30/'bilsysbandéc. 14  '!I30</f>
        <v>0.73317883275332507</v>
      </c>
      <c r="J57" s="174">
        <f>+J30/'bilsysbandéc. 14  '!J30</f>
        <v>0.73317883275332507</v>
      </c>
      <c r="K57" s="98">
        <f>+K30/'bilsysbandéc. 14  '!K30</f>
        <v>0.45609752057397457</v>
      </c>
      <c r="L57" s="98">
        <f>+L30/'bilsysbandéc. 14  '!L30</f>
        <v>0.50761088944999389</v>
      </c>
      <c r="M57" s="174">
        <f>+M30/'bilsysbandéc. 14  '!M30</f>
        <v>0.48352888863710142</v>
      </c>
      <c r="N57" s="647">
        <f>+N30/'bilsysbandéc. 14  '!N30</f>
        <v>0.56538943909472605</v>
      </c>
      <c r="O57"/>
      <c r="P57"/>
      <c r="Q57" s="64" t="s">
        <v>0</v>
      </c>
      <c r="R57" s="10" t="s">
        <v>0</v>
      </c>
      <c r="S57" s="10" t="s">
        <v>0</v>
      </c>
      <c r="T57" s="10" t="s">
        <v>0</v>
      </c>
      <c r="U57" s="10"/>
      <c r="V57" s="10"/>
      <c r="W57" s="10"/>
      <c r="X57" s="10"/>
      <c r="Y57" s="10"/>
      <c r="Z57" s="10"/>
      <c r="AA57" s="10"/>
      <c r="AB57" s="10"/>
      <c r="AC57" s="10"/>
      <c r="AD57" s="10"/>
      <c r="AE57" s="10"/>
      <c r="AF57" s="10"/>
      <c r="AG57" s="10"/>
      <c r="AH57" s="10"/>
      <c r="AI57" s="10"/>
      <c r="AJ57" s="10"/>
      <c r="AK57" s="10"/>
      <c r="AL57" s="10"/>
      <c r="AM57" s="10"/>
      <c r="AN57" s="10"/>
    </row>
    <row r="58" spans="1:40">
      <c r="B58"/>
      <c r="C58"/>
      <c r="D58"/>
      <c r="E58"/>
      <c r="F58"/>
      <c r="G58"/>
      <c r="H58"/>
      <c r="I58"/>
      <c r="J58"/>
      <c r="K58"/>
      <c r="L58"/>
      <c r="M58"/>
      <c r="N58"/>
      <c r="O58"/>
      <c r="P58"/>
      <c r="Q58"/>
    </row>
    <row r="59" spans="1:40">
      <c r="B59"/>
      <c r="C59"/>
      <c r="D59"/>
      <c r="E59"/>
      <c r="F59"/>
      <c r="G59"/>
      <c r="H59"/>
      <c r="I59"/>
      <c r="J59"/>
      <c r="K59"/>
      <c r="L59"/>
      <c r="M59"/>
      <c r="N59"/>
      <c r="O59"/>
      <c r="P59"/>
      <c r="Q59"/>
    </row>
    <row r="60" spans="1:40">
      <c r="B60"/>
      <c r="C60"/>
      <c r="D60"/>
      <c r="E60"/>
      <c r="F60"/>
      <c r="G60"/>
      <c r="H60"/>
      <c r="I60"/>
      <c r="J60"/>
      <c r="K60"/>
      <c r="L60"/>
      <c r="M60"/>
      <c r="N60"/>
      <c r="O60" s="64"/>
      <c r="P60" s="64"/>
      <c r="Q60" s="64"/>
      <c r="R60" s="10"/>
      <c r="S60" s="10"/>
      <c r="T60" s="10"/>
      <c r="U60" s="10"/>
      <c r="V60" s="10"/>
      <c r="W60" s="10"/>
      <c r="X60" s="10"/>
      <c r="Y60" s="10"/>
      <c r="Z60" s="10"/>
      <c r="AA60" s="10"/>
      <c r="AB60" s="10"/>
      <c r="AC60" s="10"/>
      <c r="AD60" s="10"/>
      <c r="AE60" s="10"/>
      <c r="AF60" s="10"/>
      <c r="AG60" s="10"/>
      <c r="AH60" s="10"/>
      <c r="AI60" s="10"/>
      <c r="AJ60" s="10"/>
      <c r="AK60" s="10"/>
      <c r="AL60" s="10"/>
      <c r="AM60" s="10"/>
      <c r="AN60" s="10"/>
    </row>
    <row r="61" spans="1:40">
      <c r="B61"/>
      <c r="C61"/>
      <c r="D61"/>
      <c r="E61"/>
      <c r="F61"/>
      <c r="G61"/>
      <c r="H61"/>
      <c r="I61"/>
      <c r="J61"/>
      <c r="K61"/>
      <c r="L61"/>
      <c r="M61"/>
      <c r="N61"/>
      <c r="O61" s="64"/>
      <c r="P61" s="64"/>
      <c r="Q61" s="64"/>
      <c r="R61" s="10"/>
      <c r="S61" s="10"/>
      <c r="T61" s="10"/>
      <c r="U61" s="10"/>
      <c r="V61" s="10"/>
      <c r="W61" s="10"/>
      <c r="X61" s="10"/>
      <c r="Y61" s="10"/>
      <c r="Z61" s="10"/>
      <c r="AA61" s="10"/>
      <c r="AB61" s="10"/>
      <c r="AC61" s="10"/>
      <c r="AD61" s="10"/>
      <c r="AE61" s="10"/>
      <c r="AF61" s="10"/>
      <c r="AG61" s="10"/>
      <c r="AH61" s="10"/>
      <c r="AI61" s="10"/>
      <c r="AJ61" s="10"/>
      <c r="AK61" s="10"/>
      <c r="AL61" s="10"/>
      <c r="AM61" s="10"/>
      <c r="AN61" s="10"/>
    </row>
    <row r="62" spans="1:40">
      <c r="B62"/>
      <c r="C62"/>
      <c r="D62"/>
      <c r="E62"/>
      <c r="F62"/>
      <c r="G62"/>
      <c r="H62"/>
      <c r="I62"/>
      <c r="J62"/>
      <c r="K62"/>
      <c r="L62"/>
      <c r="M62"/>
      <c r="N62"/>
      <c r="O62" s="64"/>
      <c r="P62" s="64"/>
      <c r="Q62" s="64"/>
      <c r="R62" s="10"/>
      <c r="S62" s="10"/>
      <c r="T62" s="10"/>
      <c r="U62" s="10"/>
      <c r="V62" s="10"/>
      <c r="W62" s="10"/>
      <c r="X62" s="10"/>
      <c r="Y62" s="10"/>
      <c r="Z62" s="10"/>
      <c r="AA62" s="10"/>
      <c r="AB62" s="10"/>
      <c r="AC62" s="10"/>
      <c r="AD62" s="10"/>
      <c r="AE62" s="10"/>
      <c r="AF62" s="10"/>
      <c r="AG62" s="10"/>
      <c r="AH62" s="10"/>
      <c r="AI62" s="10"/>
      <c r="AJ62" s="10"/>
      <c r="AK62" s="10"/>
      <c r="AL62" s="10"/>
      <c r="AM62" s="10"/>
      <c r="AN62" s="10"/>
    </row>
    <row r="63" spans="1:40">
      <c r="B63"/>
      <c r="C63"/>
      <c r="D63"/>
      <c r="E63"/>
      <c r="F63"/>
      <c r="G63"/>
      <c r="H63"/>
      <c r="I63"/>
      <c r="J63"/>
      <c r="K63"/>
      <c r="L63"/>
      <c r="M63"/>
      <c r="N63"/>
      <c r="O63" s="64"/>
      <c r="P63" s="64"/>
      <c r="Q63" s="64"/>
      <c r="R63" s="10"/>
      <c r="S63" s="10"/>
      <c r="T63" s="10"/>
      <c r="U63" s="10"/>
      <c r="V63" s="10"/>
      <c r="W63" s="10"/>
      <c r="X63" s="10"/>
      <c r="Y63" s="10"/>
      <c r="Z63" s="10"/>
      <c r="AA63" s="10"/>
      <c r="AB63" s="10"/>
      <c r="AC63" s="10"/>
      <c r="AD63" s="10"/>
      <c r="AE63" s="10"/>
      <c r="AF63" s="10"/>
      <c r="AG63" s="10"/>
      <c r="AH63" s="10"/>
      <c r="AI63" s="10"/>
      <c r="AJ63" s="10"/>
      <c r="AK63" s="10"/>
      <c r="AL63" s="10"/>
      <c r="AM63" s="10"/>
      <c r="AN63" s="10"/>
    </row>
    <row r="64" spans="1:40">
      <c r="B64"/>
      <c r="C64"/>
      <c r="D64"/>
      <c r="E64"/>
      <c r="F64"/>
      <c r="G64"/>
      <c r="H64"/>
      <c r="I64"/>
      <c r="J64"/>
      <c r="K64"/>
      <c r="L64"/>
      <c r="M64"/>
      <c r="N64"/>
      <c r="O64" s="64"/>
      <c r="P64" s="64"/>
      <c r="Q64" s="64"/>
      <c r="R64" s="10"/>
      <c r="S64" s="10"/>
      <c r="T64" s="10"/>
      <c r="U64" s="10"/>
      <c r="V64" s="10"/>
      <c r="W64" s="10"/>
      <c r="X64" s="10"/>
      <c r="Y64" s="10"/>
      <c r="Z64" s="10"/>
      <c r="AA64" s="10"/>
      <c r="AB64" s="10"/>
      <c r="AC64" s="10"/>
      <c r="AD64" s="10"/>
      <c r="AE64" s="10"/>
      <c r="AF64" s="10"/>
      <c r="AG64" s="10"/>
      <c r="AH64" s="10"/>
      <c r="AI64" s="10"/>
      <c r="AJ64" s="10"/>
      <c r="AK64" s="10"/>
      <c r="AL64" s="10"/>
      <c r="AM64" s="10"/>
      <c r="AN64" s="10"/>
    </row>
    <row r="65" spans="2:40">
      <c r="B65"/>
      <c r="C65"/>
      <c r="D65"/>
      <c r="E65"/>
      <c r="F65"/>
      <c r="G65"/>
      <c r="H65"/>
      <c r="I65"/>
      <c r="J65"/>
      <c r="K65"/>
      <c r="L65"/>
      <c r="M65"/>
      <c r="N65"/>
      <c r="O65" s="64"/>
      <c r="P65" s="64"/>
      <c r="Q65" s="64"/>
      <c r="R65" s="10"/>
      <c r="S65" s="10"/>
      <c r="T65" s="10"/>
      <c r="U65" s="10"/>
      <c r="V65" s="10"/>
      <c r="W65" s="10"/>
      <c r="X65" s="10"/>
      <c r="Y65" s="10"/>
      <c r="Z65" s="10"/>
      <c r="AA65" s="10"/>
      <c r="AB65" s="10"/>
      <c r="AC65" s="10"/>
      <c r="AD65" s="10"/>
      <c r="AE65" s="10"/>
      <c r="AF65" s="10"/>
      <c r="AG65" s="10"/>
      <c r="AH65" s="10"/>
      <c r="AI65" s="10"/>
      <c r="AJ65" s="10"/>
      <c r="AK65" s="10"/>
      <c r="AL65" s="10"/>
      <c r="AM65" s="10"/>
      <c r="AN65" s="10"/>
    </row>
    <row r="66" spans="2:40">
      <c r="B66"/>
      <c r="C66"/>
      <c r="D66"/>
      <c r="E66"/>
      <c r="F66"/>
      <c r="G66"/>
      <c r="H66"/>
      <c r="I66"/>
      <c r="J66"/>
      <c r="K66"/>
      <c r="L66"/>
      <c r="M66"/>
      <c r="N66"/>
      <c r="O66" s="64"/>
      <c r="P66" s="64"/>
      <c r="Q66" s="64"/>
      <c r="R66" s="10"/>
      <c r="S66" s="10"/>
      <c r="T66" s="10"/>
      <c r="U66" s="10"/>
      <c r="V66" s="10"/>
      <c r="W66" s="10"/>
      <c r="X66" s="10"/>
      <c r="Y66" s="10"/>
      <c r="Z66" s="10"/>
      <c r="AA66" s="10"/>
      <c r="AB66" s="10"/>
      <c r="AC66" s="10"/>
      <c r="AD66" s="10"/>
      <c r="AE66" s="10"/>
      <c r="AF66" s="10"/>
      <c r="AG66" s="10"/>
      <c r="AH66" s="10"/>
      <c r="AI66" s="10"/>
      <c r="AJ66" s="10"/>
      <c r="AK66" s="10"/>
      <c r="AL66" s="10"/>
      <c r="AM66" s="10"/>
      <c r="AN66" s="10"/>
    </row>
    <row r="67" spans="2:40">
      <c r="B67"/>
      <c r="C67"/>
      <c r="D67"/>
      <c r="E67"/>
      <c r="F67"/>
      <c r="G67"/>
      <c r="H67"/>
      <c r="I67"/>
      <c r="J67"/>
      <c r="K67"/>
      <c r="L67"/>
      <c r="M67"/>
      <c r="N67"/>
      <c r="O67" s="64"/>
      <c r="P67" s="64"/>
      <c r="Q67" s="64"/>
      <c r="R67" s="10"/>
      <c r="S67" s="10"/>
      <c r="T67" s="10"/>
      <c r="U67" s="10"/>
      <c r="V67" s="10"/>
      <c r="W67" s="10"/>
      <c r="X67" s="10"/>
      <c r="Y67" s="10"/>
      <c r="Z67" s="10"/>
      <c r="AA67" s="10"/>
      <c r="AB67" s="10"/>
      <c r="AC67" s="10"/>
      <c r="AD67" s="10"/>
      <c r="AE67" s="10"/>
      <c r="AF67" s="10"/>
      <c r="AG67" s="10"/>
      <c r="AH67" s="10"/>
      <c r="AI67" s="10"/>
      <c r="AJ67" s="10"/>
      <c r="AK67" s="10"/>
      <c r="AL67" s="10"/>
      <c r="AM67" s="10"/>
      <c r="AN67" s="10"/>
    </row>
    <row r="68" spans="2:40">
      <c r="B68"/>
      <c r="C68"/>
      <c r="D68"/>
      <c r="E68"/>
      <c r="F68"/>
      <c r="G68"/>
      <c r="H68"/>
      <c r="I68"/>
      <c r="J68"/>
      <c r="K68"/>
      <c r="L68"/>
      <c r="M68"/>
      <c r="N68"/>
      <c r="O68" s="64"/>
      <c r="P68" s="64"/>
      <c r="Q68" s="64"/>
      <c r="R68" s="10"/>
      <c r="S68" s="10"/>
      <c r="T68" s="10"/>
      <c r="U68" s="10"/>
      <c r="V68" s="10"/>
      <c r="W68" s="10"/>
      <c r="X68" s="10"/>
      <c r="Y68" s="10"/>
      <c r="Z68" s="10"/>
      <c r="AA68" s="10"/>
      <c r="AB68" s="10"/>
      <c r="AC68" s="10"/>
      <c r="AD68" s="10"/>
      <c r="AE68" s="10"/>
      <c r="AF68" s="10"/>
      <c r="AG68" s="10"/>
      <c r="AH68" s="10"/>
      <c r="AI68" s="10"/>
      <c r="AJ68" s="10"/>
      <c r="AK68" s="10"/>
      <c r="AL68" s="10"/>
      <c r="AM68" s="10"/>
      <c r="AN68" s="10"/>
    </row>
    <row r="69" spans="2:40">
      <c r="B69"/>
      <c r="C69"/>
      <c r="D69"/>
      <c r="E69"/>
      <c r="F69"/>
      <c r="G69"/>
      <c r="H69"/>
      <c r="I69"/>
      <c r="J69"/>
      <c r="K69"/>
      <c r="L69"/>
      <c r="M69"/>
      <c r="N69"/>
      <c r="O69" s="64"/>
      <c r="P69" s="64"/>
      <c r="Q69" s="64"/>
      <c r="R69" s="10"/>
      <c r="S69" s="10"/>
      <c r="T69" s="10"/>
      <c r="U69" s="10"/>
      <c r="V69" s="10"/>
      <c r="W69" s="10"/>
      <c r="X69" s="10"/>
      <c r="Y69" s="10"/>
      <c r="Z69" s="10"/>
      <c r="AA69" s="10"/>
      <c r="AB69" s="10"/>
      <c r="AC69" s="10"/>
      <c r="AD69" s="10"/>
      <c r="AE69" s="10"/>
      <c r="AF69" s="10"/>
      <c r="AG69" s="10"/>
      <c r="AH69" s="10"/>
      <c r="AI69" s="10"/>
      <c r="AJ69" s="10"/>
      <c r="AK69" s="10"/>
      <c r="AL69" s="10"/>
      <c r="AM69" s="10"/>
      <c r="AN69" s="10"/>
    </row>
    <row r="70" spans="2:40">
      <c r="B70"/>
      <c r="C70"/>
      <c r="D70"/>
      <c r="E70"/>
      <c r="F70"/>
      <c r="G70"/>
      <c r="H70"/>
      <c r="I70"/>
      <c r="J70"/>
      <c r="K70"/>
      <c r="L70"/>
      <c r="M70"/>
      <c r="N70"/>
      <c r="O70" s="64"/>
      <c r="P70" s="64"/>
      <c r="Q70" s="64"/>
      <c r="R70" s="10"/>
      <c r="S70" s="10"/>
      <c r="T70" s="10"/>
      <c r="U70" s="10"/>
      <c r="V70" s="10"/>
      <c r="W70" s="10"/>
      <c r="X70" s="10"/>
      <c r="Y70" s="10"/>
      <c r="Z70" s="10"/>
      <c r="AA70" s="10"/>
      <c r="AB70" s="10"/>
      <c r="AC70" s="10"/>
      <c r="AD70" s="10"/>
      <c r="AE70" s="10"/>
      <c r="AF70" s="10"/>
      <c r="AG70" s="10"/>
      <c r="AH70" s="10"/>
      <c r="AI70" s="10"/>
      <c r="AJ70" s="10"/>
      <c r="AK70" s="10"/>
      <c r="AL70" s="10"/>
      <c r="AM70" s="10"/>
      <c r="AN70" s="10"/>
    </row>
    <row r="71" spans="2:40">
      <c r="B71"/>
      <c r="C71"/>
      <c r="D71"/>
      <c r="E71"/>
      <c r="F71"/>
      <c r="G71"/>
      <c r="H71"/>
      <c r="I71"/>
      <c r="J71"/>
      <c r="K71"/>
      <c r="L71"/>
      <c r="M71"/>
      <c r="N71"/>
      <c r="O71" s="64"/>
      <c r="P71" s="64"/>
      <c r="Q71" s="64"/>
      <c r="R71" s="10"/>
      <c r="S71" s="10"/>
      <c r="T71" s="10"/>
      <c r="U71" s="10"/>
      <c r="V71" s="10"/>
      <c r="W71" s="10"/>
      <c r="X71" s="10"/>
      <c r="Y71" s="10"/>
      <c r="Z71" s="10"/>
      <c r="AA71" s="10"/>
      <c r="AB71" s="10"/>
      <c r="AC71" s="10"/>
      <c r="AD71" s="10"/>
      <c r="AE71" s="10"/>
      <c r="AF71" s="10"/>
      <c r="AG71" s="10"/>
      <c r="AH71" s="10"/>
      <c r="AI71" s="10"/>
      <c r="AJ71" s="10"/>
      <c r="AK71" s="10"/>
      <c r="AL71" s="10"/>
      <c r="AM71" s="10"/>
      <c r="AN71" s="10"/>
    </row>
    <row r="72" spans="2:40">
      <c r="B72"/>
      <c r="C72"/>
      <c r="D72"/>
      <c r="E72"/>
      <c r="F72"/>
      <c r="G72"/>
      <c r="H72"/>
      <c r="I72"/>
      <c r="J72"/>
      <c r="K72"/>
      <c r="L72"/>
      <c r="M72"/>
      <c r="N72"/>
      <c r="O72" s="64"/>
      <c r="P72" s="64"/>
      <c r="Q72" s="64"/>
      <c r="R72" s="10"/>
      <c r="S72" s="10"/>
      <c r="T72" s="10"/>
      <c r="U72" s="10"/>
      <c r="V72" s="10"/>
      <c r="W72" s="10"/>
      <c r="X72" s="10"/>
      <c r="Y72" s="10"/>
      <c r="Z72" s="10"/>
      <c r="AA72" s="10"/>
      <c r="AB72" s="10"/>
      <c r="AC72" s="10"/>
      <c r="AD72" s="10"/>
      <c r="AE72" s="10"/>
      <c r="AF72" s="10"/>
      <c r="AG72" s="10"/>
      <c r="AH72" s="10"/>
      <c r="AI72" s="10"/>
      <c r="AJ72" s="10"/>
      <c r="AK72" s="10"/>
      <c r="AL72" s="10"/>
      <c r="AM72" s="10"/>
      <c r="AN72" s="10"/>
    </row>
    <row r="73" spans="2:40">
      <c r="B73"/>
      <c r="C73"/>
      <c r="D73"/>
      <c r="E73"/>
      <c r="F73"/>
      <c r="G73"/>
      <c r="H73"/>
      <c r="I73"/>
      <c r="J73"/>
      <c r="K73"/>
      <c r="L73"/>
      <c r="M73"/>
      <c r="N73"/>
      <c r="O73" s="64"/>
      <c r="P73" s="64"/>
      <c r="Q73" s="64"/>
      <c r="R73" s="10"/>
      <c r="S73" s="10"/>
      <c r="T73" s="10"/>
      <c r="U73" s="10"/>
      <c r="V73" s="10"/>
      <c r="W73" s="10"/>
      <c r="X73" s="10"/>
      <c r="Y73" s="10"/>
      <c r="Z73" s="10"/>
      <c r="AA73" s="10"/>
      <c r="AB73" s="10"/>
      <c r="AC73" s="10"/>
      <c r="AD73" s="10"/>
      <c r="AE73" s="10"/>
      <c r="AF73" s="10"/>
      <c r="AG73" s="10"/>
      <c r="AH73" s="10"/>
      <c r="AI73" s="10"/>
      <c r="AJ73" s="10"/>
      <c r="AK73" s="10"/>
      <c r="AL73" s="10"/>
      <c r="AM73" s="10"/>
      <c r="AN73" s="10"/>
    </row>
    <row r="74" spans="2:40">
      <c r="B74"/>
      <c r="C74"/>
      <c r="D74"/>
      <c r="E74"/>
      <c r="F74"/>
      <c r="G74"/>
      <c r="H74"/>
      <c r="I74"/>
      <c r="J74"/>
      <c r="K74"/>
      <c r="L74"/>
      <c r="M74"/>
      <c r="N74"/>
      <c r="O74" s="64"/>
      <c r="P74" s="64"/>
      <c r="Q74" s="64"/>
      <c r="R74" s="10"/>
      <c r="S74" s="10"/>
      <c r="T74" s="10"/>
      <c r="U74" s="10"/>
      <c r="V74" s="10"/>
      <c r="W74" s="10"/>
      <c r="X74" s="10"/>
      <c r="Y74" s="10"/>
      <c r="Z74" s="10"/>
      <c r="AA74" s="10"/>
      <c r="AB74" s="10"/>
      <c r="AC74" s="10"/>
      <c r="AD74" s="10"/>
      <c r="AE74" s="10"/>
      <c r="AF74" s="10"/>
      <c r="AG74" s="10"/>
      <c r="AH74" s="10"/>
      <c r="AI74" s="10"/>
      <c r="AJ74" s="10"/>
      <c r="AK74" s="10"/>
      <c r="AL74" s="10"/>
      <c r="AM74" s="10"/>
      <c r="AN74" s="10"/>
    </row>
    <row r="75" spans="2:40">
      <c r="B75"/>
      <c r="C75"/>
      <c r="D75"/>
      <c r="E75"/>
      <c r="F75"/>
      <c r="G75"/>
      <c r="H75"/>
      <c r="I75"/>
      <c r="J75"/>
      <c r="K75"/>
      <c r="L75"/>
      <c r="M75"/>
      <c r="N75"/>
      <c r="O75" s="64"/>
      <c r="P75" s="64"/>
      <c r="Q75" s="64"/>
      <c r="R75" s="10"/>
      <c r="S75" s="10"/>
      <c r="T75" s="10"/>
      <c r="U75" s="10"/>
      <c r="V75" s="10"/>
      <c r="W75" s="10"/>
      <c r="X75" s="10"/>
      <c r="Y75" s="10"/>
      <c r="Z75" s="10"/>
      <c r="AA75" s="10"/>
      <c r="AB75" s="10"/>
      <c r="AC75" s="10"/>
      <c r="AD75" s="10"/>
      <c r="AE75" s="10"/>
      <c r="AF75" s="10"/>
      <c r="AG75" s="10"/>
      <c r="AH75" s="10"/>
      <c r="AI75" s="10"/>
      <c r="AJ75" s="10"/>
      <c r="AK75" s="10"/>
      <c r="AL75" s="10"/>
      <c r="AM75" s="10"/>
      <c r="AN75" s="10"/>
    </row>
    <row r="76" spans="2:40">
      <c r="B76"/>
      <c r="C76"/>
      <c r="D76"/>
      <c r="E76"/>
      <c r="F76"/>
      <c r="G76"/>
      <c r="H76"/>
      <c r="I76"/>
      <c r="J76"/>
      <c r="K76"/>
      <c r="L76"/>
      <c r="M76"/>
      <c r="N76"/>
      <c r="O76" s="64"/>
      <c r="P76" s="64"/>
      <c r="Q76" s="64"/>
      <c r="R76" s="10"/>
      <c r="S76" s="10"/>
      <c r="T76" s="10"/>
      <c r="U76" s="10"/>
      <c r="V76" s="10"/>
      <c r="W76" s="10"/>
      <c r="X76" s="10"/>
      <c r="Y76" s="10"/>
      <c r="Z76" s="10"/>
      <c r="AA76" s="10"/>
      <c r="AB76" s="10"/>
      <c r="AC76" s="10"/>
      <c r="AD76" s="10"/>
      <c r="AE76" s="10"/>
      <c r="AF76" s="10"/>
      <c r="AG76" s="10"/>
      <c r="AH76" s="10"/>
      <c r="AI76" s="10"/>
      <c r="AJ76" s="10"/>
      <c r="AK76" s="10"/>
      <c r="AL76" s="10"/>
      <c r="AM76" s="10"/>
      <c r="AN76" s="10"/>
    </row>
    <row r="77" spans="2:40">
      <c r="B77"/>
      <c r="C77"/>
      <c r="D77"/>
      <c r="E77"/>
      <c r="F77"/>
      <c r="G77"/>
      <c r="H77"/>
      <c r="I77"/>
      <c r="J77"/>
      <c r="K77"/>
      <c r="L77"/>
      <c r="M77"/>
      <c r="N77"/>
      <c r="O77" s="64"/>
      <c r="P77" s="64"/>
      <c r="Q77" s="64"/>
      <c r="R77" s="10"/>
      <c r="S77" s="10"/>
      <c r="T77" s="10"/>
      <c r="U77" s="10"/>
      <c r="V77" s="10"/>
      <c r="W77" s="10"/>
      <c r="X77" s="10"/>
      <c r="Y77" s="10"/>
      <c r="Z77" s="10"/>
      <c r="AA77" s="10"/>
      <c r="AB77" s="10"/>
      <c r="AC77" s="10"/>
      <c r="AD77" s="10"/>
      <c r="AE77" s="10"/>
      <c r="AF77" s="10"/>
      <c r="AG77" s="10"/>
      <c r="AH77" s="10"/>
      <c r="AI77" s="10"/>
      <c r="AJ77" s="10"/>
      <c r="AK77" s="10"/>
      <c r="AL77" s="10"/>
      <c r="AM77" s="10"/>
      <c r="AN77" s="10"/>
    </row>
    <row r="78" spans="2:40">
      <c r="B78"/>
      <c r="C78"/>
      <c r="D78"/>
      <c r="E78"/>
      <c r="F78"/>
      <c r="G78"/>
      <c r="H78"/>
      <c r="I78"/>
      <c r="J78"/>
      <c r="K78"/>
      <c r="L78"/>
      <c r="M78"/>
      <c r="N78"/>
      <c r="O78" s="64"/>
      <c r="P78" s="64"/>
      <c r="Q78" s="64"/>
      <c r="R78" s="10"/>
      <c r="S78" s="10"/>
      <c r="T78" s="10"/>
      <c r="U78" s="10"/>
      <c r="V78" s="10"/>
      <c r="W78" s="10"/>
      <c r="X78" s="10"/>
      <c r="Y78" s="10"/>
      <c r="Z78" s="10"/>
      <c r="AA78" s="10"/>
      <c r="AB78" s="10"/>
      <c r="AC78" s="10"/>
      <c r="AD78" s="10"/>
      <c r="AE78" s="10"/>
      <c r="AF78" s="10"/>
      <c r="AG78" s="10"/>
      <c r="AH78" s="10"/>
      <c r="AI78" s="10"/>
      <c r="AJ78" s="10"/>
      <c r="AK78" s="10"/>
      <c r="AL78" s="10"/>
      <c r="AM78" s="10"/>
      <c r="AN78" s="10"/>
    </row>
    <row r="79" spans="2:40">
      <c r="B79"/>
      <c r="C79"/>
      <c r="D79"/>
      <c r="E79"/>
      <c r="F79"/>
      <c r="G79"/>
      <c r="H79"/>
      <c r="I79"/>
      <c r="J79"/>
      <c r="K79"/>
      <c r="L79"/>
      <c r="M79"/>
      <c r="N79"/>
      <c r="O79" s="64"/>
      <c r="P79" s="64"/>
      <c r="Q79" s="64"/>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2:40">
      <c r="B80"/>
      <c r="C80"/>
      <c r="D80"/>
      <c r="E80"/>
      <c r="F80"/>
      <c r="G80"/>
      <c r="H80"/>
      <c r="I80"/>
      <c r="J80"/>
      <c r="K80"/>
      <c r="L80"/>
      <c r="M80"/>
      <c r="N80"/>
      <c r="O80" s="64"/>
      <c r="P80" s="64"/>
      <c r="Q80" s="64"/>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2:40">
      <c r="B81"/>
      <c r="C81"/>
      <c r="D81"/>
      <c r="E81"/>
      <c r="F81"/>
      <c r="G81"/>
      <c r="H81"/>
      <c r="I81"/>
      <c r="J81"/>
      <c r="K81"/>
      <c r="L81"/>
      <c r="M81"/>
      <c r="N81"/>
      <c r="O81" s="64"/>
      <c r="P81" s="64"/>
      <c r="Q81" s="64"/>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2:40">
      <c r="B82"/>
      <c r="C82"/>
      <c r="D82"/>
      <c r="E82"/>
      <c r="F82"/>
      <c r="G82"/>
      <c r="H82"/>
      <c r="I82"/>
      <c r="J82"/>
      <c r="K82"/>
      <c r="L82"/>
      <c r="M82"/>
      <c r="N82"/>
      <c r="O82" s="64"/>
      <c r="P82" s="64"/>
      <c r="Q82" s="64"/>
      <c r="R82" s="10"/>
      <c r="S82" s="10"/>
      <c r="T82" s="10"/>
      <c r="U82" s="10"/>
      <c r="V82" s="10"/>
      <c r="W82" s="10"/>
      <c r="X82" s="10"/>
      <c r="Y82" s="10"/>
      <c r="Z82" s="10"/>
      <c r="AA82" s="10"/>
      <c r="AB82" s="10"/>
      <c r="AC82" s="10"/>
      <c r="AD82" s="10"/>
      <c r="AE82" s="10"/>
      <c r="AF82" s="10"/>
      <c r="AG82" s="10"/>
      <c r="AH82" s="10"/>
      <c r="AI82" s="10"/>
      <c r="AJ82" s="10"/>
      <c r="AK82" s="10"/>
      <c r="AL82" s="10"/>
      <c r="AM82" s="10"/>
      <c r="AN82" s="10"/>
    </row>
    <row r="83" spans="2:40">
      <c r="B83"/>
      <c r="C83"/>
      <c r="D83"/>
      <c r="E83"/>
      <c r="F83"/>
      <c r="G83"/>
      <c r="H83"/>
      <c r="I83"/>
      <c r="J83"/>
      <c r="K83"/>
      <c r="L83"/>
      <c r="M83"/>
      <c r="N83"/>
      <c r="O83" s="64"/>
      <c r="P83" s="64"/>
      <c r="Q83" s="64"/>
      <c r="R83" s="10"/>
      <c r="S83" s="10"/>
      <c r="T83" s="10"/>
      <c r="U83" s="10"/>
      <c r="V83" s="10"/>
      <c r="W83" s="10"/>
      <c r="X83" s="10"/>
      <c r="Y83" s="10"/>
      <c r="Z83" s="10"/>
      <c r="AA83" s="10"/>
      <c r="AB83" s="10"/>
      <c r="AC83" s="10"/>
      <c r="AD83" s="10"/>
      <c r="AE83" s="10"/>
      <c r="AF83" s="10"/>
      <c r="AG83" s="10"/>
      <c r="AH83" s="10"/>
      <c r="AI83" s="10"/>
      <c r="AJ83" s="10"/>
      <c r="AK83" s="10"/>
      <c r="AL83" s="10"/>
      <c r="AM83" s="10"/>
      <c r="AN83" s="10"/>
    </row>
    <row r="84" spans="2:40">
      <c r="B84"/>
      <c r="C84"/>
      <c r="D84"/>
      <c r="E84"/>
      <c r="F84"/>
      <c r="G84"/>
      <c r="H84"/>
      <c r="I84"/>
      <c r="J84"/>
      <c r="K84"/>
      <c r="L84"/>
      <c r="M84"/>
      <c r="N84"/>
      <c r="O84" s="64"/>
      <c r="P84" s="64"/>
      <c r="Q84" s="64"/>
      <c r="R84" s="10"/>
      <c r="S84" s="10"/>
      <c r="T84" s="10"/>
      <c r="U84" s="10"/>
      <c r="V84" s="10"/>
      <c r="W84" s="10"/>
      <c r="X84" s="10"/>
      <c r="Y84" s="10"/>
      <c r="Z84" s="10"/>
      <c r="AA84" s="10"/>
      <c r="AB84" s="10"/>
      <c r="AC84" s="10"/>
      <c r="AD84" s="10"/>
      <c r="AE84" s="10"/>
      <c r="AF84" s="10"/>
      <c r="AG84" s="10"/>
      <c r="AH84" s="10"/>
      <c r="AI84" s="10"/>
      <c r="AJ84" s="10"/>
      <c r="AK84" s="10"/>
      <c r="AL84" s="10"/>
      <c r="AM84" s="10"/>
      <c r="AN84" s="10"/>
    </row>
    <row r="85" spans="2:40">
      <c r="B85"/>
      <c r="C85"/>
      <c r="D85"/>
      <c r="E85"/>
      <c r="F85"/>
      <c r="G85"/>
      <c r="H85"/>
      <c r="I85"/>
      <c r="J85"/>
      <c r="K85"/>
      <c r="L85"/>
      <c r="M85"/>
      <c r="N85"/>
      <c r="O85" s="64"/>
      <c r="P85" s="64"/>
      <c r="Q85" s="64"/>
      <c r="R85" s="10"/>
      <c r="S85" s="10"/>
      <c r="T85" s="10"/>
      <c r="U85" s="10"/>
      <c r="V85" s="10"/>
      <c r="W85" s="10"/>
      <c r="X85" s="10"/>
      <c r="Y85" s="10"/>
      <c r="Z85" s="10"/>
      <c r="AA85" s="10"/>
      <c r="AB85" s="10"/>
      <c r="AC85" s="10"/>
      <c r="AD85" s="10"/>
      <c r="AE85" s="10"/>
      <c r="AF85" s="10"/>
      <c r="AG85" s="10"/>
      <c r="AH85" s="10"/>
      <c r="AI85" s="10"/>
      <c r="AJ85" s="10"/>
      <c r="AK85" s="10"/>
      <c r="AL85" s="10"/>
      <c r="AM85" s="10"/>
      <c r="AN85" s="10"/>
    </row>
    <row r="86" spans="2:40">
      <c r="B86"/>
      <c r="C86"/>
      <c r="D86"/>
      <c r="E86"/>
      <c r="F86"/>
      <c r="G86"/>
      <c r="H86"/>
      <c r="I86"/>
      <c r="J86"/>
      <c r="K86"/>
      <c r="L86"/>
      <c r="M86"/>
      <c r="N86"/>
      <c r="O86" s="64"/>
      <c r="P86" s="64"/>
      <c r="Q86" s="64"/>
      <c r="R86" s="10"/>
      <c r="S86" s="10"/>
      <c r="T86" s="10"/>
      <c r="U86" s="10"/>
      <c r="V86" s="10"/>
      <c r="W86" s="10"/>
      <c r="X86" s="10"/>
      <c r="Y86" s="10"/>
      <c r="Z86" s="10"/>
      <c r="AA86" s="10"/>
      <c r="AB86" s="10"/>
      <c r="AC86" s="10"/>
      <c r="AD86" s="10"/>
      <c r="AE86" s="10"/>
      <c r="AF86" s="10"/>
      <c r="AG86" s="10"/>
      <c r="AH86" s="10"/>
      <c r="AI86" s="10"/>
      <c r="AJ86" s="10"/>
      <c r="AK86" s="10"/>
      <c r="AL86" s="10"/>
      <c r="AM86" s="10"/>
      <c r="AN86" s="10"/>
    </row>
    <row r="87" spans="2:40">
      <c r="B87"/>
      <c r="C87"/>
      <c r="D87"/>
      <c r="E87"/>
      <c r="F87"/>
      <c r="G87"/>
      <c r="H87"/>
      <c r="I87"/>
      <c r="J87"/>
      <c r="K87"/>
      <c r="L87"/>
      <c r="M87"/>
      <c r="N87"/>
      <c r="O87" s="64"/>
      <c r="P87" s="64"/>
      <c r="Q87" s="64"/>
      <c r="R87" s="10"/>
      <c r="S87" s="10"/>
      <c r="T87" s="10"/>
      <c r="U87" s="10"/>
      <c r="V87" s="10"/>
      <c r="W87" s="10"/>
      <c r="X87" s="10"/>
      <c r="Y87" s="10"/>
      <c r="Z87" s="10"/>
      <c r="AA87" s="10"/>
      <c r="AB87" s="10"/>
      <c r="AC87" s="10"/>
      <c r="AD87" s="10"/>
      <c r="AE87" s="10"/>
      <c r="AF87" s="10"/>
      <c r="AG87" s="10"/>
      <c r="AH87" s="10"/>
      <c r="AI87" s="10"/>
      <c r="AJ87" s="10"/>
      <c r="AK87" s="10"/>
      <c r="AL87" s="10"/>
      <c r="AM87" s="10"/>
      <c r="AN87" s="10"/>
    </row>
    <row r="88" spans="2:40">
      <c r="B88"/>
      <c r="C88"/>
      <c r="D88"/>
      <c r="E88"/>
      <c r="F88"/>
      <c r="G88"/>
      <c r="H88"/>
      <c r="I88"/>
      <c r="J88"/>
      <c r="K88"/>
      <c r="L88"/>
      <c r="M88"/>
      <c r="N88"/>
      <c r="O88" s="64"/>
      <c r="P88" s="64"/>
      <c r="Q88" s="64"/>
      <c r="R88" s="10"/>
      <c r="S88" s="10"/>
      <c r="T88" s="10"/>
      <c r="U88" s="10"/>
      <c r="V88" s="10"/>
      <c r="W88" s="10"/>
      <c r="X88" s="10"/>
      <c r="Y88" s="10"/>
      <c r="Z88" s="10"/>
      <c r="AA88" s="10"/>
      <c r="AB88" s="10"/>
      <c r="AC88" s="10"/>
      <c r="AD88" s="10"/>
      <c r="AE88" s="10"/>
      <c r="AF88" s="10"/>
      <c r="AG88" s="10"/>
      <c r="AH88" s="10"/>
      <c r="AI88" s="10"/>
      <c r="AJ88" s="10"/>
      <c r="AK88" s="10"/>
      <c r="AL88" s="10"/>
      <c r="AM88" s="10"/>
      <c r="AN88" s="10"/>
    </row>
    <row r="89" spans="2:40">
      <c r="B89"/>
      <c r="C89"/>
      <c r="D89"/>
      <c r="E89"/>
      <c r="F89"/>
      <c r="G89"/>
      <c r="H89"/>
      <c r="I89"/>
      <c r="J89"/>
      <c r="K89"/>
      <c r="L89"/>
      <c r="M89"/>
      <c r="N89"/>
      <c r="O89" s="64"/>
      <c r="P89" s="64"/>
      <c r="Q89" s="64"/>
      <c r="R89" s="10"/>
      <c r="S89" s="10"/>
      <c r="T89" s="10"/>
      <c r="U89" s="10"/>
      <c r="V89" s="10"/>
      <c r="W89" s="10"/>
      <c r="X89" s="10"/>
      <c r="Y89" s="10"/>
      <c r="Z89" s="10"/>
      <c r="AA89" s="10"/>
      <c r="AB89" s="10"/>
      <c r="AC89" s="10"/>
      <c r="AD89" s="10"/>
      <c r="AE89" s="10"/>
      <c r="AF89" s="10"/>
      <c r="AG89" s="10"/>
      <c r="AH89" s="10"/>
      <c r="AI89" s="10"/>
      <c r="AJ89" s="10"/>
      <c r="AK89" s="10"/>
      <c r="AL89" s="10"/>
      <c r="AM89" s="10"/>
      <c r="AN89" s="10"/>
    </row>
    <row r="90" spans="2:40">
      <c r="B90"/>
      <c r="C90"/>
      <c r="D90"/>
      <c r="E90"/>
      <c r="F90"/>
      <c r="G90"/>
      <c r="H90"/>
      <c r="I90"/>
      <c r="J90"/>
      <c r="K90"/>
      <c r="L90"/>
      <c r="M90"/>
      <c r="N90"/>
      <c r="O90" s="64"/>
      <c r="P90" s="64"/>
      <c r="Q90" s="64"/>
      <c r="R90" s="10"/>
      <c r="S90" s="10"/>
      <c r="T90" s="10"/>
      <c r="U90" s="10"/>
      <c r="V90" s="10"/>
      <c r="W90" s="10"/>
      <c r="X90" s="10"/>
      <c r="Y90" s="10"/>
      <c r="Z90" s="10"/>
      <c r="AA90" s="10"/>
      <c r="AB90" s="10"/>
      <c r="AC90" s="10"/>
      <c r="AD90" s="10"/>
      <c r="AE90" s="10"/>
      <c r="AF90" s="10"/>
      <c r="AG90" s="10"/>
      <c r="AH90" s="10"/>
      <c r="AI90" s="10"/>
      <c r="AJ90" s="10"/>
      <c r="AK90" s="10"/>
      <c r="AL90" s="10"/>
      <c r="AM90" s="10"/>
      <c r="AN90" s="10"/>
    </row>
    <row r="91" spans="2:40">
      <c r="B91"/>
      <c r="C91"/>
      <c r="D91"/>
      <c r="E91"/>
      <c r="F91"/>
      <c r="G91"/>
      <c r="H91"/>
      <c r="I91"/>
      <c r="J91"/>
      <c r="K91"/>
      <c r="L91"/>
      <c r="M91"/>
      <c r="N91"/>
      <c r="O91" s="64"/>
      <c r="P91" s="64"/>
      <c r="Q91" s="64"/>
      <c r="R91" s="10"/>
      <c r="S91" s="10"/>
      <c r="T91" s="10"/>
      <c r="U91" s="10"/>
      <c r="V91" s="10"/>
      <c r="W91" s="10"/>
      <c r="X91" s="10"/>
      <c r="Y91" s="10"/>
      <c r="Z91" s="10"/>
      <c r="AA91" s="10"/>
      <c r="AB91" s="10"/>
      <c r="AC91" s="10"/>
      <c r="AD91" s="10"/>
      <c r="AE91" s="10"/>
      <c r="AF91" s="10"/>
      <c r="AG91" s="10"/>
      <c r="AH91" s="10"/>
      <c r="AI91" s="10"/>
      <c r="AJ91" s="10"/>
      <c r="AK91" s="10"/>
      <c r="AL91" s="10"/>
      <c r="AM91" s="10"/>
      <c r="AN91" s="10"/>
    </row>
    <row r="92" spans="2:40">
      <c r="B92"/>
      <c r="C92"/>
      <c r="D92"/>
      <c r="E92"/>
      <c r="F92"/>
      <c r="G92"/>
      <c r="H92"/>
      <c r="I92"/>
      <c r="J92"/>
      <c r="K92"/>
      <c r="L92"/>
      <c r="M92"/>
      <c r="N92"/>
      <c r="O92" s="64"/>
      <c r="P92" s="64"/>
      <c r="Q92" s="64"/>
      <c r="R92" s="10"/>
      <c r="S92" s="10"/>
      <c r="T92" s="10"/>
      <c r="U92" s="10"/>
      <c r="V92" s="10"/>
      <c r="W92" s="10"/>
      <c r="X92" s="10"/>
      <c r="Y92" s="10"/>
      <c r="Z92" s="10"/>
      <c r="AA92" s="10"/>
      <c r="AB92" s="10"/>
      <c r="AC92" s="10"/>
      <c r="AD92" s="10"/>
      <c r="AE92" s="10"/>
      <c r="AF92" s="10"/>
      <c r="AG92" s="10"/>
      <c r="AH92" s="10"/>
      <c r="AI92" s="10"/>
      <c r="AJ92" s="10"/>
      <c r="AK92" s="10"/>
      <c r="AL92" s="10"/>
      <c r="AM92" s="10"/>
      <c r="AN92" s="10"/>
    </row>
    <row r="93" spans="2:40">
      <c r="B93"/>
      <c r="C93"/>
      <c r="D93"/>
      <c r="E93"/>
      <c r="F93"/>
      <c r="G93"/>
      <c r="H93"/>
      <c r="I93"/>
      <c r="J93"/>
      <c r="K93"/>
      <c r="L93"/>
      <c r="M93"/>
      <c r="N93"/>
      <c r="O93" s="64"/>
      <c r="P93" s="64"/>
      <c r="Q93" s="64"/>
      <c r="R93" s="10"/>
      <c r="S93" s="10"/>
      <c r="T93" s="10"/>
      <c r="U93" s="10"/>
      <c r="V93" s="10"/>
      <c r="W93" s="10"/>
      <c r="X93" s="10"/>
      <c r="Y93" s="10"/>
      <c r="Z93" s="10"/>
      <c r="AA93" s="10"/>
      <c r="AB93" s="10"/>
      <c r="AC93" s="10"/>
      <c r="AD93" s="10"/>
      <c r="AE93" s="10"/>
      <c r="AF93" s="10"/>
      <c r="AG93" s="10"/>
      <c r="AH93" s="10"/>
      <c r="AI93" s="10"/>
      <c r="AJ93" s="10"/>
      <c r="AK93" s="10"/>
      <c r="AL93" s="10"/>
      <c r="AM93" s="10"/>
      <c r="AN93" s="10"/>
    </row>
    <row r="94" spans="2:40">
      <c r="B94"/>
      <c r="C94"/>
      <c r="D94"/>
      <c r="E94"/>
      <c r="F94"/>
      <c r="G94"/>
      <c r="H94"/>
      <c r="I94"/>
      <c r="J94"/>
      <c r="K94"/>
      <c r="L94"/>
      <c r="M94"/>
      <c r="N94"/>
      <c r="O94" s="64"/>
      <c r="P94" s="64"/>
      <c r="Q94" s="64"/>
      <c r="R94" s="10"/>
      <c r="S94" s="10"/>
      <c r="T94" s="10"/>
      <c r="U94" s="10"/>
      <c r="V94" s="10"/>
      <c r="W94" s="10"/>
      <c r="X94" s="10"/>
      <c r="Y94" s="10"/>
      <c r="Z94" s="10"/>
      <c r="AA94" s="10"/>
      <c r="AB94" s="10"/>
      <c r="AC94" s="10"/>
      <c r="AD94" s="10"/>
      <c r="AE94" s="10"/>
      <c r="AF94" s="10"/>
      <c r="AG94" s="10"/>
      <c r="AH94" s="10"/>
      <c r="AI94" s="10"/>
      <c r="AJ94" s="10"/>
      <c r="AK94" s="10"/>
      <c r="AL94" s="10"/>
      <c r="AM94" s="10"/>
      <c r="AN94" s="10"/>
    </row>
    <row r="95" spans="2:40">
      <c r="B95"/>
      <c r="C95"/>
      <c r="D95"/>
      <c r="E95"/>
      <c r="F95"/>
      <c r="G95"/>
      <c r="H95"/>
      <c r="I95"/>
      <c r="J95"/>
      <c r="K95"/>
      <c r="L95"/>
      <c r="M95"/>
      <c r="N95"/>
      <c r="O95" s="64"/>
      <c r="P95" s="64"/>
      <c r="Q95" s="64"/>
      <c r="R95" s="10"/>
      <c r="S95" s="10"/>
      <c r="T95" s="10"/>
      <c r="U95" s="10"/>
      <c r="V95" s="10"/>
      <c r="W95" s="10"/>
      <c r="X95" s="10"/>
      <c r="Y95" s="10"/>
      <c r="Z95" s="10"/>
      <c r="AA95" s="10"/>
      <c r="AB95" s="10"/>
      <c r="AC95" s="10"/>
      <c r="AD95" s="10"/>
      <c r="AE95" s="10"/>
      <c r="AF95" s="10"/>
      <c r="AG95" s="10"/>
      <c r="AH95" s="10"/>
      <c r="AI95" s="10"/>
      <c r="AJ95" s="10"/>
      <c r="AK95" s="10"/>
      <c r="AL95" s="10"/>
      <c r="AM95" s="10"/>
      <c r="AN95" s="10"/>
    </row>
    <row r="96" spans="2:40">
      <c r="B96"/>
      <c r="C96"/>
      <c r="D96"/>
      <c r="E96"/>
      <c r="F96"/>
      <c r="G96"/>
      <c r="H96"/>
      <c r="I96"/>
      <c r="J96"/>
      <c r="K96"/>
      <c r="L96"/>
      <c r="M96"/>
      <c r="N96"/>
      <c r="O96" s="64"/>
      <c r="P96" s="64"/>
      <c r="Q96" s="64"/>
      <c r="R96" s="10"/>
      <c r="S96" s="10"/>
      <c r="T96" s="10"/>
      <c r="U96" s="10"/>
      <c r="V96" s="10"/>
      <c r="W96" s="10"/>
      <c r="X96" s="10"/>
      <c r="Y96" s="10"/>
      <c r="Z96" s="10"/>
      <c r="AA96" s="10"/>
      <c r="AB96" s="10"/>
      <c r="AC96" s="10"/>
      <c r="AD96" s="10"/>
      <c r="AE96" s="10"/>
      <c r="AF96" s="10"/>
      <c r="AG96" s="10"/>
      <c r="AH96" s="10"/>
      <c r="AI96" s="10"/>
      <c r="AJ96" s="10"/>
      <c r="AK96" s="10"/>
      <c r="AL96" s="10"/>
      <c r="AM96" s="10"/>
      <c r="AN96" s="10"/>
    </row>
    <row r="97" spans="2:40">
      <c r="B97"/>
      <c r="C97"/>
      <c r="D97"/>
      <c r="E97"/>
      <c r="F97"/>
      <c r="G97"/>
      <c r="H97"/>
      <c r="I97"/>
      <c r="J97"/>
      <c r="K97"/>
      <c r="L97"/>
      <c r="M97"/>
      <c r="N97"/>
      <c r="O97" s="64"/>
      <c r="P97" s="64"/>
      <c r="Q97" s="64"/>
      <c r="R97" s="10"/>
      <c r="S97" s="10"/>
      <c r="T97" s="10"/>
      <c r="U97" s="10"/>
      <c r="V97" s="10"/>
      <c r="W97" s="10"/>
      <c r="X97" s="10"/>
      <c r="Y97" s="10"/>
      <c r="Z97" s="10"/>
      <c r="AA97" s="10"/>
      <c r="AB97" s="10"/>
      <c r="AC97" s="10"/>
      <c r="AD97" s="10"/>
      <c r="AE97" s="10"/>
      <c r="AF97" s="10"/>
      <c r="AG97" s="10"/>
      <c r="AH97" s="10"/>
      <c r="AI97" s="10"/>
      <c r="AJ97" s="10"/>
      <c r="AK97" s="10"/>
      <c r="AL97" s="10"/>
      <c r="AM97" s="10"/>
      <c r="AN97" s="10"/>
    </row>
    <row r="98" spans="2:40">
      <c r="B98"/>
      <c r="C98"/>
      <c r="D98"/>
      <c r="E98"/>
      <c r="F98"/>
      <c r="G98"/>
      <c r="H98"/>
      <c r="I98"/>
      <c r="J98"/>
      <c r="K98"/>
      <c r="L98"/>
      <c r="M98"/>
      <c r="N98"/>
      <c r="O98" s="64"/>
      <c r="P98" s="64"/>
      <c r="Q98" s="64"/>
      <c r="R98" s="10"/>
      <c r="S98" s="10"/>
      <c r="T98" s="10"/>
      <c r="U98" s="10"/>
      <c r="V98" s="10"/>
      <c r="W98" s="10"/>
      <c r="X98" s="10"/>
      <c r="Y98" s="10"/>
      <c r="Z98" s="10"/>
      <c r="AA98" s="10"/>
      <c r="AB98" s="10"/>
      <c r="AC98" s="10"/>
      <c r="AD98" s="10"/>
      <c r="AE98" s="10"/>
      <c r="AF98" s="10"/>
      <c r="AG98" s="10"/>
      <c r="AH98" s="10"/>
      <c r="AI98" s="10"/>
      <c r="AJ98" s="10"/>
      <c r="AK98" s="10"/>
      <c r="AL98" s="10"/>
      <c r="AM98" s="10"/>
      <c r="AN98" s="10"/>
    </row>
    <row r="99" spans="2:40">
      <c r="B99"/>
      <c r="C99"/>
      <c r="D99"/>
      <c r="E99"/>
      <c r="F99"/>
      <c r="G99"/>
      <c r="H99"/>
      <c r="I99"/>
      <c r="J99"/>
      <c r="K99"/>
      <c r="L99"/>
      <c r="M99"/>
      <c r="N99"/>
      <c r="O99" s="64"/>
      <c r="P99" s="64"/>
      <c r="Q99" s="64"/>
      <c r="R99" s="10"/>
      <c r="S99" s="10"/>
      <c r="T99" s="10"/>
      <c r="U99" s="10"/>
      <c r="V99" s="10"/>
      <c r="W99" s="10"/>
      <c r="X99" s="10"/>
      <c r="Y99" s="10"/>
      <c r="Z99" s="10"/>
      <c r="AA99" s="10"/>
      <c r="AB99" s="10"/>
      <c r="AC99" s="10"/>
      <c r="AD99" s="10"/>
      <c r="AE99" s="10"/>
      <c r="AF99" s="10"/>
      <c r="AG99" s="10"/>
      <c r="AH99" s="10"/>
      <c r="AI99" s="10"/>
      <c r="AJ99" s="10"/>
      <c r="AK99" s="10"/>
      <c r="AL99" s="10"/>
      <c r="AM99" s="10"/>
      <c r="AN99" s="10"/>
    </row>
    <row r="100" spans="2:40">
      <c r="B100"/>
      <c r="C100"/>
      <c r="D100"/>
      <c r="E100"/>
      <c r="F100"/>
      <c r="G100"/>
      <c r="H100"/>
      <c r="I100"/>
      <c r="J100"/>
      <c r="K100"/>
      <c r="L100"/>
      <c r="M100"/>
      <c r="N100"/>
      <c r="O100" s="64"/>
      <c r="P100" s="64"/>
      <c r="Q100" s="64"/>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row>
    <row r="101" spans="2:40">
      <c r="B101"/>
      <c r="C101"/>
      <c r="D101"/>
      <c r="E101"/>
      <c r="F101"/>
      <c r="G101"/>
      <c r="H101"/>
      <c r="I101"/>
      <c r="J101"/>
      <c r="K101"/>
      <c r="L101"/>
      <c r="M101"/>
      <c r="N101"/>
      <c r="O101" s="64"/>
      <c r="P101" s="64"/>
      <c r="Q101" s="64"/>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row>
    <row r="102" spans="2:40">
      <c r="B102"/>
      <c r="C102"/>
      <c r="D102"/>
      <c r="E102"/>
      <c r="F102"/>
      <c r="G102"/>
      <c r="H102"/>
      <c r="I102"/>
      <c r="J102"/>
      <c r="K102"/>
      <c r="L102"/>
      <c r="M102"/>
      <c r="N102"/>
      <c r="O102" s="64"/>
      <c r="P102" s="64"/>
      <c r="Q102" s="64"/>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row>
    <row r="103" spans="2:40">
      <c r="B103"/>
      <c r="C103"/>
      <c r="D103"/>
      <c r="E103"/>
      <c r="F103"/>
      <c r="G103"/>
      <c r="H103"/>
      <c r="I103"/>
      <c r="J103"/>
      <c r="K103"/>
      <c r="L103"/>
      <c r="M103"/>
      <c r="N103"/>
      <c r="O103" s="64"/>
      <c r="P103" s="64"/>
      <c r="Q103" s="64"/>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row>
    <row r="104" spans="2:40">
      <c r="B104"/>
      <c r="C104"/>
      <c r="D104"/>
      <c r="E104"/>
      <c r="F104"/>
      <c r="G104"/>
      <c r="H104"/>
      <c r="I104"/>
      <c r="J104"/>
      <c r="K104"/>
      <c r="L104"/>
      <c r="M104"/>
      <c r="N104"/>
      <c r="O104" s="64"/>
      <c r="P104" s="64"/>
      <c r="Q104" s="64"/>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row>
    <row r="105" spans="2:40">
      <c r="B105"/>
      <c r="C105"/>
      <c r="D105"/>
      <c r="E105"/>
      <c r="F105"/>
      <c r="G105"/>
      <c r="H105"/>
      <c r="I105"/>
      <c r="J105"/>
      <c r="K105"/>
      <c r="L105"/>
      <c r="M105"/>
      <c r="N105"/>
      <c r="O105" s="64"/>
      <c r="P105" s="64"/>
      <c r="Q105" s="64"/>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row>
    <row r="106" spans="2:40">
      <c r="B106"/>
      <c r="C106"/>
      <c r="D106"/>
      <c r="E106"/>
      <c r="F106"/>
      <c r="G106"/>
      <c r="H106"/>
      <c r="I106"/>
      <c r="J106"/>
      <c r="K106"/>
      <c r="L106"/>
      <c r="M106"/>
      <c r="N106"/>
      <c r="O106" s="64"/>
      <c r="P106" s="64"/>
      <c r="Q106" s="64"/>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row>
    <row r="107" spans="2:40">
      <c r="B107"/>
      <c r="C107"/>
      <c r="D107"/>
      <c r="E107"/>
      <c r="F107"/>
      <c r="G107"/>
      <c r="H107"/>
      <c r="I107"/>
      <c r="J107"/>
      <c r="K107"/>
      <c r="L107"/>
      <c r="M107"/>
      <c r="N107"/>
      <c r="O107" s="64"/>
      <c r="P107" s="64"/>
      <c r="Q107" s="64"/>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row>
    <row r="108" spans="2:40">
      <c r="B108"/>
      <c r="C108"/>
      <c r="D108"/>
      <c r="E108"/>
      <c r="F108"/>
      <c r="G108"/>
      <c r="H108"/>
      <c r="I108"/>
      <c r="J108"/>
      <c r="K108"/>
      <c r="L108"/>
      <c r="M108"/>
      <c r="N108"/>
      <c r="O108" s="64"/>
      <c r="P108" s="64"/>
      <c r="Q108" s="64"/>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row>
    <row r="109" spans="2:40">
      <c r="B109"/>
      <c r="C109"/>
      <c r="D109"/>
      <c r="E109"/>
      <c r="F109"/>
      <c r="G109"/>
      <c r="H109"/>
      <c r="I109"/>
      <c r="J109"/>
      <c r="K109"/>
      <c r="L109"/>
      <c r="M109"/>
      <c r="N109"/>
      <c r="O109" s="64"/>
      <c r="P109" s="64"/>
      <c r="Q109" s="64"/>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row>
    <row r="110" spans="2:40">
      <c r="B110"/>
      <c r="C110"/>
      <c r="D110"/>
      <c r="E110"/>
      <c r="F110"/>
      <c r="G110"/>
      <c r="H110"/>
      <c r="I110"/>
      <c r="J110"/>
      <c r="K110"/>
      <c r="L110"/>
      <c r="M110"/>
      <c r="N110"/>
      <c r="O110" s="64"/>
      <c r="P110" s="64"/>
      <c r="Q110" s="64"/>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row>
    <row r="111" spans="2:40">
      <c r="B111"/>
      <c r="C111"/>
      <c r="D111"/>
      <c r="E111"/>
      <c r="F111"/>
      <c r="G111"/>
      <c r="H111"/>
      <c r="I111"/>
      <c r="J111"/>
      <c r="K111"/>
      <c r="L111"/>
      <c r="M111"/>
      <c r="N111"/>
      <c r="O111" s="64"/>
      <c r="P111" s="64"/>
      <c r="Q111" s="64"/>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row>
    <row r="112" spans="2:40">
      <c r="B112"/>
      <c r="C112"/>
      <c r="D112"/>
      <c r="E112"/>
      <c r="F112"/>
      <c r="G112"/>
      <c r="H112"/>
      <c r="I112"/>
      <c r="J112"/>
      <c r="K112"/>
      <c r="L112"/>
      <c r="M112"/>
      <c r="N112"/>
      <c r="O112" s="64"/>
      <c r="P112" s="64"/>
      <c r="Q112" s="64"/>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row>
    <row r="113" spans="2:40">
      <c r="B113"/>
      <c r="C113"/>
      <c r="D113"/>
      <c r="E113"/>
      <c r="F113"/>
      <c r="G113"/>
      <c r="H113"/>
      <c r="I113"/>
      <c r="J113"/>
      <c r="K113"/>
      <c r="L113"/>
      <c r="M113"/>
      <c r="N113"/>
      <c r="O113" s="64"/>
      <c r="P113" s="64"/>
      <c r="Q113" s="64"/>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row>
    <row r="114" spans="2:40">
      <c r="B114"/>
      <c r="C114"/>
      <c r="D114"/>
      <c r="E114"/>
      <c r="F114"/>
      <c r="G114"/>
      <c r="H114"/>
      <c r="I114"/>
      <c r="J114"/>
      <c r="K114"/>
      <c r="L114"/>
      <c r="M114"/>
      <c r="N114"/>
      <c r="O114" s="64"/>
      <c r="P114" s="64"/>
      <c r="Q114" s="64"/>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row>
    <row r="115" spans="2:40">
      <c r="B115"/>
      <c r="C115"/>
      <c r="D115"/>
      <c r="E115"/>
      <c r="F115"/>
      <c r="G115"/>
      <c r="H115"/>
      <c r="I115"/>
      <c r="J115"/>
      <c r="K115"/>
      <c r="L115"/>
      <c r="M115"/>
      <c r="N115"/>
      <c r="O115" s="64"/>
      <c r="P115" s="64"/>
      <c r="Q115" s="64"/>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row>
    <row r="116" spans="2:40">
      <c r="B116"/>
      <c r="C116"/>
      <c r="D116"/>
      <c r="E116"/>
      <c r="F116"/>
      <c r="G116"/>
      <c r="H116"/>
      <c r="I116"/>
      <c r="J116"/>
      <c r="K116"/>
      <c r="L116"/>
      <c r="M116"/>
      <c r="N116"/>
      <c r="O116" s="64"/>
      <c r="P116" s="64"/>
      <c r="Q116" s="64"/>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row>
    <row r="117" spans="2:40">
      <c r="B117"/>
      <c r="C117"/>
      <c r="D117"/>
      <c r="E117"/>
      <c r="F117"/>
      <c r="G117"/>
      <c r="H117"/>
      <c r="I117"/>
      <c r="J117"/>
      <c r="K117"/>
      <c r="L117"/>
      <c r="M117"/>
      <c r="N117"/>
      <c r="O117" s="64"/>
      <c r="P117" s="64"/>
      <c r="Q117" s="64"/>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row>
    <row r="118" spans="2:40">
      <c r="B118"/>
      <c r="C118"/>
      <c r="D118"/>
      <c r="E118"/>
      <c r="F118"/>
      <c r="G118"/>
      <c r="H118"/>
      <c r="I118"/>
      <c r="J118"/>
      <c r="K118"/>
      <c r="L118"/>
      <c r="M118"/>
      <c r="N118"/>
      <c r="O118" s="64"/>
      <c r="P118" s="64"/>
      <c r="Q118" s="64"/>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row>
    <row r="119" spans="2:40">
      <c r="B119"/>
      <c r="C119"/>
      <c r="D119"/>
      <c r="E119"/>
      <c r="F119"/>
      <c r="G119"/>
      <c r="H119"/>
      <c r="I119"/>
      <c r="J119"/>
      <c r="K119"/>
      <c r="L119"/>
      <c r="M119"/>
      <c r="N119"/>
      <c r="O119" s="64"/>
      <c r="P119" s="64"/>
      <c r="Q119" s="64"/>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row>
    <row r="120" spans="2:40">
      <c r="B120"/>
      <c r="C120"/>
      <c r="D120"/>
      <c r="E120"/>
      <c r="F120"/>
      <c r="G120"/>
      <c r="H120"/>
      <c r="I120"/>
      <c r="J120"/>
      <c r="K120"/>
      <c r="L120"/>
      <c r="M120"/>
      <c r="N120"/>
      <c r="O120" s="64"/>
      <c r="P120" s="64"/>
      <c r="Q120" s="64"/>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row>
    <row r="121" spans="2:40">
      <c r="B121"/>
      <c r="C121"/>
      <c r="D121"/>
      <c r="E121"/>
      <c r="F121"/>
      <c r="G121"/>
      <c r="H121"/>
      <c r="I121"/>
      <c r="J121"/>
      <c r="K121"/>
      <c r="L121"/>
      <c r="M121"/>
      <c r="N121"/>
      <c r="O121" s="64"/>
      <c r="P121" s="64"/>
      <c r="Q121" s="64"/>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spans="2:40">
      <c r="B122"/>
      <c r="C122"/>
      <c r="D122"/>
      <c r="E122"/>
      <c r="F122"/>
      <c r="G122"/>
      <c r="H122"/>
      <c r="I122"/>
      <c r="J122"/>
      <c r="K122"/>
      <c r="L122"/>
      <c r="M122"/>
      <c r="N122"/>
      <c r="O122" s="64"/>
      <c r="P122" s="64"/>
      <c r="Q122" s="64"/>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row>
    <row r="123" spans="2:40">
      <c r="B123"/>
      <c r="C123"/>
      <c r="D123"/>
      <c r="E123"/>
      <c r="F123"/>
      <c r="G123"/>
      <c r="H123"/>
      <c r="I123"/>
      <c r="J123"/>
      <c r="K123"/>
      <c r="L123"/>
      <c r="M123"/>
      <c r="N123"/>
      <c r="O123" s="64"/>
      <c r="P123" s="64"/>
      <c r="Q123" s="64"/>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row>
    <row r="124" spans="2:40">
      <c r="B124"/>
      <c r="C124"/>
      <c r="D124"/>
      <c r="E124"/>
      <c r="F124"/>
      <c r="G124"/>
      <c r="H124"/>
      <c r="I124"/>
      <c r="J124"/>
      <c r="K124"/>
      <c r="L124"/>
      <c r="M124"/>
      <c r="N124"/>
      <c r="O124" s="64"/>
      <c r="P124" s="64"/>
      <c r="Q124" s="64"/>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row>
    <row r="125" spans="2:40">
      <c r="B125"/>
      <c r="C125"/>
      <c r="D125"/>
      <c r="E125"/>
      <c r="F125"/>
      <c r="G125"/>
      <c r="H125"/>
      <c r="I125"/>
      <c r="J125"/>
      <c r="K125"/>
      <c r="L125"/>
      <c r="M125"/>
      <c r="N125"/>
      <c r="O125" s="64"/>
      <c r="P125" s="64"/>
      <c r="Q125" s="64"/>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row>
    <row r="126" spans="2:40">
      <c r="B126"/>
      <c r="C126"/>
      <c r="D126"/>
      <c r="E126"/>
      <c r="F126"/>
      <c r="G126"/>
      <c r="H126"/>
      <c r="I126"/>
      <c r="J126"/>
      <c r="K126"/>
      <c r="L126"/>
      <c r="M126"/>
      <c r="N126"/>
      <c r="O126" s="64"/>
      <c r="P126" s="64"/>
      <c r="Q126" s="64"/>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row>
    <row r="127" spans="2:40">
      <c r="B127"/>
      <c r="C127"/>
      <c r="D127"/>
      <c r="E127"/>
      <c r="F127"/>
      <c r="G127"/>
      <c r="H127"/>
      <c r="I127"/>
      <c r="J127"/>
      <c r="K127"/>
      <c r="L127"/>
      <c r="M127"/>
      <c r="N127"/>
      <c r="O127" s="64"/>
      <c r="P127" s="64"/>
      <c r="Q127" s="64"/>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row>
    <row r="128" spans="2:40">
      <c r="B128"/>
      <c r="C128"/>
      <c r="D128"/>
      <c r="E128"/>
      <c r="F128"/>
      <c r="G128"/>
      <c r="H128"/>
      <c r="I128"/>
      <c r="J128"/>
      <c r="K128"/>
      <c r="L128"/>
      <c r="M128"/>
      <c r="N128"/>
      <c r="O128" s="64"/>
      <c r="P128" s="64"/>
      <c r="Q128" s="64"/>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row>
    <row r="129" spans="1:40">
      <c r="B129"/>
      <c r="C129"/>
      <c r="D129"/>
      <c r="E129"/>
      <c r="F129"/>
      <c r="G129"/>
      <c r="H129"/>
      <c r="I129"/>
      <c r="J129"/>
      <c r="K129"/>
      <c r="L129"/>
      <c r="M129"/>
      <c r="N129"/>
      <c r="O129" s="64"/>
      <c r="P129" s="64"/>
      <c r="Q129" s="64"/>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row>
    <row r="130" spans="1:40">
      <c r="B130"/>
      <c r="C130"/>
      <c r="D130"/>
      <c r="E130"/>
      <c r="F130"/>
      <c r="G130"/>
      <c r="H130"/>
      <c r="I130"/>
      <c r="J130"/>
      <c r="K130"/>
      <c r="L130"/>
      <c r="M130"/>
      <c r="N130"/>
      <c r="O130" s="64"/>
      <c r="P130" s="64"/>
      <c r="Q130" s="64"/>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c r="B131"/>
      <c r="C131"/>
      <c r="D131"/>
      <c r="E131"/>
      <c r="F131"/>
      <c r="G131"/>
      <c r="H131"/>
      <c r="I131"/>
      <c r="J131"/>
      <c r="K131"/>
      <c r="L131"/>
      <c r="M131"/>
      <c r="N131"/>
      <c r="O131" s="64"/>
      <c r="P131" s="64"/>
      <c r="Q131" s="64"/>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row>
    <row r="132" spans="1:40">
      <c r="B132"/>
      <c r="C132"/>
      <c r="D132"/>
      <c r="E132"/>
      <c r="F132"/>
      <c r="G132"/>
      <c r="H132"/>
      <c r="I132"/>
      <c r="J132"/>
      <c r="K132"/>
      <c r="L132"/>
      <c r="M132"/>
      <c r="N132"/>
      <c r="O132" s="64"/>
      <c r="P132" s="64"/>
      <c r="Q132" s="64"/>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row>
    <row r="133" spans="1:40">
      <c r="B133"/>
      <c r="C133"/>
      <c r="D133"/>
      <c r="E133"/>
      <c r="F133"/>
      <c r="G133"/>
      <c r="H133"/>
      <c r="I133"/>
      <c r="J133"/>
      <c r="K133"/>
      <c r="L133"/>
      <c r="M133"/>
      <c r="N133"/>
      <c r="O133" s="64"/>
      <c r="P133" s="64"/>
      <c r="Q133" s="64"/>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row>
    <row r="134" spans="1:40">
      <c r="B134"/>
      <c r="C134"/>
      <c r="D134"/>
      <c r="E134"/>
      <c r="F134"/>
      <c r="G134"/>
      <c r="H134"/>
      <c r="I134"/>
      <c r="J134"/>
      <c r="K134"/>
      <c r="L134"/>
      <c r="M134"/>
      <c r="N134"/>
      <c r="O134" s="64"/>
      <c r="P134" s="64"/>
      <c r="Q134" s="64"/>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row>
    <row r="135" spans="1:40">
      <c r="B135"/>
      <c r="C135"/>
      <c r="D135"/>
      <c r="E135"/>
      <c r="F135"/>
      <c r="G135"/>
      <c r="H135"/>
      <c r="I135"/>
      <c r="J135"/>
      <c r="K135"/>
      <c r="L135"/>
      <c r="M135"/>
      <c r="N135"/>
      <c r="O135" s="64"/>
      <c r="P135" s="64"/>
      <c r="Q135" s="64"/>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row>
    <row r="136" spans="1:40">
      <c r="A136" s="10"/>
      <c r="B136" s="65"/>
      <c r="C136" s="65"/>
      <c r="D136" s="64"/>
      <c r="E136" s="64"/>
      <c r="F136" s="64"/>
      <c r="G136" s="65"/>
      <c r="H136" s="64"/>
      <c r="I136" s="64"/>
      <c r="J136" s="65"/>
      <c r="K136" s="64"/>
      <c r="L136" s="65"/>
      <c r="M136" s="64"/>
      <c r="N136" s="65"/>
      <c r="O136" s="64"/>
      <c r="P136" s="64"/>
      <c r="Q136" s="64"/>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row>
    <row r="137" spans="1:40">
      <c r="A137" s="10" t="s">
        <v>0</v>
      </c>
      <c r="B137" s="71"/>
      <c r="C137" s="71"/>
      <c r="D137" s="69"/>
      <c r="E137" s="69"/>
      <c r="F137" s="69"/>
      <c r="G137" s="71"/>
      <c r="H137" s="69"/>
      <c r="I137" s="69"/>
      <c r="J137" s="71"/>
      <c r="K137" s="69"/>
      <c r="L137" s="71"/>
      <c r="M137" s="64"/>
      <c r="N137" s="71"/>
      <c r="O137" s="64"/>
      <c r="P137" s="64"/>
      <c r="Q137" s="64"/>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row>
    <row r="138" spans="1:40">
      <c r="A138" s="10"/>
      <c r="B138" s="65"/>
      <c r="C138" s="65"/>
      <c r="D138" s="64"/>
      <c r="E138" s="64"/>
      <c r="F138" s="64"/>
      <c r="G138" s="65"/>
      <c r="H138" s="64"/>
      <c r="I138" s="64"/>
      <c r="J138" s="65"/>
      <c r="K138" s="64"/>
      <c r="L138" s="65"/>
      <c r="M138" s="64"/>
      <c r="N138" s="65"/>
      <c r="O138" s="64"/>
      <c r="P138" s="64"/>
      <c r="Q138" s="64"/>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row>
    <row r="139" spans="1:40">
      <c r="A139" s="10" t="s">
        <v>0</v>
      </c>
      <c r="B139" s="71"/>
      <c r="C139" s="71"/>
      <c r="D139" s="69"/>
      <c r="E139" s="69"/>
      <c r="F139" s="69"/>
      <c r="G139" s="71"/>
      <c r="H139" s="69"/>
      <c r="I139" s="69"/>
      <c r="J139" s="71"/>
      <c r="K139" s="69"/>
      <c r="L139" s="71"/>
      <c r="M139" s="64"/>
      <c r="N139" s="71"/>
      <c r="O139" s="64"/>
      <c r="P139" s="64"/>
      <c r="Q139" s="64"/>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row>
    <row r="140" spans="1:40">
      <c r="A140" s="10"/>
      <c r="B140" s="65"/>
      <c r="C140" s="65"/>
      <c r="D140" s="64"/>
      <c r="E140" s="64"/>
      <c r="F140" s="64"/>
      <c r="G140" s="65"/>
      <c r="H140" s="64"/>
      <c r="I140" s="64"/>
      <c r="J140" s="65"/>
      <c r="K140" s="64"/>
      <c r="L140" s="65"/>
      <c r="M140" s="64"/>
      <c r="N140" s="65"/>
      <c r="O140" s="64"/>
      <c r="P140" s="64"/>
      <c r="Q140" s="64"/>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row>
    <row r="141" spans="1:40">
      <c r="A141" s="10" t="s">
        <v>0</v>
      </c>
      <c r="B141" s="71"/>
      <c r="C141" s="71"/>
      <c r="D141" s="69"/>
      <c r="E141" s="69"/>
      <c r="F141" s="69"/>
      <c r="G141" s="71"/>
      <c r="H141" s="69"/>
      <c r="I141" s="69"/>
      <c r="J141" s="71"/>
      <c r="K141" s="69"/>
      <c r="L141" s="71"/>
      <c r="M141" s="64"/>
      <c r="N141" s="71"/>
      <c r="O141" s="64"/>
      <c r="P141" s="64"/>
      <c r="Q141" s="64"/>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row>
    <row r="142" spans="1:40">
      <c r="A142" s="10" t="s">
        <v>0</v>
      </c>
      <c r="B142" s="65"/>
      <c r="C142" s="65"/>
      <c r="D142" s="64"/>
      <c r="E142" s="64"/>
      <c r="F142" s="64"/>
      <c r="G142" s="65"/>
      <c r="H142" s="64"/>
      <c r="I142" s="64"/>
      <c r="J142" s="65"/>
      <c r="K142" s="64"/>
      <c r="L142" s="65"/>
      <c r="M142" s="64"/>
      <c r="N142" s="65"/>
      <c r="O142" s="64"/>
      <c r="P142" s="64"/>
      <c r="Q142" s="64"/>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row>
    <row r="143" spans="1:40">
      <c r="A143" s="10" t="s">
        <v>0</v>
      </c>
      <c r="B143" s="65"/>
      <c r="C143" s="65"/>
      <c r="D143" s="64"/>
      <c r="E143" s="64"/>
      <c r="F143" s="64"/>
      <c r="G143" s="65"/>
      <c r="H143" s="64"/>
      <c r="I143" s="64"/>
      <c r="J143" s="65"/>
      <c r="K143" s="64"/>
      <c r="L143" s="65"/>
      <c r="M143" s="64"/>
      <c r="N143" s="65"/>
      <c r="O143" s="64"/>
      <c r="P143" s="64"/>
      <c r="Q143" s="64"/>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row>
    <row r="144" spans="1:40">
      <c r="A144" s="10" t="s">
        <v>0</v>
      </c>
      <c r="B144" s="65"/>
      <c r="C144" s="65"/>
      <c r="D144" s="64"/>
      <c r="E144" s="64"/>
      <c r="F144" s="64"/>
      <c r="G144" s="65"/>
      <c r="H144" s="64"/>
      <c r="I144" s="64"/>
      <c r="J144" s="65"/>
      <c r="K144" s="64"/>
      <c r="L144" s="65"/>
      <c r="M144" s="64"/>
      <c r="N144" s="65"/>
      <c r="O144" s="64"/>
      <c r="P144" s="64"/>
      <c r="Q144" s="64"/>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row>
    <row r="145" spans="1:40">
      <c r="A145" s="10" t="s">
        <v>0</v>
      </c>
      <c r="B145" s="65"/>
      <c r="C145" s="65"/>
      <c r="D145" s="64"/>
      <c r="E145" s="64"/>
      <c r="F145" s="64"/>
      <c r="G145" s="65"/>
      <c r="H145" s="64"/>
      <c r="I145" s="64"/>
      <c r="J145" s="65"/>
      <c r="K145" s="64"/>
      <c r="L145" s="65"/>
      <c r="M145" s="64"/>
      <c r="N145" s="65"/>
      <c r="O145" s="64"/>
      <c r="P145" s="64"/>
      <c r="Q145" s="64"/>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row>
    <row r="146" spans="1:40">
      <c r="A146" s="10" t="s">
        <v>0</v>
      </c>
      <c r="B146" s="65"/>
      <c r="C146" s="65"/>
      <c r="D146" s="64"/>
      <c r="E146" s="64"/>
      <c r="F146" s="64"/>
      <c r="G146" s="65"/>
      <c r="H146" s="64"/>
      <c r="I146" s="64"/>
      <c r="J146" s="65"/>
      <c r="K146" s="64"/>
      <c r="L146" s="65"/>
      <c r="M146" s="64"/>
      <c r="N146" s="65"/>
      <c r="O146" s="64"/>
      <c r="P146" s="64"/>
      <c r="Q146" s="64"/>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row>
    <row r="147" spans="1:40">
      <c r="A147" s="10" t="s">
        <v>0</v>
      </c>
      <c r="B147" s="65"/>
      <c r="C147" s="65"/>
      <c r="D147" s="64"/>
      <c r="E147" s="64"/>
      <c r="F147" s="64"/>
      <c r="G147" s="65"/>
      <c r="H147" s="64"/>
      <c r="I147" s="64"/>
      <c r="J147" s="65"/>
      <c r="K147" s="64"/>
      <c r="L147" s="65"/>
      <c r="M147" s="64"/>
      <c r="N147" s="65"/>
      <c r="O147" s="64"/>
      <c r="P147" s="64"/>
      <c r="Q147" s="64"/>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row>
    <row r="148" spans="1:40">
      <c r="A148" s="10" t="s">
        <v>0</v>
      </c>
      <c r="B148" s="71"/>
      <c r="C148" s="71"/>
      <c r="D148" s="69"/>
      <c r="E148" s="69"/>
      <c r="F148" s="69"/>
      <c r="G148" s="71"/>
      <c r="H148" s="69"/>
      <c r="I148" s="69"/>
      <c r="J148" s="71"/>
      <c r="K148" s="69"/>
      <c r="L148" s="71"/>
      <c r="M148" s="64"/>
      <c r="N148" s="71"/>
      <c r="O148" s="64"/>
      <c r="P148" s="64"/>
      <c r="Q148" s="64"/>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row>
    <row r="149" spans="1:40">
      <c r="A149" s="10" t="s">
        <v>0</v>
      </c>
      <c r="B149" s="65"/>
      <c r="C149" s="65"/>
      <c r="D149" s="64"/>
      <c r="E149" s="64"/>
      <c r="F149" s="64"/>
      <c r="G149" s="65"/>
      <c r="H149" s="64"/>
      <c r="I149" s="64"/>
      <c r="J149" s="65"/>
      <c r="K149" s="64"/>
      <c r="L149" s="65"/>
      <c r="M149" s="64"/>
      <c r="N149" s="65"/>
      <c r="O149" s="64"/>
      <c r="P149" s="64"/>
      <c r="Q149" s="64"/>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row>
    <row r="150" spans="1:40">
      <c r="A150" s="10" t="s">
        <v>0</v>
      </c>
      <c r="B150" s="65"/>
      <c r="C150" s="65"/>
      <c r="D150" s="64"/>
      <c r="E150" s="64"/>
      <c r="F150" s="64"/>
      <c r="G150" s="65"/>
      <c r="H150" s="64"/>
      <c r="I150" s="64"/>
      <c r="J150" s="65"/>
      <c r="K150" s="64"/>
      <c r="L150" s="65"/>
      <c r="M150" s="64"/>
      <c r="N150" s="65"/>
      <c r="O150" s="64"/>
      <c r="P150" s="64"/>
      <c r="Q150" s="64"/>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row>
    <row r="151" spans="1:40">
      <c r="A151" s="10" t="s">
        <v>0</v>
      </c>
      <c r="B151" s="65"/>
      <c r="C151" s="65"/>
      <c r="D151" s="64"/>
      <c r="E151" s="64"/>
      <c r="F151" s="64"/>
      <c r="G151" s="65"/>
      <c r="H151" s="64"/>
      <c r="I151" s="64"/>
      <c r="J151" s="65"/>
      <c r="K151" s="64"/>
      <c r="L151" s="65"/>
      <c r="M151" s="64"/>
      <c r="N151" s="65"/>
      <c r="O151" s="64"/>
      <c r="P151" s="64"/>
      <c r="Q151" s="64"/>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row>
    <row r="152" spans="1:40">
      <c r="A152" s="10" t="s">
        <v>0</v>
      </c>
      <c r="B152" s="71" t="s">
        <v>0</v>
      </c>
      <c r="C152" s="71"/>
      <c r="D152" s="69" t="s">
        <v>0</v>
      </c>
      <c r="E152" s="69"/>
      <c r="F152" s="69" t="s">
        <v>0</v>
      </c>
      <c r="G152" s="71" t="s">
        <v>0</v>
      </c>
      <c r="H152" s="69" t="s">
        <v>0</v>
      </c>
      <c r="I152" s="69"/>
      <c r="J152" s="71" t="s">
        <v>0</v>
      </c>
      <c r="K152" s="69" t="s">
        <v>0</v>
      </c>
      <c r="L152" s="71" t="s">
        <v>0</v>
      </c>
      <c r="M152" s="64"/>
      <c r="N152" s="71" t="s">
        <v>0</v>
      </c>
      <c r="O152" s="64"/>
      <c r="P152" s="64"/>
      <c r="Q152" s="64"/>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row>
    <row r="153" spans="1:40">
      <c r="A153" s="10"/>
      <c r="B153" s="65"/>
      <c r="C153" s="65"/>
      <c r="D153" s="64"/>
      <c r="E153" s="64"/>
      <c r="F153" s="64"/>
      <c r="G153" s="65"/>
      <c r="H153" s="64"/>
      <c r="I153" s="64"/>
      <c r="J153" s="65"/>
      <c r="K153" s="64"/>
      <c r="L153" s="65"/>
      <c r="M153" s="64"/>
      <c r="N153" s="65"/>
      <c r="O153" s="64"/>
      <c r="P153" s="64"/>
      <c r="Q153" s="64"/>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row>
    <row r="154" spans="1:40">
      <c r="A154" s="10"/>
      <c r="B154" s="65"/>
      <c r="C154" s="65"/>
      <c r="D154" s="64"/>
      <c r="E154" s="64"/>
      <c r="F154" s="64"/>
      <c r="G154" s="65"/>
      <c r="H154" s="64"/>
      <c r="I154" s="64"/>
      <c r="J154" s="65"/>
      <c r="K154" s="64"/>
      <c r="L154" s="65"/>
      <c r="M154" s="64"/>
      <c r="N154" s="65"/>
      <c r="O154" s="64"/>
      <c r="P154" s="64"/>
      <c r="Q154" s="64"/>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row>
    <row r="155" spans="1:40">
      <c r="A155" s="10"/>
      <c r="B155" s="65"/>
      <c r="C155" s="65"/>
      <c r="D155" s="64"/>
      <c r="E155" s="64"/>
      <c r="F155" s="64"/>
      <c r="G155" s="65"/>
      <c r="H155" s="64"/>
      <c r="I155" s="64"/>
      <c r="J155" s="65"/>
      <c r="K155" s="64"/>
      <c r="L155" s="65"/>
      <c r="M155" s="64"/>
      <c r="N155" s="65"/>
      <c r="O155" s="64"/>
      <c r="P155" s="64"/>
      <c r="Q155" s="64"/>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row>
    <row r="156" spans="1:40">
      <c r="A156" s="10"/>
      <c r="B156" s="65"/>
      <c r="C156" s="65"/>
      <c r="D156" s="64"/>
      <c r="E156" s="64"/>
      <c r="F156" s="64"/>
      <c r="G156" s="65"/>
      <c r="H156" s="64"/>
      <c r="I156" s="64"/>
      <c r="J156" s="65"/>
      <c r="K156" s="64"/>
      <c r="L156" s="65"/>
      <c r="M156" s="64"/>
      <c r="N156" s="65"/>
      <c r="O156" s="64"/>
      <c r="P156" s="64"/>
      <c r="Q156" s="64"/>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row>
    <row r="157" spans="1:40">
      <c r="A157" s="10"/>
      <c r="B157" s="65"/>
      <c r="C157" s="65"/>
      <c r="D157" s="64"/>
      <c r="E157" s="64"/>
      <c r="F157" s="64"/>
      <c r="G157" s="65"/>
      <c r="H157" s="64"/>
      <c r="I157" s="64"/>
      <c r="J157" s="65"/>
      <c r="K157" s="64"/>
      <c r="L157" s="65"/>
      <c r="M157" s="64"/>
      <c r="N157" s="65"/>
      <c r="O157" s="64"/>
      <c r="P157" s="64"/>
      <c r="Q157" s="64"/>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row>
    <row r="158" spans="1:40">
      <c r="A158" s="10"/>
      <c r="B158" s="65"/>
      <c r="C158" s="65"/>
      <c r="D158" s="64"/>
      <c r="E158" s="64"/>
      <c r="F158" s="64"/>
      <c r="G158" s="65"/>
      <c r="H158" s="64"/>
      <c r="I158" s="64"/>
      <c r="J158" s="65"/>
      <c r="K158" s="64"/>
      <c r="L158" s="65"/>
      <c r="M158" s="64"/>
      <c r="N158" s="65"/>
      <c r="O158" s="64"/>
      <c r="P158" s="64"/>
      <c r="Q158" s="64"/>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row>
    <row r="159" spans="1:40">
      <c r="A159" s="10"/>
      <c r="B159" s="65"/>
      <c r="C159" s="65"/>
      <c r="D159" s="64"/>
      <c r="E159" s="64"/>
      <c r="F159" s="64"/>
      <c r="G159" s="65"/>
      <c r="H159" s="64"/>
      <c r="I159" s="64"/>
      <c r="J159" s="65"/>
      <c r="K159" s="64"/>
      <c r="L159" s="65"/>
      <c r="M159" s="64"/>
      <c r="N159" s="65"/>
      <c r="O159" s="64"/>
      <c r="P159" s="64"/>
      <c r="Q159" s="64"/>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row>
    <row r="160" spans="1:40">
      <c r="A160" s="10"/>
      <c r="B160" s="65"/>
      <c r="C160" s="65"/>
      <c r="D160" s="64"/>
      <c r="E160" s="64"/>
      <c r="F160" s="64"/>
      <c r="G160" s="65"/>
      <c r="H160" s="64"/>
      <c r="I160" s="64"/>
      <c r="J160" s="65"/>
      <c r="K160" s="64"/>
      <c r="L160" s="65"/>
      <c r="M160" s="64"/>
      <c r="N160" s="65"/>
      <c r="O160" s="64"/>
      <c r="P160" s="64"/>
      <c r="Q160" s="64"/>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row>
    <row r="161" spans="1:40">
      <c r="A161" s="10"/>
      <c r="B161" s="65"/>
      <c r="C161" s="65"/>
      <c r="D161" s="64"/>
      <c r="E161" s="64"/>
      <c r="F161" s="64"/>
      <c r="G161" s="65"/>
      <c r="H161" s="64"/>
      <c r="I161" s="64"/>
      <c r="J161" s="65"/>
      <c r="K161" s="64"/>
      <c r="L161" s="65"/>
      <c r="M161" s="64"/>
      <c r="N161" s="65"/>
      <c r="O161" s="64"/>
      <c r="P161" s="64"/>
      <c r="Q161" s="64"/>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row>
    <row r="162" spans="1:40">
      <c r="A162" s="10"/>
      <c r="B162" s="65"/>
      <c r="C162" s="65"/>
      <c r="D162" s="64"/>
      <c r="E162" s="64"/>
      <c r="F162" s="64"/>
      <c r="G162" s="65"/>
      <c r="H162" s="64"/>
      <c r="I162" s="64"/>
      <c r="J162" s="65"/>
      <c r="K162" s="64"/>
      <c r="L162" s="65"/>
      <c r="M162" s="64"/>
      <c r="N162" s="65"/>
      <c r="O162" s="64"/>
      <c r="P162" s="64"/>
      <c r="Q162" s="64"/>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row>
    <row r="163" spans="1:40">
      <c r="A163" s="10"/>
      <c r="B163" s="65"/>
      <c r="C163" s="65"/>
      <c r="D163" s="64"/>
      <c r="E163" s="64"/>
      <c r="F163" s="64"/>
      <c r="G163" s="65"/>
      <c r="H163" s="64"/>
      <c r="I163" s="64"/>
      <c r="J163" s="65"/>
      <c r="K163" s="64"/>
      <c r="L163" s="65"/>
      <c r="M163" s="64"/>
      <c r="N163" s="65"/>
      <c r="O163" s="64"/>
      <c r="P163" s="64"/>
      <c r="Q163" s="64"/>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row>
    <row r="164" spans="1:40">
      <c r="A164" s="10"/>
      <c r="B164" s="65"/>
      <c r="C164" s="65"/>
      <c r="D164" s="64"/>
      <c r="E164" s="64"/>
      <c r="F164" s="64"/>
      <c r="G164" s="65"/>
      <c r="H164" s="64"/>
      <c r="I164" s="64"/>
      <c r="J164" s="65"/>
      <c r="K164" s="64"/>
      <c r="L164" s="65"/>
      <c r="M164" s="64"/>
      <c r="N164" s="65"/>
      <c r="O164" s="64"/>
      <c r="P164" s="64"/>
      <c r="Q164" s="64"/>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row>
    <row r="165" spans="1:40">
      <c r="A165" s="10"/>
      <c r="B165" s="65"/>
      <c r="C165" s="65"/>
      <c r="D165" s="64"/>
      <c r="E165" s="64"/>
      <c r="F165" s="64"/>
      <c r="G165" s="65"/>
      <c r="H165" s="64"/>
      <c r="I165" s="64"/>
      <c r="J165" s="65"/>
      <c r="K165" s="64"/>
      <c r="L165" s="65"/>
      <c r="M165" s="64"/>
      <c r="N165" s="65"/>
      <c r="O165" s="64"/>
      <c r="P165" s="64"/>
      <c r="Q165" s="64"/>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row>
    <row r="166" spans="1:40">
      <c r="A166" s="10"/>
      <c r="B166" s="65"/>
      <c r="C166" s="65"/>
      <c r="D166" s="64"/>
      <c r="E166" s="64"/>
      <c r="F166" s="64"/>
      <c r="G166" s="65"/>
      <c r="H166" s="64"/>
      <c r="I166" s="64"/>
      <c r="J166" s="65"/>
      <c r="K166" s="64"/>
      <c r="L166" s="65"/>
      <c r="M166" s="64"/>
      <c r="N166" s="65"/>
      <c r="O166" s="64"/>
      <c r="P166" s="64"/>
      <c r="Q166" s="64"/>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row>
    <row r="167" spans="1:40">
      <c r="A167" s="10"/>
      <c r="B167" s="65"/>
      <c r="C167" s="65"/>
      <c r="D167" s="64"/>
      <c r="E167" s="64"/>
      <c r="F167" s="64"/>
      <c r="G167" s="65"/>
      <c r="H167" s="64"/>
      <c r="I167" s="64"/>
      <c r="J167" s="65"/>
      <c r="K167" s="64"/>
      <c r="L167" s="65"/>
      <c r="M167" s="64"/>
      <c r="N167" s="65"/>
      <c r="O167" s="64"/>
      <c r="P167" s="64"/>
      <c r="Q167" s="64"/>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row>
    <row r="168" spans="1:40">
      <c r="A168" s="10"/>
      <c r="B168" s="65"/>
      <c r="C168" s="65"/>
      <c r="D168" s="64"/>
      <c r="E168" s="64"/>
      <c r="F168" s="64"/>
      <c r="G168" s="65"/>
      <c r="H168" s="64"/>
      <c r="I168" s="64"/>
      <c r="J168" s="65"/>
      <c r="K168" s="64"/>
      <c r="L168" s="65"/>
      <c r="M168" s="64"/>
      <c r="N168" s="65"/>
      <c r="O168" s="64"/>
      <c r="P168" s="64"/>
      <c r="Q168" s="64"/>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row>
    <row r="169" spans="1:40">
      <c r="A169" s="10"/>
      <c r="B169" s="65"/>
      <c r="C169" s="65"/>
      <c r="D169" s="64"/>
      <c r="E169" s="64"/>
      <c r="F169" s="64"/>
      <c r="G169" s="65"/>
      <c r="H169" s="64"/>
      <c r="I169" s="64"/>
      <c r="J169" s="65"/>
      <c r="K169" s="64"/>
      <c r="L169" s="65"/>
      <c r="M169" s="64"/>
      <c r="N169" s="65"/>
      <c r="O169" s="64"/>
      <c r="P169" s="64"/>
      <c r="Q169" s="64"/>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row>
    <row r="170" spans="1:40">
      <c r="A170" s="10"/>
      <c r="B170" s="65"/>
      <c r="C170" s="65"/>
      <c r="D170" s="64"/>
      <c r="E170" s="64"/>
      <c r="F170" s="64"/>
      <c r="G170" s="65"/>
      <c r="H170" s="64"/>
      <c r="I170" s="64"/>
      <c r="J170" s="65"/>
      <c r="K170" s="64"/>
      <c r="L170" s="65"/>
      <c r="M170" s="64"/>
      <c r="N170" s="65"/>
      <c r="O170" s="64"/>
      <c r="P170" s="64"/>
      <c r="Q170" s="64"/>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row>
    <row r="171" spans="1:40">
      <c r="A171" s="10"/>
      <c r="B171" s="65"/>
      <c r="C171" s="65"/>
      <c r="D171" s="64"/>
      <c r="E171" s="64"/>
      <c r="F171" s="64"/>
      <c r="G171" s="65"/>
      <c r="H171" s="64"/>
      <c r="I171" s="64"/>
      <c r="J171" s="65"/>
      <c r="K171" s="64"/>
      <c r="L171" s="65"/>
      <c r="M171" s="64"/>
      <c r="N171" s="65"/>
      <c r="O171" s="64"/>
      <c r="P171" s="64"/>
      <c r="Q171" s="64"/>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row>
    <row r="172" spans="1:40">
      <c r="A172" s="10"/>
      <c r="B172" s="65"/>
      <c r="C172" s="65"/>
      <c r="D172" s="64"/>
      <c r="E172" s="64"/>
      <c r="F172" s="64"/>
      <c r="G172" s="65"/>
      <c r="H172" s="64"/>
      <c r="I172" s="64"/>
      <c r="J172" s="65"/>
      <c r="K172" s="64"/>
      <c r="L172" s="65"/>
      <c r="M172" s="64"/>
      <c r="N172" s="65"/>
      <c r="O172" s="64"/>
      <c r="P172" s="64"/>
      <c r="Q172" s="64"/>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row>
    <row r="173" spans="1:40">
      <c r="A173" s="10"/>
      <c r="B173" s="65"/>
      <c r="C173" s="65"/>
      <c r="D173" s="64"/>
      <c r="E173" s="64"/>
      <c r="F173" s="64"/>
      <c r="G173" s="65"/>
      <c r="H173" s="64"/>
      <c r="I173" s="64"/>
      <c r="J173" s="65"/>
      <c r="K173" s="64"/>
      <c r="L173" s="65"/>
      <c r="M173" s="64"/>
      <c r="N173" s="65"/>
      <c r="O173" s="64"/>
      <c r="P173" s="64"/>
      <c r="Q173" s="64"/>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row>
    <row r="174" spans="1:40">
      <c r="A174" s="10"/>
      <c r="B174" s="65"/>
      <c r="C174" s="65"/>
      <c r="D174" s="64"/>
      <c r="E174" s="64"/>
      <c r="F174" s="64"/>
      <c r="G174" s="65"/>
      <c r="H174" s="64"/>
      <c r="I174" s="64"/>
      <c r="J174" s="65"/>
      <c r="K174" s="64"/>
      <c r="L174" s="65"/>
      <c r="M174" s="64"/>
      <c r="N174" s="65"/>
      <c r="O174" s="64"/>
      <c r="P174" s="64"/>
      <c r="Q174" s="64"/>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row>
    <row r="175" spans="1:40">
      <c r="A175" s="10"/>
      <c r="B175" s="65"/>
      <c r="C175" s="65"/>
      <c r="D175" s="64"/>
      <c r="E175" s="64"/>
      <c r="F175" s="64"/>
      <c r="G175" s="65"/>
      <c r="H175" s="64"/>
      <c r="I175" s="64"/>
      <c r="J175" s="65"/>
      <c r="K175" s="64"/>
      <c r="L175" s="65"/>
      <c r="M175" s="64"/>
      <c r="N175" s="65"/>
      <c r="O175" s="64"/>
      <c r="P175" s="64"/>
      <c r="Q175" s="64"/>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row>
    <row r="176" spans="1:40">
      <c r="A176" s="10"/>
      <c r="B176" s="65"/>
      <c r="C176" s="65"/>
      <c r="D176" s="64"/>
      <c r="E176" s="64"/>
      <c r="F176" s="64"/>
      <c r="G176" s="65"/>
      <c r="H176" s="64"/>
      <c r="I176" s="64"/>
      <c r="J176" s="65"/>
      <c r="K176" s="64"/>
      <c r="L176" s="65"/>
      <c r="M176" s="64"/>
      <c r="N176" s="65"/>
      <c r="O176" s="64"/>
      <c r="P176" s="64"/>
      <c r="Q176" s="64"/>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row>
    <row r="177" spans="1:40">
      <c r="A177" s="10"/>
      <c r="B177" s="65"/>
      <c r="C177" s="65"/>
      <c r="D177" s="64"/>
      <c r="E177" s="64"/>
      <c r="F177" s="64"/>
      <c r="G177" s="65"/>
      <c r="H177" s="64"/>
      <c r="I177" s="64"/>
      <c r="J177" s="65"/>
      <c r="K177" s="64"/>
      <c r="L177" s="65"/>
      <c r="M177" s="64"/>
      <c r="N177" s="65"/>
      <c r="O177" s="64"/>
      <c r="P177" s="64"/>
      <c r="Q177" s="64"/>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row>
    <row r="178" spans="1:40">
      <c r="A178" s="10"/>
      <c r="B178" s="65"/>
      <c r="C178" s="65"/>
      <c r="D178" s="64"/>
      <c r="E178" s="64"/>
      <c r="F178" s="64"/>
      <c r="G178" s="65"/>
      <c r="H178" s="64"/>
      <c r="I178" s="64"/>
      <c r="J178" s="65"/>
      <c r="K178" s="64"/>
      <c r="L178" s="65"/>
      <c r="M178" s="64"/>
      <c r="N178" s="65"/>
      <c r="O178" s="64"/>
      <c r="P178" s="64"/>
      <c r="Q178" s="64"/>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row>
    <row r="179" spans="1:40">
      <c r="A179" s="10"/>
      <c r="B179" s="65"/>
      <c r="C179" s="65"/>
      <c r="D179" s="64"/>
      <c r="E179" s="64"/>
      <c r="F179" s="64"/>
      <c r="G179" s="65"/>
      <c r="H179" s="64"/>
      <c r="I179" s="64"/>
      <c r="J179" s="65"/>
      <c r="K179" s="64"/>
      <c r="L179" s="65"/>
      <c r="M179" s="64"/>
      <c r="N179" s="65"/>
      <c r="O179" s="64"/>
      <c r="P179" s="64"/>
      <c r="Q179" s="64"/>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row>
    <row r="180" spans="1:40">
      <c r="A180" s="10"/>
      <c r="B180" s="65"/>
      <c r="C180" s="65"/>
      <c r="D180" s="64"/>
      <c r="E180" s="64"/>
      <c r="F180" s="64"/>
      <c r="G180" s="65"/>
      <c r="H180" s="64"/>
      <c r="I180" s="64"/>
      <c r="J180" s="65"/>
      <c r="K180" s="64"/>
      <c r="L180" s="65"/>
      <c r="M180" s="64"/>
      <c r="N180" s="65"/>
      <c r="O180" s="64"/>
      <c r="P180" s="64"/>
      <c r="Q180" s="64"/>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row>
    <row r="181" spans="1:40">
      <c r="A181" s="10"/>
      <c r="B181" s="65"/>
      <c r="C181" s="65"/>
      <c r="D181" s="64"/>
      <c r="E181" s="64"/>
      <c r="F181" s="64"/>
      <c r="G181" s="65"/>
      <c r="H181" s="64"/>
      <c r="I181" s="64"/>
      <c r="J181" s="65"/>
      <c r="K181" s="64"/>
      <c r="L181" s="65"/>
      <c r="M181" s="64"/>
      <c r="N181" s="65"/>
      <c r="O181" s="64"/>
      <c r="P181" s="64"/>
      <c r="Q181" s="64"/>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row>
    <row r="182" spans="1:40">
      <c r="A182" s="10"/>
      <c r="B182" s="65"/>
      <c r="C182" s="65"/>
      <c r="D182" s="64"/>
      <c r="E182" s="64"/>
      <c r="F182" s="64"/>
      <c r="G182" s="65"/>
      <c r="H182" s="64"/>
      <c r="I182" s="64"/>
      <c r="J182" s="65"/>
      <c r="K182" s="64"/>
      <c r="L182" s="65"/>
      <c r="M182" s="64"/>
      <c r="N182" s="65"/>
      <c r="O182" s="64"/>
      <c r="P182" s="64"/>
      <c r="Q182" s="64"/>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row>
    <row r="183" spans="1:40">
      <c r="A183" s="10"/>
      <c r="B183" s="65"/>
      <c r="C183" s="65"/>
      <c r="D183" s="64"/>
      <c r="E183" s="64"/>
      <c r="F183" s="64"/>
      <c r="G183" s="65"/>
      <c r="H183" s="64"/>
      <c r="I183" s="64"/>
      <c r="J183" s="65"/>
      <c r="K183" s="64"/>
      <c r="L183" s="65"/>
      <c r="M183" s="64"/>
      <c r="N183" s="65"/>
      <c r="O183" s="64"/>
      <c r="P183" s="64"/>
      <c r="Q183" s="64"/>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row>
    <row r="184" spans="1:40">
      <c r="A184" s="10"/>
      <c r="B184" s="65"/>
      <c r="C184" s="65"/>
      <c r="D184" s="64"/>
      <c r="E184" s="64"/>
      <c r="F184" s="64"/>
      <c r="G184" s="65"/>
      <c r="H184" s="64"/>
      <c r="I184" s="64"/>
      <c r="J184" s="65"/>
      <c r="K184" s="64"/>
      <c r="L184" s="65"/>
      <c r="M184" s="64"/>
      <c r="N184" s="65"/>
      <c r="O184" s="64"/>
      <c r="P184" s="64"/>
      <c r="Q184" s="64"/>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row>
  </sheetData>
  <phoneticPr fontId="0" type="noConversion"/>
  <pageMargins left="0.2" right="0.21" top="0.68" bottom="0.66" header="0.5" footer="0.5"/>
  <pageSetup scale="53" orientation="landscape" r:id="rId1"/>
  <headerFooter alignWithMargins="0">
    <oddFooter>&amp;L&amp;"CG Times,Bold"&amp;16 &amp;R&amp;16&amp;P</oddFooter>
  </headerFooter>
</worksheet>
</file>

<file path=xl/worksheets/sheet52.xml><?xml version="1.0" encoding="utf-8"?>
<worksheet xmlns="http://schemas.openxmlformats.org/spreadsheetml/2006/main" xmlns:r="http://schemas.openxmlformats.org/officeDocument/2006/relationships">
  <sheetPr>
    <pageSetUpPr fitToPage="1"/>
  </sheetPr>
  <dimension ref="A1:AL189"/>
  <sheetViews>
    <sheetView topLeftCell="A7" zoomScale="110" zoomScaleNormal="110" workbookViewId="0">
      <pane xSplit="1" ySplit="1" topLeftCell="I8" activePane="bottomRight" state="frozen"/>
      <selection activeCell="B6" sqref="B6"/>
      <selection pane="topRight" activeCell="B6" sqref="B6"/>
      <selection pane="bottomLeft" activeCell="B6" sqref="B6"/>
      <selection pane="bottomRight" activeCell="H52" sqref="H52"/>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942</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4498486.5750000002</v>
      </c>
      <c r="C10" s="87">
        <v>67921.316949999993</v>
      </c>
      <c r="D10" s="87">
        <v>359366.72216178401</v>
      </c>
      <c r="E10" s="87">
        <v>262016</v>
      </c>
      <c r="F10" s="87">
        <v>2000036.36121</v>
      </c>
      <c r="G10" s="87">
        <v>614391.03253935603</v>
      </c>
      <c r="H10" s="89">
        <f>SUM(B10:G10)</f>
        <v>7802218.0078611393</v>
      </c>
      <c r="I10" s="87">
        <v>39733.331630000001</v>
      </c>
      <c r="J10" s="113">
        <f>SUM(I10:I10)</f>
        <v>39733.331630000001</v>
      </c>
      <c r="K10" s="87">
        <v>71110</v>
      </c>
      <c r="L10" s="87">
        <v>84224</v>
      </c>
      <c r="M10" s="113">
        <f>SUM(K10:L10)</f>
        <v>155334</v>
      </c>
      <c r="N10" s="90">
        <f>+H10+J10+M10</f>
        <v>7997285.3394911392</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11369006.581999999</v>
      </c>
      <c r="C11" s="87">
        <v>965698.53037000005</v>
      </c>
      <c r="D11" s="87">
        <v>1593311.2488331432</v>
      </c>
      <c r="E11" s="87">
        <v>3747700</v>
      </c>
      <c r="F11" s="87">
        <v>13181626.275699999</v>
      </c>
      <c r="G11" s="87">
        <v>18117744.966445513</v>
      </c>
      <c r="H11" s="89">
        <f>SUM(B11:G11)</f>
        <v>48975087.603348657</v>
      </c>
      <c r="I11" s="87">
        <v>517756.43091</v>
      </c>
      <c r="J11" s="113">
        <f>SUM(I11:I11)</f>
        <v>517756.43091</v>
      </c>
      <c r="K11" s="87">
        <v>3543883</v>
      </c>
      <c r="L11" s="87">
        <v>2114692</v>
      </c>
      <c r="M11" s="113">
        <f>SUM(K11:L11)</f>
        <v>5658575</v>
      </c>
      <c r="N11" s="90">
        <f>+H11+J11+M11</f>
        <v>55151419.034258656</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1227438.7450000001</v>
      </c>
      <c r="C12" s="87">
        <v>626036.59661000001</v>
      </c>
      <c r="D12" s="87">
        <v>178291.53911967299</v>
      </c>
      <c r="E12" s="87">
        <v>541052</v>
      </c>
      <c r="F12" s="87">
        <v>635408.43327000004</v>
      </c>
      <c r="G12" s="87">
        <v>1199310.403287437</v>
      </c>
      <c r="H12" s="89">
        <f>SUM(B12:G12)</f>
        <v>4407537.7172871102</v>
      </c>
      <c r="I12" s="87">
        <v>6869.1954699999997</v>
      </c>
      <c r="J12" s="113">
        <f>SUM(I12:I12)</f>
        <v>6869.1954699999997</v>
      </c>
      <c r="K12" s="87">
        <v>1399943</v>
      </c>
      <c r="L12" s="87">
        <v>1444586</v>
      </c>
      <c r="M12" s="113">
        <f>SUM(K12:L12)</f>
        <v>2844529</v>
      </c>
      <c r="N12" s="90">
        <f>+H12+J12+M12</f>
        <v>7258935.9127571099</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128014.021989259</v>
      </c>
      <c r="E13" s="87">
        <v>16413</v>
      </c>
      <c r="F13" s="87">
        <v>19547.340909999999</v>
      </c>
      <c r="G13" s="87">
        <v>15.342804305166123</v>
      </c>
      <c r="H13" s="89">
        <f>SUM(B13:G13)</f>
        <v>163989.70570356416</v>
      </c>
      <c r="I13" s="87">
        <v>1507063.26143</v>
      </c>
      <c r="J13" s="113">
        <f>SUM(I13:I13)</f>
        <v>1507063.26143</v>
      </c>
      <c r="K13" s="87">
        <v>0</v>
      </c>
      <c r="L13" s="87">
        <v>0</v>
      </c>
      <c r="M13" s="113">
        <f>SUM(K13:L13)</f>
        <v>0</v>
      </c>
      <c r="N13" s="90">
        <f>+H13+J13+M13</f>
        <v>1671052.9671335642</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146018.71199999997</v>
      </c>
      <c r="C14" s="199">
        <v>67240.549629999994</v>
      </c>
      <c r="D14" s="199">
        <v>1401.1219934389999</v>
      </c>
      <c r="E14" s="199">
        <v>141939</v>
      </c>
      <c r="F14" s="199">
        <v>109906.84101999999</v>
      </c>
      <c r="G14" s="578">
        <v>594105.94718516991</v>
      </c>
      <c r="H14" s="262">
        <f>SUM(B14:G14)</f>
        <v>1060612.171828609</v>
      </c>
      <c r="I14" s="993">
        <v>33892.611860000005</v>
      </c>
      <c r="J14" s="113">
        <f>SUM(I14:I14)</f>
        <v>33892.611860000005</v>
      </c>
      <c r="K14" s="722">
        <v>99625</v>
      </c>
      <c r="L14" s="578">
        <v>51527</v>
      </c>
      <c r="M14" s="262">
        <f>SUM(K14:L14)</f>
        <v>151152</v>
      </c>
      <c r="N14" s="587">
        <f>+H14+J14+M14</f>
        <v>1245656.783688609</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17240950.614</v>
      </c>
      <c r="C15" s="87">
        <f t="shared" ref="C15:J15" si="0">SUM(C10:C14)</f>
        <v>1726896.9935600001</v>
      </c>
      <c r="D15" s="87">
        <f t="shared" si="0"/>
        <v>2260384.6540972982</v>
      </c>
      <c r="E15" s="134">
        <f t="shared" si="0"/>
        <v>4709120</v>
      </c>
      <c r="F15" s="87">
        <f t="shared" si="0"/>
        <v>15946525.252109999</v>
      </c>
      <c r="G15" s="87">
        <f t="shared" si="0"/>
        <v>20525567.692261782</v>
      </c>
      <c r="H15" s="89">
        <f t="shared" si="0"/>
        <v>62409445.206029072</v>
      </c>
      <c r="I15" s="24">
        <f t="shared" si="0"/>
        <v>2105314.8313000002</v>
      </c>
      <c r="J15" s="586">
        <f t="shared" si="0"/>
        <v>2105314.8313000002</v>
      </c>
      <c r="K15" s="87">
        <f>SUM(K10:K14)</f>
        <v>5114561</v>
      </c>
      <c r="L15" s="87">
        <f>SUM(L10:L14)</f>
        <v>3695029</v>
      </c>
      <c r="M15" s="113">
        <f>SUM(M10:M14)</f>
        <v>8809590</v>
      </c>
      <c r="N15" s="90">
        <f>SUM(N10:N14)</f>
        <v>73324350.037329078</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2334000</v>
      </c>
      <c r="C17" s="87">
        <v>100000</v>
      </c>
      <c r="D17" s="87">
        <v>0</v>
      </c>
      <c r="E17" s="87">
        <v>74992</v>
      </c>
      <c r="F17" s="87">
        <v>1950000</v>
      </c>
      <c r="G17" s="87">
        <v>0</v>
      </c>
      <c r="H17" s="89">
        <f t="shared" ref="H17:H22" si="1">SUM(B17:G17)</f>
        <v>4458992</v>
      </c>
      <c r="I17" s="87">
        <v>0</v>
      </c>
      <c r="J17" s="113">
        <f t="shared" ref="J17:J22" si="2">SUM(I17:I17)</f>
        <v>0</v>
      </c>
      <c r="K17" s="87">
        <v>49563</v>
      </c>
      <c r="L17" s="87">
        <v>0</v>
      </c>
      <c r="M17" s="113">
        <f t="shared" ref="M17:M22" si="3">SUM(K17:L17)</f>
        <v>49563</v>
      </c>
      <c r="N17" s="90">
        <f t="shared" ref="N17:N22" si="4">+H17+J17+M17</f>
        <v>4508555</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ht="15.6" customHeight="1">
      <c r="A18" s="10" t="s">
        <v>909</v>
      </c>
      <c r="B18" s="87">
        <v>3875000</v>
      </c>
      <c r="C18" s="87">
        <v>0</v>
      </c>
      <c r="D18" s="87">
        <v>0</v>
      </c>
      <c r="E18" s="87">
        <v>0</v>
      </c>
      <c r="F18" s="87">
        <v>0</v>
      </c>
      <c r="G18" s="87">
        <v>0</v>
      </c>
      <c r="H18" s="89">
        <f t="shared" si="1"/>
        <v>3875000</v>
      </c>
      <c r="I18" s="87">
        <v>0</v>
      </c>
      <c r="J18" s="113">
        <f t="shared" si="2"/>
        <v>0</v>
      </c>
      <c r="K18" s="87">
        <v>0</v>
      </c>
      <c r="L18" s="87">
        <v>0</v>
      </c>
      <c r="M18" s="113">
        <f t="shared" si="3"/>
        <v>0</v>
      </c>
      <c r="N18" s="90">
        <f t="shared" si="4"/>
        <v>3875000</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262</v>
      </c>
      <c r="B19" s="87">
        <v>6714311.1409400012</v>
      </c>
      <c r="C19" s="87">
        <v>67806.928249999997</v>
      </c>
      <c r="D19" s="87">
        <v>139331.34312741199</v>
      </c>
      <c r="E19" s="87">
        <v>1081518</v>
      </c>
      <c r="F19" s="87">
        <v>10954575.97844</v>
      </c>
      <c r="G19" s="87">
        <v>13846183.679170178</v>
      </c>
      <c r="H19" s="89">
        <f t="shared" si="1"/>
        <v>32803727.069927588</v>
      </c>
      <c r="I19" s="87">
        <v>56237.525569999998</v>
      </c>
      <c r="J19" s="113">
        <f t="shared" si="2"/>
        <v>56237.525569999998</v>
      </c>
      <c r="K19" s="87">
        <v>0</v>
      </c>
      <c r="L19" s="87">
        <v>0</v>
      </c>
      <c r="M19" s="113">
        <f t="shared" si="3"/>
        <v>0</v>
      </c>
      <c r="N19" s="90">
        <f t="shared" si="4"/>
        <v>32859964.59549759</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357</v>
      </c>
      <c r="B20" s="87">
        <v>11264487.9945</v>
      </c>
      <c r="C20" s="87">
        <v>958681.84587000008</v>
      </c>
      <c r="D20" s="87">
        <v>2277488.0100037898</v>
      </c>
      <c r="E20" s="87">
        <v>5416947</v>
      </c>
      <c r="F20" s="87">
        <v>19001042.77665</v>
      </c>
      <c r="G20" s="87">
        <v>22477640.604379997</v>
      </c>
      <c r="H20" s="89">
        <f t="shared" si="1"/>
        <v>61396288.231403783</v>
      </c>
      <c r="I20" s="87">
        <v>3180507.1550469999</v>
      </c>
      <c r="J20" s="113">
        <f t="shared" si="2"/>
        <v>3180507.1550469999</v>
      </c>
      <c r="K20" s="87">
        <v>1447270</v>
      </c>
      <c r="L20" s="87">
        <v>2154182</v>
      </c>
      <c r="M20" s="113">
        <f t="shared" si="3"/>
        <v>3601452</v>
      </c>
      <c r="N20" s="90">
        <f t="shared" si="4"/>
        <v>68178247.386450782</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c r="A21" s="419" t="s">
        <v>264</v>
      </c>
      <c r="B21" s="87">
        <v>1342683.3114999998</v>
      </c>
      <c r="C21" s="87">
        <v>184690.54837999999</v>
      </c>
      <c r="D21" s="87">
        <v>254813.43122000009</v>
      </c>
      <c r="E21" s="87">
        <v>297986</v>
      </c>
      <c r="F21" s="87">
        <v>2153614.5376499998</v>
      </c>
      <c r="G21" s="87">
        <v>1429239.0878300001</v>
      </c>
      <c r="H21" s="89">
        <f t="shared" si="1"/>
        <v>5663026.916579999</v>
      </c>
      <c r="I21" s="87">
        <v>179157.18401</v>
      </c>
      <c r="J21" s="113">
        <f t="shared" si="2"/>
        <v>179157.18401</v>
      </c>
      <c r="K21" s="87">
        <v>360539</v>
      </c>
      <c r="L21" s="87">
        <v>47824</v>
      </c>
      <c r="M21" s="113">
        <f t="shared" si="3"/>
        <v>408363</v>
      </c>
      <c r="N21" s="90">
        <f t="shared" si="4"/>
        <v>6250547.100589999</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ht="16.5" thickBot="1">
      <c r="A22" s="419" t="s">
        <v>265</v>
      </c>
      <c r="B22" s="97">
        <v>1906335.5589999999</v>
      </c>
      <c r="C22" s="97">
        <v>26752.950630000003</v>
      </c>
      <c r="D22" s="97">
        <v>52946.767101435013</v>
      </c>
      <c r="E22" s="97">
        <v>401925</v>
      </c>
      <c r="F22" s="97">
        <v>2047625.0796800002</v>
      </c>
      <c r="G22" s="579">
        <v>798731.67073250702</v>
      </c>
      <c r="H22" s="96">
        <f t="shared" si="1"/>
        <v>5234317.0271439422</v>
      </c>
      <c r="I22" s="994">
        <v>144460.95812</v>
      </c>
      <c r="J22" s="115">
        <f t="shared" si="2"/>
        <v>144460.95812</v>
      </c>
      <c r="K22" s="660">
        <v>117962</v>
      </c>
      <c r="L22" s="579">
        <v>8291</v>
      </c>
      <c r="M22" s="96">
        <f t="shared" si="3"/>
        <v>126253</v>
      </c>
      <c r="N22" s="588">
        <f t="shared" si="4"/>
        <v>5505030.9852639418</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c r="A23" s="419" t="s">
        <v>54</v>
      </c>
      <c r="B23" s="90">
        <f t="shared" ref="B23:J23" si="5">SUM(B15:B22)</f>
        <v>44677768.619939998</v>
      </c>
      <c r="C23" s="90">
        <f t="shared" si="5"/>
        <v>3064829.2666900004</v>
      </c>
      <c r="D23" s="90">
        <f t="shared" si="5"/>
        <v>4984964.2055499339</v>
      </c>
      <c r="E23" s="13">
        <f t="shared" si="5"/>
        <v>11982488</v>
      </c>
      <c r="F23" s="90">
        <f t="shared" si="5"/>
        <v>52053383.624530002</v>
      </c>
      <c r="G23" s="90">
        <f t="shared" si="5"/>
        <v>59077362.734374464</v>
      </c>
      <c r="H23" s="89">
        <f t="shared" si="5"/>
        <v>175840796.45108441</v>
      </c>
      <c r="I23" s="90">
        <f t="shared" si="5"/>
        <v>5665677.6540470002</v>
      </c>
      <c r="J23" s="729">
        <f t="shared" si="5"/>
        <v>5665677.6540470002</v>
      </c>
      <c r="K23" s="13">
        <f>SUM(K15:K22)</f>
        <v>7089895</v>
      </c>
      <c r="L23" s="13">
        <f>SUM(L15:L22)</f>
        <v>5905326</v>
      </c>
      <c r="M23" s="113">
        <f>SUM(M15:M22)</f>
        <v>12995221</v>
      </c>
      <c r="N23" s="90">
        <f>SUM(N15:N22)</f>
        <v>194501695.10513139</v>
      </c>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ht="15.6" customHeight="1">
      <c r="A24" s="419"/>
      <c r="B24" s="98" t="s">
        <v>0</v>
      </c>
      <c r="C24" s="88" t="s">
        <v>0</v>
      </c>
      <c r="D24" s="87"/>
      <c r="E24" s="88" t="s">
        <v>0</v>
      </c>
      <c r="F24" s="87"/>
      <c r="G24" s="87"/>
      <c r="H24" s="93"/>
      <c r="I24" s="87"/>
      <c r="J24" s="565"/>
      <c r="K24" s="87"/>
      <c r="L24" s="87" t="s">
        <v>0</v>
      </c>
      <c r="M24" s="114"/>
      <c r="N24" s="90"/>
      <c r="O24" s="64"/>
      <c r="P24" s="728"/>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21" t="s">
        <v>266</v>
      </c>
      <c r="B25" s="98" t="s">
        <v>0</v>
      </c>
      <c r="C25" s="88" t="s">
        <v>0</v>
      </c>
      <c r="D25" s="87"/>
      <c r="E25" s="88" t="s">
        <v>0</v>
      </c>
      <c r="F25" s="87" t="s">
        <v>0</v>
      </c>
      <c r="G25" s="87"/>
      <c r="H25" s="1408" t="s">
        <v>0</v>
      </c>
      <c r="I25" s="87"/>
      <c r="J25" s="565"/>
      <c r="K25" s="87"/>
      <c r="L25" s="87" t="s">
        <v>0</v>
      </c>
      <c r="M25" s="114"/>
      <c r="N25" s="90" t="s">
        <v>0</v>
      </c>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267</v>
      </c>
      <c r="B26" s="98" t="s">
        <v>0</v>
      </c>
      <c r="C26" s="88" t="s">
        <v>0</v>
      </c>
      <c r="D26" s="87"/>
      <c r="E26" s="88" t="s">
        <v>0</v>
      </c>
      <c r="F26" s="87"/>
      <c r="G26" s="87"/>
      <c r="H26" s="93"/>
      <c r="I26" s="87"/>
      <c r="J26" s="565"/>
      <c r="K26" s="87"/>
      <c r="L26" s="87" t="s">
        <v>0</v>
      </c>
      <c r="M26" s="114"/>
      <c r="N26" s="90"/>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268</v>
      </c>
      <c r="B27" s="87">
        <v>22151320.728819996</v>
      </c>
      <c r="C27" s="87">
        <v>1349236.20499</v>
      </c>
      <c r="D27" s="87">
        <v>1369420.8002174557</v>
      </c>
      <c r="E27" s="87">
        <v>5375280</v>
      </c>
      <c r="F27" s="87">
        <v>13783045.50812</v>
      </c>
      <c r="G27" s="87">
        <v>22840458.232573729</v>
      </c>
      <c r="H27" s="89">
        <f>SUM(B27:G27)</f>
        <v>66868761.474721178</v>
      </c>
      <c r="I27" s="87">
        <v>1096034.0123000001</v>
      </c>
      <c r="J27" s="113">
        <f>SUM(I27:I27)</f>
        <v>1096034.0123000001</v>
      </c>
      <c r="K27" s="87">
        <v>4815765</v>
      </c>
      <c r="L27" s="87">
        <v>3067361</v>
      </c>
      <c r="M27" s="113">
        <f>SUM(K27:L27)</f>
        <v>7883126</v>
      </c>
      <c r="N27" s="90">
        <f>+H27+J27+M27</f>
        <v>75847921.487021178</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269</v>
      </c>
      <c r="B28" s="87">
        <v>9774711.9424900003</v>
      </c>
      <c r="C28" s="87">
        <v>538863.71576000005</v>
      </c>
      <c r="D28" s="87">
        <v>1710134.4278298719</v>
      </c>
      <c r="E28" s="87">
        <v>2579050</v>
      </c>
      <c r="F28" s="87">
        <v>18532338.469219998</v>
      </c>
      <c r="G28" s="87">
        <v>19790756.37503003</v>
      </c>
      <c r="H28" s="89">
        <f>SUM(B28:G28)</f>
        <v>52925854.930329904</v>
      </c>
      <c r="I28" s="87">
        <v>511316.68787999998</v>
      </c>
      <c r="J28" s="113">
        <f>SUM(I28:I28)</f>
        <v>511316.68787999998</v>
      </c>
      <c r="K28" s="87">
        <v>291515</v>
      </c>
      <c r="L28" s="87">
        <v>1522098</v>
      </c>
      <c r="M28" s="113">
        <f>SUM(K28:L28)</f>
        <v>1813613</v>
      </c>
      <c r="N28" s="90">
        <f>+H28+J28+M28</f>
        <v>55250784.618209906</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t="s">
        <v>270</v>
      </c>
      <c r="B29" s="199">
        <v>4035560.5621100003</v>
      </c>
      <c r="C29" s="199">
        <v>867767.10057000001</v>
      </c>
      <c r="D29" s="199">
        <v>1003470.5567614848</v>
      </c>
      <c r="E29" s="199">
        <v>2191768</v>
      </c>
      <c r="F29" s="199">
        <v>9142658.7885531895</v>
      </c>
      <c r="G29" s="578">
        <v>5855784.9906616667</v>
      </c>
      <c r="H29" s="262">
        <f>SUM(B29:G29)</f>
        <v>23097009.99865634</v>
      </c>
      <c r="I29" s="993">
        <v>2487107.3877699999</v>
      </c>
      <c r="J29" s="113">
        <f>SUM(I29:I29)</f>
        <v>2487107.3877699999</v>
      </c>
      <c r="K29" s="722">
        <v>430990</v>
      </c>
      <c r="L29" s="578">
        <v>435309</v>
      </c>
      <c r="M29" s="262">
        <f>SUM(K29:L29)</f>
        <v>866299</v>
      </c>
      <c r="N29" s="587">
        <f>+H29+J29+M29</f>
        <v>26450416.386426341</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c r="A30" s="419"/>
      <c r="B30" s="87">
        <f t="shared" ref="B30:J30" si="6">SUM(B27:B29)</f>
        <v>35961593.233419999</v>
      </c>
      <c r="C30" s="87">
        <f t="shared" si="6"/>
        <v>2755867.0213200003</v>
      </c>
      <c r="D30" s="87">
        <f t="shared" si="6"/>
        <v>4083025.7848088127</v>
      </c>
      <c r="E30" s="87">
        <f t="shared" si="6"/>
        <v>10146098</v>
      </c>
      <c r="F30" s="87">
        <f t="shared" si="6"/>
        <v>41458042.765893191</v>
      </c>
      <c r="G30" s="87">
        <f t="shared" si="6"/>
        <v>48486999.598265424</v>
      </c>
      <c r="H30" s="89">
        <f t="shared" si="6"/>
        <v>142891626.40370741</v>
      </c>
      <c r="I30" s="87">
        <f t="shared" si="6"/>
        <v>4094458.0879500001</v>
      </c>
      <c r="J30" s="586">
        <f t="shared" si="6"/>
        <v>4094458.0879500001</v>
      </c>
      <c r="K30" s="87">
        <f>SUM(K27:K29)</f>
        <v>5538270</v>
      </c>
      <c r="L30" s="87">
        <f>SUM(L27:L29)</f>
        <v>5024768</v>
      </c>
      <c r="M30" s="113">
        <f>SUM(M27:M29)</f>
        <v>10563038</v>
      </c>
      <c r="N30" s="90">
        <f>SUM(N27:N29)</f>
        <v>157549122.49165741</v>
      </c>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ht="7.9" customHeight="1">
      <c r="A31" s="419"/>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271</v>
      </c>
      <c r="B32" s="98" t="s">
        <v>0</v>
      </c>
      <c r="C32" s="88" t="s">
        <v>0</v>
      </c>
      <c r="D32" s="87"/>
      <c r="E32" s="88" t="s">
        <v>0</v>
      </c>
      <c r="F32" s="87"/>
      <c r="G32" s="87"/>
      <c r="H32" s="89"/>
      <c r="I32" s="87"/>
      <c r="J32" s="113"/>
      <c r="K32" s="87"/>
      <c r="L32" s="87" t="s">
        <v>0</v>
      </c>
      <c r="M32" s="113"/>
      <c r="N32" s="90"/>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272</v>
      </c>
      <c r="B33" s="87">
        <v>0</v>
      </c>
      <c r="C33" s="87">
        <v>0</v>
      </c>
      <c r="D33" s="87">
        <v>0</v>
      </c>
      <c r="E33" s="87">
        <v>0</v>
      </c>
      <c r="F33" s="87">
        <v>0</v>
      </c>
      <c r="G33" s="87">
        <v>0</v>
      </c>
      <c r="H33" s="89">
        <f>SUM(B33:G33)</f>
        <v>0</v>
      </c>
      <c r="I33" s="87">
        <v>0</v>
      </c>
      <c r="J33" s="113">
        <f>SUM(I33:I33)</f>
        <v>0</v>
      </c>
      <c r="K33" s="87">
        <v>300000</v>
      </c>
      <c r="L33" s="87">
        <v>0</v>
      </c>
      <c r="M33" s="113">
        <f>SUM(K33:L33)</f>
        <v>300000</v>
      </c>
      <c r="N33" s="90">
        <f>+H33+J33+M33</f>
        <v>300000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c r="A34" s="419" t="s">
        <v>273</v>
      </c>
      <c r="B34" s="87">
        <v>0</v>
      </c>
      <c r="C34" s="87">
        <v>0</v>
      </c>
      <c r="D34" s="87">
        <v>0</v>
      </c>
      <c r="E34" s="87">
        <v>0</v>
      </c>
      <c r="F34" s="87">
        <v>0</v>
      </c>
      <c r="G34" s="87">
        <v>0</v>
      </c>
      <c r="H34" s="89">
        <f>SUM(B34:G34)</f>
        <v>0</v>
      </c>
      <c r="I34" s="87">
        <v>0</v>
      </c>
      <c r="J34" s="113">
        <f>SUM(I34:I34)</f>
        <v>0</v>
      </c>
      <c r="K34" s="87">
        <v>0</v>
      </c>
      <c r="L34" s="87">
        <v>0</v>
      </c>
      <c r="M34" s="113">
        <f>SUM(K34:L34)</f>
        <v>0</v>
      </c>
      <c r="N34" s="90">
        <f>+H34+J34+M34</f>
        <v>0</v>
      </c>
      <c r="O34" s="64"/>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row>
    <row r="35" spans="1:38" ht="17.25">
      <c r="A35" s="419" t="s">
        <v>274</v>
      </c>
      <c r="B35" s="199">
        <v>1476534.3979999998</v>
      </c>
      <c r="C35" s="199">
        <v>162367.24285105799</v>
      </c>
      <c r="D35" s="199">
        <v>222978.337094883</v>
      </c>
      <c r="E35" s="199">
        <v>313866</v>
      </c>
      <c r="F35" s="199">
        <v>1670570.43084</v>
      </c>
      <c r="G35" s="578">
        <v>2202766.578748968</v>
      </c>
      <c r="H35" s="262">
        <f>SUM(B35:G35)</f>
        <v>6049082.9875349086</v>
      </c>
      <c r="I35" s="993">
        <v>110293.88291</v>
      </c>
      <c r="J35" s="113">
        <f>SUM(I35:I35)</f>
        <v>110293.88291</v>
      </c>
      <c r="K35" s="722">
        <v>663613</v>
      </c>
      <c r="L35" s="578">
        <v>219650</v>
      </c>
      <c r="M35" s="262">
        <f>SUM(K35:L35)</f>
        <v>883263</v>
      </c>
      <c r="N35" s="587">
        <f>+H35+J35+M35</f>
        <v>7042639.8704449087</v>
      </c>
      <c r="O35" s="68"/>
      <c r="P35" s="424"/>
      <c r="Q35" s="424"/>
      <c r="R35" s="424"/>
      <c r="S35" s="419"/>
      <c r="T35" s="419"/>
      <c r="U35" s="419"/>
      <c r="V35" s="419"/>
      <c r="W35" s="419"/>
      <c r="X35" s="419"/>
      <c r="Y35" s="419"/>
      <c r="Z35" s="419"/>
      <c r="AA35" s="419"/>
      <c r="AB35" s="419"/>
      <c r="AC35" s="419"/>
      <c r="AD35" s="419"/>
      <c r="AE35" s="419"/>
      <c r="AF35" s="419"/>
      <c r="AG35" s="419"/>
      <c r="AH35" s="419"/>
      <c r="AI35" s="419"/>
      <c r="AJ35" s="419"/>
      <c r="AK35" s="419"/>
      <c r="AL35" s="419"/>
    </row>
    <row r="36" spans="1:38">
      <c r="A36" s="419"/>
      <c r="B36" s="87">
        <f t="shared" ref="B36:J36" si="7">SUM(B33:B35)</f>
        <v>1476534.3979999998</v>
      </c>
      <c r="C36" s="87">
        <f t="shared" si="7"/>
        <v>162367.24285105799</v>
      </c>
      <c r="D36" s="87">
        <f t="shared" si="7"/>
        <v>222978.337094883</v>
      </c>
      <c r="E36" s="87">
        <f t="shared" si="7"/>
        <v>313866</v>
      </c>
      <c r="F36" s="87">
        <f t="shared" si="7"/>
        <v>1670570.43084</v>
      </c>
      <c r="G36" s="87">
        <f t="shared" si="7"/>
        <v>2202766.578748968</v>
      </c>
      <c r="H36" s="89">
        <f t="shared" si="7"/>
        <v>6049082.9875349086</v>
      </c>
      <c r="I36" s="87">
        <f t="shared" si="7"/>
        <v>110293.88291</v>
      </c>
      <c r="J36" s="586">
        <f t="shared" si="7"/>
        <v>110293.88291</v>
      </c>
      <c r="K36" s="87">
        <f>SUM(K33:K35)</f>
        <v>963613</v>
      </c>
      <c r="L36" s="87">
        <f>SUM(L33:L35)</f>
        <v>219650</v>
      </c>
      <c r="M36" s="113">
        <f>SUM(M33:M35)</f>
        <v>1183263</v>
      </c>
      <c r="N36" s="90">
        <f>SUM(N33:N35)</f>
        <v>7342639.8704449087</v>
      </c>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ht="7.15" customHeight="1">
      <c r="A37" s="419"/>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275</v>
      </c>
      <c r="B38" s="98" t="s">
        <v>0</v>
      </c>
      <c r="C38" s="88" t="s">
        <v>0</v>
      </c>
      <c r="D38" s="87"/>
      <c r="E38" s="88" t="s">
        <v>0</v>
      </c>
      <c r="F38" s="87"/>
      <c r="G38" s="87"/>
      <c r="H38" s="89"/>
      <c r="I38" s="87"/>
      <c r="J38" s="113"/>
      <c r="K38" s="87"/>
      <c r="L38" s="87" t="s">
        <v>0</v>
      </c>
      <c r="M38" s="113"/>
      <c r="N38" s="90"/>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272</v>
      </c>
      <c r="B39" s="87">
        <v>3000</v>
      </c>
      <c r="C39" s="87">
        <v>9510</v>
      </c>
      <c r="D39" s="87">
        <v>200000</v>
      </c>
      <c r="E39" s="87">
        <v>0</v>
      </c>
      <c r="F39" s="87">
        <v>0</v>
      </c>
      <c r="G39" s="87">
        <v>600000</v>
      </c>
      <c r="H39" s="89">
        <f>SUM(B39:G39)</f>
        <v>812510</v>
      </c>
      <c r="I39" s="87">
        <v>855000</v>
      </c>
      <c r="J39" s="113">
        <f>SUM(I39:I39)</f>
        <v>855000</v>
      </c>
      <c r="K39" s="87">
        <v>0</v>
      </c>
      <c r="L39" s="87">
        <v>0</v>
      </c>
      <c r="M39" s="113">
        <f>SUM(K39:L39)</f>
        <v>0</v>
      </c>
      <c r="N39" s="90">
        <f>+H39+J39+M39</f>
        <v>1667510</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276</v>
      </c>
      <c r="B40" s="87">
        <v>0</v>
      </c>
      <c r="C40" s="87">
        <v>0</v>
      </c>
      <c r="D40" s="87">
        <v>0</v>
      </c>
      <c r="E40" s="87">
        <v>0</v>
      </c>
      <c r="F40" s="87">
        <v>2785806.59913</v>
      </c>
      <c r="G40" s="87">
        <v>1457846.4</v>
      </c>
      <c r="H40" s="89">
        <f>SUM(B40:G40)</f>
        <v>4243652.9991299994</v>
      </c>
      <c r="I40" s="87">
        <v>0</v>
      </c>
      <c r="J40" s="113">
        <f>SUM(I40:I40)</f>
        <v>0</v>
      </c>
      <c r="K40" s="87">
        <v>0</v>
      </c>
      <c r="L40" s="87">
        <v>0</v>
      </c>
      <c r="M40" s="113">
        <f>SUM(K40:L40)</f>
        <v>0</v>
      </c>
      <c r="N40" s="90">
        <f>+H40+J40+M40</f>
        <v>4243652.9991299994</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t="s">
        <v>274</v>
      </c>
      <c r="B41" s="199">
        <v>3322967.8364500003</v>
      </c>
      <c r="C41" s="199">
        <v>7297.9101099999998</v>
      </c>
      <c r="D41" s="199">
        <v>7049.5000599999994</v>
      </c>
      <c r="E41" s="199">
        <v>88007</v>
      </c>
      <c r="F41" s="199">
        <v>571012.74373000022</v>
      </c>
      <c r="G41" s="578">
        <v>372529.52439225098</v>
      </c>
      <c r="H41" s="262">
        <f>SUM(B41:G41)</f>
        <v>4368864.5147422515</v>
      </c>
      <c r="I41" s="993">
        <v>62887.521659999969</v>
      </c>
      <c r="J41" s="113">
        <f>SUM(I41:I41)</f>
        <v>62887.521659999969</v>
      </c>
      <c r="K41" s="722">
        <v>115374</v>
      </c>
      <c r="L41" s="578">
        <v>32145</v>
      </c>
      <c r="M41" s="262">
        <f>SUM(K41:L41)</f>
        <v>147519</v>
      </c>
      <c r="N41" s="587">
        <f>+H41+J41+M41</f>
        <v>4579271.0364022516</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c r="A42" s="419"/>
      <c r="B42" s="87">
        <f t="shared" ref="B42:J42" si="8">SUM(B39:B41)</f>
        <v>3325967.8364500003</v>
      </c>
      <c r="C42" s="87">
        <f t="shared" si="8"/>
        <v>16807.910110000001</v>
      </c>
      <c r="D42" s="87">
        <f t="shared" si="8"/>
        <v>207049.50005999999</v>
      </c>
      <c r="E42" s="87">
        <f t="shared" si="8"/>
        <v>88007</v>
      </c>
      <c r="F42" s="87">
        <f t="shared" si="8"/>
        <v>3356819.3428600002</v>
      </c>
      <c r="G42" s="87">
        <f t="shared" si="8"/>
        <v>2430375.9243922508</v>
      </c>
      <c r="H42" s="89">
        <f t="shared" si="8"/>
        <v>9425027.5138722509</v>
      </c>
      <c r="I42" s="87">
        <f t="shared" si="8"/>
        <v>917887.52165999997</v>
      </c>
      <c r="J42" s="585">
        <f t="shared" si="8"/>
        <v>917887.52165999997</v>
      </c>
      <c r="K42" s="87">
        <f>SUM(K39:K41)</f>
        <v>115374</v>
      </c>
      <c r="L42" s="87">
        <f>SUM(L39:L41)</f>
        <v>32145</v>
      </c>
      <c r="M42" s="113">
        <f>SUM(M39:M41)</f>
        <v>147519</v>
      </c>
      <c r="N42" s="90">
        <f>SUM(N39:N41)</f>
        <v>10490434.035532251</v>
      </c>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8.4499999999999993" customHeight="1">
      <c r="A43" s="419"/>
      <c r="B43" s="98" t="s">
        <v>0</v>
      </c>
      <c r="C43" s="88" t="s">
        <v>0</v>
      </c>
      <c r="D43" s="87"/>
      <c r="E43" s="88" t="s">
        <v>0</v>
      </c>
      <c r="F43" s="87"/>
      <c r="G43" s="87"/>
      <c r="H43" s="89"/>
      <c r="I43" s="87"/>
      <c r="J43" s="113"/>
      <c r="K43" s="87"/>
      <c r="L43" s="87" t="s">
        <v>0</v>
      </c>
      <c r="M43" s="113"/>
      <c r="N43" s="90"/>
      <c r="O43" s="64"/>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ht="17.25">
      <c r="A44" s="419" t="s">
        <v>277</v>
      </c>
      <c r="B44" s="199">
        <v>876997.35400000005</v>
      </c>
      <c r="C44" s="199">
        <v>486.15384</v>
      </c>
      <c r="D44" s="199">
        <v>202639.537648242</v>
      </c>
      <c r="E44" s="199">
        <v>425327</v>
      </c>
      <c r="F44" s="199">
        <v>1800511.0100599998</v>
      </c>
      <c r="G44" s="578">
        <v>501530.57568533707</v>
      </c>
      <c r="H44" s="262">
        <f>SUM(B44:G44)</f>
        <v>3807491.631233579</v>
      </c>
      <c r="I44" s="993">
        <v>76862.384119999973</v>
      </c>
      <c r="J44" s="113">
        <f>SUM(I44:I44)</f>
        <v>76862.384119999973</v>
      </c>
      <c r="K44" s="722">
        <v>103130</v>
      </c>
      <c r="L44" s="578">
        <v>381529</v>
      </c>
      <c r="M44" s="262">
        <f>SUM(K44:L44)</f>
        <v>484659</v>
      </c>
      <c r="N44" s="587">
        <f>+H44+J44+M44</f>
        <v>4369013.0153535791</v>
      </c>
      <c r="O44" s="68"/>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c r="A45" s="419"/>
      <c r="B45" s="87">
        <f t="shared" ref="B45:G45" si="9">+B30+B36+B42+B44</f>
        <v>41641092.821870007</v>
      </c>
      <c r="C45" s="87">
        <f t="shared" si="9"/>
        <v>2935528.3281210582</v>
      </c>
      <c r="D45" s="87">
        <f t="shared" si="9"/>
        <v>4715693.1596119385</v>
      </c>
      <c r="E45" s="87">
        <f t="shared" si="9"/>
        <v>10973298</v>
      </c>
      <c r="F45" s="87">
        <f t="shared" si="9"/>
        <v>48285943.549653187</v>
      </c>
      <c r="G45" s="87">
        <f t="shared" si="9"/>
        <v>53621672.677091986</v>
      </c>
      <c r="H45" s="89">
        <f>SUM(B45:G45)</f>
        <v>162173228.53634816</v>
      </c>
      <c r="I45" s="87">
        <f>+I30+I36+I42+I44</f>
        <v>5199501.8766399994</v>
      </c>
      <c r="J45" s="585">
        <f>+J30+J36+J42+J44</f>
        <v>5199501.8766399994</v>
      </c>
      <c r="K45" s="87">
        <f>+K30+K36+K42+K44</f>
        <v>6720387</v>
      </c>
      <c r="L45" s="87">
        <f>+L30+L36+L42+L44</f>
        <v>5658092</v>
      </c>
      <c r="M45" s="113">
        <f>SUM(K45:L45)</f>
        <v>12378479</v>
      </c>
      <c r="N45" s="90">
        <f>+H45+J45+M45</f>
        <v>179751209.41298816</v>
      </c>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ht="15.6" customHeight="1">
      <c r="A46" s="419"/>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25" t="s">
        <v>278</v>
      </c>
      <c r="B47" s="98" t="s">
        <v>0</v>
      </c>
      <c r="C47" s="88" t="s">
        <v>0</v>
      </c>
      <c r="D47" s="87"/>
      <c r="E47" s="88" t="s">
        <v>0</v>
      </c>
      <c r="F47" s="87"/>
      <c r="G47" s="87"/>
      <c r="H47" s="89"/>
      <c r="I47" s="87"/>
      <c r="J47" s="113"/>
      <c r="K47" s="87"/>
      <c r="L47" s="87" t="s">
        <v>0</v>
      </c>
      <c r="M47" s="113"/>
      <c r="N47" s="90"/>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279</v>
      </c>
      <c r="B48" s="87">
        <v>1500000</v>
      </c>
      <c r="C48" s="87">
        <v>165000</v>
      </c>
      <c r="D48" s="87">
        <v>448651</v>
      </c>
      <c r="E48" s="87">
        <v>270000</v>
      </c>
      <c r="F48" s="87">
        <v>1200000</v>
      </c>
      <c r="G48" s="87">
        <v>2092704</v>
      </c>
      <c r="H48" s="89">
        <f>SUM(B48:G48)</f>
        <v>5676355</v>
      </c>
      <c r="I48" s="87">
        <v>150000</v>
      </c>
      <c r="J48" s="113">
        <f>SUM(I48:I48)</f>
        <v>150000</v>
      </c>
      <c r="K48" s="87">
        <v>103837</v>
      </c>
      <c r="L48" s="87">
        <v>94373</v>
      </c>
      <c r="M48" s="113">
        <f>SUM(K48:L48)</f>
        <v>198210</v>
      </c>
      <c r="N48" s="90">
        <f>+H48+J48+M48</f>
        <v>6024565</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280</v>
      </c>
      <c r="B49" s="87">
        <v>352614.36806000001</v>
      </c>
      <c r="C49" s="87">
        <v>87983</v>
      </c>
      <c r="D49" s="87">
        <v>34306.199999999997</v>
      </c>
      <c r="E49" s="87">
        <v>204148</v>
      </c>
      <c r="F49" s="87">
        <v>1048734.60412</v>
      </c>
      <c r="G49" s="87">
        <v>867190.37237999996</v>
      </c>
      <c r="H49" s="89">
        <f>SUM(B49:G49)</f>
        <v>2594976.5445599998</v>
      </c>
      <c r="I49" s="87">
        <v>155712.09143999999</v>
      </c>
      <c r="J49" s="113">
        <f>SUM(I49:I49)</f>
        <v>155712.09143999999</v>
      </c>
      <c r="K49" s="87">
        <v>70114</v>
      </c>
      <c r="L49" s="87">
        <v>73658</v>
      </c>
      <c r="M49" s="113">
        <f>SUM(K49:L49)</f>
        <v>143772</v>
      </c>
      <c r="N49" s="90">
        <f>+H49+J49+M49</f>
        <v>2894460.6359999999</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c r="A50" s="419" t="s">
        <v>281</v>
      </c>
      <c r="B50" s="87">
        <v>0</v>
      </c>
      <c r="C50" s="87">
        <v>14325</v>
      </c>
      <c r="D50" s="87">
        <v>93847.2</v>
      </c>
      <c r="E50" s="87">
        <v>1384</v>
      </c>
      <c r="F50" s="87">
        <v>98479.455170000001</v>
      </c>
      <c r="G50" s="87">
        <v>0</v>
      </c>
      <c r="H50" s="89">
        <f>SUM(B50:G50)</f>
        <v>208035.65516999998</v>
      </c>
      <c r="I50" s="87">
        <v>0</v>
      </c>
      <c r="J50" s="113">
        <f>SUM(I50:I50)</f>
        <v>0</v>
      </c>
      <c r="K50" s="87">
        <v>0</v>
      </c>
      <c r="L50" s="87">
        <v>0</v>
      </c>
      <c r="M50" s="113">
        <f>SUM(K50:L50)</f>
        <v>0</v>
      </c>
      <c r="N50" s="90">
        <f>+H50+J50+M50</f>
        <v>208035.65516999998</v>
      </c>
      <c r="O50" s="64"/>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row>
    <row r="51" spans="1:38" ht="17.25">
      <c r="A51" s="419" t="s">
        <v>282</v>
      </c>
      <c r="B51" s="199">
        <v>1184061.4283699999</v>
      </c>
      <c r="C51" s="199">
        <v>-138007.06143999999</v>
      </c>
      <c r="D51" s="199">
        <v>-307533.40000000002</v>
      </c>
      <c r="E51" s="199">
        <v>533658</v>
      </c>
      <c r="F51" s="199">
        <v>1420226.01559</v>
      </c>
      <c r="G51" s="578">
        <v>2495795.6846699999</v>
      </c>
      <c r="H51" s="262">
        <f>SUM(B51:G51)</f>
        <v>5188200.6671900004</v>
      </c>
      <c r="I51" s="993">
        <v>160463.68586999999</v>
      </c>
      <c r="J51" s="113">
        <f>SUM(I51:I51)</f>
        <v>160463.68586999999</v>
      </c>
      <c r="K51" s="722">
        <v>195557</v>
      </c>
      <c r="L51" s="578">
        <v>79203</v>
      </c>
      <c r="M51" s="262">
        <f>SUM(K51:L51)</f>
        <v>274760</v>
      </c>
      <c r="N51" s="587">
        <f>+H51+J51+M51</f>
        <v>5623424.3530600006</v>
      </c>
      <c r="O51" s="64"/>
      <c r="P51" s="424"/>
      <c r="Q51" s="424"/>
      <c r="R51" s="424"/>
      <c r="S51" s="419"/>
      <c r="T51" s="419"/>
      <c r="U51" s="419"/>
      <c r="V51" s="419"/>
      <c r="W51" s="419"/>
      <c r="X51" s="419"/>
      <c r="Y51" s="419"/>
      <c r="Z51" s="419"/>
      <c r="AA51" s="419"/>
      <c r="AB51" s="419"/>
      <c r="AC51" s="419"/>
      <c r="AD51" s="419"/>
      <c r="AE51" s="419"/>
      <c r="AF51" s="419"/>
      <c r="AG51" s="419"/>
      <c r="AH51" s="419"/>
      <c r="AI51" s="419"/>
      <c r="AJ51" s="419"/>
      <c r="AK51" s="419"/>
      <c r="AL51" s="419"/>
    </row>
    <row r="52" spans="1:38" ht="16.5" thickBot="1">
      <c r="A52" s="419" t="s">
        <v>54</v>
      </c>
      <c r="B52" s="97">
        <f t="shared" ref="B52:G52" si="10">SUM(B48:B51)</f>
        <v>3036675.7964300001</v>
      </c>
      <c r="C52" s="97">
        <f t="shared" si="10"/>
        <v>129300.93856000001</v>
      </c>
      <c r="D52" s="97">
        <f t="shared" si="10"/>
        <v>269271</v>
      </c>
      <c r="E52" s="97">
        <f t="shared" si="10"/>
        <v>1009190</v>
      </c>
      <c r="F52" s="97">
        <f t="shared" si="10"/>
        <v>3767440.0748800002</v>
      </c>
      <c r="G52" s="97">
        <f t="shared" si="10"/>
        <v>5455690.0570499999</v>
      </c>
      <c r="H52" s="96">
        <f>SUM(B52:G52)</f>
        <v>13667567.866920002</v>
      </c>
      <c r="I52" s="97">
        <f t="shared" ref="I52:N52" si="11">SUM(I48:I51)</f>
        <v>466175.77730999998</v>
      </c>
      <c r="J52" s="584">
        <f t="shared" si="11"/>
        <v>466175.77730999998</v>
      </c>
      <c r="K52" s="97">
        <f t="shared" si="11"/>
        <v>369508</v>
      </c>
      <c r="L52" s="97">
        <f t="shared" si="11"/>
        <v>247234</v>
      </c>
      <c r="M52" s="115">
        <f t="shared" si="11"/>
        <v>616742</v>
      </c>
      <c r="N52" s="95">
        <f t="shared" si="11"/>
        <v>14750485.644230001</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t="s">
        <v>0</v>
      </c>
      <c r="B53" s="90">
        <f t="shared" ref="B53:J53" si="12">+B30+B36+B42+B44+B52</f>
        <v>44677768.618300006</v>
      </c>
      <c r="C53" s="90">
        <f t="shared" si="12"/>
        <v>3064829.2666810583</v>
      </c>
      <c r="D53" s="90">
        <f t="shared" si="12"/>
        <v>4984964.1596119385</v>
      </c>
      <c r="E53" s="90">
        <f t="shared" si="12"/>
        <v>11982488</v>
      </c>
      <c r="F53" s="90">
        <f t="shared" si="12"/>
        <v>52053383.624533191</v>
      </c>
      <c r="G53" s="90">
        <f t="shared" si="12"/>
        <v>59077362.734141983</v>
      </c>
      <c r="H53" s="89">
        <f t="shared" si="12"/>
        <v>175840796.40326816</v>
      </c>
      <c r="I53" s="90">
        <f t="shared" si="12"/>
        <v>5665677.6539499993</v>
      </c>
      <c r="J53" s="1014">
        <f t="shared" si="12"/>
        <v>5665677.6539499993</v>
      </c>
      <c r="K53" s="90">
        <f>+K30+K36+K42+K44+K52</f>
        <v>7089895</v>
      </c>
      <c r="L53" s="90">
        <f>+L30+L36+L42+L44+L52</f>
        <v>5905326</v>
      </c>
      <c r="M53" s="113">
        <f>+M30+M36+M42+M44+M52</f>
        <v>12995221</v>
      </c>
      <c r="N53" s="90">
        <f>(+N30+N36+N42+N44+N52)</f>
        <v>194501695.05721816</v>
      </c>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19"/>
      <c r="B55" s="65"/>
      <c r="C55" s="65"/>
      <c r="D55" s="64" t="s">
        <v>0</v>
      </c>
      <c r="E55" s="65"/>
      <c r="F55" s="64"/>
      <c r="G55" s="64"/>
      <c r="H55" s="64"/>
      <c r="I55" s="64"/>
      <c r="J55" s="566"/>
      <c r="K55" s="64"/>
      <c r="L55" s="65"/>
      <c r="M55" s="64"/>
      <c r="N55" s="64" t="s">
        <v>0</v>
      </c>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26" t="s">
        <v>283</v>
      </c>
      <c r="B56" s="87" t="s">
        <v>0</v>
      </c>
      <c r="C56" s="418"/>
      <c r="D56" s="418"/>
      <c r="E56" s="418"/>
      <c r="F56" s="418"/>
      <c r="G56" s="418"/>
      <c r="H56" s="418"/>
      <c r="I56" s="418"/>
      <c r="J56" s="567"/>
      <c r="K56" s="87" t="s">
        <v>0</v>
      </c>
      <c r="L56" s="418"/>
      <c r="M56" s="64"/>
      <c r="N56" s="64"/>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358</v>
      </c>
      <c r="B57" s="87">
        <v>0</v>
      </c>
      <c r="C57" s="87">
        <v>0</v>
      </c>
      <c r="D57" s="87">
        <v>0</v>
      </c>
      <c r="E57" s="87">
        <v>0</v>
      </c>
      <c r="F57" s="87">
        <v>94679.355009999985</v>
      </c>
      <c r="G57" s="87">
        <v>743.6336419139999</v>
      </c>
      <c r="H57" s="89">
        <f>SUM(B57:G57)</f>
        <v>95422.988651913984</v>
      </c>
      <c r="I57" s="87">
        <v>0</v>
      </c>
      <c r="J57" s="113">
        <f>SUM(I57:I57)</f>
        <v>0</v>
      </c>
      <c r="K57" s="87">
        <v>0</v>
      </c>
      <c r="L57" s="87">
        <v>0</v>
      </c>
      <c r="M57" s="113">
        <f>SUM(K57:L57)</f>
        <v>0</v>
      </c>
      <c r="N57" s="90">
        <f>+H57+J57+M57</f>
        <v>95422.988651913984</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359</v>
      </c>
      <c r="B58" s="87">
        <v>136673.1</v>
      </c>
      <c r="C58" s="87">
        <v>0</v>
      </c>
      <c r="D58" s="87">
        <v>0</v>
      </c>
      <c r="E58" s="87">
        <v>0</v>
      </c>
      <c r="F58" s="87">
        <v>714772.20241999999</v>
      </c>
      <c r="G58" s="87">
        <v>733540.53257558693</v>
      </c>
      <c r="H58" s="89">
        <f>SUM(B58:G58)</f>
        <v>1584985.8349955869</v>
      </c>
      <c r="I58" s="87">
        <v>0</v>
      </c>
      <c r="J58" s="113">
        <f>SUM(I58:I58)</f>
        <v>0</v>
      </c>
      <c r="K58" s="87">
        <v>68176</v>
      </c>
      <c r="L58" s="87">
        <v>81071</v>
      </c>
      <c r="M58" s="113">
        <f>SUM(K58:L58)</f>
        <v>149247</v>
      </c>
      <c r="N58" s="90">
        <f>+H58+J58+M58</f>
        <v>1734232.8349955869</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A59" s="418" t="s">
        <v>360</v>
      </c>
      <c r="B59" s="87">
        <v>294443.174</v>
      </c>
      <c r="C59" s="87">
        <v>219300.77508037502</v>
      </c>
      <c r="D59" s="87">
        <v>2427.8850000000002</v>
      </c>
      <c r="E59" s="87">
        <v>160556</v>
      </c>
      <c r="F59" s="87">
        <v>3240235.8544799997</v>
      </c>
      <c r="G59" s="87">
        <v>559775.16554171999</v>
      </c>
      <c r="H59" s="89">
        <f>SUM(B59:G59)</f>
        <v>4476738.8541020947</v>
      </c>
      <c r="I59" s="87">
        <v>609384.05111899995</v>
      </c>
      <c r="J59" s="113">
        <f>SUM(I59:I59)</f>
        <v>609384.05111899995</v>
      </c>
      <c r="K59" s="87">
        <v>5921460</v>
      </c>
      <c r="L59" s="87">
        <v>1475592</v>
      </c>
      <c r="M59" s="113">
        <f>SUM(K59:L59)</f>
        <v>7397052</v>
      </c>
      <c r="N59" s="90">
        <f>+H59+J59+M59</f>
        <v>12483174.905221093</v>
      </c>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B60" s="87" t="s">
        <v>0</v>
      </c>
      <c r="C60" s="87"/>
      <c r="E60" s="88"/>
      <c r="F60" s="87"/>
      <c r="G60" s="87"/>
      <c r="H60" s="93"/>
      <c r="I60" s="87"/>
      <c r="J60" s="565"/>
      <c r="K60" s="87" t="s">
        <v>0</v>
      </c>
      <c r="L60" s="87"/>
      <c r="M60" s="114"/>
      <c r="N60" s="90"/>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89" t="s">
        <v>361</v>
      </c>
      <c r="B61" s="87">
        <v>11521904.286499999</v>
      </c>
      <c r="C61" s="87">
        <v>1369610.7905000001</v>
      </c>
      <c r="D61" s="87">
        <v>2301326.7615482868</v>
      </c>
      <c r="E61" s="87">
        <v>5447996</v>
      </c>
      <c r="F61" s="87">
        <v>19519215.03672</v>
      </c>
      <c r="G61" s="87">
        <v>22587458.600659996</v>
      </c>
      <c r="H61" s="89">
        <f>SUM(B61:G61)</f>
        <v>62747511.475928284</v>
      </c>
      <c r="I61" s="87">
        <v>3248793.2088270001</v>
      </c>
      <c r="J61" s="113">
        <f>SUM(I61:I61)</f>
        <v>3248793.2088270001</v>
      </c>
      <c r="K61" s="87">
        <v>1447380</v>
      </c>
      <c r="L61" s="87">
        <v>2239595</v>
      </c>
      <c r="M61" s="113">
        <f>SUM(K61:L61)</f>
        <v>3686975</v>
      </c>
      <c r="N61" s="90">
        <f>+H61+J61+M61</f>
        <v>69683279.684755281</v>
      </c>
      <c r="O61" s="64"/>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27" t="s">
        <v>362</v>
      </c>
      <c r="B62" s="87">
        <v>257416.29200000002</v>
      </c>
      <c r="C62" s="87">
        <v>410928.94462999998</v>
      </c>
      <c r="D62" s="87">
        <v>23838.751544496998</v>
      </c>
      <c r="E62" s="87">
        <v>31049</v>
      </c>
      <c r="F62" s="87">
        <v>518172.26006999996</v>
      </c>
      <c r="G62" s="87">
        <v>109817.99628000001</v>
      </c>
      <c r="H62" s="89">
        <f>SUM(B62:G62)</f>
        <v>1351223.2445244971</v>
      </c>
      <c r="I62" s="87">
        <v>68286.053780000002</v>
      </c>
      <c r="J62" s="113">
        <f>SUM(I62:I62)</f>
        <v>68286.053780000002</v>
      </c>
      <c r="K62" s="87">
        <v>109</v>
      </c>
      <c r="L62" s="87">
        <v>85413</v>
      </c>
      <c r="M62" s="113">
        <f>SUM(K62:L62)</f>
        <v>85522</v>
      </c>
      <c r="N62" s="90">
        <f>+H62+J62+M62</f>
        <v>1505031.298304497</v>
      </c>
      <c r="O62" s="64" t="s">
        <v>0</v>
      </c>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A63" s="489" t="s">
        <v>363</v>
      </c>
      <c r="B63" s="87">
        <v>520366.73300000001</v>
      </c>
      <c r="C63" s="87">
        <v>512899.07956317492</v>
      </c>
      <c r="D63" s="87">
        <v>49958</v>
      </c>
      <c r="E63" s="87">
        <v>31942</v>
      </c>
      <c r="F63" s="87">
        <v>504231</v>
      </c>
      <c r="G63" s="87">
        <v>15971.1625</v>
      </c>
      <c r="H63" s="89">
        <f>SUM(B63:G63)</f>
        <v>1635367.975063175</v>
      </c>
      <c r="I63" s="87">
        <v>303585.96730999998</v>
      </c>
      <c r="J63" s="113">
        <f>SUM(I63:I63)</f>
        <v>303585.96730999998</v>
      </c>
      <c r="K63" s="87">
        <v>511</v>
      </c>
      <c r="L63" s="87">
        <v>148481</v>
      </c>
      <c r="M63" s="113">
        <f>SUM(K63:L63)</f>
        <v>148992</v>
      </c>
      <c r="N63" s="90">
        <f>+H63+J63+M63</f>
        <v>2087945.9423731749</v>
      </c>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A65" s="421" t="s">
        <v>0</v>
      </c>
      <c r="B65" s="1460" t="s">
        <v>0</v>
      </c>
      <c r="C65" s="1460" t="s">
        <v>0</v>
      </c>
      <c r="D65" s="418"/>
      <c r="E65" s="418"/>
      <c r="F65" s="1460" t="s">
        <v>0</v>
      </c>
      <c r="G65" s="1460" t="s">
        <v>0</v>
      </c>
      <c r="H65" s="418"/>
      <c r="I65" s="418"/>
      <c r="J65" s="418"/>
      <c r="K65" s="1461" t="s">
        <v>0</v>
      </c>
      <c r="L65" s="1461" t="s">
        <v>0</v>
      </c>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23" t="s">
        <v>0</v>
      </c>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B68" s="418"/>
      <c r="C68" s="418"/>
      <c r="D68" s="418"/>
      <c r="E68" s="418"/>
      <c r="F68" s="418"/>
      <c r="G68" s="418"/>
      <c r="H68" s="418"/>
      <c r="I68" s="418"/>
      <c r="J68" s="418"/>
      <c r="K68" s="418"/>
      <c r="L68" s="418"/>
      <c r="M68" s="64"/>
      <c r="N68" s="64"/>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A69" s="418" t="s">
        <v>364</v>
      </c>
      <c r="B69" s="20">
        <f>+'bncgdes&amp;$ '!B30</f>
        <v>14356274.529310001</v>
      </c>
      <c r="C69" s="20">
        <f>+'bphgdes&amp;$'!B30</f>
        <v>1895744.6445899999</v>
      </c>
      <c r="D69" s="20">
        <f>+'buhgdes&amp;$'!B30</f>
        <v>2497761.247505975</v>
      </c>
      <c r="E69" s="20">
        <f>+'capitalbkgdes&amp;$'!B30</f>
        <v>6623756</v>
      </c>
      <c r="F69" s="20">
        <f>+'sogebkgdes&amp;$  '!B30</f>
        <v>25516968.386440001</v>
      </c>
      <c r="G69" s="20">
        <f>+'unibkgdes&amp;$'!B30</f>
        <v>30680322.285385784</v>
      </c>
      <c r="H69" s="89">
        <f>SUM(B69:G69)</f>
        <v>81570827.093231767</v>
      </c>
      <c r="I69" s="20">
        <f>+'sgbelgdes&amp;$'!B30</f>
        <v>3332456.9353400003</v>
      </c>
      <c r="J69" s="113">
        <f>+I69</f>
        <v>3332456.9353400003</v>
      </c>
      <c r="K69" s="20">
        <f>+'cbnagdes&amp;$'!B30</f>
        <v>2092611</v>
      </c>
      <c r="L69" s="20">
        <f>+'scotiagdes&amp;$'!B30</f>
        <v>2652874</v>
      </c>
      <c r="M69" s="113">
        <f>SUM(K69:L69)</f>
        <v>4745485</v>
      </c>
      <c r="N69" s="90">
        <f>+H69+J69+M69</f>
        <v>89648769.02857177</v>
      </c>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18"/>
      <c r="C73" s="418"/>
      <c r="D73" s="418"/>
      <c r="E73" s="418"/>
      <c r="F73" s="418"/>
      <c r="G73" s="418"/>
      <c r="H73" s="418"/>
      <c r="I73" s="418"/>
      <c r="J73" s="418"/>
      <c r="K73" s="418"/>
      <c r="L73" s="418"/>
      <c r="M73" s="64"/>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29"/>
      <c r="C74" s="417" t="s">
        <v>365</v>
      </c>
      <c r="D74" s="429"/>
      <c r="F74" s="592" t="s">
        <v>366</v>
      </c>
      <c r="G74" s="592"/>
      <c r="I74" s="1559" t="s">
        <v>637</v>
      </c>
      <c r="J74" s="1559"/>
      <c r="K74" s="418"/>
      <c r="L74" s="417" t="s">
        <v>779</v>
      </c>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418"/>
      <c r="C75" s="417"/>
      <c r="D75" s="429"/>
      <c r="F75" s="418"/>
      <c r="J75" s="418"/>
      <c r="K75" s="418"/>
      <c r="L75" s="418"/>
      <c r="M75" s="418"/>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65</v>
      </c>
      <c r="D76" s="671">
        <f>+unibkvar!H15</f>
        <v>0</v>
      </c>
      <c r="F76" s="670" t="s">
        <v>59</v>
      </c>
      <c r="G76" s="672">
        <f>+bncvar!H17</f>
        <v>0</v>
      </c>
      <c r="I76" s="670" t="s">
        <v>65</v>
      </c>
      <c r="J76" s="671">
        <f>+unibkvar!H20</f>
        <v>0</v>
      </c>
      <c r="K76" s="418"/>
      <c r="L76" s="670" t="s">
        <v>65</v>
      </c>
      <c r="M76" s="671">
        <f>+unibkvar!H52</f>
        <v>0</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59</v>
      </c>
      <c r="D77" s="671">
        <f>+bncvar!H15</f>
        <v>0</v>
      </c>
      <c r="F77" s="670" t="s">
        <v>64</v>
      </c>
      <c r="G77" s="672">
        <f>+sogebkvar!H17</f>
        <v>0</v>
      </c>
      <c r="I77" s="670" t="s">
        <v>64</v>
      </c>
      <c r="J77" s="671">
        <f>+sogebkvar!H20</f>
        <v>0</v>
      </c>
      <c r="K77" s="418"/>
      <c r="L77" s="670" t="s">
        <v>64</v>
      </c>
      <c r="M77" s="671">
        <f>+sogebkvar!H52</f>
        <v>0</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64</v>
      </c>
      <c r="D78" s="671">
        <f>+sogebkvar!H15</f>
        <v>0</v>
      </c>
      <c r="F78" s="670" t="s">
        <v>60</v>
      </c>
      <c r="G78" s="672">
        <f>+bphvar!H17</f>
        <v>0</v>
      </c>
      <c r="I78" s="670" t="s">
        <v>59</v>
      </c>
      <c r="J78" s="671">
        <f>+bncvar!H20</f>
        <v>0</v>
      </c>
      <c r="K78" s="418"/>
      <c r="L78" s="670" t="s">
        <v>59</v>
      </c>
      <c r="M78" s="671">
        <f>+bncvar!H52</f>
        <v>0</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68</v>
      </c>
      <c r="D79" s="671">
        <f>+cbnavar!H15</f>
        <v>0</v>
      </c>
      <c r="F79" s="670" t="s">
        <v>66</v>
      </c>
      <c r="G79" s="672">
        <f>+capitalbkvar!H17</f>
        <v>0</v>
      </c>
      <c r="I79" s="670" t="s">
        <v>66</v>
      </c>
      <c r="J79" s="671">
        <f>+capitalbkvar!H20</f>
        <v>0</v>
      </c>
      <c r="K79" s="418"/>
      <c r="L79" s="670" t="s">
        <v>66</v>
      </c>
      <c r="M79" s="671">
        <f>+capitalbkvar!H52</f>
        <v>0</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66</v>
      </c>
      <c r="D80" s="671">
        <f>+capitalbkvar!H15</f>
        <v>0</v>
      </c>
      <c r="F80" s="670" t="s">
        <v>68</v>
      </c>
      <c r="G80" s="672">
        <f>+cbnavar!H17</f>
        <v>0</v>
      </c>
      <c r="I80" s="670" t="s">
        <v>67</v>
      </c>
      <c r="J80" s="671">
        <f>+sgbelvar!H20</f>
        <v>0</v>
      </c>
      <c r="K80" s="418"/>
      <c r="L80" s="670" t="s">
        <v>67</v>
      </c>
      <c r="M80" s="671">
        <f>+sgbelvar!H52</f>
        <v>0</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69</v>
      </c>
      <c r="D81" s="671">
        <f>+scotiavar!H15</f>
        <v>0</v>
      </c>
      <c r="F81" s="670" t="s">
        <v>65</v>
      </c>
      <c r="G81" s="672">
        <f>+unibkvar!H17</f>
        <v>0</v>
      </c>
      <c r="I81" s="670" t="s">
        <v>61</v>
      </c>
      <c r="J81" s="671">
        <f>+buhvar!H20</f>
        <v>0</v>
      </c>
      <c r="K81" s="418"/>
      <c r="L81" s="670" t="s">
        <v>68</v>
      </c>
      <c r="M81" s="671">
        <f>+cbnavar!H52</f>
        <v>0</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61</v>
      </c>
      <c r="D82" s="671">
        <f>+buhvar!H15</f>
        <v>0</v>
      </c>
      <c r="F82" s="670" t="s">
        <v>61</v>
      </c>
      <c r="G82" s="672">
        <f>+buhvar!H17</f>
        <v>0</v>
      </c>
      <c r="I82" s="670" t="s">
        <v>69</v>
      </c>
      <c r="J82" s="671">
        <f>+scotiavar!H20</f>
        <v>0</v>
      </c>
      <c r="K82" s="418"/>
      <c r="L82" s="670" t="s">
        <v>61</v>
      </c>
      <c r="M82" s="671">
        <f>+buhvar!H52</f>
        <v>0</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67</v>
      </c>
      <c r="D83" s="671">
        <f>+sgbelvar!H15</f>
        <v>0</v>
      </c>
      <c r="F83" s="670" t="s">
        <v>69</v>
      </c>
      <c r="G83" s="672">
        <f>+scotiavar!H17</f>
        <v>0</v>
      </c>
      <c r="I83" s="670" t="s">
        <v>68</v>
      </c>
      <c r="J83" s="671">
        <f>+cbnavar!H20</f>
        <v>0</v>
      </c>
      <c r="K83" s="418"/>
      <c r="L83" s="670" t="s">
        <v>69</v>
      </c>
      <c r="M83" s="671">
        <f>+scotiavar!H52</f>
        <v>0</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C84" s="670" t="s">
        <v>60</v>
      </c>
      <c r="D84" s="671">
        <f>+bphvar!H15</f>
        <v>0</v>
      </c>
      <c r="F84" s="670" t="s">
        <v>67</v>
      </c>
      <c r="G84" s="672">
        <f>+sgbelvar!H17</f>
        <v>0</v>
      </c>
      <c r="I84" s="670" t="s">
        <v>60</v>
      </c>
      <c r="J84" s="671">
        <f>+bphvar!H20</f>
        <v>0</v>
      </c>
      <c r="K84" s="418"/>
      <c r="L84" s="670" t="s">
        <v>60</v>
      </c>
      <c r="M84" s="671">
        <f>+bphvar!H52</f>
        <v>0</v>
      </c>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B86" s="591"/>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A87" s="670" t="s">
        <v>0</v>
      </c>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591" t="s">
        <v>0</v>
      </c>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B140" s="418"/>
      <c r="C140" s="65"/>
      <c r="D140" s="64"/>
      <c r="E140" s="64"/>
      <c r="F140" s="64"/>
      <c r="G140" s="64"/>
      <c r="H140" s="64"/>
      <c r="I140" s="64"/>
      <c r="J140" s="64"/>
      <c r="K140" s="418"/>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c r="B141" s="64"/>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9"/>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4"/>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9"/>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4"/>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9"/>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4"/>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9"/>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4"/>
      <c r="C156" s="71" t="s">
        <v>0</v>
      </c>
      <c r="D156" s="69" t="s">
        <v>0</v>
      </c>
      <c r="E156" s="69"/>
      <c r="F156" s="69">
        <f>+F107+F111+F113+F115+F130+F139+F141+F143+F145+F152</f>
        <v>0</v>
      </c>
      <c r="G156" s="69"/>
      <c r="H156" s="69"/>
      <c r="I156" s="69" t="s">
        <v>0</v>
      </c>
      <c r="J156" s="69"/>
      <c r="K156" s="64"/>
      <c r="L156" s="71" t="s">
        <v>0</v>
      </c>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t="s">
        <v>0</v>
      </c>
      <c r="B157" s="69" t="s">
        <v>0</v>
      </c>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row r="189" spans="1:38">
      <c r="A189" s="419"/>
      <c r="B189" s="64"/>
      <c r="K189" s="64"/>
      <c r="N189" s="64"/>
      <c r="O189" s="64"/>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row>
  </sheetData>
  <mergeCells count="1">
    <mergeCell ref="I74:J74"/>
  </mergeCells>
  <pageMargins left="0.2" right="0.21" top="0.68" bottom="0.45" header="0.5" footer="0.23"/>
  <pageSetup scale="55" orientation="landscape" r:id="rId1"/>
  <headerFooter alignWithMargins="0">
    <oddFooter>&amp;R&amp;16&amp;P</oddFooter>
  </headerFooter>
</worksheet>
</file>

<file path=xl/worksheets/sheet53.xml><?xml version="1.0" encoding="utf-8"?>
<worksheet xmlns="http://schemas.openxmlformats.org/spreadsheetml/2006/main" xmlns:r="http://schemas.openxmlformats.org/officeDocument/2006/relationships">
  <sheetPr>
    <pageSetUpPr fitToPage="1"/>
  </sheetPr>
  <dimension ref="A1:AL189"/>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933</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3694455.0939999996</v>
      </c>
      <c r="C10" s="87">
        <v>117274.16959</v>
      </c>
      <c r="D10" s="87">
        <v>363803.52928936103</v>
      </c>
      <c r="E10" s="87">
        <v>291287</v>
      </c>
      <c r="F10" s="87">
        <v>2077918.5699</v>
      </c>
      <c r="G10" s="87">
        <v>1284806.61417637</v>
      </c>
      <c r="H10" s="89">
        <f>SUM(B10:G10)</f>
        <v>7829544.9769557305</v>
      </c>
      <c r="I10" s="87">
        <v>25920.585129999999</v>
      </c>
      <c r="J10" s="113">
        <f>SUM(I10:I10)</f>
        <v>25920.585129999999</v>
      </c>
      <c r="K10" s="87">
        <v>53926</v>
      </c>
      <c r="L10" s="87">
        <v>78529</v>
      </c>
      <c r="M10" s="113">
        <f>SUM(K10:L10)</f>
        <v>132455</v>
      </c>
      <c r="N10" s="90">
        <f>+H10+J10+M10</f>
        <v>7987920.56208573</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11844207.18</v>
      </c>
      <c r="C11" s="87">
        <v>1045813.6945400001</v>
      </c>
      <c r="D11" s="87">
        <v>1487388.875208423</v>
      </c>
      <c r="E11" s="87">
        <v>3351094</v>
      </c>
      <c r="F11" s="87">
        <v>13654878.002419999</v>
      </c>
      <c r="G11" s="87">
        <v>15494450.315847758</v>
      </c>
      <c r="H11" s="89">
        <f>SUM(B11:G11)</f>
        <v>46877832.068016186</v>
      </c>
      <c r="I11" s="87">
        <v>398398.61962000001</v>
      </c>
      <c r="J11" s="113">
        <f>SUM(I11:I11)</f>
        <v>398398.61962000001</v>
      </c>
      <c r="K11" s="87">
        <v>3267147</v>
      </c>
      <c r="L11" s="87">
        <v>1731123</v>
      </c>
      <c r="M11" s="113">
        <f>SUM(K11:L11)</f>
        <v>4998270</v>
      </c>
      <c r="N11" s="90">
        <f>+H11+J11+M11</f>
        <v>52274500.687636189</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609203.01399999997</v>
      </c>
      <c r="C12" s="87">
        <v>639957.19614999997</v>
      </c>
      <c r="D12" s="87">
        <v>91163.090689272009</v>
      </c>
      <c r="E12" s="87">
        <v>507711</v>
      </c>
      <c r="F12" s="87">
        <v>910426.2771699999</v>
      </c>
      <c r="G12" s="87">
        <v>1796932.2348359299</v>
      </c>
      <c r="H12" s="89">
        <f>SUM(B12:G12)</f>
        <v>4555392.8128452022</v>
      </c>
      <c r="I12" s="87">
        <v>9135.9803400000001</v>
      </c>
      <c r="J12" s="113">
        <f>SUM(I12:I12)</f>
        <v>9135.9803400000001</v>
      </c>
      <c r="K12" s="87">
        <v>799018</v>
      </c>
      <c r="L12" s="87">
        <v>1579024</v>
      </c>
      <c r="M12" s="113">
        <f>SUM(K12:L12)</f>
        <v>2378042</v>
      </c>
      <c r="N12" s="90">
        <f>+H12+J12+M12</f>
        <v>6942570.7931852024</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214751.31406436599</v>
      </c>
      <c r="E13" s="87">
        <v>25037</v>
      </c>
      <c r="F13" s="87">
        <v>16512.26496</v>
      </c>
      <c r="G13" s="87">
        <v>-6525.0393864411717</v>
      </c>
      <c r="H13" s="89">
        <f>SUM(B13:G13)</f>
        <v>249775.53963792481</v>
      </c>
      <c r="I13" s="87">
        <v>1373323.3722399999</v>
      </c>
      <c r="J13" s="113">
        <f>SUM(I13:I13)</f>
        <v>1373323.3722399999</v>
      </c>
      <c r="K13" s="87">
        <v>0</v>
      </c>
      <c r="L13" s="87">
        <v>0</v>
      </c>
      <c r="M13" s="113">
        <f>SUM(K13:L13)</f>
        <v>0</v>
      </c>
      <c r="N13" s="90">
        <f>+H13+J13+M13</f>
        <v>1623098.9118779248</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196325.29199999999</v>
      </c>
      <c r="C14" s="199">
        <v>50651.195030000003</v>
      </c>
      <c r="D14" s="199">
        <v>43</v>
      </c>
      <c r="E14" s="199">
        <v>194958</v>
      </c>
      <c r="F14" s="199">
        <v>56637.552160000007</v>
      </c>
      <c r="G14" s="578">
        <v>484368.705087398</v>
      </c>
      <c r="H14" s="262">
        <f>SUM(B14:G14)</f>
        <v>982983.74427739799</v>
      </c>
      <c r="I14" s="993">
        <v>16985.954450000001</v>
      </c>
      <c r="J14" s="113">
        <f>SUM(I14:I14)</f>
        <v>16985.954450000001</v>
      </c>
      <c r="K14" s="722">
        <v>180207</v>
      </c>
      <c r="L14" s="578">
        <v>65982</v>
      </c>
      <c r="M14" s="262">
        <f>SUM(K14:L14)</f>
        <v>246189</v>
      </c>
      <c r="N14" s="587">
        <f>+H14+J14+M14</f>
        <v>1246158.6987273979</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16344190.58</v>
      </c>
      <c r="C15" s="87">
        <f t="shared" ref="C15:J15" si="0">SUM(C10:C14)</f>
        <v>1853696.2553100002</v>
      </c>
      <c r="D15" s="87">
        <f t="shared" si="0"/>
        <v>2157149.8092514221</v>
      </c>
      <c r="E15" s="134">
        <f t="shared" si="0"/>
        <v>4370087</v>
      </c>
      <c r="F15" s="87">
        <f t="shared" si="0"/>
        <v>16716372.666610001</v>
      </c>
      <c r="G15" s="87">
        <f t="shared" si="0"/>
        <v>19054032.830561016</v>
      </c>
      <c r="H15" s="89">
        <f t="shared" si="0"/>
        <v>60495529.141732432</v>
      </c>
      <c r="I15" s="24">
        <f t="shared" si="0"/>
        <v>1823764.5117800001</v>
      </c>
      <c r="J15" s="586">
        <f t="shared" si="0"/>
        <v>1823764.5117800001</v>
      </c>
      <c r="K15" s="87">
        <f>SUM(K10:K14)</f>
        <v>4300298</v>
      </c>
      <c r="L15" s="87">
        <f>SUM(L10:L14)</f>
        <v>3454658</v>
      </c>
      <c r="M15" s="113">
        <f>SUM(M10:M14)</f>
        <v>7754956</v>
      </c>
      <c r="N15" s="90">
        <f>SUM(N10:N14)</f>
        <v>70074249.653512448</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1780000</v>
      </c>
      <c r="C17" s="87">
        <v>140000</v>
      </c>
      <c r="D17" s="87">
        <v>0</v>
      </c>
      <c r="E17" s="87">
        <v>99983</v>
      </c>
      <c r="F17" s="87">
        <v>0</v>
      </c>
      <c r="G17" s="87">
        <v>0</v>
      </c>
      <c r="H17" s="89">
        <f t="shared" ref="H17:H22" si="1">SUM(B17:G17)</f>
        <v>2019983</v>
      </c>
      <c r="I17" s="87">
        <v>0</v>
      </c>
      <c r="J17" s="113">
        <f t="shared" ref="J17:J22" si="2">SUM(I17:I17)</f>
        <v>0</v>
      </c>
      <c r="K17" s="87">
        <v>149868</v>
      </c>
      <c r="L17" s="87">
        <v>0</v>
      </c>
      <c r="M17" s="113">
        <f t="shared" ref="M17:M22" si="3">SUM(K17:L17)</f>
        <v>149868</v>
      </c>
      <c r="N17" s="90">
        <f t="shared" ref="N17:N22" si="4">+H17+J17+M17</f>
        <v>2169851</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ht="15.6" customHeight="1">
      <c r="A18" s="10" t="s">
        <v>909</v>
      </c>
      <c r="B18" s="87">
        <v>3875000</v>
      </c>
      <c r="C18" s="87">
        <v>0</v>
      </c>
      <c r="D18" s="87">
        <v>0</v>
      </c>
      <c r="E18" s="87">
        <v>0</v>
      </c>
      <c r="F18" s="87">
        <v>0</v>
      </c>
      <c r="G18" s="87">
        <v>0</v>
      </c>
      <c r="H18" s="89">
        <f t="shared" si="1"/>
        <v>3875000</v>
      </c>
      <c r="I18" s="87">
        <v>0</v>
      </c>
      <c r="J18" s="113">
        <f t="shared" si="2"/>
        <v>0</v>
      </c>
      <c r="K18" s="87">
        <v>0</v>
      </c>
      <c r="L18" s="87">
        <v>0</v>
      </c>
      <c r="M18" s="113">
        <f t="shared" si="3"/>
        <v>0</v>
      </c>
      <c r="N18" s="90">
        <f t="shared" si="4"/>
        <v>3875000</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262</v>
      </c>
      <c r="B19" s="87">
        <v>8004608.3819999993</v>
      </c>
      <c r="C19" s="87">
        <v>26055.215549999994</v>
      </c>
      <c r="D19" s="87">
        <v>26053.551139077998</v>
      </c>
      <c r="E19" s="87">
        <v>608274</v>
      </c>
      <c r="F19" s="87">
        <v>9841322.4197500013</v>
      </c>
      <c r="G19" s="87">
        <v>13088400.699125193</v>
      </c>
      <c r="H19" s="89">
        <f t="shared" si="1"/>
        <v>31594714.267564271</v>
      </c>
      <c r="I19" s="87">
        <v>38620.043799999999</v>
      </c>
      <c r="J19" s="113">
        <f t="shared" si="2"/>
        <v>38620.043799999999</v>
      </c>
      <c r="K19" s="87">
        <v>0</v>
      </c>
      <c r="L19" s="87">
        <v>0</v>
      </c>
      <c r="M19" s="113">
        <f t="shared" si="3"/>
        <v>0</v>
      </c>
      <c r="N19" s="90">
        <f t="shared" si="4"/>
        <v>31633334.311364271</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357</v>
      </c>
      <c r="B20" s="87">
        <v>9759249.6460000016</v>
      </c>
      <c r="C20" s="87">
        <v>1023370.0361500001</v>
      </c>
      <c r="D20" s="87">
        <v>2151265.4243248398</v>
      </c>
      <c r="E20" s="87">
        <v>5435630</v>
      </c>
      <c r="F20" s="87">
        <v>18993640.523879997</v>
      </c>
      <c r="G20" s="87">
        <v>20208336.269639999</v>
      </c>
      <c r="H20" s="89">
        <f t="shared" si="1"/>
        <v>57571491.899994835</v>
      </c>
      <c r="I20" s="87">
        <v>3027356.7975299996</v>
      </c>
      <c r="J20" s="113">
        <f t="shared" si="2"/>
        <v>3027356.7975299996</v>
      </c>
      <c r="K20" s="87">
        <v>1336264</v>
      </c>
      <c r="L20" s="87">
        <v>2257085</v>
      </c>
      <c r="M20" s="113">
        <f t="shared" si="3"/>
        <v>3593349</v>
      </c>
      <c r="N20" s="90">
        <f t="shared" si="4"/>
        <v>64192197.697524838</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c r="A21" s="419" t="s">
        <v>264</v>
      </c>
      <c r="B21" s="87">
        <v>1268450.8505099998</v>
      </c>
      <c r="C21" s="87">
        <v>184601.30238000001</v>
      </c>
      <c r="D21" s="87">
        <v>259226.10249785712</v>
      </c>
      <c r="E21" s="87">
        <v>304825</v>
      </c>
      <c r="F21" s="87">
        <v>2106396.46337</v>
      </c>
      <c r="G21" s="87">
        <v>1397684.9893</v>
      </c>
      <c r="H21" s="89">
        <f t="shared" si="1"/>
        <v>5521184.7080578562</v>
      </c>
      <c r="I21" s="87">
        <v>210507.49063000001</v>
      </c>
      <c r="J21" s="113">
        <f t="shared" si="2"/>
        <v>210507.49063000001</v>
      </c>
      <c r="K21" s="87">
        <v>374451</v>
      </c>
      <c r="L21" s="87">
        <v>61015</v>
      </c>
      <c r="M21" s="113">
        <f t="shared" si="3"/>
        <v>435466</v>
      </c>
      <c r="N21" s="90">
        <f t="shared" si="4"/>
        <v>6167158.1986878561</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ht="16.5" thickBot="1">
      <c r="A22" s="419" t="s">
        <v>265</v>
      </c>
      <c r="B22" s="97">
        <v>1740211.6069999998</v>
      </c>
      <c r="C22" s="97">
        <v>41184.266799999998</v>
      </c>
      <c r="D22" s="97">
        <v>33456.60019582307</v>
      </c>
      <c r="E22" s="97">
        <v>368404</v>
      </c>
      <c r="F22" s="97">
        <v>1970952.05715</v>
      </c>
      <c r="G22" s="579">
        <v>840945.87679180992</v>
      </c>
      <c r="H22" s="96">
        <f t="shared" si="1"/>
        <v>4995154.4079376329</v>
      </c>
      <c r="I22" s="579">
        <v>127413.56896</v>
      </c>
      <c r="J22" s="115">
        <f t="shared" si="2"/>
        <v>127413.56896</v>
      </c>
      <c r="K22" s="97">
        <v>178937</v>
      </c>
      <c r="L22" s="579">
        <v>9310</v>
      </c>
      <c r="M22" s="96">
        <f t="shared" si="3"/>
        <v>188247</v>
      </c>
      <c r="N22" s="588">
        <f t="shared" si="4"/>
        <v>5310814.9768976327</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c r="A23" s="419" t="s">
        <v>54</v>
      </c>
      <c r="B23" s="90">
        <f t="shared" ref="B23:J23" si="5">SUM(B15:B22)</f>
        <v>42771711.065509997</v>
      </c>
      <c r="C23" s="90">
        <f t="shared" si="5"/>
        <v>3268907.0761899999</v>
      </c>
      <c r="D23" s="90">
        <f t="shared" si="5"/>
        <v>4627151.4874090198</v>
      </c>
      <c r="E23" s="13">
        <f t="shared" si="5"/>
        <v>11187203</v>
      </c>
      <c r="F23" s="90">
        <f t="shared" si="5"/>
        <v>49628684.130759999</v>
      </c>
      <c r="G23" s="90">
        <f t="shared" si="5"/>
        <v>54589400.665418021</v>
      </c>
      <c r="H23" s="89">
        <f t="shared" si="5"/>
        <v>166073057.42528704</v>
      </c>
      <c r="I23" s="90">
        <f t="shared" si="5"/>
        <v>5227662.4126999993</v>
      </c>
      <c r="J23" s="729">
        <f t="shared" si="5"/>
        <v>5227662.4126999993</v>
      </c>
      <c r="K23" s="13">
        <f>SUM(K15:K22)</f>
        <v>6339818</v>
      </c>
      <c r="L23" s="13">
        <f>SUM(L15:L22)</f>
        <v>5782068</v>
      </c>
      <c r="M23" s="113">
        <f>SUM(M15:M22)</f>
        <v>12121886</v>
      </c>
      <c r="N23" s="90">
        <f>SUM(N15:N22)</f>
        <v>183422605.83798704</v>
      </c>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ht="15.6" customHeight="1">
      <c r="A24" s="419"/>
      <c r="B24" s="98" t="s">
        <v>0</v>
      </c>
      <c r="C24" s="88" t="s">
        <v>0</v>
      </c>
      <c r="D24" s="87"/>
      <c r="E24" s="88" t="s">
        <v>0</v>
      </c>
      <c r="F24" s="87"/>
      <c r="G24" s="87"/>
      <c r="H24" s="93"/>
      <c r="I24" s="87"/>
      <c r="J24" s="565"/>
      <c r="K24" s="87"/>
      <c r="L24" s="87" t="s">
        <v>0</v>
      </c>
      <c r="M24" s="114"/>
      <c r="N24" s="90"/>
      <c r="O24" s="64"/>
      <c r="P24" s="728"/>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21" t="s">
        <v>266</v>
      </c>
      <c r="B25" s="98" t="s">
        <v>0</v>
      </c>
      <c r="C25" s="88" t="s">
        <v>0</v>
      </c>
      <c r="D25" s="87"/>
      <c r="E25" s="88" t="s">
        <v>0</v>
      </c>
      <c r="F25" s="87" t="s">
        <v>0</v>
      </c>
      <c r="G25" s="87"/>
      <c r="H25" s="1408" t="s">
        <v>0</v>
      </c>
      <c r="I25" s="87"/>
      <c r="J25" s="565"/>
      <c r="K25" s="87"/>
      <c r="L25" s="87" t="s">
        <v>0</v>
      </c>
      <c r="M25" s="114"/>
      <c r="N25" s="90" t="s">
        <v>0</v>
      </c>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267</v>
      </c>
      <c r="B26" s="98" t="s">
        <v>0</v>
      </c>
      <c r="C26" s="88" t="s">
        <v>0</v>
      </c>
      <c r="D26" s="87"/>
      <c r="E26" s="88" t="s">
        <v>0</v>
      </c>
      <c r="F26" s="87"/>
      <c r="G26" s="87"/>
      <c r="H26" s="93"/>
      <c r="I26" s="87"/>
      <c r="J26" s="565"/>
      <c r="K26" s="87"/>
      <c r="L26" s="87" t="s">
        <v>0</v>
      </c>
      <c r="M26" s="114"/>
      <c r="N26" s="90"/>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268</v>
      </c>
      <c r="B27" s="87">
        <v>20719291.416669998</v>
      </c>
      <c r="C27" s="87">
        <v>1473379.39411</v>
      </c>
      <c r="D27" s="87">
        <v>1380499.301437055</v>
      </c>
      <c r="E27" s="87">
        <v>4852174</v>
      </c>
      <c r="F27" s="87">
        <v>13866583.166990003</v>
      </c>
      <c r="G27" s="87">
        <v>20402262.754772939</v>
      </c>
      <c r="H27" s="89">
        <f>SUM(B27:G27)</f>
        <v>62694190.033979997</v>
      </c>
      <c r="I27" s="87">
        <v>1015360.1724</v>
      </c>
      <c r="J27" s="113">
        <f>SUM(I27:I27)</f>
        <v>1015360.1724</v>
      </c>
      <c r="K27" s="87">
        <v>4121288</v>
      </c>
      <c r="L27" s="87">
        <v>2879444</v>
      </c>
      <c r="M27" s="113">
        <f>SUM(K27:L27)</f>
        <v>7000732</v>
      </c>
      <c r="N27" s="90">
        <f>+H27+J27+M27</f>
        <v>70710282.206379995</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269</v>
      </c>
      <c r="B28" s="87">
        <v>9395548.1098800004</v>
      </c>
      <c r="C28" s="87">
        <v>534212.77429999993</v>
      </c>
      <c r="D28" s="87">
        <v>1759217.529298197</v>
      </c>
      <c r="E28" s="87">
        <v>2565397</v>
      </c>
      <c r="F28" s="87">
        <v>18377826.167109996</v>
      </c>
      <c r="G28" s="87">
        <v>20018188.29844781</v>
      </c>
      <c r="H28" s="89">
        <f>SUM(B28:G28)</f>
        <v>52650389.879036002</v>
      </c>
      <c r="I28" s="87">
        <v>513004.6727</v>
      </c>
      <c r="J28" s="113">
        <f>SUM(I28:I28)</f>
        <v>513004.6727</v>
      </c>
      <c r="K28" s="87">
        <v>297001</v>
      </c>
      <c r="L28" s="87">
        <v>1532157</v>
      </c>
      <c r="M28" s="113">
        <f>SUM(K28:L28)</f>
        <v>1829158</v>
      </c>
      <c r="N28" s="90">
        <f>+H28+J28+M28</f>
        <v>54992552.551736005</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t="s">
        <v>270</v>
      </c>
      <c r="B29" s="199">
        <v>4114916.9341200003</v>
      </c>
      <c r="C29" s="199">
        <v>844472.41564999998</v>
      </c>
      <c r="D29" s="199">
        <v>796553.923575858</v>
      </c>
      <c r="E29" s="199">
        <v>2160035</v>
      </c>
      <c r="F29" s="199">
        <v>8731535.1642544065</v>
      </c>
      <c r="G29" s="578">
        <v>5453477.7309481502</v>
      </c>
      <c r="H29" s="262">
        <f>SUM(B29:G29)</f>
        <v>22100991.168548413</v>
      </c>
      <c r="I29" s="993">
        <v>2125352.8253600001</v>
      </c>
      <c r="J29" s="113">
        <f>SUM(I29:I29)</f>
        <v>2125352.8253600001</v>
      </c>
      <c r="K29" s="722">
        <v>527516</v>
      </c>
      <c r="L29" s="578">
        <v>446283</v>
      </c>
      <c r="M29" s="262">
        <f>SUM(K29:L29)</f>
        <v>973799</v>
      </c>
      <c r="N29" s="587">
        <f>+H29+J29+M29</f>
        <v>25200142.993908413</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c r="A30" s="419"/>
      <c r="B30" s="87">
        <f t="shared" ref="B30:J30" si="6">SUM(B27:B29)</f>
        <v>34229756.460670002</v>
      </c>
      <c r="C30" s="87">
        <f t="shared" si="6"/>
        <v>2852064.5840599998</v>
      </c>
      <c r="D30" s="87">
        <f t="shared" si="6"/>
        <v>3936270.7543111104</v>
      </c>
      <c r="E30" s="87">
        <f t="shared" si="6"/>
        <v>9577606</v>
      </c>
      <c r="F30" s="87">
        <f t="shared" si="6"/>
        <v>40975944.498354405</v>
      </c>
      <c r="G30" s="87">
        <f t="shared" si="6"/>
        <v>45873928.784168899</v>
      </c>
      <c r="H30" s="89">
        <f t="shared" si="6"/>
        <v>137445571.0815644</v>
      </c>
      <c r="I30" s="87">
        <f t="shared" si="6"/>
        <v>3653717.6704600002</v>
      </c>
      <c r="J30" s="586">
        <f t="shared" si="6"/>
        <v>3653717.6704600002</v>
      </c>
      <c r="K30" s="87">
        <f>SUM(K27:K29)</f>
        <v>4945805</v>
      </c>
      <c r="L30" s="87">
        <f>SUM(L27:L29)</f>
        <v>4857884</v>
      </c>
      <c r="M30" s="113">
        <f>SUM(M27:M29)</f>
        <v>9803689</v>
      </c>
      <c r="N30" s="90">
        <f>SUM(N27:N29)</f>
        <v>150902977.75202441</v>
      </c>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ht="7.9" customHeight="1">
      <c r="A31" s="419"/>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271</v>
      </c>
      <c r="B32" s="98" t="s">
        <v>0</v>
      </c>
      <c r="C32" s="88" t="s">
        <v>0</v>
      </c>
      <c r="D32" s="87"/>
      <c r="E32" s="88" t="s">
        <v>0</v>
      </c>
      <c r="F32" s="87"/>
      <c r="G32" s="87"/>
      <c r="H32" s="89"/>
      <c r="I32" s="87"/>
      <c r="J32" s="113"/>
      <c r="K32" s="87"/>
      <c r="L32" s="87" t="s">
        <v>0</v>
      </c>
      <c r="M32" s="113"/>
      <c r="N32" s="90"/>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272</v>
      </c>
      <c r="B33" s="87">
        <v>0</v>
      </c>
      <c r="C33" s="87">
        <v>0</v>
      </c>
      <c r="D33" s="87">
        <v>0</v>
      </c>
      <c r="E33" s="87">
        <v>0</v>
      </c>
      <c r="F33" s="87">
        <v>0</v>
      </c>
      <c r="G33" s="87">
        <v>0</v>
      </c>
      <c r="H33" s="89">
        <f>SUM(B33:G33)</f>
        <v>0</v>
      </c>
      <c r="I33" s="87">
        <v>0</v>
      </c>
      <c r="J33" s="113">
        <f>SUM(I33:I33)</f>
        <v>0</v>
      </c>
      <c r="K33" s="87">
        <v>300000</v>
      </c>
      <c r="L33" s="87">
        <v>0</v>
      </c>
      <c r="M33" s="113">
        <f>SUM(K33:L33)</f>
        <v>300000</v>
      </c>
      <c r="N33" s="90">
        <f>+H33+J33+M33</f>
        <v>300000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c r="A34" s="419" t="s">
        <v>273</v>
      </c>
      <c r="B34" s="87">
        <v>0</v>
      </c>
      <c r="C34" s="87">
        <v>0</v>
      </c>
      <c r="D34" s="87">
        <v>0</v>
      </c>
      <c r="E34" s="87">
        <v>0</v>
      </c>
      <c r="F34" s="87">
        <v>0</v>
      </c>
      <c r="G34" s="87">
        <v>0</v>
      </c>
      <c r="H34" s="89">
        <f>SUM(B34:G34)</f>
        <v>0</v>
      </c>
      <c r="I34" s="87">
        <v>0</v>
      </c>
      <c r="J34" s="113">
        <f>SUM(I34:I34)</f>
        <v>0</v>
      </c>
      <c r="K34" s="87">
        <v>0</v>
      </c>
      <c r="L34" s="87">
        <v>0</v>
      </c>
      <c r="M34" s="113">
        <f>SUM(K34:L34)</f>
        <v>0</v>
      </c>
      <c r="N34" s="90">
        <f>+H34+J34+M34</f>
        <v>0</v>
      </c>
      <c r="O34" s="64"/>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row>
    <row r="35" spans="1:38" ht="17.25">
      <c r="A35" s="419" t="s">
        <v>274</v>
      </c>
      <c r="B35" s="199">
        <v>1635940.1183000002</v>
      </c>
      <c r="C35" s="199">
        <v>205513.96338583302</v>
      </c>
      <c r="D35" s="199">
        <v>165209.376156157</v>
      </c>
      <c r="E35" s="199">
        <v>271512</v>
      </c>
      <c r="F35" s="199">
        <v>1369648.8767999997</v>
      </c>
      <c r="G35" s="578">
        <v>1828616.9030740829</v>
      </c>
      <c r="H35" s="262">
        <f>SUM(B35:G35)</f>
        <v>5476441.2377160732</v>
      </c>
      <c r="I35" s="993">
        <v>128953.69645999999</v>
      </c>
      <c r="J35" s="113">
        <f>SUM(I35:I35)</f>
        <v>128953.69645999999</v>
      </c>
      <c r="K35" s="722">
        <v>531783</v>
      </c>
      <c r="L35" s="578">
        <v>159961</v>
      </c>
      <c r="M35" s="262">
        <f>SUM(K35:L35)</f>
        <v>691744</v>
      </c>
      <c r="N35" s="587">
        <f>+H35+J35+M35</f>
        <v>6297138.9341760734</v>
      </c>
      <c r="O35" s="68"/>
      <c r="P35" s="424"/>
      <c r="Q35" s="424"/>
      <c r="R35" s="424"/>
      <c r="S35" s="419"/>
      <c r="T35" s="419"/>
      <c r="U35" s="419"/>
      <c r="V35" s="419"/>
      <c r="W35" s="419"/>
      <c r="X35" s="419"/>
      <c r="Y35" s="419"/>
      <c r="Z35" s="419"/>
      <c r="AA35" s="419"/>
      <c r="AB35" s="419"/>
      <c r="AC35" s="419"/>
      <c r="AD35" s="419"/>
      <c r="AE35" s="419"/>
      <c r="AF35" s="419"/>
      <c r="AG35" s="419"/>
      <c r="AH35" s="419"/>
      <c r="AI35" s="419"/>
      <c r="AJ35" s="419"/>
      <c r="AK35" s="419"/>
      <c r="AL35" s="419"/>
    </row>
    <row r="36" spans="1:38">
      <c r="A36" s="419"/>
      <c r="B36" s="87">
        <f t="shared" ref="B36:J36" si="7">SUM(B33:B35)</f>
        <v>1635940.1183000002</v>
      </c>
      <c r="C36" s="87">
        <f t="shared" si="7"/>
        <v>205513.96338583302</v>
      </c>
      <c r="D36" s="87">
        <f t="shared" si="7"/>
        <v>165209.376156157</v>
      </c>
      <c r="E36" s="87">
        <f t="shared" si="7"/>
        <v>271512</v>
      </c>
      <c r="F36" s="87">
        <f t="shared" si="7"/>
        <v>1369648.8767999997</v>
      </c>
      <c r="G36" s="87">
        <f t="shared" si="7"/>
        <v>1828616.9030740829</v>
      </c>
      <c r="H36" s="89">
        <f t="shared" si="7"/>
        <v>5476441.2377160732</v>
      </c>
      <c r="I36" s="87">
        <f t="shared" si="7"/>
        <v>128953.69645999999</v>
      </c>
      <c r="J36" s="586">
        <f t="shared" si="7"/>
        <v>128953.69645999999</v>
      </c>
      <c r="K36" s="87">
        <f>SUM(K33:K35)</f>
        <v>831783</v>
      </c>
      <c r="L36" s="87">
        <f>SUM(L33:L35)</f>
        <v>159961</v>
      </c>
      <c r="M36" s="113">
        <f>SUM(M33:M35)</f>
        <v>991744</v>
      </c>
      <c r="N36" s="90">
        <f>SUM(N33:N35)</f>
        <v>6597138.9341760734</v>
      </c>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ht="7.15" customHeight="1">
      <c r="A37" s="419"/>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275</v>
      </c>
      <c r="B38" s="98" t="s">
        <v>0</v>
      </c>
      <c r="C38" s="88" t="s">
        <v>0</v>
      </c>
      <c r="D38" s="87"/>
      <c r="E38" s="88" t="s">
        <v>0</v>
      </c>
      <c r="F38" s="87"/>
      <c r="G38" s="87"/>
      <c r="H38" s="89"/>
      <c r="I38" s="87"/>
      <c r="J38" s="113"/>
      <c r="K38" s="87"/>
      <c r="L38" s="87" t="s">
        <v>0</v>
      </c>
      <c r="M38" s="113"/>
      <c r="N38" s="90"/>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272</v>
      </c>
      <c r="B39" s="87">
        <v>3000</v>
      </c>
      <c r="C39" s="87">
        <v>71887.5</v>
      </c>
      <c r="D39" s="87">
        <v>0</v>
      </c>
      <c r="E39" s="87">
        <v>0</v>
      </c>
      <c r="F39" s="87">
        <v>0</v>
      </c>
      <c r="G39" s="87">
        <v>1000000</v>
      </c>
      <c r="H39" s="89">
        <f>SUM(B39:G39)</f>
        <v>1074887.5</v>
      </c>
      <c r="I39" s="87">
        <v>855000</v>
      </c>
      <c r="J39" s="113">
        <f>SUM(I39:I39)</f>
        <v>855000</v>
      </c>
      <c r="K39" s="87">
        <v>0</v>
      </c>
      <c r="L39" s="87">
        <v>25000</v>
      </c>
      <c r="M39" s="113">
        <f>SUM(K39:L39)</f>
        <v>25000</v>
      </c>
      <c r="N39" s="90">
        <f>+H39+J39+M39</f>
        <v>1954887.5</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276</v>
      </c>
      <c r="B40" s="87">
        <v>0</v>
      </c>
      <c r="C40" s="87">
        <v>0</v>
      </c>
      <c r="D40" s="87">
        <v>0</v>
      </c>
      <c r="E40" s="87">
        <v>0</v>
      </c>
      <c r="F40" s="87">
        <v>1224978.16494</v>
      </c>
      <c r="G40" s="87">
        <v>0</v>
      </c>
      <c r="H40" s="89">
        <f>SUM(B40:G40)</f>
        <v>1224978.16494</v>
      </c>
      <c r="I40" s="87">
        <v>0</v>
      </c>
      <c r="J40" s="113">
        <f>SUM(I40:I40)</f>
        <v>0</v>
      </c>
      <c r="K40" s="87">
        <v>0</v>
      </c>
      <c r="L40" s="87">
        <v>0</v>
      </c>
      <c r="M40" s="113">
        <f>SUM(K40:L40)</f>
        <v>0</v>
      </c>
      <c r="N40" s="90">
        <f>+H40+J40+M40</f>
        <v>1224978.16494</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t="s">
        <v>274</v>
      </c>
      <c r="B41" s="199">
        <v>3157793.9042699998</v>
      </c>
      <c r="C41" s="199">
        <v>11837.16367</v>
      </c>
      <c r="D41" s="199">
        <v>8330.9382100000003</v>
      </c>
      <c r="E41" s="199">
        <v>62284</v>
      </c>
      <c r="F41" s="199">
        <v>604479.67908000015</v>
      </c>
      <c r="G41" s="578">
        <v>303070.93808979198</v>
      </c>
      <c r="H41" s="262">
        <f>SUM(B41:G41)</f>
        <v>4147796.6233197921</v>
      </c>
      <c r="I41" s="993">
        <v>56709.199649999966</v>
      </c>
      <c r="J41" s="113">
        <f>SUM(I41:I41)</f>
        <v>56709.199649999966</v>
      </c>
      <c r="K41" s="722">
        <v>121577</v>
      </c>
      <c r="L41" s="578">
        <v>34457</v>
      </c>
      <c r="M41" s="262">
        <f>SUM(K41:L41)</f>
        <v>156034</v>
      </c>
      <c r="N41" s="587">
        <f>+H41+J41+M41</f>
        <v>4360539.8229697924</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c r="A42" s="419"/>
      <c r="B42" s="87">
        <f t="shared" ref="B42:J42" si="8">SUM(B39:B41)</f>
        <v>3160793.9042699998</v>
      </c>
      <c r="C42" s="87">
        <f t="shared" si="8"/>
        <v>83724.663669999994</v>
      </c>
      <c r="D42" s="87">
        <f t="shared" si="8"/>
        <v>8330.9382100000003</v>
      </c>
      <c r="E42" s="87">
        <f t="shared" si="8"/>
        <v>62284</v>
      </c>
      <c r="F42" s="87">
        <f t="shared" si="8"/>
        <v>1829457.8440200002</v>
      </c>
      <c r="G42" s="87">
        <f t="shared" si="8"/>
        <v>1303070.9380897919</v>
      </c>
      <c r="H42" s="89">
        <f t="shared" si="8"/>
        <v>6447662.2882597921</v>
      </c>
      <c r="I42" s="87">
        <f t="shared" si="8"/>
        <v>911709.19964999997</v>
      </c>
      <c r="J42" s="585">
        <f t="shared" si="8"/>
        <v>911709.19964999997</v>
      </c>
      <c r="K42" s="87">
        <f>SUM(K39:K41)</f>
        <v>121577</v>
      </c>
      <c r="L42" s="87">
        <f>SUM(L39:L41)</f>
        <v>59457</v>
      </c>
      <c r="M42" s="113">
        <f>SUM(M39:M41)</f>
        <v>181034</v>
      </c>
      <c r="N42" s="90">
        <f>SUM(N39:N41)</f>
        <v>7540405.487909792</v>
      </c>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8.4499999999999993" customHeight="1">
      <c r="A43" s="419"/>
      <c r="B43" s="98" t="s">
        <v>0</v>
      </c>
      <c r="C43" s="88" t="s">
        <v>0</v>
      </c>
      <c r="D43" s="87"/>
      <c r="E43" s="88" t="s">
        <v>0</v>
      </c>
      <c r="F43" s="87"/>
      <c r="G43" s="87"/>
      <c r="H43" s="89"/>
      <c r="I43" s="87"/>
      <c r="J43" s="113"/>
      <c r="K43" s="87"/>
      <c r="L43" s="87" t="s">
        <v>0</v>
      </c>
      <c r="M43" s="113"/>
      <c r="N43" s="90"/>
      <c r="O43" s="64"/>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ht="17.25">
      <c r="A44" s="419" t="s">
        <v>277</v>
      </c>
      <c r="B44" s="199">
        <v>822418.39899999998</v>
      </c>
      <c r="C44" s="199">
        <v>563.93847000000005</v>
      </c>
      <c r="D44" s="199">
        <v>260046.58666855807</v>
      </c>
      <c r="E44" s="199">
        <v>328168</v>
      </c>
      <c r="F44" s="199">
        <v>1829746.3499700001</v>
      </c>
      <c r="G44" s="578">
        <v>524582.415445816</v>
      </c>
      <c r="H44" s="262">
        <f>SUM(B44:G44)</f>
        <v>3765525.6895543737</v>
      </c>
      <c r="I44" s="993">
        <v>81788.299140000003</v>
      </c>
      <c r="J44" s="113">
        <f>SUM(I44:I44)</f>
        <v>81788.299140000003</v>
      </c>
      <c r="K44" s="722">
        <v>74473</v>
      </c>
      <c r="L44" s="578">
        <v>454622</v>
      </c>
      <c r="M44" s="262">
        <f>SUM(K44:L44)</f>
        <v>529095</v>
      </c>
      <c r="N44" s="587">
        <f>+H44+J44+M44</f>
        <v>4376408.9886943735</v>
      </c>
      <c r="O44" s="68"/>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c r="A45" s="419"/>
      <c r="B45" s="87">
        <f t="shared" ref="B45:G45" si="9">+B30+B36+B42+B44</f>
        <v>39848908.882239997</v>
      </c>
      <c r="C45" s="87">
        <f t="shared" si="9"/>
        <v>3141867.1495858328</v>
      </c>
      <c r="D45" s="87">
        <f t="shared" si="9"/>
        <v>4369857.6553458255</v>
      </c>
      <c r="E45" s="87">
        <f t="shared" si="9"/>
        <v>10239570</v>
      </c>
      <c r="F45" s="87">
        <f t="shared" si="9"/>
        <v>46004797.569144405</v>
      </c>
      <c r="G45" s="87">
        <f t="shared" si="9"/>
        <v>49530199.0407786</v>
      </c>
      <c r="H45" s="89">
        <f>SUM(B45:G45)</f>
        <v>153135200.29709467</v>
      </c>
      <c r="I45" s="87">
        <f>+I30+I36+I42+I44</f>
        <v>4776168.8657099996</v>
      </c>
      <c r="J45" s="585">
        <f>+J30+J36+J42+J44</f>
        <v>4776168.8657099996</v>
      </c>
      <c r="K45" s="87">
        <f>+K30+K36+K42+K44</f>
        <v>5973638</v>
      </c>
      <c r="L45" s="87">
        <f>+L30+L36+L42+L44</f>
        <v>5531924</v>
      </c>
      <c r="M45" s="113">
        <f>SUM(K45:L45)</f>
        <v>11505562</v>
      </c>
      <c r="N45" s="90">
        <f>+H45+J45+M45</f>
        <v>169416931.16280466</v>
      </c>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ht="15.6" customHeight="1">
      <c r="A46" s="419"/>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25" t="s">
        <v>278</v>
      </c>
      <c r="B47" s="98" t="s">
        <v>0</v>
      </c>
      <c r="C47" s="88" t="s">
        <v>0</v>
      </c>
      <c r="D47" s="87"/>
      <c r="E47" s="88" t="s">
        <v>0</v>
      </c>
      <c r="F47" s="87"/>
      <c r="G47" s="87"/>
      <c r="H47" s="89"/>
      <c r="I47" s="87"/>
      <c r="J47" s="113"/>
      <c r="K47" s="87"/>
      <c r="L47" s="87" t="s">
        <v>0</v>
      </c>
      <c r="M47" s="113"/>
      <c r="N47" s="90"/>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279</v>
      </c>
      <c r="B48" s="87">
        <v>1500000</v>
      </c>
      <c r="C48" s="87">
        <v>165000</v>
      </c>
      <c r="D48" s="87">
        <v>448651</v>
      </c>
      <c r="E48" s="87">
        <v>270000</v>
      </c>
      <c r="F48" s="87">
        <v>1200000</v>
      </c>
      <c r="G48" s="87">
        <v>2092924</v>
      </c>
      <c r="H48" s="89">
        <f>SUM(B48:G48)</f>
        <v>5676575</v>
      </c>
      <c r="I48" s="87">
        <v>150000</v>
      </c>
      <c r="J48" s="113">
        <f>SUM(I48:I48)</f>
        <v>150000</v>
      </c>
      <c r="K48" s="87">
        <v>103837</v>
      </c>
      <c r="L48" s="87">
        <v>94373</v>
      </c>
      <c r="M48" s="113">
        <f>SUM(K48:L48)</f>
        <v>198210</v>
      </c>
      <c r="N48" s="90">
        <f>+H48+J48+M48</f>
        <v>6024785</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280</v>
      </c>
      <c r="B49" s="87">
        <v>335102.40500000003</v>
      </c>
      <c r="C49" s="87">
        <v>87983</v>
      </c>
      <c r="D49" s="87">
        <v>32443.104950000001</v>
      </c>
      <c r="E49" s="87">
        <v>199457</v>
      </c>
      <c r="F49" s="87">
        <v>1047665.65824</v>
      </c>
      <c r="G49" s="87">
        <v>837713.97237999993</v>
      </c>
      <c r="H49" s="89">
        <f>SUM(B49:G49)</f>
        <v>2540365.1405699998</v>
      </c>
      <c r="I49" s="87">
        <v>172221.88741999998</v>
      </c>
      <c r="J49" s="113">
        <f>SUM(I49:I49)</f>
        <v>172221.88741999998</v>
      </c>
      <c r="K49" s="87">
        <v>75263</v>
      </c>
      <c r="L49" s="87">
        <v>75125</v>
      </c>
      <c r="M49" s="113">
        <f>SUM(K49:L49)</f>
        <v>150388</v>
      </c>
      <c r="N49" s="90">
        <f>+H49+J49+M49</f>
        <v>2862975.0279899999</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c r="A50" s="419" t="s">
        <v>281</v>
      </c>
      <c r="B50" s="87">
        <v>0</v>
      </c>
      <c r="C50" s="87">
        <v>14325</v>
      </c>
      <c r="D50" s="87">
        <v>93847.200150000004</v>
      </c>
      <c r="E50" s="87">
        <v>1384</v>
      </c>
      <c r="F50" s="87">
        <v>98479.455170000001</v>
      </c>
      <c r="G50" s="87">
        <v>0</v>
      </c>
      <c r="H50" s="89">
        <f>SUM(B50:G50)</f>
        <v>208035.65532000002</v>
      </c>
      <c r="I50" s="87">
        <v>0</v>
      </c>
      <c r="J50" s="113">
        <f>SUM(I50:I50)</f>
        <v>0</v>
      </c>
      <c r="K50" s="87">
        <v>0</v>
      </c>
      <c r="L50" s="87">
        <v>0</v>
      </c>
      <c r="M50" s="113">
        <f>SUM(K50:L50)</f>
        <v>0</v>
      </c>
      <c r="N50" s="90">
        <f>+H50+J50+M50</f>
        <v>208035.65532000002</v>
      </c>
      <c r="O50" s="64"/>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row>
    <row r="51" spans="1:38" ht="17.25">
      <c r="A51" s="419" t="s">
        <v>282</v>
      </c>
      <c r="B51" s="199">
        <v>1087699.7755199999</v>
      </c>
      <c r="C51" s="199">
        <v>-140268.07342999999</v>
      </c>
      <c r="D51" s="199">
        <v>-317647.47304000001</v>
      </c>
      <c r="E51" s="199">
        <v>476792</v>
      </c>
      <c r="F51" s="199">
        <v>1277741.4482100001</v>
      </c>
      <c r="G51" s="578">
        <v>2128563.6514900001</v>
      </c>
      <c r="H51" s="262">
        <f>SUM(B51:G51)</f>
        <v>4512881.3287500003</v>
      </c>
      <c r="I51" s="993">
        <v>129271.65957000002</v>
      </c>
      <c r="J51" s="113">
        <f>SUM(I51:I51)</f>
        <v>129271.65957000002</v>
      </c>
      <c r="K51" s="722">
        <v>187080</v>
      </c>
      <c r="L51" s="578">
        <v>80646</v>
      </c>
      <c r="M51" s="262">
        <f>SUM(K51:L51)</f>
        <v>267726</v>
      </c>
      <c r="N51" s="587">
        <f>+H51+J51+M51</f>
        <v>4909878.9883200005</v>
      </c>
      <c r="O51" s="64"/>
      <c r="P51" s="424"/>
      <c r="Q51" s="424"/>
      <c r="R51" s="424"/>
      <c r="S51" s="419"/>
      <c r="T51" s="419"/>
      <c r="U51" s="419"/>
      <c r="V51" s="419"/>
      <c r="W51" s="419"/>
      <c r="X51" s="419"/>
      <c r="Y51" s="419"/>
      <c r="Z51" s="419"/>
      <c r="AA51" s="419"/>
      <c r="AB51" s="419"/>
      <c r="AC51" s="419"/>
      <c r="AD51" s="419"/>
      <c r="AE51" s="419"/>
      <c r="AF51" s="419"/>
      <c r="AG51" s="419"/>
      <c r="AH51" s="419"/>
      <c r="AI51" s="419"/>
      <c r="AJ51" s="419"/>
      <c r="AK51" s="419"/>
      <c r="AL51" s="419"/>
    </row>
    <row r="52" spans="1:38" ht="16.5" thickBot="1">
      <c r="A52" s="419" t="s">
        <v>54</v>
      </c>
      <c r="B52" s="97">
        <f t="shared" ref="B52:G52" si="10">SUM(B48:B51)</f>
        <v>2922802.1805199999</v>
      </c>
      <c r="C52" s="97">
        <f t="shared" si="10"/>
        <v>127039.92657000001</v>
      </c>
      <c r="D52" s="97">
        <f t="shared" si="10"/>
        <v>257293.83205999999</v>
      </c>
      <c r="E52" s="97">
        <f t="shared" si="10"/>
        <v>947633</v>
      </c>
      <c r="F52" s="97">
        <f t="shared" si="10"/>
        <v>3623886.5616199998</v>
      </c>
      <c r="G52" s="97">
        <f t="shared" si="10"/>
        <v>5059201.6238700002</v>
      </c>
      <c r="H52" s="96">
        <f>SUM(B52:G52)</f>
        <v>12937857.124639999</v>
      </c>
      <c r="I52" s="97">
        <f t="shared" ref="I52:N52" si="11">SUM(I48:I51)</f>
        <v>451493.54699</v>
      </c>
      <c r="J52" s="584">
        <f t="shared" si="11"/>
        <v>451493.54699</v>
      </c>
      <c r="K52" s="97">
        <f t="shared" si="11"/>
        <v>366180</v>
      </c>
      <c r="L52" s="97">
        <f t="shared" si="11"/>
        <v>250144</v>
      </c>
      <c r="M52" s="115">
        <f t="shared" si="11"/>
        <v>616324</v>
      </c>
      <c r="N52" s="95">
        <f t="shared" si="11"/>
        <v>14005674.671630001</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t="s">
        <v>0</v>
      </c>
      <c r="B53" s="90">
        <f t="shared" ref="B53:J53" si="12">+B30+B36+B42+B44+B52</f>
        <v>42771711.062759995</v>
      </c>
      <c r="C53" s="90">
        <f t="shared" si="12"/>
        <v>3268907.076155833</v>
      </c>
      <c r="D53" s="90">
        <f t="shared" si="12"/>
        <v>4627151.4874058254</v>
      </c>
      <c r="E53" s="90">
        <f t="shared" si="12"/>
        <v>11187203</v>
      </c>
      <c r="F53" s="90">
        <f t="shared" si="12"/>
        <v>49628684.130764402</v>
      </c>
      <c r="G53" s="90">
        <f t="shared" si="12"/>
        <v>54589400.6646486</v>
      </c>
      <c r="H53" s="89">
        <f t="shared" si="12"/>
        <v>166073057.42173463</v>
      </c>
      <c r="I53" s="90">
        <f t="shared" si="12"/>
        <v>5227662.4126999993</v>
      </c>
      <c r="J53" s="1014">
        <f t="shared" si="12"/>
        <v>5227662.4126999993</v>
      </c>
      <c r="K53" s="90">
        <f>+K30+K36+K42+K44+K52</f>
        <v>6339818</v>
      </c>
      <c r="L53" s="90">
        <f>+L30+L36+L42+L44+L52</f>
        <v>5782068</v>
      </c>
      <c r="M53" s="113">
        <f>+M30+M36+M42+M44+M52</f>
        <v>12121886</v>
      </c>
      <c r="N53" s="90">
        <f>(+N30+N36+N42+N44+N52)</f>
        <v>183422605.83443466</v>
      </c>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19"/>
      <c r="B55" s="65"/>
      <c r="C55" s="65"/>
      <c r="D55" s="64" t="s">
        <v>0</v>
      </c>
      <c r="E55" s="65"/>
      <c r="F55" s="64"/>
      <c r="G55" s="64"/>
      <c r="H55" s="64"/>
      <c r="I55" s="64"/>
      <c r="J55" s="566"/>
      <c r="K55" s="64"/>
      <c r="L55" s="65"/>
      <c r="M55" s="64"/>
      <c r="N55" s="64" t="s">
        <v>0</v>
      </c>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26" t="s">
        <v>283</v>
      </c>
      <c r="B56" s="87" t="s">
        <v>0</v>
      </c>
      <c r="C56" s="418"/>
      <c r="D56" s="418"/>
      <c r="E56" s="418"/>
      <c r="F56" s="418"/>
      <c r="G56" s="418"/>
      <c r="H56" s="418"/>
      <c r="I56" s="418"/>
      <c r="J56" s="567"/>
      <c r="K56" s="87" t="s">
        <v>0</v>
      </c>
      <c r="L56" s="418"/>
      <c r="M56" s="64"/>
      <c r="N56" s="64"/>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358</v>
      </c>
      <c r="B57" s="87">
        <v>0</v>
      </c>
      <c r="C57" s="87">
        <v>0</v>
      </c>
      <c r="D57" s="87">
        <v>0</v>
      </c>
      <c r="E57" s="87">
        <v>0</v>
      </c>
      <c r="F57" s="87">
        <v>150739.52794999999</v>
      </c>
      <c r="G57" s="87">
        <v>63.257916800000004</v>
      </c>
      <c r="H57" s="89">
        <f>SUM(B57:G57)</f>
        <v>150802.7858668</v>
      </c>
      <c r="I57" s="87">
        <v>0</v>
      </c>
      <c r="J57" s="113">
        <f>SUM(I57:I57)</f>
        <v>0</v>
      </c>
      <c r="K57" s="87">
        <v>0</v>
      </c>
      <c r="L57" s="87">
        <v>0</v>
      </c>
      <c r="M57" s="113">
        <f>SUM(K57:L57)</f>
        <v>0</v>
      </c>
      <c r="N57" s="90">
        <f>+H57+J57+M57</f>
        <v>150802.7858668</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359</v>
      </c>
      <c r="B58" s="87">
        <v>136019.70000000001</v>
      </c>
      <c r="C58" s="87">
        <v>0</v>
      </c>
      <c r="D58" s="87">
        <v>0</v>
      </c>
      <c r="E58" s="87">
        <v>0</v>
      </c>
      <c r="F58" s="87">
        <v>814619.56588000001</v>
      </c>
      <c r="G58" s="87">
        <v>593092.27109050797</v>
      </c>
      <c r="H58" s="89">
        <f>SUM(B58:G58)</f>
        <v>1543731.5369705081</v>
      </c>
      <c r="I58" s="87">
        <v>0</v>
      </c>
      <c r="J58" s="113">
        <f>SUM(I58:I58)</f>
        <v>0</v>
      </c>
      <c r="K58" s="87">
        <v>40884</v>
      </c>
      <c r="L58" s="87">
        <v>4000</v>
      </c>
      <c r="M58" s="113">
        <f>SUM(K58:L58)</f>
        <v>44884</v>
      </c>
      <c r="N58" s="90">
        <f>+H58+J58+M58</f>
        <v>1588615.5369705081</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A59" s="418" t="s">
        <v>360</v>
      </c>
      <c r="B59" s="87">
        <v>340623.50599999999</v>
      </c>
      <c r="C59" s="87">
        <v>262570.28938018199</v>
      </c>
      <c r="D59" s="87">
        <v>2832.5351834999997</v>
      </c>
      <c r="E59" s="87">
        <v>129924</v>
      </c>
      <c r="F59" s="87">
        <v>2719777.6283999998</v>
      </c>
      <c r="G59" s="87">
        <v>552525.24071884202</v>
      </c>
      <c r="H59" s="89">
        <f>SUM(B59:G59)</f>
        <v>4008253.199682524</v>
      </c>
      <c r="I59" s="87">
        <v>724949.76515699993</v>
      </c>
      <c r="J59" s="113">
        <f>SUM(I59:I59)</f>
        <v>724949.76515699993</v>
      </c>
      <c r="K59" s="87">
        <v>5150020.1916499995</v>
      </c>
      <c r="L59" s="87">
        <v>1005887</v>
      </c>
      <c r="M59" s="113">
        <f>SUM(K59:L59)</f>
        <v>6155907.1916499995</v>
      </c>
      <c r="N59" s="90">
        <f>+H59+J59+M59</f>
        <v>10889110.156489523</v>
      </c>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B60" s="87" t="s">
        <v>0</v>
      </c>
      <c r="C60" s="87"/>
      <c r="E60" s="88"/>
      <c r="F60" s="87"/>
      <c r="G60" s="87"/>
      <c r="H60" s="93"/>
      <c r="I60" s="87"/>
      <c r="J60" s="565"/>
      <c r="K60" s="87" t="s">
        <v>0</v>
      </c>
      <c r="L60" s="87"/>
      <c r="M60" s="114"/>
      <c r="N60" s="90"/>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89" t="s">
        <v>361</v>
      </c>
      <c r="B61" s="87">
        <v>9972602.8000000007</v>
      </c>
      <c r="C61" s="87">
        <v>1436849.9458399999</v>
      </c>
      <c r="D61" s="87">
        <v>2176833.1106790109</v>
      </c>
      <c r="E61" s="87">
        <v>5470281</v>
      </c>
      <c r="F61" s="87">
        <v>19484292.983879998</v>
      </c>
      <c r="G61" s="87">
        <v>20356481.095699999</v>
      </c>
      <c r="H61" s="89">
        <f>SUM(B61:G61)</f>
        <v>58897340.936099008</v>
      </c>
      <c r="I61" s="87">
        <v>3091280.0481599998</v>
      </c>
      <c r="J61" s="113">
        <f>SUM(I61:I61)</f>
        <v>3091280.0481599998</v>
      </c>
      <c r="K61" s="87">
        <v>1338435</v>
      </c>
      <c r="L61" s="87">
        <v>2356820</v>
      </c>
      <c r="M61" s="113">
        <f>SUM(K61:L61)</f>
        <v>3695255</v>
      </c>
      <c r="N61" s="90">
        <f>+H61+J61+M61</f>
        <v>65683875.984259009</v>
      </c>
      <c r="O61" s="64"/>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27" t="s">
        <v>362</v>
      </c>
      <c r="B62" s="87">
        <v>213353.15400000001</v>
      </c>
      <c r="C62" s="87">
        <v>413479.90969</v>
      </c>
      <c r="D62" s="87">
        <v>25567.686354171001</v>
      </c>
      <c r="E62" s="87">
        <v>34651</v>
      </c>
      <c r="F62" s="87">
        <v>490652.46000000008</v>
      </c>
      <c r="G62" s="87">
        <v>148144.82605999999</v>
      </c>
      <c r="H62" s="89">
        <f>SUM(B62:G62)</f>
        <v>1325849.0361041711</v>
      </c>
      <c r="I62" s="87">
        <v>63923.250629999995</v>
      </c>
      <c r="J62" s="113">
        <f>SUM(I62:I62)</f>
        <v>63923.250629999995</v>
      </c>
      <c r="K62" s="87">
        <v>2169</v>
      </c>
      <c r="L62" s="87">
        <v>99735</v>
      </c>
      <c r="M62" s="113">
        <f>SUM(K62:L62)</f>
        <v>101904</v>
      </c>
      <c r="N62" s="90">
        <f>+H62+J62+M62</f>
        <v>1491676.286734171</v>
      </c>
      <c r="O62" s="64" t="s">
        <v>0</v>
      </c>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A63" s="489" t="s">
        <v>363</v>
      </c>
      <c r="B63" s="87">
        <v>298107.28899999999</v>
      </c>
      <c r="C63" s="87">
        <v>468599.67461467499</v>
      </c>
      <c r="D63" s="87">
        <v>31810</v>
      </c>
      <c r="E63" s="87">
        <v>43549</v>
      </c>
      <c r="F63" s="87">
        <v>765820</v>
      </c>
      <c r="G63" s="87">
        <v>67562.360619999992</v>
      </c>
      <c r="H63" s="89">
        <f>SUM(B63:G63)</f>
        <v>1675448.3242346749</v>
      </c>
      <c r="I63" s="87">
        <v>321759.17264999996</v>
      </c>
      <c r="J63" s="113">
        <f>SUM(I63:I63)</f>
        <v>321759.17264999996</v>
      </c>
      <c r="K63" s="87">
        <v>0</v>
      </c>
      <c r="L63" s="87">
        <v>154213</v>
      </c>
      <c r="M63" s="113">
        <f>SUM(K63:L63)</f>
        <v>154213</v>
      </c>
      <c r="N63" s="90">
        <f>+H63+J63+M63</f>
        <v>2151420.4968846748</v>
      </c>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A65" s="421" t="s">
        <v>0</v>
      </c>
      <c r="B65" s="1460" t="s">
        <v>0</v>
      </c>
      <c r="C65" s="1460" t="s">
        <v>0</v>
      </c>
      <c r="D65" s="418"/>
      <c r="E65" s="418"/>
      <c r="F65" s="1460" t="s">
        <v>0</v>
      </c>
      <c r="G65" s="1460" t="s">
        <v>0</v>
      </c>
      <c r="H65" s="418"/>
      <c r="I65" s="418"/>
      <c r="J65" s="418"/>
      <c r="K65" s="1461" t="s">
        <v>0</v>
      </c>
      <c r="L65" s="1461" t="s">
        <v>0</v>
      </c>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23" t="s">
        <v>0</v>
      </c>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B68" s="418"/>
      <c r="C68" s="418"/>
      <c r="D68" s="418"/>
      <c r="E68" s="418"/>
      <c r="F68" s="418"/>
      <c r="G68" s="418"/>
      <c r="H68" s="418"/>
      <c r="I68" s="418"/>
      <c r="J68" s="418"/>
      <c r="K68" s="418"/>
      <c r="L68" s="418"/>
      <c r="M68" s="64"/>
      <c r="N68" s="64"/>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A69" s="418" t="s">
        <v>364</v>
      </c>
      <c r="B69" s="20">
        <f>+'bncgdes&amp;$ '!B30</f>
        <v>14356274.529310001</v>
      </c>
      <c r="C69" s="20">
        <f>+'bphgdes&amp;$'!B30</f>
        <v>1895744.6445899999</v>
      </c>
      <c r="D69" s="20">
        <f>+'buhgdes&amp;$'!B30</f>
        <v>2497761.247505975</v>
      </c>
      <c r="E69" s="20">
        <f>+'capitalbkgdes&amp;$'!B30</f>
        <v>6623756</v>
      </c>
      <c r="F69" s="20">
        <f>+'sogebkgdes&amp;$  '!B30</f>
        <v>25516968.386440001</v>
      </c>
      <c r="G69" s="20">
        <f>+'unibkgdes&amp;$'!B30</f>
        <v>30680322.285385784</v>
      </c>
      <c r="H69" s="89">
        <f>SUM(B69:G69)</f>
        <v>81570827.093231767</v>
      </c>
      <c r="I69" s="20">
        <f>+'sgbelgdes&amp;$'!B30</f>
        <v>3332456.9353400003</v>
      </c>
      <c r="J69" s="113">
        <f>+I69</f>
        <v>3332456.9353400003</v>
      </c>
      <c r="K69" s="20">
        <f>+'cbnagdes&amp;$'!B30</f>
        <v>2092611</v>
      </c>
      <c r="L69" s="20">
        <f>+'scotiagdes&amp;$'!B30</f>
        <v>2652874</v>
      </c>
      <c r="M69" s="113">
        <f>SUM(K69:L69)</f>
        <v>4745485</v>
      </c>
      <c r="N69" s="90">
        <f>+H69+J69+M69</f>
        <v>89648769.02857177</v>
      </c>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18"/>
      <c r="C73" s="418"/>
      <c r="D73" s="418"/>
      <c r="E73" s="418"/>
      <c r="F73" s="418"/>
      <c r="G73" s="418"/>
      <c r="H73" s="418"/>
      <c r="I73" s="418"/>
      <c r="J73" s="418"/>
      <c r="K73" s="418"/>
      <c r="L73" s="418"/>
      <c r="M73" s="64"/>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29"/>
      <c r="C74" s="417" t="s">
        <v>365</v>
      </c>
      <c r="D74" s="429"/>
      <c r="F74" s="592" t="s">
        <v>366</v>
      </c>
      <c r="G74" s="592"/>
      <c r="I74" s="1559" t="s">
        <v>637</v>
      </c>
      <c r="J74" s="1559"/>
      <c r="K74" s="418"/>
      <c r="L74" s="417" t="s">
        <v>779</v>
      </c>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418"/>
      <c r="C75" s="417"/>
      <c r="D75" s="429"/>
      <c r="F75" s="418"/>
      <c r="J75" s="418"/>
      <c r="K75" s="418"/>
      <c r="L75" s="418"/>
      <c r="M75" s="418"/>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65</v>
      </c>
      <c r="D76" s="671">
        <f>+unibkvar!F15</f>
        <v>0</v>
      </c>
      <c r="F76" s="670" t="s">
        <v>59</v>
      </c>
      <c r="G76" s="672">
        <f>+bncvar!F17</f>
        <v>0</v>
      </c>
      <c r="I76" s="670" t="s">
        <v>65</v>
      </c>
      <c r="J76" s="671">
        <f>+unibkvar!F20</f>
        <v>0</v>
      </c>
      <c r="K76" s="418"/>
      <c r="L76" s="670" t="s">
        <v>65</v>
      </c>
      <c r="M76" s="671">
        <f>+unibkvar!F52</f>
        <v>0</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64</v>
      </c>
      <c r="D77" s="671">
        <f>+sogebkvar!F15</f>
        <v>0</v>
      </c>
      <c r="F77" s="670" t="s">
        <v>68</v>
      </c>
      <c r="G77" s="672">
        <f>+cbnavar!F17</f>
        <v>0</v>
      </c>
      <c r="I77" s="670" t="s">
        <v>64</v>
      </c>
      <c r="J77" s="671">
        <f>+sogebkvar!F20</f>
        <v>0</v>
      </c>
      <c r="K77" s="418"/>
      <c r="L77" s="670" t="s">
        <v>64</v>
      </c>
      <c r="M77" s="671">
        <f>+sogebkvar!F52</f>
        <v>0</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59</v>
      </c>
      <c r="D78" s="671">
        <f>+bncvar!F15</f>
        <v>0</v>
      </c>
      <c r="F78" s="670" t="s">
        <v>60</v>
      </c>
      <c r="G78" s="672">
        <f>+bphvar!F17</f>
        <v>0</v>
      </c>
      <c r="I78" s="670" t="s">
        <v>59</v>
      </c>
      <c r="J78" s="671">
        <f>+bncvar!F20</f>
        <v>0</v>
      </c>
      <c r="K78" s="418"/>
      <c r="L78" s="670" t="s">
        <v>59</v>
      </c>
      <c r="M78" s="671">
        <f>+bncvar!F52</f>
        <v>0</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66</v>
      </c>
      <c r="D79" s="671">
        <f>+capitalbkvar!F15</f>
        <v>0</v>
      </c>
      <c r="F79" s="670" t="s">
        <v>66</v>
      </c>
      <c r="G79" s="672">
        <f>+capitalbkvar!F17</f>
        <v>0</v>
      </c>
      <c r="I79" s="670" t="s">
        <v>66</v>
      </c>
      <c r="J79" s="671">
        <f>+capitalbkvar!F20</f>
        <v>0</v>
      </c>
      <c r="K79" s="418"/>
      <c r="L79" s="670" t="s">
        <v>66</v>
      </c>
      <c r="M79" s="671">
        <f>+capitalbkvar!F52</f>
        <v>0</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68</v>
      </c>
      <c r="D80" s="671">
        <f>+cbnavar!F15</f>
        <v>0</v>
      </c>
      <c r="F80" s="670" t="s">
        <v>65</v>
      </c>
      <c r="G80" s="672">
        <f>+unibkvar!F17</f>
        <v>0</v>
      </c>
      <c r="I80" s="670" t="s">
        <v>67</v>
      </c>
      <c r="J80" s="671">
        <f>+sgbelvar!F20</f>
        <v>0</v>
      </c>
      <c r="K80" s="418"/>
      <c r="L80" s="670" t="s">
        <v>67</v>
      </c>
      <c r="M80" s="671">
        <f>+sgbelvar!F52</f>
        <v>0</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69</v>
      </c>
      <c r="D81" s="671">
        <f>+scotiavar!F15</f>
        <v>0</v>
      </c>
      <c r="F81" s="670" t="s">
        <v>64</v>
      </c>
      <c r="G81" s="672">
        <f>+sogebkvar!F17</f>
        <v>0</v>
      </c>
      <c r="I81" s="670" t="s">
        <v>69</v>
      </c>
      <c r="J81" s="671">
        <f>+scotiavar!F20</f>
        <v>0</v>
      </c>
      <c r="K81" s="418"/>
      <c r="L81" s="670" t="s">
        <v>68</v>
      </c>
      <c r="M81" s="671">
        <f>+cbnavar!F52</f>
        <v>0</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61</v>
      </c>
      <c r="D82" s="671">
        <f>+buhvar!F15</f>
        <v>0</v>
      </c>
      <c r="F82" s="670" t="s">
        <v>61</v>
      </c>
      <c r="G82" s="672">
        <f>+buhvar!F17</f>
        <v>0</v>
      </c>
      <c r="I82" s="670" t="s">
        <v>61</v>
      </c>
      <c r="J82" s="671">
        <f>+buhvar!F20</f>
        <v>0</v>
      </c>
      <c r="K82" s="418"/>
      <c r="L82" s="670" t="s">
        <v>61</v>
      </c>
      <c r="M82" s="671">
        <f>+buhvar!F52</f>
        <v>0</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60</v>
      </c>
      <c r="D83" s="671">
        <f>+bphvar!F15</f>
        <v>0</v>
      </c>
      <c r="F83" s="670" t="s">
        <v>69</v>
      </c>
      <c r="G83" s="672">
        <f>+scotiavar!F17</f>
        <v>0</v>
      </c>
      <c r="I83" s="670" t="s">
        <v>68</v>
      </c>
      <c r="J83" s="671">
        <f>+cbnavar!F20</f>
        <v>0</v>
      </c>
      <c r="K83" s="418"/>
      <c r="L83" s="670" t="s">
        <v>69</v>
      </c>
      <c r="M83" s="671">
        <f>+scotiavar!F52</f>
        <v>0</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C84" s="670" t="s">
        <v>67</v>
      </c>
      <c r="D84" s="671">
        <f>+sgbelvar!F15</f>
        <v>0</v>
      </c>
      <c r="F84" s="670" t="s">
        <v>67</v>
      </c>
      <c r="G84" s="672">
        <f>+sgbelvar!F17</f>
        <v>0</v>
      </c>
      <c r="I84" s="670" t="s">
        <v>60</v>
      </c>
      <c r="J84" s="671">
        <f>+bphvar!F20</f>
        <v>0</v>
      </c>
      <c r="K84" s="418"/>
      <c r="L84" s="670" t="s">
        <v>60</v>
      </c>
      <c r="M84" s="671">
        <f>+bphvar!F52</f>
        <v>0</v>
      </c>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B86" s="591"/>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A87" s="670" t="s">
        <v>0</v>
      </c>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591" t="s">
        <v>0</v>
      </c>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B140" s="418"/>
      <c r="C140" s="65"/>
      <c r="D140" s="64"/>
      <c r="E140" s="64"/>
      <c r="F140" s="64"/>
      <c r="G140" s="64"/>
      <c r="H140" s="64"/>
      <c r="I140" s="64"/>
      <c r="J140" s="64"/>
      <c r="K140" s="418"/>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c r="B141" s="64"/>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9"/>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4"/>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9"/>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4"/>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9"/>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4"/>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9"/>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4"/>
      <c r="C156" s="71" t="s">
        <v>0</v>
      </c>
      <c r="D156" s="69" t="s">
        <v>0</v>
      </c>
      <c r="E156" s="69"/>
      <c r="F156" s="69">
        <f>+F107+F111+F113+F115+F130+F139+F141+F143+F145+F152</f>
        <v>0</v>
      </c>
      <c r="G156" s="69"/>
      <c r="H156" s="69"/>
      <c r="I156" s="69" t="s">
        <v>0</v>
      </c>
      <c r="J156" s="69"/>
      <c r="K156" s="64"/>
      <c r="L156" s="71" t="s">
        <v>0</v>
      </c>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t="s">
        <v>0</v>
      </c>
      <c r="B157" s="69" t="s">
        <v>0</v>
      </c>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row r="189" spans="1:38">
      <c r="A189" s="419"/>
      <c r="B189" s="64"/>
      <c r="K189" s="64"/>
      <c r="N189" s="64"/>
      <c r="O189" s="64"/>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row>
  </sheetData>
  <mergeCells count="1">
    <mergeCell ref="I74:J74"/>
  </mergeCells>
  <pageMargins left="0.2" right="0.21" top="0.68" bottom="0.45" header="0.5" footer="0.23"/>
  <pageSetup scale="55" orientation="landscape" r:id="rId1"/>
  <headerFooter alignWithMargins="0">
    <oddFooter>&amp;R&amp;16&amp;P</oddFooter>
  </headerFooter>
</worksheet>
</file>

<file path=xl/worksheets/sheet54.xml><?xml version="1.0" encoding="utf-8"?>
<worksheet xmlns="http://schemas.openxmlformats.org/spreadsheetml/2006/main" xmlns:r="http://schemas.openxmlformats.org/officeDocument/2006/relationships">
  <sheetPr>
    <pageSetUpPr fitToPage="1"/>
  </sheetPr>
  <dimension ref="A1:AL189"/>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913</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3090851.5619999999</v>
      </c>
      <c r="C10" s="87">
        <v>100078.32782000001</v>
      </c>
      <c r="D10" s="87">
        <v>343340.44445549999</v>
      </c>
      <c r="E10" s="87">
        <v>269057</v>
      </c>
      <c r="F10" s="87">
        <v>1795694.3572099998</v>
      </c>
      <c r="G10" s="87">
        <v>858430.34325604397</v>
      </c>
      <c r="H10" s="89">
        <f>SUM(B10:G10)</f>
        <v>6457452.0347415442</v>
      </c>
      <c r="I10" s="87">
        <v>29049.284820000001</v>
      </c>
      <c r="J10" s="113">
        <f>SUM(I10:I10)</f>
        <v>29049.284820000001</v>
      </c>
      <c r="K10" s="87">
        <v>50959</v>
      </c>
      <c r="L10" s="87">
        <v>83022</v>
      </c>
      <c r="M10" s="113">
        <f>SUM(K10:L10)</f>
        <v>133981</v>
      </c>
      <c r="N10" s="90">
        <f>+H10+J10+M10</f>
        <v>6620482.3195615439</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11608572.41</v>
      </c>
      <c r="C11" s="87">
        <v>862617.86598</v>
      </c>
      <c r="D11" s="87">
        <v>1519150.903147764</v>
      </c>
      <c r="E11" s="87">
        <v>3832497</v>
      </c>
      <c r="F11" s="87">
        <v>12725408.499199998</v>
      </c>
      <c r="G11" s="87">
        <v>16320241.049140077</v>
      </c>
      <c r="H11" s="89">
        <f>SUM(B11:G11)</f>
        <v>46868487.727467835</v>
      </c>
      <c r="I11" s="87">
        <v>409823.73473999999</v>
      </c>
      <c r="J11" s="113">
        <f>SUM(I11:I11)</f>
        <v>409823.73473999999</v>
      </c>
      <c r="K11" s="87">
        <v>2864076</v>
      </c>
      <c r="L11" s="87">
        <v>2009432</v>
      </c>
      <c r="M11" s="113">
        <f>SUM(K11:L11)</f>
        <v>4873508</v>
      </c>
      <c r="N11" s="90">
        <f>+H11+J11+M11</f>
        <v>52151819.462207831</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1500694.0020000001</v>
      </c>
      <c r="C12" s="87">
        <v>531489.45733999996</v>
      </c>
      <c r="D12" s="87">
        <v>92070.420979922012</v>
      </c>
      <c r="E12" s="87">
        <v>695892</v>
      </c>
      <c r="F12" s="87">
        <v>963659.31783999992</v>
      </c>
      <c r="G12" s="87">
        <v>2853041.5796755482</v>
      </c>
      <c r="H12" s="89">
        <f>SUM(B12:G12)</f>
        <v>6636846.7778354697</v>
      </c>
      <c r="I12" s="87">
        <v>7029.1053099999999</v>
      </c>
      <c r="J12" s="113">
        <f>SUM(I12:I12)</f>
        <v>7029.1053099999999</v>
      </c>
      <c r="K12" s="87">
        <v>300056</v>
      </c>
      <c r="L12" s="87">
        <v>1291790</v>
      </c>
      <c r="M12" s="113">
        <f>SUM(K12:L12)</f>
        <v>1591846</v>
      </c>
      <c r="N12" s="90">
        <f>+H12+J12+M12</f>
        <v>8235721.8831454692</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266889.75453356002</v>
      </c>
      <c r="E13" s="87">
        <v>9177</v>
      </c>
      <c r="F13" s="87">
        <v>13494.59195</v>
      </c>
      <c r="G13" s="87">
        <v>7547.7058939416656</v>
      </c>
      <c r="H13" s="89">
        <f>SUM(B13:G13)</f>
        <v>297109.05237750168</v>
      </c>
      <c r="I13" s="87">
        <v>1112852.2591300001</v>
      </c>
      <c r="J13" s="113">
        <f>SUM(I13:I13)</f>
        <v>1112852.2591300001</v>
      </c>
      <c r="K13" s="87">
        <v>0</v>
      </c>
      <c r="L13" s="87">
        <v>0</v>
      </c>
      <c r="M13" s="113">
        <f>SUM(K13:L13)</f>
        <v>0</v>
      </c>
      <c r="N13" s="90">
        <f>+H13+J13+M13</f>
        <v>1409961.3115075019</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180568.15000000002</v>
      </c>
      <c r="C14" s="199">
        <v>104774.77907</v>
      </c>
      <c r="D14" s="199">
        <v>0</v>
      </c>
      <c r="E14" s="199">
        <v>174679</v>
      </c>
      <c r="F14" s="199">
        <v>511966.92222000001</v>
      </c>
      <c r="G14" s="578">
        <v>668130.07890532806</v>
      </c>
      <c r="H14" s="262">
        <f>SUM(B14:G14)</f>
        <v>1640118.9301953281</v>
      </c>
      <c r="I14" s="993">
        <v>28763.738230000003</v>
      </c>
      <c r="J14" s="113">
        <f>SUM(I14:I14)</f>
        <v>28763.738230000003</v>
      </c>
      <c r="K14" s="722">
        <v>178029</v>
      </c>
      <c r="L14" s="578">
        <v>91250</v>
      </c>
      <c r="M14" s="262">
        <f>SUM(K14:L14)</f>
        <v>269279</v>
      </c>
      <c r="N14" s="587">
        <f>+H14+J14+M14</f>
        <v>1938161.6684253281</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16380686.124</v>
      </c>
      <c r="C15" s="87">
        <f t="shared" ref="C15:J15" si="0">SUM(C10:C14)</f>
        <v>1598960.4302099999</v>
      </c>
      <c r="D15" s="87">
        <f t="shared" si="0"/>
        <v>2221451.523116746</v>
      </c>
      <c r="E15" s="134">
        <f t="shared" si="0"/>
        <v>4981302</v>
      </c>
      <c r="F15" s="87">
        <f t="shared" si="0"/>
        <v>16010223.688419996</v>
      </c>
      <c r="G15" s="87">
        <f t="shared" si="0"/>
        <v>20707390.75687094</v>
      </c>
      <c r="H15" s="89">
        <f t="shared" si="0"/>
        <v>61900014.522617675</v>
      </c>
      <c r="I15" s="24">
        <f t="shared" si="0"/>
        <v>1587518.1222300001</v>
      </c>
      <c r="J15" s="586">
        <f t="shared" si="0"/>
        <v>1587518.1222300001</v>
      </c>
      <c r="K15" s="87">
        <f>SUM(K10:K14)</f>
        <v>3393120</v>
      </c>
      <c r="L15" s="87">
        <f>SUM(L10:L14)</f>
        <v>3475494</v>
      </c>
      <c r="M15" s="113">
        <f>SUM(M10:M14)</f>
        <v>6868614</v>
      </c>
      <c r="N15" s="90">
        <f>SUM(N10:N14)</f>
        <v>70356146.644847661</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3250000</v>
      </c>
      <c r="C17" s="87">
        <v>150000</v>
      </c>
      <c r="D17" s="87">
        <v>150000</v>
      </c>
      <c r="E17" s="87">
        <v>79847</v>
      </c>
      <c r="F17" s="87">
        <v>450000</v>
      </c>
      <c r="G17" s="87">
        <v>700000</v>
      </c>
      <c r="H17" s="89">
        <f t="shared" ref="H17:H22" si="1">SUM(B17:G17)</f>
        <v>4779847</v>
      </c>
      <c r="I17" s="87">
        <v>0</v>
      </c>
      <c r="J17" s="113">
        <f t="shared" ref="J17:J22" si="2">SUM(I17:I17)</f>
        <v>0</v>
      </c>
      <c r="K17" s="87">
        <v>0</v>
      </c>
      <c r="L17" s="87">
        <v>0</v>
      </c>
      <c r="M17" s="113">
        <f t="shared" ref="M17:M22" si="3">SUM(K17:L17)</f>
        <v>0</v>
      </c>
      <c r="N17" s="90">
        <f t="shared" ref="N17:N22" si="4">+H17+J17+M17</f>
        <v>4779847</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ht="15.6" customHeight="1">
      <c r="A18" s="10" t="s">
        <v>909</v>
      </c>
      <c r="B18" s="87">
        <v>3875000</v>
      </c>
      <c r="C18" s="87">
        <v>0</v>
      </c>
      <c r="D18" s="87">
        <v>0</v>
      </c>
      <c r="E18" s="87">
        <v>0</v>
      </c>
      <c r="F18" s="87">
        <v>0</v>
      </c>
      <c r="G18" s="87">
        <v>0</v>
      </c>
      <c r="H18" s="89">
        <f t="shared" si="1"/>
        <v>3875000</v>
      </c>
      <c r="I18" s="87">
        <v>0</v>
      </c>
      <c r="J18" s="113">
        <f t="shared" si="2"/>
        <v>0</v>
      </c>
      <c r="K18" s="87">
        <v>0</v>
      </c>
      <c r="L18" s="87">
        <v>0</v>
      </c>
      <c r="M18" s="113">
        <f t="shared" si="3"/>
        <v>0</v>
      </c>
      <c r="N18" s="90">
        <f t="shared" si="4"/>
        <v>3875000</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262</v>
      </c>
      <c r="B19" s="87">
        <v>5845104.3280000016</v>
      </c>
      <c r="C19" s="87">
        <v>25691.050870000006</v>
      </c>
      <c r="D19" s="87">
        <v>25674.120871363994</v>
      </c>
      <c r="E19" s="87">
        <v>462302</v>
      </c>
      <c r="F19" s="87">
        <v>9440827.8180900011</v>
      </c>
      <c r="G19" s="87">
        <v>11468739.403706055</v>
      </c>
      <c r="H19" s="89">
        <f t="shared" si="1"/>
        <v>27268338.721537422</v>
      </c>
      <c r="I19" s="87">
        <v>38556.673800000004</v>
      </c>
      <c r="J19" s="113">
        <f t="shared" si="2"/>
        <v>38556.673800000004</v>
      </c>
      <c r="K19" s="87">
        <v>0</v>
      </c>
      <c r="L19" s="87">
        <v>0</v>
      </c>
      <c r="M19" s="113">
        <f t="shared" si="3"/>
        <v>0</v>
      </c>
      <c r="N19" s="90">
        <f t="shared" si="4"/>
        <v>27306895.395337421</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357</v>
      </c>
      <c r="B20" s="87">
        <v>9726509.5221300013</v>
      </c>
      <c r="C20" s="87">
        <v>1043579.25826</v>
      </c>
      <c r="D20" s="87">
        <v>1778772.2240426783</v>
      </c>
      <c r="E20" s="87">
        <v>4943103</v>
      </c>
      <c r="F20" s="87">
        <v>19053089.783410002</v>
      </c>
      <c r="G20" s="87">
        <v>20821894.012140002</v>
      </c>
      <c r="H20" s="89">
        <f t="shared" si="1"/>
        <v>57366947.799982682</v>
      </c>
      <c r="I20" s="87">
        <v>2902319.8433090001</v>
      </c>
      <c r="J20" s="113">
        <f t="shared" si="2"/>
        <v>2902319.8433090001</v>
      </c>
      <c r="K20" s="87">
        <v>1503987</v>
      </c>
      <c r="L20" s="87">
        <v>2250111</v>
      </c>
      <c r="M20" s="113">
        <f t="shared" si="3"/>
        <v>3754098</v>
      </c>
      <c r="N20" s="90">
        <f t="shared" si="4"/>
        <v>64023365.643291682</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c r="A21" s="419" t="s">
        <v>264</v>
      </c>
      <c r="B21" s="87">
        <v>1211678.2188099998</v>
      </c>
      <c r="C21" s="87">
        <v>184903.79617000002</v>
      </c>
      <c r="D21" s="87">
        <v>254603.83403</v>
      </c>
      <c r="E21" s="87">
        <v>308698</v>
      </c>
      <c r="F21" s="87">
        <v>1721631.1461499999</v>
      </c>
      <c r="G21" s="87">
        <v>1349889.5940700003</v>
      </c>
      <c r="H21" s="89">
        <f t="shared" si="1"/>
        <v>5031404.58923</v>
      </c>
      <c r="I21" s="87">
        <v>187120.45464000001</v>
      </c>
      <c r="J21" s="113">
        <f t="shared" si="2"/>
        <v>187120.45464000001</v>
      </c>
      <c r="K21" s="87">
        <v>380100</v>
      </c>
      <c r="L21" s="87">
        <v>60924</v>
      </c>
      <c r="M21" s="113">
        <f t="shared" si="3"/>
        <v>441024</v>
      </c>
      <c r="N21" s="90">
        <f t="shared" si="4"/>
        <v>5659549.0438700002</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ht="16.5" thickBot="1">
      <c r="A22" s="419" t="s">
        <v>265</v>
      </c>
      <c r="B22" s="97">
        <v>1717851.0939999998</v>
      </c>
      <c r="C22" s="97">
        <v>44735.975689999999</v>
      </c>
      <c r="D22" s="97">
        <v>39164.967195630714</v>
      </c>
      <c r="E22" s="97">
        <v>350971</v>
      </c>
      <c r="F22" s="97">
        <v>1904328.2820499998</v>
      </c>
      <c r="G22" s="579">
        <v>773949.64369559195</v>
      </c>
      <c r="H22" s="96">
        <f t="shared" si="1"/>
        <v>4831000.9626312219</v>
      </c>
      <c r="I22" s="660">
        <v>100288.44833999999</v>
      </c>
      <c r="J22" s="115">
        <f t="shared" si="2"/>
        <v>100288.44833999999</v>
      </c>
      <c r="K22" s="97">
        <v>144955</v>
      </c>
      <c r="L22" s="579">
        <v>7519</v>
      </c>
      <c r="M22" s="96">
        <f t="shared" si="3"/>
        <v>152474</v>
      </c>
      <c r="N22" s="588">
        <f t="shared" si="4"/>
        <v>5083763.4109712215</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c r="A23" s="419" t="s">
        <v>54</v>
      </c>
      <c r="B23" s="90">
        <f t="shared" ref="B23:J23" si="5">SUM(B15:B22)</f>
        <v>42006829.286940001</v>
      </c>
      <c r="C23" s="90">
        <f t="shared" si="5"/>
        <v>3047870.5112000001</v>
      </c>
      <c r="D23" s="90">
        <f t="shared" si="5"/>
        <v>4469666.6692564189</v>
      </c>
      <c r="E23" s="13">
        <f t="shared" si="5"/>
        <v>11126223</v>
      </c>
      <c r="F23" s="90">
        <f t="shared" si="5"/>
        <v>48580100.718120001</v>
      </c>
      <c r="G23" s="90">
        <f t="shared" si="5"/>
        <v>55821863.410482593</v>
      </c>
      <c r="H23" s="89">
        <f t="shared" si="5"/>
        <v>165052553.595999</v>
      </c>
      <c r="I23" s="90">
        <f t="shared" si="5"/>
        <v>4815803.5423189998</v>
      </c>
      <c r="J23" s="729">
        <f t="shared" si="5"/>
        <v>4815803.5423189998</v>
      </c>
      <c r="K23" s="13">
        <f>SUM(K15:K22)</f>
        <v>5422162</v>
      </c>
      <c r="L23" s="13">
        <f>SUM(L15:L22)</f>
        <v>5794048</v>
      </c>
      <c r="M23" s="113">
        <f>SUM(M15:M22)</f>
        <v>11216210</v>
      </c>
      <c r="N23" s="90">
        <f>SUM(N15:N22)</f>
        <v>181084567.13831797</v>
      </c>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ht="15.6" customHeight="1">
      <c r="A24" s="419"/>
      <c r="B24" s="98" t="s">
        <v>0</v>
      </c>
      <c r="C24" s="88" t="s">
        <v>0</v>
      </c>
      <c r="D24" s="87"/>
      <c r="E24" s="88" t="s">
        <v>0</v>
      </c>
      <c r="F24" s="87"/>
      <c r="G24" s="87"/>
      <c r="H24" s="93"/>
      <c r="I24" s="87"/>
      <c r="J24" s="565"/>
      <c r="K24" s="87"/>
      <c r="L24" s="87" t="s">
        <v>0</v>
      </c>
      <c r="M24" s="114"/>
      <c r="N24" s="90"/>
      <c r="O24" s="64"/>
      <c r="P24" s="728"/>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21" t="s">
        <v>266</v>
      </c>
      <c r="B25" s="98" t="s">
        <v>0</v>
      </c>
      <c r="C25" s="88" t="s">
        <v>0</v>
      </c>
      <c r="D25" s="87"/>
      <c r="E25" s="88" t="s">
        <v>0</v>
      </c>
      <c r="F25" s="87" t="s">
        <v>0</v>
      </c>
      <c r="G25" s="87"/>
      <c r="H25" s="1408" t="s">
        <v>0</v>
      </c>
      <c r="I25" s="87"/>
      <c r="J25" s="565"/>
      <c r="K25" s="87"/>
      <c r="L25" s="87" t="s">
        <v>0</v>
      </c>
      <c r="M25" s="114"/>
      <c r="N25" s="90" t="s">
        <v>0</v>
      </c>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267</v>
      </c>
      <c r="B26" s="98" t="s">
        <v>0</v>
      </c>
      <c r="C26" s="88" t="s">
        <v>0</v>
      </c>
      <c r="D26" s="87"/>
      <c r="E26" s="88" t="s">
        <v>0</v>
      </c>
      <c r="F26" s="87"/>
      <c r="G26" s="87"/>
      <c r="H26" s="93"/>
      <c r="I26" s="87"/>
      <c r="J26" s="565"/>
      <c r="K26" s="87"/>
      <c r="L26" s="87" t="s">
        <v>0</v>
      </c>
      <c r="M26" s="114"/>
      <c r="N26" s="90"/>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268</v>
      </c>
      <c r="B27" s="87">
        <v>20406154.043000001</v>
      </c>
      <c r="C27" s="87">
        <v>1215031.07455</v>
      </c>
      <c r="D27" s="87">
        <v>1354538.490625696</v>
      </c>
      <c r="E27" s="87">
        <v>4896423</v>
      </c>
      <c r="F27" s="87">
        <v>14011460.762469999</v>
      </c>
      <c r="G27" s="87">
        <v>23050550.944722138</v>
      </c>
      <c r="H27" s="89">
        <f>SUM(B27:G27)</f>
        <v>64934158.315367833</v>
      </c>
      <c r="I27" s="87">
        <v>980157.23081999994</v>
      </c>
      <c r="J27" s="113">
        <f>SUM(I27:I27)</f>
        <v>980157.23081999994</v>
      </c>
      <c r="K27" s="87">
        <v>3507780</v>
      </c>
      <c r="L27" s="87">
        <v>2893807</v>
      </c>
      <c r="M27" s="113">
        <f>SUM(K27:L27)</f>
        <v>6401587</v>
      </c>
      <c r="N27" s="90">
        <f>+H27+J27+M27</f>
        <v>72315902.546187833</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269</v>
      </c>
      <c r="B28" s="87">
        <v>9186599.8499999996</v>
      </c>
      <c r="C28" s="87">
        <v>592921.16240000003</v>
      </c>
      <c r="D28" s="87">
        <v>1800207.4907743898</v>
      </c>
      <c r="E28" s="87">
        <v>2557143</v>
      </c>
      <c r="F28" s="87">
        <v>18327461.089569997</v>
      </c>
      <c r="G28" s="87">
        <v>20130969.543959085</v>
      </c>
      <c r="H28" s="89">
        <f>SUM(B28:G28)</f>
        <v>52595302.136703476</v>
      </c>
      <c r="I28" s="87">
        <v>514255.85814000003</v>
      </c>
      <c r="J28" s="113">
        <f>SUM(I28:I28)</f>
        <v>514255.85814000003</v>
      </c>
      <c r="K28" s="87">
        <v>298497</v>
      </c>
      <c r="L28" s="87">
        <v>1513933</v>
      </c>
      <c r="M28" s="113">
        <f>SUM(K28:L28)</f>
        <v>1812430</v>
      </c>
      <c r="N28" s="90">
        <f>+H28+J28+M28</f>
        <v>54921987.994843476</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t="s">
        <v>270</v>
      </c>
      <c r="B29" s="199">
        <v>4115368.8884200007</v>
      </c>
      <c r="C29" s="199">
        <v>837724.54273999995</v>
      </c>
      <c r="D29" s="199">
        <v>669579.04007650202</v>
      </c>
      <c r="E29" s="199">
        <v>2161763</v>
      </c>
      <c r="F29" s="199">
        <v>7626659.4401821885</v>
      </c>
      <c r="G29" s="578">
        <v>5254469.3273363179</v>
      </c>
      <c r="H29" s="262">
        <f>SUM(B29:G29)</f>
        <v>20665564.23875501</v>
      </c>
      <c r="I29" s="993">
        <v>1844659.4309700001</v>
      </c>
      <c r="J29" s="113">
        <f>SUM(I29:I29)</f>
        <v>1844659.4309700001</v>
      </c>
      <c r="K29" s="722">
        <v>540744</v>
      </c>
      <c r="L29" s="578">
        <v>470039</v>
      </c>
      <c r="M29" s="262">
        <f>SUM(K29:L29)</f>
        <v>1010783</v>
      </c>
      <c r="N29" s="587">
        <f>+H29+J29+M29</f>
        <v>23521006.669725008</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c r="A30" s="419"/>
      <c r="B30" s="87">
        <f t="shared" ref="B30:J30" si="6">SUM(B27:B29)</f>
        <v>33708122.78142</v>
      </c>
      <c r="C30" s="87">
        <f t="shared" si="6"/>
        <v>2645676.7796900002</v>
      </c>
      <c r="D30" s="87">
        <f t="shared" si="6"/>
        <v>3824325.0214765877</v>
      </c>
      <c r="E30" s="87">
        <f t="shared" si="6"/>
        <v>9615329</v>
      </c>
      <c r="F30" s="87">
        <f t="shared" si="6"/>
        <v>39965581.292222187</v>
      </c>
      <c r="G30" s="87">
        <f t="shared" si="6"/>
        <v>48435989.816017546</v>
      </c>
      <c r="H30" s="89">
        <f t="shared" si="6"/>
        <v>138195024.69082633</v>
      </c>
      <c r="I30" s="87">
        <f t="shared" si="6"/>
        <v>3339072.51993</v>
      </c>
      <c r="J30" s="586">
        <f t="shared" si="6"/>
        <v>3339072.51993</v>
      </c>
      <c r="K30" s="87">
        <f>SUM(K27:K29)</f>
        <v>4347021</v>
      </c>
      <c r="L30" s="87">
        <f>SUM(L27:L29)</f>
        <v>4877779</v>
      </c>
      <c r="M30" s="113">
        <f>SUM(M27:M29)</f>
        <v>9224800</v>
      </c>
      <c r="N30" s="90">
        <f>SUM(N27:N29)</f>
        <v>150758897.2107563</v>
      </c>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ht="7.9" customHeight="1">
      <c r="A31" s="419"/>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271</v>
      </c>
      <c r="B32" s="98" t="s">
        <v>0</v>
      </c>
      <c r="C32" s="88" t="s">
        <v>0</v>
      </c>
      <c r="D32" s="87"/>
      <c r="E32" s="88" t="s">
        <v>0</v>
      </c>
      <c r="F32" s="87"/>
      <c r="G32" s="87"/>
      <c r="H32" s="89"/>
      <c r="I32" s="87"/>
      <c r="J32" s="113"/>
      <c r="K32" s="87"/>
      <c r="L32" s="87" t="s">
        <v>0</v>
      </c>
      <c r="M32" s="113"/>
      <c r="N32" s="90"/>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272</v>
      </c>
      <c r="B33" s="87">
        <v>0</v>
      </c>
      <c r="C33" s="87">
        <v>0</v>
      </c>
      <c r="D33" s="87">
        <v>0</v>
      </c>
      <c r="E33" s="87">
        <v>0</v>
      </c>
      <c r="F33" s="87">
        <v>0</v>
      </c>
      <c r="G33" s="87">
        <v>0</v>
      </c>
      <c r="H33" s="89">
        <f>SUM(B33:G33)</f>
        <v>0</v>
      </c>
      <c r="I33" s="87">
        <v>0</v>
      </c>
      <c r="J33" s="113">
        <f>SUM(I33:I33)</f>
        <v>0</v>
      </c>
      <c r="K33" s="87">
        <v>0</v>
      </c>
      <c r="L33" s="87">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c r="A34" s="419" t="s">
        <v>273</v>
      </c>
      <c r="B34" s="87">
        <v>0</v>
      </c>
      <c r="C34" s="87">
        <v>0</v>
      </c>
      <c r="D34" s="87">
        <v>0</v>
      </c>
      <c r="E34" s="87">
        <v>0</v>
      </c>
      <c r="F34" s="87">
        <v>0</v>
      </c>
      <c r="G34" s="87">
        <v>0</v>
      </c>
      <c r="H34" s="89">
        <f>SUM(B34:G34)</f>
        <v>0</v>
      </c>
      <c r="I34" s="87">
        <v>0</v>
      </c>
      <c r="J34" s="113">
        <f>SUM(I34:I34)</f>
        <v>0</v>
      </c>
      <c r="K34" s="87">
        <v>0</v>
      </c>
      <c r="L34" s="87">
        <v>0</v>
      </c>
      <c r="M34" s="113">
        <f>SUM(K34:L34)</f>
        <v>0</v>
      </c>
      <c r="N34" s="90">
        <f>+H34+J34+M34</f>
        <v>0</v>
      </c>
      <c r="O34" s="64"/>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row>
    <row r="35" spans="1:38" ht="17.25">
      <c r="A35" s="419" t="s">
        <v>274</v>
      </c>
      <c r="B35" s="199">
        <v>1668372.274</v>
      </c>
      <c r="C35" s="199">
        <v>242285.43352869397</v>
      </c>
      <c r="D35" s="199">
        <v>173558.35571431404</v>
      </c>
      <c r="E35" s="199">
        <v>288601</v>
      </c>
      <c r="F35" s="199">
        <v>1554322.1431100001</v>
      </c>
      <c r="G35" s="578">
        <v>1147061.0887255399</v>
      </c>
      <c r="H35" s="262">
        <f>SUM(B35:G35)</f>
        <v>5074200.2950785477</v>
      </c>
      <c r="I35" s="993">
        <v>100044.96908999998</v>
      </c>
      <c r="J35" s="113">
        <f>SUM(I35:I35)</f>
        <v>100044.96908999998</v>
      </c>
      <c r="K35" s="722">
        <v>665678</v>
      </c>
      <c r="L35" s="578">
        <v>141249</v>
      </c>
      <c r="M35" s="262">
        <f>SUM(K35:L35)</f>
        <v>806927</v>
      </c>
      <c r="N35" s="587">
        <f>+H35+J35+M35</f>
        <v>5981172.2641685475</v>
      </c>
      <c r="O35" s="68"/>
      <c r="P35" s="424"/>
      <c r="Q35" s="424"/>
      <c r="R35" s="424"/>
      <c r="S35" s="419"/>
      <c r="T35" s="419"/>
      <c r="U35" s="419"/>
      <c r="V35" s="419"/>
      <c r="W35" s="419"/>
      <c r="X35" s="419"/>
      <c r="Y35" s="419"/>
      <c r="Z35" s="419"/>
      <c r="AA35" s="419"/>
      <c r="AB35" s="419"/>
      <c r="AC35" s="419"/>
      <c r="AD35" s="419"/>
      <c r="AE35" s="419"/>
      <c r="AF35" s="419"/>
      <c r="AG35" s="419"/>
      <c r="AH35" s="419"/>
      <c r="AI35" s="419"/>
      <c r="AJ35" s="419"/>
      <c r="AK35" s="419"/>
      <c r="AL35" s="419"/>
    </row>
    <row r="36" spans="1:38">
      <c r="A36" s="419"/>
      <c r="B36" s="87">
        <f t="shared" ref="B36:J36" si="7">SUM(B33:B35)</f>
        <v>1668372.274</v>
      </c>
      <c r="C36" s="87">
        <f t="shared" si="7"/>
        <v>242285.43352869397</v>
      </c>
      <c r="D36" s="87">
        <f t="shared" si="7"/>
        <v>173558.35571431404</v>
      </c>
      <c r="E36" s="87">
        <f t="shared" si="7"/>
        <v>288601</v>
      </c>
      <c r="F36" s="87">
        <f t="shared" si="7"/>
        <v>1554322.1431100001</v>
      </c>
      <c r="G36" s="87">
        <f t="shared" si="7"/>
        <v>1147061.0887255399</v>
      </c>
      <c r="H36" s="89">
        <f t="shared" si="7"/>
        <v>5074200.2950785477</v>
      </c>
      <c r="I36" s="87">
        <f t="shared" si="7"/>
        <v>100044.96908999998</v>
      </c>
      <c r="J36" s="586">
        <f t="shared" si="7"/>
        <v>100044.96908999998</v>
      </c>
      <c r="K36" s="87">
        <f>SUM(K33:K35)</f>
        <v>665678</v>
      </c>
      <c r="L36" s="87">
        <f>SUM(L33:L35)</f>
        <v>141249</v>
      </c>
      <c r="M36" s="113">
        <f>SUM(M33:M35)</f>
        <v>806927</v>
      </c>
      <c r="N36" s="90">
        <f>SUM(N33:N35)</f>
        <v>5981172.2641685475</v>
      </c>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ht="7.15" customHeight="1">
      <c r="A37" s="419"/>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275</v>
      </c>
      <c r="B38" s="98" t="s">
        <v>0</v>
      </c>
      <c r="C38" s="88" t="s">
        <v>0</v>
      </c>
      <c r="D38" s="87"/>
      <c r="E38" s="88" t="s">
        <v>0</v>
      </c>
      <c r="F38" s="87"/>
      <c r="G38" s="87"/>
      <c r="H38" s="89"/>
      <c r="I38" s="87"/>
      <c r="J38" s="113"/>
      <c r="K38" s="87"/>
      <c r="L38" s="87" t="s">
        <v>0</v>
      </c>
      <c r="M38" s="113"/>
      <c r="N38" s="90"/>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272</v>
      </c>
      <c r="B39" s="87">
        <v>3000</v>
      </c>
      <c r="C39" s="87">
        <v>15057.5</v>
      </c>
      <c r="D39" s="87">
        <v>0</v>
      </c>
      <c r="E39" s="87">
        <v>0</v>
      </c>
      <c r="F39" s="87">
        <v>0</v>
      </c>
      <c r="G39" s="87">
        <v>0</v>
      </c>
      <c r="H39" s="89">
        <f>SUM(B39:G39)</f>
        <v>18057.5</v>
      </c>
      <c r="I39" s="87">
        <v>855000</v>
      </c>
      <c r="J39" s="113">
        <f>SUM(I39:I39)</f>
        <v>855000</v>
      </c>
      <c r="K39" s="87">
        <v>0</v>
      </c>
      <c r="L39" s="87">
        <v>0</v>
      </c>
      <c r="M39" s="113">
        <f>SUM(K39:L39)</f>
        <v>0</v>
      </c>
      <c r="N39" s="90">
        <f>+H39+J39+M39</f>
        <v>873057.5</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276</v>
      </c>
      <c r="B40" s="87">
        <v>0</v>
      </c>
      <c r="C40" s="87">
        <v>0</v>
      </c>
      <c r="D40" s="87">
        <v>0</v>
      </c>
      <c r="E40" s="87">
        <v>0</v>
      </c>
      <c r="F40" s="87">
        <v>1205250.51724</v>
      </c>
      <c r="G40" s="87">
        <v>0</v>
      </c>
      <c r="H40" s="89">
        <f>SUM(B40:G40)</f>
        <v>1205250.51724</v>
      </c>
      <c r="I40" s="87">
        <v>0</v>
      </c>
      <c r="J40" s="113">
        <f>SUM(I40:I40)</f>
        <v>0</v>
      </c>
      <c r="K40" s="87">
        <v>0</v>
      </c>
      <c r="L40" s="87">
        <v>0</v>
      </c>
      <c r="M40" s="113">
        <f>SUM(K40:L40)</f>
        <v>0</v>
      </c>
      <c r="N40" s="90">
        <f>+H40+J40+M40</f>
        <v>1205250.51724</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t="s">
        <v>274</v>
      </c>
      <c r="B41" s="199">
        <v>3065713.327</v>
      </c>
      <c r="C41" s="199">
        <v>9779.65805</v>
      </c>
      <c r="D41" s="199">
        <v>4849.4736599999997</v>
      </c>
      <c r="E41" s="199">
        <v>40032</v>
      </c>
      <c r="F41" s="199">
        <v>599477.59548999998</v>
      </c>
      <c r="G41" s="578">
        <v>272598.58308463404</v>
      </c>
      <c r="H41" s="262">
        <f>SUM(B41:G41)</f>
        <v>3992450.6372846342</v>
      </c>
      <c r="I41" s="993">
        <v>28895.791100000031</v>
      </c>
      <c r="J41" s="113">
        <f>SUM(I41:I41)</f>
        <v>28895.791100000031</v>
      </c>
      <c r="K41" s="722">
        <v>62945</v>
      </c>
      <c r="L41" s="578">
        <v>31249</v>
      </c>
      <c r="M41" s="262">
        <f>SUM(K41:L41)</f>
        <v>94194</v>
      </c>
      <c r="N41" s="587">
        <f>+H41+J41+M41</f>
        <v>4115540.4283846342</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c r="A42" s="419"/>
      <c r="B42" s="87">
        <f t="shared" ref="B42:J42" si="8">SUM(B39:B41)</f>
        <v>3068713.327</v>
      </c>
      <c r="C42" s="87">
        <f t="shared" si="8"/>
        <v>24837.158049999998</v>
      </c>
      <c r="D42" s="87">
        <f t="shared" si="8"/>
        <v>4849.4736599999997</v>
      </c>
      <c r="E42" s="87">
        <f t="shared" si="8"/>
        <v>40032</v>
      </c>
      <c r="F42" s="87">
        <f t="shared" si="8"/>
        <v>1804728.1127299999</v>
      </c>
      <c r="G42" s="87">
        <f t="shared" si="8"/>
        <v>272598.58308463404</v>
      </c>
      <c r="H42" s="89">
        <f t="shared" si="8"/>
        <v>5215758.6545246337</v>
      </c>
      <c r="I42" s="87">
        <f t="shared" si="8"/>
        <v>883895.79110000003</v>
      </c>
      <c r="J42" s="585">
        <f t="shared" si="8"/>
        <v>883895.79110000003</v>
      </c>
      <c r="K42" s="87">
        <f>SUM(K39:K41)</f>
        <v>62945</v>
      </c>
      <c r="L42" s="87">
        <f>SUM(L39:L41)</f>
        <v>31249</v>
      </c>
      <c r="M42" s="113">
        <f>SUM(M39:M41)</f>
        <v>94194</v>
      </c>
      <c r="N42" s="90">
        <f>SUM(N39:N41)</f>
        <v>6193848.4456246346</v>
      </c>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8.4499999999999993" customHeight="1">
      <c r="A43" s="419"/>
      <c r="B43" s="98" t="s">
        <v>0</v>
      </c>
      <c r="C43" s="88" t="s">
        <v>0</v>
      </c>
      <c r="D43" s="87"/>
      <c r="E43" s="88" t="s">
        <v>0</v>
      </c>
      <c r="F43" s="87"/>
      <c r="G43" s="87"/>
      <c r="H43" s="89"/>
      <c r="I43" s="87"/>
      <c r="J43" s="113"/>
      <c r="K43" s="87"/>
      <c r="L43" s="87" t="s">
        <v>0</v>
      </c>
      <c r="M43" s="113"/>
      <c r="N43" s="90"/>
      <c r="O43" s="64"/>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ht="17.25">
      <c r="A44" s="419" t="s">
        <v>277</v>
      </c>
      <c r="B44" s="199">
        <v>827555.451</v>
      </c>
      <c r="C44" s="199">
        <v>398.74286999999998</v>
      </c>
      <c r="D44" s="199">
        <v>209542.80638631398</v>
      </c>
      <c r="E44" s="199">
        <v>298651</v>
      </c>
      <c r="F44" s="199">
        <v>1753707.9866999998</v>
      </c>
      <c r="G44" s="578">
        <v>506845.00908557605</v>
      </c>
      <c r="H44" s="262">
        <f>SUM(B44:G44)</f>
        <v>3596700.9960418898</v>
      </c>
      <c r="I44" s="993">
        <v>54310.745720000006</v>
      </c>
      <c r="J44" s="113">
        <f>SUM(I44:I44)</f>
        <v>54310.745720000006</v>
      </c>
      <c r="K44" s="722">
        <v>75635</v>
      </c>
      <c r="L44" s="578">
        <v>479703</v>
      </c>
      <c r="M44" s="262">
        <f>SUM(K44:L44)</f>
        <v>555338</v>
      </c>
      <c r="N44" s="587">
        <f>+H44+J44+M44</f>
        <v>4206349.7417618893</v>
      </c>
      <c r="O44" s="68"/>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c r="A45" s="419"/>
      <c r="B45" s="87">
        <f t="shared" ref="B45:G45" si="9">+B30+B36+B42+B44</f>
        <v>39272763.833419994</v>
      </c>
      <c r="C45" s="87">
        <f t="shared" si="9"/>
        <v>2913198.1141386945</v>
      </c>
      <c r="D45" s="87">
        <f t="shared" si="9"/>
        <v>4212275.6572372159</v>
      </c>
      <c r="E45" s="87">
        <f t="shared" si="9"/>
        <v>10242613</v>
      </c>
      <c r="F45" s="87">
        <f t="shared" si="9"/>
        <v>45078339.534762181</v>
      </c>
      <c r="G45" s="87">
        <f t="shared" si="9"/>
        <v>50362494.496913292</v>
      </c>
      <c r="H45" s="89">
        <f>SUM(B45:G45)</f>
        <v>152081684.63647136</v>
      </c>
      <c r="I45" s="87">
        <f>+I30+I36+I42+I44</f>
        <v>4377324.0258400002</v>
      </c>
      <c r="J45" s="585">
        <f>+J30+J36+J42+J44</f>
        <v>4377324.0258400002</v>
      </c>
      <c r="K45" s="87">
        <f>+K30+K36+K42+K44</f>
        <v>5151279</v>
      </c>
      <c r="L45" s="87">
        <f>+L30+L36+L42+L44</f>
        <v>5529980</v>
      </c>
      <c r="M45" s="113">
        <f>SUM(K45:L45)</f>
        <v>10681259</v>
      </c>
      <c r="N45" s="90">
        <f>+H45+J45+M45</f>
        <v>167140267.66231138</v>
      </c>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ht="15.6" customHeight="1">
      <c r="A46" s="419"/>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25" t="s">
        <v>278</v>
      </c>
      <c r="B47" s="98" t="s">
        <v>0</v>
      </c>
      <c r="C47" s="88" t="s">
        <v>0</v>
      </c>
      <c r="D47" s="87"/>
      <c r="E47" s="88" t="s">
        <v>0</v>
      </c>
      <c r="F47" s="87"/>
      <c r="G47" s="87"/>
      <c r="H47" s="89"/>
      <c r="I47" s="87"/>
      <c r="J47" s="113"/>
      <c r="K47" s="87"/>
      <c r="L47" s="87" t="s">
        <v>0</v>
      </c>
      <c r="M47" s="113"/>
      <c r="N47" s="90"/>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279</v>
      </c>
      <c r="B48" s="87">
        <v>1500000</v>
      </c>
      <c r="C48" s="87">
        <v>165000</v>
      </c>
      <c r="D48" s="87">
        <v>450000</v>
      </c>
      <c r="E48" s="87">
        <v>270000</v>
      </c>
      <c r="F48" s="87">
        <v>1200000</v>
      </c>
      <c r="G48" s="87">
        <v>2092924</v>
      </c>
      <c r="H48" s="89">
        <f>SUM(B48:G48)</f>
        <v>5677924</v>
      </c>
      <c r="I48" s="87">
        <v>150000</v>
      </c>
      <c r="J48" s="113">
        <f>SUM(I48:I48)</f>
        <v>150000</v>
      </c>
      <c r="K48" s="87">
        <v>103837</v>
      </c>
      <c r="L48" s="87">
        <v>94373</v>
      </c>
      <c r="M48" s="113">
        <f>SUM(K48:L48)</f>
        <v>198210</v>
      </c>
      <c r="N48" s="90">
        <f>+H48+J48+M48</f>
        <v>6026134</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280</v>
      </c>
      <c r="B49" s="87">
        <v>287551.94300000003</v>
      </c>
      <c r="C49" s="87">
        <v>87983</v>
      </c>
      <c r="D49" s="87">
        <v>26311.104950000001</v>
      </c>
      <c r="E49" s="87">
        <v>191165</v>
      </c>
      <c r="F49" s="87">
        <v>1055563.7104900002</v>
      </c>
      <c r="G49" s="87">
        <v>833713.97237999993</v>
      </c>
      <c r="H49" s="89">
        <f>SUM(B49:G49)</f>
        <v>2482288.7308200002</v>
      </c>
      <c r="I49" s="87">
        <v>172221.88741999998</v>
      </c>
      <c r="J49" s="113">
        <f>SUM(I49:I49)</f>
        <v>172221.88741999998</v>
      </c>
      <c r="K49" s="87">
        <v>79683</v>
      </c>
      <c r="L49" s="87">
        <v>74608</v>
      </c>
      <c r="M49" s="113">
        <f>SUM(K49:L49)</f>
        <v>154291</v>
      </c>
      <c r="N49" s="90">
        <f>+H49+J49+M49</f>
        <v>2808801.6182400002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c r="A50" s="419" t="s">
        <v>281</v>
      </c>
      <c r="B50" s="87">
        <v>0</v>
      </c>
      <c r="C50" s="87">
        <v>14325</v>
      </c>
      <c r="D50" s="87">
        <v>93847.200150000004</v>
      </c>
      <c r="E50" s="87">
        <v>1384</v>
      </c>
      <c r="F50" s="87">
        <v>98479.455170000001</v>
      </c>
      <c r="G50" s="87">
        <v>0</v>
      </c>
      <c r="H50" s="89">
        <f>SUM(B50:G50)</f>
        <v>208035.65532000002</v>
      </c>
      <c r="I50" s="87">
        <v>0</v>
      </c>
      <c r="J50" s="113">
        <f>SUM(I50:I50)</f>
        <v>0</v>
      </c>
      <c r="K50" s="87">
        <v>0</v>
      </c>
      <c r="L50" s="87">
        <v>0</v>
      </c>
      <c r="M50" s="113">
        <f>SUM(K50:L50)</f>
        <v>0</v>
      </c>
      <c r="N50" s="90">
        <f>+H50+J50+M50</f>
        <v>208035.65532000002</v>
      </c>
      <c r="O50" s="64"/>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row>
    <row r="51" spans="1:38" ht="17.25">
      <c r="A51" s="419" t="s">
        <v>282</v>
      </c>
      <c r="B51" s="199">
        <v>946513.51500000001</v>
      </c>
      <c r="C51" s="199">
        <v>-132635.60292999999</v>
      </c>
      <c r="D51" s="199">
        <v>-312767.29308999999</v>
      </c>
      <c r="E51" s="199">
        <v>421061</v>
      </c>
      <c r="F51" s="199">
        <v>1147718.017699999</v>
      </c>
      <c r="G51" s="578">
        <v>2532730.9381800001</v>
      </c>
      <c r="H51" s="262">
        <f>SUM(B51:G51)</f>
        <v>4602620.5748599991</v>
      </c>
      <c r="I51" s="993">
        <v>116257.62903000001</v>
      </c>
      <c r="J51" s="113">
        <f>SUM(I51:I51)</f>
        <v>116257.62903000001</v>
      </c>
      <c r="K51" s="722">
        <v>87363</v>
      </c>
      <c r="L51" s="578">
        <v>95087</v>
      </c>
      <c r="M51" s="262">
        <f>SUM(K51:L51)</f>
        <v>182450</v>
      </c>
      <c r="N51" s="587">
        <f>+H51+J51+M51</f>
        <v>4901328.2038899995</v>
      </c>
      <c r="O51" s="64"/>
      <c r="P51" s="424"/>
      <c r="Q51" s="424"/>
      <c r="R51" s="424"/>
      <c r="S51" s="419"/>
      <c r="T51" s="419"/>
      <c r="U51" s="419"/>
      <c r="V51" s="419"/>
      <c r="W51" s="419"/>
      <c r="X51" s="419"/>
      <c r="Y51" s="419"/>
      <c r="Z51" s="419"/>
      <c r="AA51" s="419"/>
      <c r="AB51" s="419"/>
      <c r="AC51" s="419"/>
      <c r="AD51" s="419"/>
      <c r="AE51" s="419"/>
      <c r="AF51" s="419"/>
      <c r="AG51" s="419"/>
      <c r="AH51" s="419"/>
      <c r="AI51" s="419"/>
      <c r="AJ51" s="419"/>
      <c r="AK51" s="419"/>
      <c r="AL51" s="419"/>
    </row>
    <row r="52" spans="1:38" ht="16.5" thickBot="1">
      <c r="A52" s="419" t="s">
        <v>54</v>
      </c>
      <c r="B52" s="97">
        <f t="shared" ref="B52:G52" si="10">SUM(B48:B51)</f>
        <v>2734065.4580000001</v>
      </c>
      <c r="C52" s="97">
        <f t="shared" si="10"/>
        <v>134672.39707000001</v>
      </c>
      <c r="D52" s="97">
        <f t="shared" si="10"/>
        <v>257391.01201000001</v>
      </c>
      <c r="E52" s="97">
        <f t="shared" si="10"/>
        <v>883610</v>
      </c>
      <c r="F52" s="97">
        <f t="shared" si="10"/>
        <v>3501761.1833599992</v>
      </c>
      <c r="G52" s="97">
        <f t="shared" si="10"/>
        <v>5459368.9105600007</v>
      </c>
      <c r="H52" s="96">
        <f>SUM(B52:G52)</f>
        <v>12970868.960999999</v>
      </c>
      <c r="I52" s="97">
        <f t="shared" ref="I52:N52" si="11">SUM(I48:I51)</f>
        <v>438479.51645</v>
      </c>
      <c r="J52" s="584">
        <f t="shared" si="11"/>
        <v>438479.51645</v>
      </c>
      <c r="K52" s="97">
        <f t="shared" si="11"/>
        <v>270883</v>
      </c>
      <c r="L52" s="97">
        <f t="shared" si="11"/>
        <v>264068</v>
      </c>
      <c r="M52" s="115">
        <f t="shared" si="11"/>
        <v>534951</v>
      </c>
      <c r="N52" s="95">
        <f t="shared" si="11"/>
        <v>13944299.47745</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t="s">
        <v>0</v>
      </c>
      <c r="B53" s="90">
        <f t="shared" ref="B53:J53" si="12">+B30+B36+B42+B44+B52</f>
        <v>42006829.29141999</v>
      </c>
      <c r="C53" s="90">
        <f t="shared" si="12"/>
        <v>3047870.5112086944</v>
      </c>
      <c r="D53" s="90">
        <f t="shared" si="12"/>
        <v>4469666.6692472156</v>
      </c>
      <c r="E53" s="90">
        <f t="shared" si="12"/>
        <v>11126223</v>
      </c>
      <c r="F53" s="90">
        <f t="shared" si="12"/>
        <v>48580100.718122184</v>
      </c>
      <c r="G53" s="90">
        <f t="shared" si="12"/>
        <v>55821863.407473296</v>
      </c>
      <c r="H53" s="89">
        <f t="shared" si="12"/>
        <v>165052553.59747139</v>
      </c>
      <c r="I53" s="90">
        <f t="shared" si="12"/>
        <v>4815803.5422900002</v>
      </c>
      <c r="J53" s="1014">
        <f t="shared" si="12"/>
        <v>4815803.5422900002</v>
      </c>
      <c r="K53" s="90">
        <f>+K30+K36+K42+K44+K52</f>
        <v>5422162</v>
      </c>
      <c r="L53" s="90">
        <f>+L30+L36+L42+L44+L52</f>
        <v>5794048</v>
      </c>
      <c r="M53" s="113">
        <f>+M30+M36+M42+M44+M52</f>
        <v>11216210</v>
      </c>
      <c r="N53" s="90">
        <f>(+N30+N36+N42+N44+N52)</f>
        <v>181084567.13976142</v>
      </c>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19"/>
      <c r="B55" s="65"/>
      <c r="C55" s="65"/>
      <c r="D55" s="64" t="s">
        <v>0</v>
      </c>
      <c r="E55" s="65"/>
      <c r="F55" s="64"/>
      <c r="G55" s="64"/>
      <c r="H55" s="64"/>
      <c r="I55" s="64"/>
      <c r="J55" s="566"/>
      <c r="K55" s="64"/>
      <c r="L55" s="65"/>
      <c r="M55" s="64"/>
      <c r="N55" s="64" t="s">
        <v>0</v>
      </c>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26" t="s">
        <v>283</v>
      </c>
      <c r="B56" s="87" t="s">
        <v>0</v>
      </c>
      <c r="C56" s="418"/>
      <c r="D56" s="418"/>
      <c r="E56" s="418"/>
      <c r="F56" s="418"/>
      <c r="G56" s="418"/>
      <c r="H56" s="418"/>
      <c r="I56" s="418"/>
      <c r="J56" s="567"/>
      <c r="K56" s="87" t="s">
        <v>0</v>
      </c>
      <c r="L56" s="418"/>
      <c r="M56" s="64"/>
      <c r="N56" s="64"/>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358</v>
      </c>
      <c r="B57" s="87">
        <v>0</v>
      </c>
      <c r="C57" s="87">
        <v>0</v>
      </c>
      <c r="D57" s="87">
        <v>0</v>
      </c>
      <c r="E57" s="87">
        <v>0</v>
      </c>
      <c r="F57" s="87">
        <v>188623.9572</v>
      </c>
      <c r="G57" s="87">
        <v>2339.3640097900002</v>
      </c>
      <c r="H57" s="89">
        <f>SUM(B57:G57)</f>
        <v>190963.32120979001</v>
      </c>
      <c r="I57" s="87">
        <v>0</v>
      </c>
      <c r="J57" s="113">
        <f>SUM(I57:I57)</f>
        <v>0</v>
      </c>
      <c r="K57" s="87">
        <v>0</v>
      </c>
      <c r="L57" s="87">
        <v>0</v>
      </c>
      <c r="M57" s="113">
        <f>SUM(K57:L57)</f>
        <v>0</v>
      </c>
      <c r="N57" s="90">
        <f>+H57+J57+M57</f>
        <v>190963.32120979001</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359</v>
      </c>
      <c r="B58" s="87">
        <v>134118.6</v>
      </c>
      <c r="C58" s="87">
        <v>0</v>
      </c>
      <c r="D58" s="87">
        <v>0</v>
      </c>
      <c r="E58" s="87">
        <v>0</v>
      </c>
      <c r="F58" s="87">
        <v>730114.82810000004</v>
      </c>
      <c r="G58" s="87">
        <v>577558.78219562606</v>
      </c>
      <c r="H58" s="89">
        <f>SUM(B58:G58)</f>
        <v>1441792.210295626</v>
      </c>
      <c r="I58" s="87">
        <v>0</v>
      </c>
      <c r="J58" s="113">
        <f>SUM(I58:I58)</f>
        <v>0</v>
      </c>
      <c r="K58" s="87">
        <v>58564</v>
      </c>
      <c r="L58" s="87">
        <v>6957</v>
      </c>
      <c r="M58" s="113">
        <f>SUM(K58:L58)</f>
        <v>65521</v>
      </c>
      <c r="N58" s="90">
        <f>+H58+J58+M58</f>
        <v>1507313.210295626</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A59" s="418" t="s">
        <v>360</v>
      </c>
      <c r="B59" s="87">
        <v>68012.486000000004</v>
      </c>
      <c r="C59" s="87">
        <v>261077.96112280001</v>
      </c>
      <c r="D59" s="87">
        <v>2383.7452830000002</v>
      </c>
      <c r="E59" s="87">
        <v>112461</v>
      </c>
      <c r="F59" s="87">
        <v>3089262.53553</v>
      </c>
      <c r="G59" s="87">
        <v>1238421.1159331503</v>
      </c>
      <c r="H59" s="89">
        <f>SUM(B59:G59)</f>
        <v>4771618.8438689504</v>
      </c>
      <c r="I59" s="87">
        <v>706170.86164000002</v>
      </c>
      <c r="J59" s="113">
        <f>SUM(I59:I59)</f>
        <v>706170.86164000002</v>
      </c>
      <c r="K59" s="87">
        <v>4458948</v>
      </c>
      <c r="L59" s="87">
        <v>838726</v>
      </c>
      <c r="M59" s="113">
        <f>SUM(K59:L59)</f>
        <v>5297674</v>
      </c>
      <c r="N59" s="90">
        <f>+H59+J59+M59</f>
        <v>10775463.705508951</v>
      </c>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B60" s="87" t="s">
        <v>0</v>
      </c>
      <c r="C60" s="87"/>
      <c r="E60" s="88"/>
      <c r="F60" s="87"/>
      <c r="G60" s="87"/>
      <c r="H60" s="93"/>
      <c r="I60" s="87"/>
      <c r="J60" s="565"/>
      <c r="K60" s="87" t="s">
        <v>0</v>
      </c>
      <c r="L60" s="87"/>
      <c r="M60" s="114"/>
      <c r="N60" s="90"/>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89" t="s">
        <v>361</v>
      </c>
      <c r="B61" s="87">
        <v>9955913.3021300007</v>
      </c>
      <c r="C61" s="87">
        <v>1445153.1739000001</v>
      </c>
      <c r="D61" s="87">
        <v>1803419.8174790142</v>
      </c>
      <c r="E61" s="87">
        <v>4968468</v>
      </c>
      <c r="F61" s="87">
        <v>19458422.270500001</v>
      </c>
      <c r="G61" s="87">
        <v>20955528.596560001</v>
      </c>
      <c r="H61" s="89">
        <f>SUM(B61:G61)</f>
        <v>58586905.160569012</v>
      </c>
      <c r="I61" s="87">
        <v>2963453.3050790001</v>
      </c>
      <c r="J61" s="113">
        <f>SUM(I61:I61)</f>
        <v>2963453.3050790001</v>
      </c>
      <c r="K61" s="87">
        <v>1551010</v>
      </c>
      <c r="L61" s="87">
        <v>2334458</v>
      </c>
      <c r="M61" s="113">
        <f>SUM(K61:L61)</f>
        <v>3885468</v>
      </c>
      <c r="N61" s="90">
        <f>+H61+J61+M61</f>
        <v>65435826.46564801</v>
      </c>
      <c r="O61" s="64"/>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27" t="s">
        <v>362</v>
      </c>
      <c r="B62" s="87">
        <v>229403.78</v>
      </c>
      <c r="C62" s="87">
        <v>401573.91564000002</v>
      </c>
      <c r="D62" s="87">
        <v>24647.593436336003</v>
      </c>
      <c r="E62" s="87">
        <v>25365</v>
      </c>
      <c r="F62" s="87">
        <v>405332.48708999995</v>
      </c>
      <c r="G62" s="87">
        <v>133634.58442</v>
      </c>
      <c r="H62" s="89">
        <f>SUM(B62:G62)</f>
        <v>1219957.3605863361</v>
      </c>
      <c r="I62" s="87">
        <v>61133.461769999994</v>
      </c>
      <c r="J62" s="113">
        <f>SUM(I62:I62)</f>
        <v>61133.461769999994</v>
      </c>
      <c r="K62" s="87">
        <v>47023</v>
      </c>
      <c r="L62" s="87">
        <v>84347</v>
      </c>
      <c r="M62" s="113">
        <f>SUM(K62:L62)</f>
        <v>131370</v>
      </c>
      <c r="N62" s="90">
        <f>+H62+J62+M62</f>
        <v>1412460.8223563361</v>
      </c>
      <c r="O62" s="64" t="s">
        <v>0</v>
      </c>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A63" s="489" t="s">
        <v>363</v>
      </c>
      <c r="B63" s="87">
        <v>541851.26399999997</v>
      </c>
      <c r="C63" s="87">
        <v>454906.74672740605</v>
      </c>
      <c r="D63" s="87">
        <v>69254</v>
      </c>
      <c r="E63" s="87">
        <v>33339</v>
      </c>
      <c r="F63" s="87">
        <v>1403174</v>
      </c>
      <c r="G63" s="87">
        <v>70530.177230000001</v>
      </c>
      <c r="H63" s="89">
        <f>SUM(B63:G63)</f>
        <v>2573055.187957406</v>
      </c>
      <c r="I63" s="87">
        <v>297794.71105000004</v>
      </c>
      <c r="J63" s="113">
        <f>SUM(I63:I63)</f>
        <v>297794.71105000004</v>
      </c>
      <c r="K63" s="87">
        <v>0</v>
      </c>
      <c r="L63" s="87">
        <v>167666</v>
      </c>
      <c r="M63" s="113">
        <f>SUM(K63:L63)</f>
        <v>167666</v>
      </c>
      <c r="N63" s="90">
        <f>+H63+J63+M63</f>
        <v>3038515.8990074061</v>
      </c>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A65" s="421" t="s">
        <v>0</v>
      </c>
      <c r="B65" s="1460" t="s">
        <v>0</v>
      </c>
      <c r="C65" s="1460" t="s">
        <v>0</v>
      </c>
      <c r="D65" s="418"/>
      <c r="E65" s="418"/>
      <c r="F65" s="1460" t="s">
        <v>0</v>
      </c>
      <c r="G65" s="1460" t="s">
        <v>0</v>
      </c>
      <c r="H65" s="418"/>
      <c r="I65" s="418"/>
      <c r="J65" s="418"/>
      <c r="K65" s="1461" t="s">
        <v>0</v>
      </c>
      <c r="L65" s="1461" t="s">
        <v>0</v>
      </c>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23" t="s">
        <v>0</v>
      </c>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B68" s="418"/>
      <c r="C68" s="418"/>
      <c r="D68" s="418"/>
      <c r="E68" s="418"/>
      <c r="F68" s="418"/>
      <c r="G68" s="418"/>
      <c r="H68" s="418"/>
      <c r="I68" s="418"/>
      <c r="J68" s="418"/>
      <c r="K68" s="418"/>
      <c r="L68" s="418"/>
      <c r="M68" s="64"/>
      <c r="N68" s="64"/>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A69" s="418" t="s">
        <v>364</v>
      </c>
      <c r="B69" s="20">
        <f>+'bncgdes&amp;$ '!B30</f>
        <v>14356274.529310001</v>
      </c>
      <c r="C69" s="20">
        <f>+'bphgdes&amp;$'!B30</f>
        <v>1895744.6445899999</v>
      </c>
      <c r="D69" s="20">
        <f>+'buhgdes&amp;$'!B30</f>
        <v>2497761.247505975</v>
      </c>
      <c r="E69" s="20">
        <f>+'capitalbkgdes&amp;$'!B30</f>
        <v>6623756</v>
      </c>
      <c r="F69" s="20">
        <f>+'sogebkgdes&amp;$  '!B30</f>
        <v>25516968.386440001</v>
      </c>
      <c r="G69" s="20">
        <f>+'unibkgdes&amp;$'!B30</f>
        <v>30680322.285385784</v>
      </c>
      <c r="H69" s="89">
        <f>SUM(B69:G69)</f>
        <v>81570827.093231767</v>
      </c>
      <c r="I69" s="20">
        <f>+'sgbelgdes&amp;$'!B30</f>
        <v>3332456.9353400003</v>
      </c>
      <c r="J69" s="113">
        <f>+I69</f>
        <v>3332456.9353400003</v>
      </c>
      <c r="K69" s="20">
        <f>+'cbnagdes&amp;$'!B30</f>
        <v>2092611</v>
      </c>
      <c r="L69" s="20">
        <f>+'scotiagdes&amp;$'!B30</f>
        <v>2652874</v>
      </c>
      <c r="M69" s="113">
        <f>SUM(K69:L69)</f>
        <v>4745485</v>
      </c>
      <c r="N69" s="90">
        <f>+H69+J69+M69</f>
        <v>89648769.02857177</v>
      </c>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18"/>
      <c r="C73" s="418"/>
      <c r="D73" s="418"/>
      <c r="E73" s="418"/>
      <c r="F73" s="418"/>
      <c r="G73" s="418"/>
      <c r="H73" s="418"/>
      <c r="I73" s="418"/>
      <c r="J73" s="418"/>
      <c r="K73" s="418"/>
      <c r="L73" s="418"/>
      <c r="M73" s="64"/>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29"/>
      <c r="C74" s="417" t="s">
        <v>365</v>
      </c>
      <c r="D74" s="429"/>
      <c r="F74" s="592" t="s">
        <v>366</v>
      </c>
      <c r="G74" s="592"/>
      <c r="I74" s="1559" t="s">
        <v>637</v>
      </c>
      <c r="J74" s="1559"/>
      <c r="K74" s="418"/>
      <c r="L74" s="417" t="s">
        <v>779</v>
      </c>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418"/>
      <c r="C75" s="417"/>
      <c r="D75" s="429"/>
      <c r="F75" s="418"/>
      <c r="J75" s="418"/>
      <c r="K75" s="418"/>
      <c r="L75" s="418"/>
      <c r="M75" s="418"/>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65</v>
      </c>
      <c r="D76" s="671">
        <f>+unibkvar!D15</f>
        <v>0</v>
      </c>
      <c r="F76" s="670" t="s">
        <v>59</v>
      </c>
      <c r="G76" s="672">
        <f>+bncvar!D17</f>
        <v>0</v>
      </c>
      <c r="I76" s="670" t="s">
        <v>65</v>
      </c>
      <c r="J76" s="671">
        <f>+unibkvar!D20</f>
        <v>0</v>
      </c>
      <c r="K76" s="418"/>
      <c r="L76" s="670" t="s">
        <v>65</v>
      </c>
      <c r="M76" s="671">
        <f>+unibkvar!D52</f>
        <v>0</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59</v>
      </c>
      <c r="D77" s="671">
        <f>+bncvar!D15</f>
        <v>0</v>
      </c>
      <c r="F77" s="670" t="s">
        <v>65</v>
      </c>
      <c r="G77" s="672">
        <f>+unibkvar!D17</f>
        <v>0</v>
      </c>
      <c r="I77" s="670" t="s">
        <v>64</v>
      </c>
      <c r="J77" s="671">
        <f>+sogebkvar!D20</f>
        <v>0</v>
      </c>
      <c r="K77" s="418"/>
      <c r="L77" s="670" t="s">
        <v>64</v>
      </c>
      <c r="M77" s="671">
        <f>+sogebkvar!D52</f>
        <v>0</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64</v>
      </c>
      <c r="D78" s="671">
        <f>+sogebkvar!D15</f>
        <v>0</v>
      </c>
      <c r="F78" s="670" t="s">
        <v>64</v>
      </c>
      <c r="G78" s="672">
        <f>+sogebkvar!D17</f>
        <v>0</v>
      </c>
      <c r="I78" s="670" t="s">
        <v>59</v>
      </c>
      <c r="J78" s="671">
        <f>+bncvar!D20</f>
        <v>0</v>
      </c>
      <c r="K78" s="418"/>
      <c r="L78" s="670" t="s">
        <v>59</v>
      </c>
      <c r="M78" s="671">
        <f>+bncvar!D52</f>
        <v>0</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66</v>
      </c>
      <c r="D79" s="671">
        <f>+capitalbkvar!D15</f>
        <v>0</v>
      </c>
      <c r="F79" s="670" t="s">
        <v>61</v>
      </c>
      <c r="G79" s="672">
        <f>+buhvar!D17</f>
        <v>0</v>
      </c>
      <c r="I79" s="670" t="s">
        <v>66</v>
      </c>
      <c r="J79" s="671">
        <f>+capitalbkvar!D20</f>
        <v>0</v>
      </c>
      <c r="K79" s="418"/>
      <c r="L79" s="670" t="s">
        <v>66</v>
      </c>
      <c r="M79" s="671">
        <f>+capitalbkvar!D52</f>
        <v>0</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69</v>
      </c>
      <c r="D80" s="671">
        <f>+scotiavar!D15</f>
        <v>0</v>
      </c>
      <c r="F80" s="670" t="s">
        <v>60</v>
      </c>
      <c r="G80" s="672">
        <f>+bphvar!D17</f>
        <v>0</v>
      </c>
      <c r="I80" s="670" t="s">
        <v>67</v>
      </c>
      <c r="J80" s="671">
        <f>+sgbelvar!D20</f>
        <v>0</v>
      </c>
      <c r="K80" s="418"/>
      <c r="L80" s="670" t="s">
        <v>67</v>
      </c>
      <c r="M80" s="671">
        <f>+sgbelvar!D52</f>
        <v>0</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68</v>
      </c>
      <c r="D81" s="671">
        <f>+cbnavar!D15</f>
        <v>0</v>
      </c>
      <c r="F81" s="670" t="s">
        <v>66</v>
      </c>
      <c r="G81" s="672">
        <f>+capitalbkvar!D17</f>
        <v>0</v>
      </c>
      <c r="I81" s="670" t="s">
        <v>69</v>
      </c>
      <c r="J81" s="671">
        <f>+scotiavar!D20</f>
        <v>0</v>
      </c>
      <c r="K81" s="418"/>
      <c r="L81" s="670" t="s">
        <v>68</v>
      </c>
      <c r="M81" s="671">
        <f>+cbnavar!D52</f>
        <v>0</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61</v>
      </c>
      <c r="D82" s="671">
        <f>+buhvar!D15</f>
        <v>0</v>
      </c>
      <c r="F82" s="670" t="s">
        <v>68</v>
      </c>
      <c r="G82" s="672">
        <f>+cbnavar!D17</f>
        <v>0</v>
      </c>
      <c r="I82" s="670" t="s">
        <v>61</v>
      </c>
      <c r="J82" s="671">
        <f>+buhvar!D20</f>
        <v>0</v>
      </c>
      <c r="K82" s="418"/>
      <c r="L82" s="670" t="s">
        <v>69</v>
      </c>
      <c r="M82" s="671">
        <f>+scotiavar!D52</f>
        <v>0</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60</v>
      </c>
      <c r="D83" s="671">
        <f>+bphvar!D15</f>
        <v>0</v>
      </c>
      <c r="F83" s="670" t="s">
        <v>69</v>
      </c>
      <c r="G83" s="672">
        <f>+scotiavar!D17</f>
        <v>0</v>
      </c>
      <c r="I83" s="670" t="s">
        <v>68</v>
      </c>
      <c r="J83" s="671">
        <f>+cbnavar!D20</f>
        <v>0</v>
      </c>
      <c r="K83" s="418"/>
      <c r="L83" s="670" t="s">
        <v>61</v>
      </c>
      <c r="M83" s="671">
        <f>+buhvar!D52</f>
        <v>0</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C84" s="670" t="s">
        <v>67</v>
      </c>
      <c r="D84" s="671">
        <f>+sgbelvar!D15</f>
        <v>0</v>
      </c>
      <c r="F84" s="670" t="s">
        <v>67</v>
      </c>
      <c r="G84" s="672">
        <f>+sgbelvar!D17</f>
        <v>0</v>
      </c>
      <c r="I84" s="670" t="s">
        <v>60</v>
      </c>
      <c r="J84" s="671">
        <f>+bphvar!D20</f>
        <v>0</v>
      </c>
      <c r="K84" s="418"/>
      <c r="L84" s="670" t="s">
        <v>60</v>
      </c>
      <c r="M84" s="671">
        <f>+bphvar!D52</f>
        <v>0</v>
      </c>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B86" s="591"/>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A87" s="670" t="s">
        <v>0</v>
      </c>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591" t="s">
        <v>0</v>
      </c>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B140" s="418"/>
      <c r="C140" s="65"/>
      <c r="D140" s="64"/>
      <c r="E140" s="64"/>
      <c r="F140" s="64"/>
      <c r="G140" s="64"/>
      <c r="H140" s="64"/>
      <c r="I140" s="64"/>
      <c r="J140" s="64"/>
      <c r="K140" s="418"/>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c r="B141" s="64"/>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9"/>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4"/>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9"/>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4"/>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9"/>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4"/>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9"/>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4"/>
      <c r="C156" s="71" t="s">
        <v>0</v>
      </c>
      <c r="D156" s="69" t="s">
        <v>0</v>
      </c>
      <c r="E156" s="69"/>
      <c r="F156" s="69">
        <f>+F107+F111+F113+F115+F130+F139+F141+F143+F145+F152</f>
        <v>0</v>
      </c>
      <c r="G156" s="69"/>
      <c r="H156" s="69"/>
      <c r="I156" s="69" t="s">
        <v>0</v>
      </c>
      <c r="J156" s="69"/>
      <c r="K156" s="64"/>
      <c r="L156" s="71" t="s">
        <v>0</v>
      </c>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t="s">
        <v>0</v>
      </c>
      <c r="B157" s="69" t="s">
        <v>0</v>
      </c>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row r="189" spans="1:38">
      <c r="A189" s="419"/>
      <c r="B189" s="64"/>
      <c r="K189" s="64"/>
      <c r="N189" s="64"/>
      <c r="O189" s="64"/>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row>
  </sheetData>
  <mergeCells count="1">
    <mergeCell ref="I74:J74"/>
  </mergeCells>
  <pageMargins left="0.2" right="0.21" top="0.68" bottom="0.45" header="0.5" footer="0.23"/>
  <pageSetup scale="55" orientation="landscape" r:id="rId1"/>
  <headerFooter alignWithMargins="0">
    <oddFooter>&amp;R&amp;16&amp;P</oddFooter>
  </headerFooter>
</worksheet>
</file>

<file path=xl/worksheets/sheet55.xml><?xml version="1.0" encoding="utf-8"?>
<worksheet xmlns="http://schemas.openxmlformats.org/spreadsheetml/2006/main" xmlns:r="http://schemas.openxmlformats.org/officeDocument/2006/relationships">
  <sheetPr>
    <pageSetUpPr fitToPage="1"/>
  </sheetPr>
  <dimension ref="A1:AL189"/>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895</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2314811.105</v>
      </c>
      <c r="C10" s="87">
        <v>146223.52531</v>
      </c>
      <c r="D10" s="87">
        <v>464929.41229856003</v>
      </c>
      <c r="E10" s="87">
        <v>276514</v>
      </c>
      <c r="F10" s="87">
        <v>2243173.66249</v>
      </c>
      <c r="G10" s="87">
        <v>1457807.26650011</v>
      </c>
      <c r="H10" s="89">
        <f>SUM(B10:G10)</f>
        <v>6903458.9715986699</v>
      </c>
      <c r="I10" s="87">
        <v>32779.771970000002</v>
      </c>
      <c r="J10" s="113">
        <f>SUM(I10:I10)</f>
        <v>32779.771970000002</v>
      </c>
      <c r="K10" s="87">
        <v>82161</v>
      </c>
      <c r="L10" s="87">
        <v>106143</v>
      </c>
      <c r="M10" s="113">
        <f>SUM(K10:L10)</f>
        <v>188304</v>
      </c>
      <c r="N10" s="90">
        <f>+H10+J10+M10</f>
        <v>7124542.74356867</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10709042.575999999</v>
      </c>
      <c r="C11" s="87">
        <v>882079.03890000004</v>
      </c>
      <c r="D11" s="87">
        <v>1373536.9883516</v>
      </c>
      <c r="E11" s="87">
        <v>3158012</v>
      </c>
      <c r="F11" s="87">
        <v>12182604.103359999</v>
      </c>
      <c r="G11" s="87">
        <v>15067912.461075479</v>
      </c>
      <c r="H11" s="89">
        <f>SUM(B11:G11)</f>
        <v>43373187.167687081</v>
      </c>
      <c r="I11" s="87">
        <v>410951.47922000004</v>
      </c>
      <c r="J11" s="113">
        <f>SUM(I11:I11)</f>
        <v>410951.47922000004</v>
      </c>
      <c r="K11" s="87">
        <v>2588767</v>
      </c>
      <c r="L11" s="87">
        <v>1886700</v>
      </c>
      <c r="M11" s="113">
        <f>SUM(K11:L11)</f>
        <v>4475467</v>
      </c>
      <c r="N11" s="90">
        <f>+H11+J11+M11</f>
        <v>48259605.646907084</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892985.571</v>
      </c>
      <c r="C12" s="87">
        <v>469617.89075999998</v>
      </c>
      <c r="D12" s="87">
        <v>160660.67791021999</v>
      </c>
      <c r="E12" s="87">
        <v>679760</v>
      </c>
      <c r="F12" s="87">
        <v>772148.26510000008</v>
      </c>
      <c r="G12" s="87">
        <v>1863318.6928927996</v>
      </c>
      <c r="H12" s="89">
        <f>SUM(B12:G12)</f>
        <v>4838491.0976630189</v>
      </c>
      <c r="I12" s="87">
        <v>12395.737349999999</v>
      </c>
      <c r="J12" s="113">
        <f>SUM(I12:I12)</f>
        <v>12395.737349999999</v>
      </c>
      <c r="K12" s="87">
        <v>441000</v>
      </c>
      <c r="L12" s="87">
        <v>1644889</v>
      </c>
      <c r="M12" s="113">
        <f>SUM(K12:L12)</f>
        <v>2085889</v>
      </c>
      <c r="N12" s="90">
        <f>+H12+J12+M12</f>
        <v>6936775.8350130189</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33094.953761999997</v>
      </c>
      <c r="E13" s="87">
        <v>8659</v>
      </c>
      <c r="F13" s="87">
        <v>11137.940630000001</v>
      </c>
      <c r="G13" s="87">
        <v>8999.6415560200985</v>
      </c>
      <c r="H13" s="89">
        <f>SUM(B13:G13)</f>
        <v>61891.5359480201</v>
      </c>
      <c r="I13" s="87">
        <v>811946.30059999984</v>
      </c>
      <c r="J13" s="113">
        <f>SUM(I13:I13)</f>
        <v>811946.30059999984</v>
      </c>
      <c r="K13" s="87">
        <v>0</v>
      </c>
      <c r="L13" s="87">
        <v>0</v>
      </c>
      <c r="M13" s="113">
        <f>SUM(K13:L13)</f>
        <v>0</v>
      </c>
      <c r="N13" s="90">
        <f>+H13+J13+M13</f>
        <v>873837.8365480199</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108424.673</v>
      </c>
      <c r="C14" s="199">
        <v>33712.638449999999</v>
      </c>
      <c r="D14" s="199">
        <v>109.58110248</v>
      </c>
      <c r="E14" s="199">
        <v>72274</v>
      </c>
      <c r="F14" s="199">
        <v>64666.53138</v>
      </c>
      <c r="G14" s="578">
        <v>736215.76228320005</v>
      </c>
      <c r="H14" s="262">
        <f>SUM(B14:G14)</f>
        <v>1015403.1862156801</v>
      </c>
      <c r="I14" s="993">
        <v>4877.2539799999995</v>
      </c>
      <c r="J14" s="113">
        <f>SUM(I14:I14)</f>
        <v>4877.2539799999995</v>
      </c>
      <c r="K14" s="722">
        <v>61725</v>
      </c>
      <c r="L14" s="578">
        <v>17856</v>
      </c>
      <c r="M14" s="262">
        <f>SUM(K14:L14)</f>
        <v>79581</v>
      </c>
      <c r="N14" s="587">
        <f>+H14+J14+M14</f>
        <v>1099861.4401956801</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14025263.925000001</v>
      </c>
      <c r="C15" s="87">
        <f t="shared" ref="C15:J15" si="0">SUM(C10:C14)</f>
        <v>1531633.0934199998</v>
      </c>
      <c r="D15" s="87">
        <f t="shared" si="0"/>
        <v>2032331.6134248597</v>
      </c>
      <c r="E15" s="134">
        <f t="shared" si="0"/>
        <v>4195219</v>
      </c>
      <c r="F15" s="87">
        <f t="shared" si="0"/>
        <v>15273730.50296</v>
      </c>
      <c r="G15" s="87">
        <f t="shared" si="0"/>
        <v>19134253.824307609</v>
      </c>
      <c r="H15" s="89">
        <f t="shared" si="0"/>
        <v>56192431.95911248</v>
      </c>
      <c r="I15" s="24">
        <f t="shared" si="0"/>
        <v>1272950.54312</v>
      </c>
      <c r="J15" s="586">
        <f t="shared" si="0"/>
        <v>1272950.54312</v>
      </c>
      <c r="K15" s="87">
        <f>SUM(K10:K14)</f>
        <v>3173653</v>
      </c>
      <c r="L15" s="87">
        <f>SUM(L10:L14)</f>
        <v>3655588</v>
      </c>
      <c r="M15" s="113">
        <f>SUM(M10:M14)</f>
        <v>6829241</v>
      </c>
      <c r="N15" s="90">
        <f>SUM(N10:N14)</f>
        <v>64294623.50223247</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5989000</v>
      </c>
      <c r="C17" s="87">
        <v>0</v>
      </c>
      <c r="D17" s="87">
        <v>0</v>
      </c>
      <c r="E17" s="87">
        <v>348775</v>
      </c>
      <c r="F17" s="87">
        <v>500000</v>
      </c>
      <c r="G17" s="87">
        <v>0</v>
      </c>
      <c r="H17" s="89">
        <f t="shared" ref="H17:H22" si="1">SUM(B17:G17)</f>
        <v>6837775</v>
      </c>
      <c r="I17" s="87">
        <v>0</v>
      </c>
      <c r="J17" s="113">
        <f t="shared" ref="J17:J22" si="2">SUM(I17:I17)</f>
        <v>0</v>
      </c>
      <c r="K17" s="87">
        <v>43</v>
      </c>
      <c r="L17" s="87">
        <v>0</v>
      </c>
      <c r="M17" s="113">
        <f t="shared" ref="M17:M22" si="3">SUM(K17:L17)</f>
        <v>43</v>
      </c>
      <c r="N17" s="90">
        <f t="shared" ref="N17:N22" si="4">+H17+J17+M17</f>
        <v>6837818</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ht="15.6" customHeight="1">
      <c r="A18" s="10" t="s">
        <v>909</v>
      </c>
      <c r="B18" s="87">
        <v>2875000</v>
      </c>
      <c r="C18" s="87">
        <v>0</v>
      </c>
      <c r="D18" s="87">
        <v>0</v>
      </c>
      <c r="E18" s="87">
        <v>0</v>
      </c>
      <c r="F18" s="87">
        <v>0</v>
      </c>
      <c r="G18" s="87">
        <v>0</v>
      </c>
      <c r="H18" s="89">
        <f t="shared" si="1"/>
        <v>2875000</v>
      </c>
      <c r="I18" s="87">
        <v>0</v>
      </c>
      <c r="J18" s="113">
        <f t="shared" si="2"/>
        <v>0</v>
      </c>
      <c r="K18" s="87">
        <v>0</v>
      </c>
      <c r="L18" s="87">
        <v>0</v>
      </c>
      <c r="M18" s="113">
        <f t="shared" si="3"/>
        <v>0</v>
      </c>
      <c r="N18" s="90">
        <f t="shared" si="4"/>
        <v>2875000</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262</v>
      </c>
      <c r="B19" s="87">
        <v>5982193.7300000004</v>
      </c>
      <c r="C19" s="87">
        <v>25214.75518</v>
      </c>
      <c r="D19" s="87">
        <v>244596.54604171999</v>
      </c>
      <c r="E19" s="87">
        <v>548149</v>
      </c>
      <c r="F19" s="87">
        <v>8990405.0791999996</v>
      </c>
      <c r="G19" s="87">
        <v>11669729.4435282</v>
      </c>
      <c r="H19" s="89">
        <f t="shared" si="1"/>
        <v>27460288.553949922</v>
      </c>
      <c r="I19" s="87">
        <v>38474.253799999999</v>
      </c>
      <c r="J19" s="113">
        <f t="shared" si="2"/>
        <v>38474.253799999999</v>
      </c>
      <c r="K19" s="87">
        <v>0</v>
      </c>
      <c r="L19" s="87">
        <v>0</v>
      </c>
      <c r="M19" s="113">
        <f t="shared" si="3"/>
        <v>0</v>
      </c>
      <c r="N19" s="90">
        <f t="shared" si="4"/>
        <v>27498762.807749923</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357</v>
      </c>
      <c r="B20" s="87">
        <v>9830902.6068500001</v>
      </c>
      <c r="C20" s="87">
        <v>1095487.7257700001</v>
      </c>
      <c r="D20" s="87">
        <v>1676254.0550492997</v>
      </c>
      <c r="E20" s="87">
        <v>4820490</v>
      </c>
      <c r="F20" s="87">
        <v>19446814.980969999</v>
      </c>
      <c r="G20" s="87">
        <v>20094332.447109997</v>
      </c>
      <c r="H20" s="89">
        <f t="shared" si="1"/>
        <v>56964281.815749303</v>
      </c>
      <c r="I20" s="87">
        <v>2701338.3010298996</v>
      </c>
      <c r="J20" s="113">
        <f t="shared" si="2"/>
        <v>2701338.3010298996</v>
      </c>
      <c r="K20" s="87">
        <v>1725491</v>
      </c>
      <c r="L20" s="87">
        <v>2215144</v>
      </c>
      <c r="M20" s="113">
        <f t="shared" si="3"/>
        <v>3940635</v>
      </c>
      <c r="N20" s="90">
        <f t="shared" si="4"/>
        <v>63606255.116779201</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c r="A21" s="419" t="s">
        <v>264</v>
      </c>
      <c r="B21" s="87">
        <v>1196035.77981</v>
      </c>
      <c r="C21" s="87">
        <v>196462.68229</v>
      </c>
      <c r="D21" s="87">
        <v>246704.83648</v>
      </c>
      <c r="E21" s="87">
        <v>306801</v>
      </c>
      <c r="F21" s="87">
        <v>1692619.0442099997</v>
      </c>
      <c r="G21" s="87">
        <v>1348639.4795899999</v>
      </c>
      <c r="H21" s="89">
        <f t="shared" si="1"/>
        <v>4987262.8223799998</v>
      </c>
      <c r="I21" s="87">
        <v>179352.96897000002</v>
      </c>
      <c r="J21" s="113">
        <f t="shared" si="2"/>
        <v>179352.96897000002</v>
      </c>
      <c r="K21" s="87">
        <v>385929</v>
      </c>
      <c r="L21" s="87">
        <v>65306</v>
      </c>
      <c r="M21" s="113">
        <f t="shared" si="3"/>
        <v>451235</v>
      </c>
      <c r="N21" s="90">
        <f t="shared" si="4"/>
        <v>5617850.7913499996</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ht="16.5" thickBot="1">
      <c r="A22" s="419" t="s">
        <v>265</v>
      </c>
      <c r="B22" s="97">
        <v>1743598.9209999999</v>
      </c>
      <c r="C22" s="97">
        <v>46079.9568</v>
      </c>
      <c r="D22" s="97">
        <v>81691.149016899959</v>
      </c>
      <c r="E22" s="97">
        <v>343569</v>
      </c>
      <c r="F22" s="97">
        <v>1874956.8560299999</v>
      </c>
      <c r="G22" s="579">
        <v>701876.83299831999</v>
      </c>
      <c r="H22" s="96">
        <f t="shared" si="1"/>
        <v>4791772.7158452198</v>
      </c>
      <c r="I22" s="994">
        <v>98487.296679999999</v>
      </c>
      <c r="J22" s="115">
        <f t="shared" si="2"/>
        <v>98487.296679999999</v>
      </c>
      <c r="K22" s="660">
        <v>96421</v>
      </c>
      <c r="L22" s="579">
        <v>14906</v>
      </c>
      <c r="M22" s="96">
        <f t="shared" si="3"/>
        <v>111327</v>
      </c>
      <c r="N22" s="588">
        <f t="shared" si="4"/>
        <v>5001587.0125252195</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c r="A23" s="419" t="s">
        <v>54</v>
      </c>
      <c r="B23" s="90">
        <f t="shared" ref="B23:J23" si="5">SUM(B15:B22)</f>
        <v>41641994.962659992</v>
      </c>
      <c r="C23" s="90">
        <f t="shared" si="5"/>
        <v>2894878.2134599998</v>
      </c>
      <c r="D23" s="90">
        <f t="shared" si="5"/>
        <v>4281578.2000127789</v>
      </c>
      <c r="E23" s="13">
        <f t="shared" si="5"/>
        <v>10563003</v>
      </c>
      <c r="F23" s="90">
        <f t="shared" si="5"/>
        <v>47778526.463370003</v>
      </c>
      <c r="G23" s="90">
        <f t="shared" si="5"/>
        <v>52948832.027534127</v>
      </c>
      <c r="H23" s="89">
        <f t="shared" si="5"/>
        <v>160108812.86703694</v>
      </c>
      <c r="I23" s="90">
        <f t="shared" si="5"/>
        <v>4290603.3635998992</v>
      </c>
      <c r="J23" s="729">
        <f t="shared" si="5"/>
        <v>4290603.3635998992</v>
      </c>
      <c r="K23" s="13">
        <f>SUM(K15:K22)</f>
        <v>5381537</v>
      </c>
      <c r="L23" s="13">
        <f>SUM(L15:L22)</f>
        <v>5950944</v>
      </c>
      <c r="M23" s="113">
        <f>SUM(M15:M22)</f>
        <v>11332481</v>
      </c>
      <c r="N23" s="90">
        <f>SUM(N15:N22)</f>
        <v>175731897.23063684</v>
      </c>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ht="15.6" customHeight="1">
      <c r="A24" s="419"/>
      <c r="B24" s="98" t="s">
        <v>0</v>
      </c>
      <c r="C24" s="88" t="s">
        <v>0</v>
      </c>
      <c r="D24" s="87"/>
      <c r="E24" s="88" t="s">
        <v>0</v>
      </c>
      <c r="F24" s="87"/>
      <c r="G24" s="87"/>
      <c r="H24" s="93"/>
      <c r="I24" s="87"/>
      <c r="J24" s="565"/>
      <c r="K24" s="87"/>
      <c r="L24" s="87" t="s">
        <v>0</v>
      </c>
      <c r="M24" s="114"/>
      <c r="N24" s="90"/>
      <c r="O24" s="64"/>
      <c r="P24" s="728"/>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21" t="s">
        <v>266</v>
      </c>
      <c r="B25" s="98" t="s">
        <v>0</v>
      </c>
      <c r="C25" s="88" t="s">
        <v>0</v>
      </c>
      <c r="D25" s="87"/>
      <c r="E25" s="88" t="s">
        <v>0</v>
      </c>
      <c r="F25" s="87" t="s">
        <v>0</v>
      </c>
      <c r="G25" s="87"/>
      <c r="H25" s="1408" t="s">
        <v>0</v>
      </c>
      <c r="I25" s="87"/>
      <c r="J25" s="565"/>
      <c r="K25" s="87"/>
      <c r="L25" s="87" t="s">
        <v>0</v>
      </c>
      <c r="M25" s="114"/>
      <c r="N25" s="90" t="s">
        <v>0</v>
      </c>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267</v>
      </c>
      <c r="B26" s="98" t="s">
        <v>0</v>
      </c>
      <c r="C26" s="88" t="s">
        <v>0</v>
      </c>
      <c r="D26" s="87"/>
      <c r="E26" s="88" t="s">
        <v>0</v>
      </c>
      <c r="F26" s="87"/>
      <c r="G26" s="87"/>
      <c r="H26" s="93"/>
      <c r="I26" s="87"/>
      <c r="J26" s="565"/>
      <c r="K26" s="87"/>
      <c r="L26" s="87" t="s">
        <v>0</v>
      </c>
      <c r="M26" s="114"/>
      <c r="N26" s="90"/>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268</v>
      </c>
      <c r="B27" s="87">
        <v>20890975.584999997</v>
      </c>
      <c r="C27" s="87">
        <v>1094458.38772</v>
      </c>
      <c r="D27" s="87">
        <v>1354417.8299312601</v>
      </c>
      <c r="E27" s="87">
        <v>4544031</v>
      </c>
      <c r="F27" s="87">
        <v>12956353.794050001</v>
      </c>
      <c r="G27" s="87">
        <v>21370803.7411865</v>
      </c>
      <c r="H27" s="89">
        <f>SUM(B27:G27)</f>
        <v>62211040.337887757</v>
      </c>
      <c r="I27" s="87">
        <v>933866.39885999996</v>
      </c>
      <c r="J27" s="113">
        <f>SUM(I27:I27)</f>
        <v>933866.39885999996</v>
      </c>
      <c r="K27" s="87">
        <v>3401019</v>
      </c>
      <c r="L27" s="87">
        <v>2924466</v>
      </c>
      <c r="M27" s="113">
        <f>SUM(K27:L27)</f>
        <v>6325485</v>
      </c>
      <c r="N27" s="90">
        <f>+H27+J27+M27</f>
        <v>69470391.736747757</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269</v>
      </c>
      <c r="B28" s="87">
        <v>8847674.8890000004</v>
      </c>
      <c r="C28" s="87">
        <v>572048.13717999996</v>
      </c>
      <c r="D28" s="87">
        <v>1753012.2318491</v>
      </c>
      <c r="E28" s="87">
        <v>2422973</v>
      </c>
      <c r="F28" s="87">
        <v>17868347.20857</v>
      </c>
      <c r="G28" s="87">
        <v>19390703.630467318</v>
      </c>
      <c r="H28" s="89">
        <f>SUM(B28:G28)</f>
        <v>50854759.097066417</v>
      </c>
      <c r="I28" s="87">
        <v>496804.38841999997</v>
      </c>
      <c r="J28" s="113">
        <f>SUM(I28:I28)</f>
        <v>496804.38841999997</v>
      </c>
      <c r="K28" s="87">
        <v>318708</v>
      </c>
      <c r="L28" s="87">
        <v>1428568</v>
      </c>
      <c r="M28" s="113">
        <f>SUM(K28:L28)</f>
        <v>1747276</v>
      </c>
      <c r="N28" s="90">
        <f>+H28+J28+M28</f>
        <v>53098839.485486418</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t="s">
        <v>270</v>
      </c>
      <c r="B29" s="199">
        <v>4063906.7965699998</v>
      </c>
      <c r="C29" s="199">
        <v>841273.15075999999</v>
      </c>
      <c r="D29" s="199">
        <v>669026.17553621996</v>
      </c>
      <c r="E29" s="199">
        <v>2037659</v>
      </c>
      <c r="F29" s="199">
        <v>7266719.9976384751</v>
      </c>
      <c r="G29" s="578">
        <v>5086726.7775603207</v>
      </c>
      <c r="H29" s="262">
        <f>SUM(B29:G29)</f>
        <v>19965311.898065016</v>
      </c>
      <c r="I29" s="993">
        <v>1385387.21074</v>
      </c>
      <c r="J29" s="113">
        <f>SUM(I29:I29)</f>
        <v>1385387.21074</v>
      </c>
      <c r="K29" s="722">
        <v>560978</v>
      </c>
      <c r="L29" s="578">
        <v>495406</v>
      </c>
      <c r="M29" s="262">
        <f>SUM(K29:L29)</f>
        <v>1056384</v>
      </c>
      <c r="N29" s="587">
        <f>+H29+J29+M29</f>
        <v>22407083.108805016</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c r="A30" s="419"/>
      <c r="B30" s="87">
        <f t="shared" ref="B30:J30" si="6">SUM(B27:B29)</f>
        <v>33802557.270570002</v>
      </c>
      <c r="C30" s="87">
        <f t="shared" si="6"/>
        <v>2507779.6756600002</v>
      </c>
      <c r="D30" s="87">
        <f t="shared" si="6"/>
        <v>3776456.23731658</v>
      </c>
      <c r="E30" s="87">
        <f t="shared" si="6"/>
        <v>9004663</v>
      </c>
      <c r="F30" s="87">
        <f t="shared" si="6"/>
        <v>38091421.000258476</v>
      </c>
      <c r="G30" s="87">
        <f t="shared" si="6"/>
        <v>45848234.149214141</v>
      </c>
      <c r="H30" s="89">
        <f t="shared" si="6"/>
        <v>133031111.33301918</v>
      </c>
      <c r="I30" s="87">
        <f t="shared" si="6"/>
        <v>2816057.9980199998</v>
      </c>
      <c r="J30" s="586">
        <f t="shared" si="6"/>
        <v>2816057.9980199998</v>
      </c>
      <c r="K30" s="87">
        <f>SUM(K27:K29)</f>
        <v>4280705</v>
      </c>
      <c r="L30" s="87">
        <f>SUM(L27:L29)</f>
        <v>4848440</v>
      </c>
      <c r="M30" s="113">
        <f>SUM(M27:M29)</f>
        <v>9129145</v>
      </c>
      <c r="N30" s="90">
        <f>SUM(N27:N29)</f>
        <v>144976314.33103919</v>
      </c>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ht="7.9" customHeight="1">
      <c r="A31" s="419"/>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271</v>
      </c>
      <c r="B32" s="98" t="s">
        <v>0</v>
      </c>
      <c r="C32" s="88" t="s">
        <v>0</v>
      </c>
      <c r="D32" s="87"/>
      <c r="E32" s="88" t="s">
        <v>0</v>
      </c>
      <c r="F32" s="87"/>
      <c r="G32" s="87"/>
      <c r="H32" s="89"/>
      <c r="I32" s="87"/>
      <c r="J32" s="113"/>
      <c r="K32" s="87"/>
      <c r="L32" s="87" t="s">
        <v>0</v>
      </c>
      <c r="M32" s="113"/>
      <c r="N32" s="90"/>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272</v>
      </c>
      <c r="B33" s="87">
        <v>219410</v>
      </c>
      <c r="C33" s="87">
        <v>0</v>
      </c>
      <c r="D33" s="87">
        <v>0</v>
      </c>
      <c r="E33" s="87">
        <v>0</v>
      </c>
      <c r="F33" s="87">
        <v>0</v>
      </c>
      <c r="G33" s="87">
        <v>0</v>
      </c>
      <c r="H33" s="89">
        <f>SUM(B33:G33)</f>
        <v>219410</v>
      </c>
      <c r="I33" s="87">
        <v>0</v>
      </c>
      <c r="J33" s="113">
        <f>SUM(I33:I33)</f>
        <v>0</v>
      </c>
      <c r="K33" s="87">
        <v>200000</v>
      </c>
      <c r="L33" s="87">
        <v>0</v>
      </c>
      <c r="M33" s="113">
        <f>SUM(K33:L33)</f>
        <v>200000</v>
      </c>
      <c r="N33" s="90">
        <f>+H33+J33+M33</f>
        <v>419410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c r="A34" s="419" t="s">
        <v>273</v>
      </c>
      <c r="B34" s="87">
        <v>0</v>
      </c>
      <c r="C34" s="87">
        <v>0</v>
      </c>
      <c r="D34" s="87">
        <v>0</v>
      </c>
      <c r="E34" s="87">
        <v>0</v>
      </c>
      <c r="F34" s="87">
        <v>0</v>
      </c>
      <c r="G34" s="87">
        <v>0</v>
      </c>
      <c r="H34" s="89">
        <f>SUM(B34:G34)</f>
        <v>0</v>
      </c>
      <c r="I34" s="87">
        <v>0</v>
      </c>
      <c r="J34" s="113">
        <f>SUM(I34:I34)</f>
        <v>0</v>
      </c>
      <c r="K34" s="87">
        <v>0</v>
      </c>
      <c r="L34" s="87">
        <v>0</v>
      </c>
      <c r="M34" s="113">
        <f>SUM(K34:L34)</f>
        <v>0</v>
      </c>
      <c r="N34" s="90">
        <f>+H34+J34+M34</f>
        <v>0</v>
      </c>
      <c r="O34" s="64"/>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row>
    <row r="35" spans="1:38" ht="17.25">
      <c r="A35" s="419" t="s">
        <v>274</v>
      </c>
      <c r="B35" s="199">
        <v>1327259.8959999999</v>
      </c>
      <c r="C35" s="199">
        <v>158202.96999789999</v>
      </c>
      <c r="D35" s="199">
        <v>165464.87408276001</v>
      </c>
      <c r="E35" s="199">
        <v>292190</v>
      </c>
      <c r="F35" s="199">
        <v>1295149.6321</v>
      </c>
      <c r="G35" s="578">
        <v>1087038.3062604698</v>
      </c>
      <c r="H35" s="262">
        <f>SUM(B35:G35)</f>
        <v>4325305.6784411296</v>
      </c>
      <c r="I35" s="993">
        <v>82746.920239999992</v>
      </c>
      <c r="J35" s="113">
        <f>SUM(I35:I35)</f>
        <v>82746.920239999992</v>
      </c>
      <c r="K35" s="722">
        <v>495534</v>
      </c>
      <c r="L35" s="578">
        <v>162761</v>
      </c>
      <c r="M35" s="262">
        <f>SUM(K35:L35)</f>
        <v>658295</v>
      </c>
      <c r="N35" s="587">
        <f>+H35+J35+M35</f>
        <v>5066347.5986811295</v>
      </c>
      <c r="O35" s="68"/>
      <c r="P35" s="424"/>
      <c r="Q35" s="424"/>
      <c r="R35" s="424"/>
      <c r="S35" s="419"/>
      <c r="T35" s="419"/>
      <c r="U35" s="419"/>
      <c r="V35" s="419"/>
      <c r="W35" s="419"/>
      <c r="X35" s="419"/>
      <c r="Y35" s="419"/>
      <c r="Z35" s="419"/>
      <c r="AA35" s="419"/>
      <c r="AB35" s="419"/>
      <c r="AC35" s="419"/>
      <c r="AD35" s="419"/>
      <c r="AE35" s="419"/>
      <c r="AF35" s="419"/>
      <c r="AG35" s="419"/>
      <c r="AH35" s="419"/>
      <c r="AI35" s="419"/>
      <c r="AJ35" s="419"/>
      <c r="AK35" s="419"/>
      <c r="AL35" s="419"/>
    </row>
    <row r="36" spans="1:38">
      <c r="A36" s="419"/>
      <c r="B36" s="87">
        <f t="shared" ref="B36:J36" si="7">SUM(B33:B35)</f>
        <v>1546669.8959999999</v>
      </c>
      <c r="C36" s="87">
        <f t="shared" si="7"/>
        <v>158202.96999789999</v>
      </c>
      <c r="D36" s="87">
        <f t="shared" si="7"/>
        <v>165464.87408276001</v>
      </c>
      <c r="E36" s="87">
        <f t="shared" si="7"/>
        <v>292190</v>
      </c>
      <c r="F36" s="87">
        <f t="shared" si="7"/>
        <v>1295149.6321</v>
      </c>
      <c r="G36" s="87">
        <f t="shared" si="7"/>
        <v>1087038.3062604698</v>
      </c>
      <c r="H36" s="89">
        <f t="shared" si="7"/>
        <v>4544715.6784411296</v>
      </c>
      <c r="I36" s="87">
        <f t="shared" si="7"/>
        <v>82746.920239999992</v>
      </c>
      <c r="J36" s="586">
        <f t="shared" si="7"/>
        <v>82746.920239999992</v>
      </c>
      <c r="K36" s="87">
        <f>SUM(K33:K35)</f>
        <v>695534</v>
      </c>
      <c r="L36" s="87">
        <f>SUM(L33:L35)</f>
        <v>162761</v>
      </c>
      <c r="M36" s="113">
        <f>SUM(M33:M35)</f>
        <v>858295</v>
      </c>
      <c r="N36" s="90">
        <f>SUM(N33:N35)</f>
        <v>5485757.5986811295</v>
      </c>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ht="7.15" customHeight="1">
      <c r="A37" s="419"/>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275</v>
      </c>
      <c r="B38" s="98" t="s">
        <v>0</v>
      </c>
      <c r="C38" s="88" t="s">
        <v>0</v>
      </c>
      <c r="D38" s="87"/>
      <c r="E38" s="88" t="s">
        <v>0</v>
      </c>
      <c r="F38" s="87"/>
      <c r="G38" s="87"/>
      <c r="H38" s="89"/>
      <c r="I38" s="87"/>
      <c r="J38" s="113"/>
      <c r="K38" s="87"/>
      <c r="L38" s="87" t="s">
        <v>0</v>
      </c>
      <c r="M38" s="113"/>
      <c r="N38" s="90"/>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272</v>
      </c>
      <c r="B39" s="87">
        <v>3000</v>
      </c>
      <c r="C39" s="87">
        <v>16642.5</v>
      </c>
      <c r="D39" s="87">
        <v>0</v>
      </c>
      <c r="E39" s="87">
        <v>0</v>
      </c>
      <c r="F39" s="87">
        <v>0</v>
      </c>
      <c r="G39" s="87">
        <v>350000</v>
      </c>
      <c r="H39" s="89">
        <f>SUM(B39:G39)</f>
        <v>369642.5</v>
      </c>
      <c r="I39" s="87">
        <v>855000</v>
      </c>
      <c r="J39" s="113">
        <f>SUM(I39:I39)</f>
        <v>855000</v>
      </c>
      <c r="K39" s="87">
        <v>0</v>
      </c>
      <c r="L39" s="87">
        <v>0</v>
      </c>
      <c r="M39" s="113">
        <f>SUM(K39:L39)</f>
        <v>0</v>
      </c>
      <c r="N39" s="90">
        <f>+H39+J39+M39</f>
        <v>1224642.5</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276</v>
      </c>
      <c r="B40" s="87">
        <v>0</v>
      </c>
      <c r="C40" s="87">
        <v>0</v>
      </c>
      <c r="D40" s="87">
        <v>0</v>
      </c>
      <c r="E40" s="87">
        <v>0</v>
      </c>
      <c r="F40" s="87">
        <v>2332448.8403400001</v>
      </c>
      <c r="G40" s="87">
        <v>0</v>
      </c>
      <c r="H40" s="89">
        <f>SUM(B40:G40)</f>
        <v>2332448.8403400001</v>
      </c>
      <c r="I40" s="87">
        <v>0</v>
      </c>
      <c r="J40" s="113">
        <f>SUM(I40:I40)</f>
        <v>0</v>
      </c>
      <c r="K40" s="87">
        <v>0</v>
      </c>
      <c r="L40" s="87">
        <v>0</v>
      </c>
      <c r="M40" s="113">
        <f>SUM(K40:L40)</f>
        <v>0</v>
      </c>
      <c r="N40" s="90">
        <f>+H40+J40+M40</f>
        <v>2332448.8403400001</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t="s">
        <v>274</v>
      </c>
      <c r="B41" s="199">
        <v>2662474.8990000002</v>
      </c>
      <c r="C41" s="199">
        <v>9977.7432999999983</v>
      </c>
      <c r="D41" s="199">
        <v>267.62175000000002</v>
      </c>
      <c r="E41" s="199">
        <v>49242</v>
      </c>
      <c r="F41" s="199">
        <v>751904.87443999993</v>
      </c>
      <c r="G41" s="578">
        <v>323289.65047996002</v>
      </c>
      <c r="H41" s="262">
        <f>SUM(B41:G41)</f>
        <v>3797156.7889699601</v>
      </c>
      <c r="I41" s="993">
        <v>22605.762469999958</v>
      </c>
      <c r="J41" s="113">
        <f>SUM(I41:I41)</f>
        <v>22605.762469999958</v>
      </c>
      <c r="K41" s="722">
        <v>70779</v>
      </c>
      <c r="L41" s="578">
        <v>43497</v>
      </c>
      <c r="M41" s="262">
        <f>SUM(K41:L41)</f>
        <v>114276</v>
      </c>
      <c r="N41" s="587">
        <f>+H41+J41+M41</f>
        <v>3934038.55143996</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c r="A42" s="419"/>
      <c r="B42" s="87">
        <f t="shared" ref="B42:J42" si="8">SUM(B39:B41)</f>
        <v>2665474.8990000002</v>
      </c>
      <c r="C42" s="87">
        <f t="shared" si="8"/>
        <v>26620.243299999998</v>
      </c>
      <c r="D42" s="87">
        <f t="shared" si="8"/>
        <v>267.62175000000002</v>
      </c>
      <c r="E42" s="87">
        <f t="shared" si="8"/>
        <v>49242</v>
      </c>
      <c r="F42" s="87">
        <f t="shared" si="8"/>
        <v>3084353.71478</v>
      </c>
      <c r="G42" s="87">
        <f t="shared" si="8"/>
        <v>673289.65047996002</v>
      </c>
      <c r="H42" s="89">
        <f t="shared" si="8"/>
        <v>6499248.1293099597</v>
      </c>
      <c r="I42" s="87">
        <f t="shared" si="8"/>
        <v>877605.76246999996</v>
      </c>
      <c r="J42" s="585">
        <f t="shared" si="8"/>
        <v>877605.76246999996</v>
      </c>
      <c r="K42" s="87">
        <f>SUM(K39:K41)</f>
        <v>70779</v>
      </c>
      <c r="L42" s="87">
        <f>SUM(L39:L41)</f>
        <v>43497</v>
      </c>
      <c r="M42" s="113">
        <f>SUM(M39:M41)</f>
        <v>114276</v>
      </c>
      <c r="N42" s="90">
        <f>SUM(N39:N41)</f>
        <v>7491129.8917799601</v>
      </c>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8.4499999999999993" customHeight="1">
      <c r="A43" s="419"/>
      <c r="B43" s="98" t="s">
        <v>0</v>
      </c>
      <c r="C43" s="88" t="s">
        <v>0</v>
      </c>
      <c r="D43" s="87"/>
      <c r="E43" s="88" t="s">
        <v>0</v>
      </c>
      <c r="F43" s="87"/>
      <c r="G43" s="87"/>
      <c r="H43" s="89"/>
      <c r="I43" s="87"/>
      <c r="J43" s="113"/>
      <c r="K43" s="87"/>
      <c r="L43" s="87" t="s">
        <v>0</v>
      </c>
      <c r="M43" s="113"/>
      <c r="N43" s="90"/>
      <c r="O43" s="64"/>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ht="17.25">
      <c r="A44" s="419" t="s">
        <v>277</v>
      </c>
      <c r="B44" s="199">
        <v>813845.83</v>
      </c>
      <c r="C44" s="199">
        <v>0</v>
      </c>
      <c r="D44" s="199">
        <v>177966.65968058002</v>
      </c>
      <c r="E44" s="199">
        <v>297784</v>
      </c>
      <c r="F44" s="199">
        <v>1659018.6765899998</v>
      </c>
      <c r="G44" s="578">
        <v>316690.05148492003</v>
      </c>
      <c r="H44" s="262">
        <f>SUM(B44:G44)</f>
        <v>3265305.2177554998</v>
      </c>
      <c r="I44" s="993">
        <v>47719.540059999999</v>
      </c>
      <c r="J44" s="113">
        <f>SUM(I44:I44)</f>
        <v>47719.540059999999</v>
      </c>
      <c r="K44" s="722">
        <v>74738</v>
      </c>
      <c r="L44" s="578">
        <v>643597</v>
      </c>
      <c r="M44" s="262">
        <f>SUM(K44:L44)</f>
        <v>718335</v>
      </c>
      <c r="N44" s="587">
        <f>+H44+J44+M44</f>
        <v>4031359.7578154998</v>
      </c>
      <c r="O44" s="68"/>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c r="A45" s="419"/>
      <c r="B45" s="87">
        <f t="shared" ref="B45:G45" si="9">+B30+B36+B42+B44</f>
        <v>38828547.895569995</v>
      </c>
      <c r="C45" s="87">
        <f t="shared" si="9"/>
        <v>2692602.8889579005</v>
      </c>
      <c r="D45" s="87">
        <f t="shared" si="9"/>
        <v>4120155.3928299202</v>
      </c>
      <c r="E45" s="87">
        <f t="shared" si="9"/>
        <v>9643879</v>
      </c>
      <c r="F45" s="87">
        <f t="shared" si="9"/>
        <v>44129943.023728482</v>
      </c>
      <c r="G45" s="87">
        <f t="shared" si="9"/>
        <v>47925252.157439485</v>
      </c>
      <c r="H45" s="89">
        <f>SUM(B45:G45)</f>
        <v>147340380.35852578</v>
      </c>
      <c r="I45" s="87">
        <f>+I30+I36+I42+I44</f>
        <v>3824130.2207899997</v>
      </c>
      <c r="J45" s="585">
        <f>+J30+J36+J42+J44</f>
        <v>3824130.2207899997</v>
      </c>
      <c r="K45" s="87">
        <f>+K30+K36+K42+K44</f>
        <v>5121756</v>
      </c>
      <c r="L45" s="87">
        <f>+L30+L36+L42+L44</f>
        <v>5698295</v>
      </c>
      <c r="M45" s="113">
        <f>SUM(K45:L45)</f>
        <v>10820051</v>
      </c>
      <c r="N45" s="90">
        <f>+H45+J45+M45</f>
        <v>161984561.57931578</v>
      </c>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ht="15.6" customHeight="1">
      <c r="A46" s="419"/>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25" t="s">
        <v>278</v>
      </c>
      <c r="B47" s="98" t="s">
        <v>0</v>
      </c>
      <c r="C47" s="88" t="s">
        <v>0</v>
      </c>
      <c r="D47" s="87"/>
      <c r="E47" s="88" t="s">
        <v>0</v>
      </c>
      <c r="F47" s="87"/>
      <c r="G47" s="87"/>
      <c r="H47" s="89"/>
      <c r="I47" s="87"/>
      <c r="J47" s="113"/>
      <c r="K47" s="87"/>
      <c r="L47" s="87" t="s">
        <v>0</v>
      </c>
      <c r="M47" s="113"/>
      <c r="N47" s="90"/>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279</v>
      </c>
      <c r="B48" s="87">
        <v>1500000</v>
      </c>
      <c r="C48" s="87">
        <v>165000</v>
      </c>
      <c r="D48" s="87">
        <v>450000</v>
      </c>
      <c r="E48" s="87">
        <v>270000</v>
      </c>
      <c r="F48" s="87">
        <v>1050000</v>
      </c>
      <c r="G48" s="87">
        <v>2093492</v>
      </c>
      <c r="H48" s="89">
        <f>SUM(B48:G48)</f>
        <v>5528492</v>
      </c>
      <c r="I48" s="87">
        <v>150000</v>
      </c>
      <c r="J48" s="113">
        <f>SUM(I48:I48)</f>
        <v>150000</v>
      </c>
      <c r="K48" s="87">
        <v>103837</v>
      </c>
      <c r="L48" s="87">
        <v>94373</v>
      </c>
      <c r="M48" s="113">
        <f>SUM(K48:L48)</f>
        <v>198210</v>
      </c>
      <c r="N48" s="90">
        <f>+H48+J48+M48</f>
        <v>5876702</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280</v>
      </c>
      <c r="B49" s="87">
        <v>342560.83900000004</v>
      </c>
      <c r="C49" s="87">
        <v>12977</v>
      </c>
      <c r="D49" s="87">
        <v>32673.104950000001</v>
      </c>
      <c r="E49" s="87">
        <v>172518</v>
      </c>
      <c r="F49" s="87">
        <v>1214131.8360000001</v>
      </c>
      <c r="G49" s="87">
        <v>579987.09534999996</v>
      </c>
      <c r="H49" s="89">
        <f>SUM(B49:G49)</f>
        <v>2354847.8753</v>
      </c>
      <c r="I49" s="87">
        <v>172221.88741999998</v>
      </c>
      <c r="J49" s="113">
        <f>SUM(I49:I49)</f>
        <v>172221.88741999998</v>
      </c>
      <c r="K49" s="87">
        <v>79683</v>
      </c>
      <c r="L49" s="87">
        <v>73632</v>
      </c>
      <c r="M49" s="113">
        <f>SUM(K49:L49)</f>
        <v>153315</v>
      </c>
      <c r="N49" s="90">
        <f>+H49+J49+M49</f>
        <v>2680384.76272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c r="A50" s="419" t="s">
        <v>281</v>
      </c>
      <c r="B50" s="87">
        <v>0</v>
      </c>
      <c r="C50" s="87">
        <v>14325</v>
      </c>
      <c r="D50" s="87">
        <v>110320.3655</v>
      </c>
      <c r="E50" s="87">
        <v>1387</v>
      </c>
      <c r="F50" s="87">
        <v>98479.455170000001</v>
      </c>
      <c r="G50" s="87">
        <v>0</v>
      </c>
      <c r="H50" s="89">
        <f>SUM(B50:G50)</f>
        <v>224511.82066999999</v>
      </c>
      <c r="I50" s="87">
        <v>0</v>
      </c>
      <c r="J50" s="113">
        <f>SUM(I50:I50)</f>
        <v>0</v>
      </c>
      <c r="K50" s="87">
        <v>0</v>
      </c>
      <c r="L50" s="87">
        <v>0</v>
      </c>
      <c r="M50" s="113">
        <f>SUM(K50:L50)</f>
        <v>0</v>
      </c>
      <c r="N50" s="90">
        <f>+H50+J50+M50</f>
        <v>224511.82066999999</v>
      </c>
      <c r="O50" s="64"/>
      <c r="P50" s="419"/>
      <c r="Q50" s="419"/>
      <c r="R50" s="419"/>
      <c r="S50" s="419"/>
      <c r="T50" s="419"/>
      <c r="U50" s="419"/>
      <c r="V50" s="419"/>
      <c r="W50" s="419"/>
      <c r="X50" s="419"/>
      <c r="Y50" s="419"/>
      <c r="Z50" s="419"/>
      <c r="AA50" s="419"/>
      <c r="AB50" s="419"/>
      <c r="AC50" s="419"/>
      <c r="AD50" s="419"/>
      <c r="AE50" s="419"/>
      <c r="AF50" s="419"/>
      <c r="AG50" s="419"/>
      <c r="AH50" s="419"/>
      <c r="AI50" s="419"/>
      <c r="AJ50" s="419"/>
      <c r="AK50" s="419"/>
      <c r="AL50" s="419"/>
    </row>
    <row r="51" spans="1:38" ht="17.25">
      <c r="A51" s="419" t="s">
        <v>282</v>
      </c>
      <c r="B51" s="199">
        <v>970886.23099999991</v>
      </c>
      <c r="C51" s="199">
        <v>9973.3245100000004</v>
      </c>
      <c r="D51" s="199">
        <v>-431570.66326</v>
      </c>
      <c r="E51" s="199">
        <v>475219</v>
      </c>
      <c r="F51" s="199">
        <v>1285972.1484699999</v>
      </c>
      <c r="G51" s="578">
        <v>2350100.7717599999</v>
      </c>
      <c r="H51" s="262">
        <f>SUM(B51:G51)</f>
        <v>4660580.8124799998</v>
      </c>
      <c r="I51" s="993">
        <v>144251.25533000001</v>
      </c>
      <c r="J51" s="113">
        <f>SUM(I51:I51)</f>
        <v>144251.25533000001</v>
      </c>
      <c r="K51" s="722">
        <v>76261</v>
      </c>
      <c r="L51" s="578">
        <v>84644</v>
      </c>
      <c r="M51" s="262">
        <f>SUM(K51:L51)</f>
        <v>160905</v>
      </c>
      <c r="N51" s="587">
        <f>+H51+J51+M51</f>
        <v>4965737.0678099999</v>
      </c>
      <c r="O51" s="64"/>
      <c r="P51" s="424"/>
      <c r="Q51" s="424"/>
      <c r="R51" s="424"/>
      <c r="S51" s="419"/>
      <c r="T51" s="419"/>
      <c r="U51" s="419"/>
      <c r="V51" s="419"/>
      <c r="W51" s="419"/>
      <c r="X51" s="419"/>
      <c r="Y51" s="419"/>
      <c r="Z51" s="419"/>
      <c r="AA51" s="419"/>
      <c r="AB51" s="419"/>
      <c r="AC51" s="419"/>
      <c r="AD51" s="419"/>
      <c r="AE51" s="419"/>
      <c r="AF51" s="419"/>
      <c r="AG51" s="419"/>
      <c r="AH51" s="419"/>
      <c r="AI51" s="419"/>
      <c r="AJ51" s="419"/>
      <c r="AK51" s="419"/>
      <c r="AL51" s="419"/>
    </row>
    <row r="52" spans="1:38" ht="16.5" thickBot="1">
      <c r="A52" s="419" t="s">
        <v>54</v>
      </c>
      <c r="B52" s="97">
        <f t="shared" ref="B52:G52" si="10">SUM(B48:B51)</f>
        <v>2813447.0700000003</v>
      </c>
      <c r="C52" s="97">
        <f t="shared" si="10"/>
        <v>202275.32451000001</v>
      </c>
      <c r="D52" s="97">
        <f t="shared" si="10"/>
        <v>161422.80719000002</v>
      </c>
      <c r="E52" s="97">
        <f t="shared" si="10"/>
        <v>919124</v>
      </c>
      <c r="F52" s="97">
        <f t="shared" si="10"/>
        <v>3648583.43964</v>
      </c>
      <c r="G52" s="97">
        <f t="shared" si="10"/>
        <v>5023579.86711</v>
      </c>
      <c r="H52" s="96">
        <f>SUM(B52:G52)</f>
        <v>12768432.508450001</v>
      </c>
      <c r="I52" s="97">
        <f t="shared" ref="I52:N52" si="11">SUM(I48:I51)</f>
        <v>466473.14275</v>
      </c>
      <c r="J52" s="584">
        <f t="shared" si="11"/>
        <v>466473.14275</v>
      </c>
      <c r="K52" s="97">
        <f t="shared" si="11"/>
        <v>259781</v>
      </c>
      <c r="L52" s="97">
        <f t="shared" si="11"/>
        <v>252649</v>
      </c>
      <c r="M52" s="115">
        <f t="shared" si="11"/>
        <v>512430</v>
      </c>
      <c r="N52" s="95">
        <f t="shared" si="11"/>
        <v>13747335.6512</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t="s">
        <v>0</v>
      </c>
      <c r="B53" s="90">
        <f t="shared" ref="B53:J53" si="12">+B30+B36+B42+B44+B52</f>
        <v>41641994.965569995</v>
      </c>
      <c r="C53" s="90">
        <f t="shared" si="12"/>
        <v>2894878.2134679006</v>
      </c>
      <c r="D53" s="90">
        <f t="shared" si="12"/>
        <v>4281578.2000199202</v>
      </c>
      <c r="E53" s="90">
        <f t="shared" si="12"/>
        <v>10563003</v>
      </c>
      <c r="F53" s="90">
        <f t="shared" si="12"/>
        <v>47778526.463368483</v>
      </c>
      <c r="G53" s="90">
        <f t="shared" si="12"/>
        <v>52948832.024549484</v>
      </c>
      <c r="H53" s="89">
        <f t="shared" si="12"/>
        <v>160108812.86697575</v>
      </c>
      <c r="I53" s="90">
        <f t="shared" si="12"/>
        <v>4290603.3635399994</v>
      </c>
      <c r="J53" s="1014">
        <f t="shared" si="12"/>
        <v>4290603.3635399994</v>
      </c>
      <c r="K53" s="90">
        <f>+K30+K36+K42+K44+K52</f>
        <v>5381537</v>
      </c>
      <c r="L53" s="90">
        <f>+L30+L36+L42+L44+L52</f>
        <v>5950944</v>
      </c>
      <c r="M53" s="113">
        <f>+M30+M36+M42+M44+M52</f>
        <v>11332481</v>
      </c>
      <c r="N53" s="90">
        <f>(+N30+N36+N42+N44+N52)</f>
        <v>175731897.23051578</v>
      </c>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19"/>
      <c r="B55" s="65"/>
      <c r="C55" s="65"/>
      <c r="D55" s="64"/>
      <c r="E55" s="65"/>
      <c r="F55" s="64"/>
      <c r="G55" s="64"/>
      <c r="H55" s="64"/>
      <c r="I55" s="64"/>
      <c r="J55" s="566"/>
      <c r="K55" s="64"/>
      <c r="L55" s="65"/>
      <c r="M55" s="64"/>
      <c r="N55" s="64" t="s">
        <v>0</v>
      </c>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26" t="s">
        <v>283</v>
      </c>
      <c r="B56" s="87" t="s">
        <v>0</v>
      </c>
      <c r="C56" s="418"/>
      <c r="D56" s="418"/>
      <c r="E56" s="418"/>
      <c r="F56" s="418"/>
      <c r="G56" s="418"/>
      <c r="H56" s="418"/>
      <c r="I56" s="418"/>
      <c r="J56" s="567"/>
      <c r="K56" s="87" t="s">
        <v>0</v>
      </c>
      <c r="L56" s="418"/>
      <c r="M56" s="64"/>
      <c r="N56" s="64"/>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358</v>
      </c>
      <c r="B57" s="87">
        <v>0</v>
      </c>
      <c r="C57" s="87">
        <v>0</v>
      </c>
      <c r="D57" s="87">
        <v>0</v>
      </c>
      <c r="E57" s="87">
        <v>0</v>
      </c>
      <c r="F57" s="87">
        <v>141025.87114999999</v>
      </c>
      <c r="G57" s="87">
        <v>1273.26452442</v>
      </c>
      <c r="H57" s="89">
        <f>SUM(B57:G57)</f>
        <v>142299.13567441999</v>
      </c>
      <c r="I57" s="87">
        <v>0</v>
      </c>
      <c r="J57" s="113">
        <f>SUM(I57:I57)</f>
        <v>0</v>
      </c>
      <c r="K57" s="87">
        <v>0</v>
      </c>
      <c r="L57" s="87">
        <v>0</v>
      </c>
      <c r="M57" s="113">
        <f>SUM(K57:L57)</f>
        <v>0</v>
      </c>
      <c r="N57" s="90">
        <f>+H57+J57+M57</f>
        <v>142299.13567441999</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359</v>
      </c>
      <c r="B58" s="87">
        <v>131646</v>
      </c>
      <c r="C58" s="87">
        <v>0</v>
      </c>
      <c r="D58" s="87">
        <v>0</v>
      </c>
      <c r="E58" s="87">
        <v>0</v>
      </c>
      <c r="F58" s="87">
        <v>663110.94273999997</v>
      </c>
      <c r="G58" s="87">
        <v>615185.74073031999</v>
      </c>
      <c r="H58" s="89">
        <f>SUM(B58:G58)</f>
        <v>1409942.68347032</v>
      </c>
      <c r="I58" s="87">
        <v>0</v>
      </c>
      <c r="J58" s="113">
        <f>SUM(I58:I58)</f>
        <v>0</v>
      </c>
      <c r="K58" s="87">
        <v>64266</v>
      </c>
      <c r="L58" s="87">
        <v>2699</v>
      </c>
      <c r="M58" s="113">
        <f>SUM(K58:L58)</f>
        <v>66965</v>
      </c>
      <c r="N58" s="90">
        <f>+H58+J58+M58</f>
        <v>1476907.68347032</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A59" s="418" t="s">
        <v>360</v>
      </c>
      <c r="B59" s="87">
        <v>9682.5229999999992</v>
      </c>
      <c r="C59" s="87">
        <v>230358.81328102</v>
      </c>
      <c r="D59" s="87">
        <v>2342.5641299999997</v>
      </c>
      <c r="E59" s="87">
        <v>123044</v>
      </c>
      <c r="F59" s="87">
        <v>2622128.9273299999</v>
      </c>
      <c r="G59" s="87">
        <v>1142560.1812227359</v>
      </c>
      <c r="H59" s="89">
        <f>SUM(B59:G59)</f>
        <v>4130117.0089637558</v>
      </c>
      <c r="I59" s="87">
        <v>688400.06510000001</v>
      </c>
      <c r="J59" s="113">
        <f>SUM(I59:I59)</f>
        <v>688400.06510000001</v>
      </c>
      <c r="K59" s="87">
        <v>4283910</v>
      </c>
      <c r="L59" s="87">
        <v>690363</v>
      </c>
      <c r="M59" s="113">
        <f>SUM(K59:L59)</f>
        <v>4974273</v>
      </c>
      <c r="N59" s="90">
        <f>+H59+J59+M59</f>
        <v>9792790.0740637556</v>
      </c>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B60" s="87" t="s">
        <v>0</v>
      </c>
      <c r="C60" s="87"/>
      <c r="E60" s="88"/>
      <c r="F60" s="87"/>
      <c r="G60" s="87"/>
      <c r="H60" s="93"/>
      <c r="I60" s="87"/>
      <c r="J60" s="565"/>
      <c r="K60" s="87" t="s">
        <v>0</v>
      </c>
      <c r="L60" s="87"/>
      <c r="M60" s="114"/>
      <c r="N60" s="90"/>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89" t="s">
        <v>361</v>
      </c>
      <c r="B61" s="87">
        <v>9995533.1508499999</v>
      </c>
      <c r="C61" s="87">
        <v>1429989.4183400001</v>
      </c>
      <c r="D61" s="87">
        <v>1698649.9928719397</v>
      </c>
      <c r="E61" s="87">
        <v>4849864</v>
      </c>
      <c r="F61" s="87">
        <v>19776037.415459998</v>
      </c>
      <c r="G61" s="87">
        <v>20205836.336879998</v>
      </c>
      <c r="H61" s="89">
        <f>SUM(B61:G61)</f>
        <v>57955910.31440194</v>
      </c>
      <c r="I61" s="87">
        <v>2759533.8283898998</v>
      </c>
      <c r="J61" s="113">
        <f>SUM(I61:I61)</f>
        <v>2759533.8283898998</v>
      </c>
      <c r="K61" s="87">
        <v>1734790</v>
      </c>
      <c r="L61" s="87">
        <v>2303514</v>
      </c>
      <c r="M61" s="113">
        <f>SUM(K61:L61)</f>
        <v>4038304</v>
      </c>
      <c r="N61" s="90">
        <f>+H61+J61+M61</f>
        <v>64753748.142791837</v>
      </c>
      <c r="O61" s="64"/>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27" t="s">
        <v>362</v>
      </c>
      <c r="B62" s="87">
        <v>164630.54399999999</v>
      </c>
      <c r="C62" s="87">
        <v>334501.69257000001</v>
      </c>
      <c r="D62" s="87">
        <v>22395.93782264</v>
      </c>
      <c r="E62" s="87">
        <v>29374</v>
      </c>
      <c r="F62" s="87">
        <v>329222.43449000001</v>
      </c>
      <c r="G62" s="87">
        <v>111503.88977000001</v>
      </c>
      <c r="H62" s="89">
        <f>SUM(B62:G62)</f>
        <v>991628.49865264003</v>
      </c>
      <c r="I62" s="87">
        <v>58195.527359999993</v>
      </c>
      <c r="J62" s="113">
        <f>SUM(I62:I62)</f>
        <v>58195.527359999993</v>
      </c>
      <c r="K62" s="87">
        <v>9299</v>
      </c>
      <c r="L62" s="87">
        <v>88370</v>
      </c>
      <c r="M62" s="113">
        <f>SUM(K62:L62)</f>
        <v>97669</v>
      </c>
      <c r="N62" s="90">
        <f>+H62+J62+M62</f>
        <v>1147493.02601264</v>
      </c>
      <c r="O62" s="64" t="s">
        <v>0</v>
      </c>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A63" s="489" t="s">
        <v>363</v>
      </c>
      <c r="B63" s="87">
        <v>549342.65600000008</v>
      </c>
      <c r="C63" s="87">
        <v>379238.85808916006</v>
      </c>
      <c r="D63" s="87">
        <v>110890</v>
      </c>
      <c r="E63" s="87">
        <v>25261</v>
      </c>
      <c r="F63" s="87">
        <v>1146727</v>
      </c>
      <c r="G63" s="87">
        <v>54768.800210000001</v>
      </c>
      <c r="H63" s="89">
        <f>SUM(B63:G63)</f>
        <v>2266228.3142991601</v>
      </c>
      <c r="I63" s="87">
        <v>289801.45182999998</v>
      </c>
      <c r="J63" s="113">
        <f>SUM(I63:I63)</f>
        <v>289801.45182999998</v>
      </c>
      <c r="K63" s="87">
        <v>0</v>
      </c>
      <c r="L63" s="87">
        <v>206228</v>
      </c>
      <c r="M63" s="113">
        <f>SUM(K63:L63)</f>
        <v>206228</v>
      </c>
      <c r="N63" s="90">
        <f>+H63+J63+M63</f>
        <v>2762257.7661291603</v>
      </c>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A65" s="421" t="s">
        <v>0</v>
      </c>
      <c r="B65" s="1460" t="s">
        <v>0</v>
      </c>
      <c r="C65" s="1460" t="s">
        <v>0</v>
      </c>
      <c r="D65" s="418"/>
      <c r="E65" s="418"/>
      <c r="F65" s="1460" t="s">
        <v>0</v>
      </c>
      <c r="G65" s="1460" t="s">
        <v>0</v>
      </c>
      <c r="H65" s="418"/>
      <c r="I65" s="418"/>
      <c r="J65" s="418"/>
      <c r="K65" s="1461" t="s">
        <v>0</v>
      </c>
      <c r="L65" s="1461" t="s">
        <v>0</v>
      </c>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23" t="s">
        <v>0</v>
      </c>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B68" s="418"/>
      <c r="C68" s="418"/>
      <c r="D68" s="418"/>
      <c r="E68" s="418"/>
      <c r="F68" s="418"/>
      <c r="G68" s="418"/>
      <c r="H68" s="418"/>
      <c r="I68" s="418"/>
      <c r="J68" s="418"/>
      <c r="K68" s="418"/>
      <c r="L68" s="418"/>
      <c r="M68" s="64"/>
      <c r="N68" s="64"/>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A69" s="418" t="s">
        <v>364</v>
      </c>
      <c r="B69" s="20">
        <f>+'bncgdes&amp;$ '!B30</f>
        <v>14356274.529310001</v>
      </c>
      <c r="C69" s="20">
        <f>+'bphgdes&amp;$'!B30</f>
        <v>1895744.6445899999</v>
      </c>
      <c r="D69" s="20">
        <f>+'buhgdes&amp;$'!B30</f>
        <v>2497761.247505975</v>
      </c>
      <c r="E69" s="20">
        <f>+'capitalbkgdes&amp;$'!B30</f>
        <v>6623756</v>
      </c>
      <c r="F69" s="20">
        <f>+'sogebkgdes&amp;$  '!B30</f>
        <v>25516968.386440001</v>
      </c>
      <c r="G69" s="20">
        <f>+'unibkgdes&amp;$'!B30</f>
        <v>30680322.285385784</v>
      </c>
      <c r="H69" s="89">
        <f>SUM(B69:G69)</f>
        <v>81570827.093231767</v>
      </c>
      <c r="I69" s="20">
        <f>+'sgbelgdes&amp;$'!B30</f>
        <v>3332456.9353400003</v>
      </c>
      <c r="J69" s="113">
        <f>+I69</f>
        <v>3332456.9353400003</v>
      </c>
      <c r="K69" s="20">
        <f>+'cbnagdes&amp;$'!B30</f>
        <v>2092611</v>
      </c>
      <c r="L69" s="20">
        <f>+'scotiagdes&amp;$'!B30</f>
        <v>2652874</v>
      </c>
      <c r="M69" s="113">
        <f>SUM(K69:L69)</f>
        <v>4745485</v>
      </c>
      <c r="N69" s="90">
        <f>+H69+J69+M69</f>
        <v>89648769.02857177</v>
      </c>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18"/>
      <c r="C73" s="418"/>
      <c r="D73" s="418"/>
      <c r="E73" s="418"/>
      <c r="F73" s="418"/>
      <c r="G73" s="418"/>
      <c r="H73" s="418"/>
      <c r="I73" s="418"/>
      <c r="J73" s="418"/>
      <c r="K73" s="418"/>
      <c r="L73" s="418"/>
      <c r="M73" s="64"/>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29"/>
      <c r="C74" s="417" t="s">
        <v>365</v>
      </c>
      <c r="D74" s="429"/>
      <c r="F74" s="592" t="s">
        <v>366</v>
      </c>
      <c r="G74" s="592"/>
      <c r="I74" s="1559" t="s">
        <v>637</v>
      </c>
      <c r="J74" s="1559"/>
      <c r="K74" s="418"/>
      <c r="L74" s="417" t="s">
        <v>779</v>
      </c>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418"/>
      <c r="C75" s="417"/>
      <c r="D75" s="429"/>
      <c r="F75" s="418"/>
      <c r="J75" s="418"/>
      <c r="K75" s="418"/>
      <c r="L75" s="418"/>
      <c r="M75" s="418"/>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65</v>
      </c>
      <c r="D76" s="671">
        <f>+unibkvar!B15</f>
        <v>20081261.154802661</v>
      </c>
      <c r="F76" s="670" t="s">
        <v>59</v>
      </c>
      <c r="G76" s="672">
        <f>+bncvar!B17</f>
        <v>3810000</v>
      </c>
      <c r="I76" s="670" t="s">
        <v>65</v>
      </c>
      <c r="J76" s="671">
        <f>+unibkvar!B20</f>
        <v>24056419.86524</v>
      </c>
      <c r="K76" s="418"/>
      <c r="L76" s="670" t="s">
        <v>65</v>
      </c>
      <c r="M76" s="671">
        <f>+unibkvar!B52</f>
        <v>5797198.1322699999</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64</v>
      </c>
      <c r="D77" s="671">
        <f>+sogebkvar!B15</f>
        <v>16696860.003529999</v>
      </c>
      <c r="F77" s="670" t="s">
        <v>64</v>
      </c>
      <c r="G77" s="672">
        <f>+sogebkvar!B17</f>
        <v>1300000</v>
      </c>
      <c r="I77" s="670" t="s">
        <v>64</v>
      </c>
      <c r="J77" s="671">
        <f>+sogebkvar!B20</f>
        <v>19215072.525990002</v>
      </c>
      <c r="K77" s="418"/>
      <c r="L77" s="670" t="s">
        <v>64</v>
      </c>
      <c r="M77" s="671">
        <f>+sogebkvar!B52</f>
        <v>3881092.5410900004</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59</v>
      </c>
      <c r="D78" s="671">
        <f>+bncvar!B15</f>
        <v>15578365.977</v>
      </c>
      <c r="F78" s="670" t="s">
        <v>66</v>
      </c>
      <c r="G78" s="672">
        <f>+capitalbkvar!B17</f>
        <v>298391</v>
      </c>
      <c r="I78" s="670" t="s">
        <v>59</v>
      </c>
      <c r="J78" s="671">
        <f>+bncvar!B20</f>
        <v>10524694.186369998</v>
      </c>
      <c r="K78" s="418"/>
      <c r="L78" s="670" t="s">
        <v>59</v>
      </c>
      <c r="M78" s="671">
        <f>+bncvar!B52</f>
        <v>3191363.1577500002</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66</v>
      </c>
      <c r="D79" s="671">
        <f>+capitalbkvar!B15</f>
        <v>4901707</v>
      </c>
      <c r="F79" s="670" t="s">
        <v>68</v>
      </c>
      <c r="G79" s="672">
        <f>+cbnavar!B17</f>
        <v>796833</v>
      </c>
      <c r="I79" s="670" t="s">
        <v>66</v>
      </c>
      <c r="J79" s="671">
        <f>+capitalbkvar!B20</f>
        <v>5637972</v>
      </c>
      <c r="K79" s="418"/>
      <c r="L79" s="670" t="s">
        <v>66</v>
      </c>
      <c r="M79" s="671">
        <f>+capitalbkvar!B52</f>
        <v>1074342</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69</v>
      </c>
      <c r="D80" s="671">
        <f>+scotiavar!B15</f>
        <v>3991811</v>
      </c>
      <c r="F80" s="670" t="s">
        <v>69</v>
      </c>
      <c r="G80" s="672">
        <f>+scotiavar!B17</f>
        <v>0</v>
      </c>
      <c r="I80" s="670" t="s">
        <v>67</v>
      </c>
      <c r="J80" s="671">
        <f>+sgbelvar!B20</f>
        <v>3345304.2581560002</v>
      </c>
      <c r="K80" s="418"/>
      <c r="L80" s="670" t="s">
        <v>67</v>
      </c>
      <c r="M80" s="671">
        <f>+sgbelvar!B52</f>
        <v>493689.75045000005</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68</v>
      </c>
      <c r="D81" s="671">
        <f>+cbnavar!B15</f>
        <v>3280379</v>
      </c>
      <c r="F81" s="670" t="s">
        <v>65</v>
      </c>
      <c r="G81" s="672">
        <f>+unibkvar!B17</f>
        <v>0</v>
      </c>
      <c r="I81" s="670" t="s">
        <v>69</v>
      </c>
      <c r="J81" s="671">
        <f>+scotiavar!B20</f>
        <v>2063611</v>
      </c>
      <c r="K81" s="418"/>
      <c r="L81" s="670" t="s">
        <v>68</v>
      </c>
      <c r="M81" s="671">
        <f>+cbnavar!B52</f>
        <v>390175</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61</v>
      </c>
      <c r="D82" s="671">
        <f>+buhvar!B15</f>
        <v>2697877.9434218104</v>
      </c>
      <c r="F82" s="670" t="s">
        <v>61</v>
      </c>
      <c r="G82" s="672">
        <f>+buhvar!B17</f>
        <v>180000</v>
      </c>
      <c r="I82" s="670" t="s">
        <v>68</v>
      </c>
      <c r="J82" s="671">
        <f>+cbnavar!B20</f>
        <v>1798882</v>
      </c>
      <c r="K82" s="418"/>
      <c r="L82" s="670" t="s">
        <v>69</v>
      </c>
      <c r="M82" s="671">
        <f>+scotiavar!B52</f>
        <v>272759</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60</v>
      </c>
      <c r="D83" s="671">
        <f>+bphvar!B15</f>
        <v>1719442.21624</v>
      </c>
      <c r="F83" s="670" t="s">
        <v>60</v>
      </c>
      <c r="G83" s="672">
        <f>+bphvar!B17</f>
        <v>223000</v>
      </c>
      <c r="I83" s="670" t="s">
        <v>61</v>
      </c>
      <c r="J83" s="671">
        <f>+buhvar!B20</f>
        <v>2291639.3848394938</v>
      </c>
      <c r="K83" s="418"/>
      <c r="L83" s="670" t="s">
        <v>60</v>
      </c>
      <c r="M83" s="671">
        <f>+bphvar!B52</f>
        <v>127762.48477000001</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C84" s="670" t="s">
        <v>67</v>
      </c>
      <c r="D84" s="671">
        <f>+sgbelvar!B15</f>
        <v>2356516.1196400002</v>
      </c>
      <c r="F84" s="670" t="s">
        <v>67</v>
      </c>
      <c r="G84" s="672">
        <f>+sgbelvar!B17</f>
        <v>0</v>
      </c>
      <c r="I84" s="670" t="s">
        <v>60</v>
      </c>
      <c r="J84" s="671">
        <f>+bphvar!B20</f>
        <v>858993.53526000003</v>
      </c>
      <c r="K84" s="418"/>
      <c r="L84" s="670" t="s">
        <v>61</v>
      </c>
      <c r="M84" s="671">
        <f>+buhvar!B52</f>
        <v>282671.47166000004</v>
      </c>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B86" s="591"/>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A87" s="670" t="s">
        <v>0</v>
      </c>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591" t="s">
        <v>0</v>
      </c>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B140" s="418"/>
      <c r="C140" s="65"/>
      <c r="D140" s="64"/>
      <c r="E140" s="64"/>
      <c r="F140" s="64"/>
      <c r="G140" s="64"/>
      <c r="H140" s="64"/>
      <c r="I140" s="64"/>
      <c r="J140" s="64"/>
      <c r="K140" s="418"/>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c r="B141" s="64"/>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9"/>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4"/>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9"/>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4"/>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9"/>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4"/>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9"/>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4"/>
      <c r="C156" s="71" t="s">
        <v>0</v>
      </c>
      <c r="D156" s="69" t="s">
        <v>0</v>
      </c>
      <c r="E156" s="69"/>
      <c r="F156" s="69">
        <f>+F107+F111+F113+F115+F130+F139+F141+F143+F145+F152</f>
        <v>0</v>
      </c>
      <c r="G156" s="69"/>
      <c r="H156" s="69"/>
      <c r="I156" s="69" t="s">
        <v>0</v>
      </c>
      <c r="J156" s="69"/>
      <c r="K156" s="64"/>
      <c r="L156" s="71" t="s">
        <v>0</v>
      </c>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t="s">
        <v>0</v>
      </c>
      <c r="B157" s="69" t="s">
        <v>0</v>
      </c>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row r="189" spans="1:38">
      <c r="A189" s="419"/>
      <c r="B189" s="64"/>
      <c r="K189" s="64"/>
      <c r="N189" s="64"/>
      <c r="O189" s="64"/>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row>
  </sheetData>
  <mergeCells count="1">
    <mergeCell ref="I74:J74"/>
  </mergeCells>
  <pageMargins left="0.2" right="0.21" top="0.68" bottom="0.45" header="0.5" footer="0.23"/>
  <pageSetup scale="55" orientation="landscape" r:id="rId1"/>
  <headerFooter alignWithMargins="0">
    <oddFooter>&amp;R&amp;16&amp;P</oddFooter>
  </headerFooter>
</worksheet>
</file>

<file path=xl/worksheets/sheet56.xml><?xml version="1.0" encoding="utf-8"?>
<worksheet xmlns="http://schemas.openxmlformats.org/spreadsheetml/2006/main" xmlns:r="http://schemas.openxmlformats.org/officeDocument/2006/relationships">
  <sheetPr>
    <pageSetUpPr fitToPage="1"/>
  </sheetPr>
  <dimension ref="A1:AL188"/>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872</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1406899.9339999999</v>
      </c>
      <c r="C10" s="87">
        <v>106815.78258999999</v>
      </c>
      <c r="D10" s="87">
        <v>344227.75985412602</v>
      </c>
      <c r="E10" s="87">
        <v>195143</v>
      </c>
      <c r="F10" s="87">
        <v>1871834.3280799999</v>
      </c>
      <c r="G10" s="87">
        <v>863107.08273610205</v>
      </c>
      <c r="H10" s="89">
        <f>SUM(B10:G10)</f>
        <v>4788027.8872602275</v>
      </c>
      <c r="I10" s="87">
        <v>20440.9162</v>
      </c>
      <c r="J10" s="113">
        <f>SUM(I10:I10)</f>
        <v>20440.9162</v>
      </c>
      <c r="K10" s="87">
        <v>43022</v>
      </c>
      <c r="L10" s="87">
        <v>61578</v>
      </c>
      <c r="M10" s="113">
        <f>SUM(K10:L10)</f>
        <v>104600</v>
      </c>
      <c r="N10" s="90">
        <f>+H10+J10+M10</f>
        <v>4913068.8034602273</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11617092.421</v>
      </c>
      <c r="C11" s="87">
        <v>621175.89428999997</v>
      </c>
      <c r="D11" s="87">
        <v>1497978.1076224339</v>
      </c>
      <c r="E11" s="87">
        <v>3217527</v>
      </c>
      <c r="F11" s="87">
        <v>13992157.79473</v>
      </c>
      <c r="G11" s="87">
        <v>16009520.545549076</v>
      </c>
      <c r="H11" s="89">
        <f>SUM(B11:G11)</f>
        <v>46955451.763191506</v>
      </c>
      <c r="I11" s="87">
        <v>395810.74358000001</v>
      </c>
      <c r="J11" s="113">
        <f>SUM(I11:I11)</f>
        <v>395810.74358000001</v>
      </c>
      <c r="K11" s="87">
        <v>2910308</v>
      </c>
      <c r="L11" s="87">
        <v>2344887</v>
      </c>
      <c r="M11" s="113">
        <f>SUM(K11:L11)</f>
        <v>5255195</v>
      </c>
      <c r="N11" s="90">
        <f>+H11+J11+M11</f>
        <v>52606457.506771505</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1124266.787</v>
      </c>
      <c r="C12" s="87">
        <v>182412.88524</v>
      </c>
      <c r="D12" s="87">
        <v>241792.80487194602</v>
      </c>
      <c r="E12" s="87">
        <v>731323</v>
      </c>
      <c r="F12" s="87">
        <v>1380256.7553399999</v>
      </c>
      <c r="G12" s="87">
        <v>2901009.298892335</v>
      </c>
      <c r="H12" s="89">
        <f>SUM(B12:G12)</f>
        <v>6561061.5313442806</v>
      </c>
      <c r="I12" s="87">
        <v>4072.0567000000001</v>
      </c>
      <c r="J12" s="113">
        <f>SUM(I12:I12)</f>
        <v>4072.0567000000001</v>
      </c>
      <c r="K12" s="87">
        <v>1129164</v>
      </c>
      <c r="L12" s="87">
        <v>1447970</v>
      </c>
      <c r="M12" s="113">
        <f>SUM(K12:L12)</f>
        <v>2577134</v>
      </c>
      <c r="N12" s="90">
        <f>+H12+J12+M12</f>
        <v>9142267.5880442802</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137407.55442116599</v>
      </c>
      <c r="E13" s="87">
        <v>15646</v>
      </c>
      <c r="F13" s="87">
        <v>7204.7972399999999</v>
      </c>
      <c r="G13" s="87">
        <v>66920.301301985455</v>
      </c>
      <c r="H13" s="89">
        <f>SUM(B13:G13)</f>
        <v>227178.65296315146</v>
      </c>
      <c r="I13" s="87">
        <v>965732.72407999996</v>
      </c>
      <c r="J13" s="113">
        <f>SUM(I13:I13)</f>
        <v>965732.72407999996</v>
      </c>
      <c r="K13" s="87">
        <v>0</v>
      </c>
      <c r="L13" s="87">
        <v>0</v>
      </c>
      <c r="M13" s="113">
        <f>SUM(K13:L13)</f>
        <v>0</v>
      </c>
      <c r="N13" s="90">
        <f>+H13+J13+M13</f>
        <v>1192911.3770431513</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137107.698</v>
      </c>
      <c r="C14" s="199">
        <v>49901.64198</v>
      </c>
      <c r="D14" s="199">
        <v>73095.580742662001</v>
      </c>
      <c r="E14" s="199">
        <v>248912</v>
      </c>
      <c r="F14" s="199">
        <v>364902.53587999998</v>
      </c>
      <c r="G14" s="578">
        <v>680695.17596476595</v>
      </c>
      <c r="H14" s="262">
        <f>SUM(B14:G14)</f>
        <v>1554614.6325674281</v>
      </c>
      <c r="I14" s="993">
        <v>35318.730900000002</v>
      </c>
      <c r="J14" s="113">
        <f>SUM(I14:I14)</f>
        <v>35318.730900000002</v>
      </c>
      <c r="K14" s="722">
        <v>119255</v>
      </c>
      <c r="L14" s="578">
        <v>48585</v>
      </c>
      <c r="M14" s="262">
        <f>SUM(K14:L14)</f>
        <v>167840</v>
      </c>
      <c r="N14" s="587">
        <f>+H14+J14+M14</f>
        <v>1757773.3634674281</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14285366.840000002</v>
      </c>
      <c r="C15" s="87">
        <f t="shared" ref="C15:J15" si="0">SUM(C10:C14)</f>
        <v>960306.20409999986</v>
      </c>
      <c r="D15" s="87">
        <f t="shared" si="0"/>
        <v>2294501.8075123341</v>
      </c>
      <c r="E15" s="134">
        <f t="shared" si="0"/>
        <v>4408551</v>
      </c>
      <c r="F15" s="87">
        <f t="shared" si="0"/>
        <v>17616356.211270001</v>
      </c>
      <c r="G15" s="87">
        <f t="shared" si="0"/>
        <v>20521252.404444262</v>
      </c>
      <c r="H15" s="89">
        <f t="shared" si="0"/>
        <v>60086334.467326596</v>
      </c>
      <c r="I15" s="24">
        <f t="shared" si="0"/>
        <v>1421375.1714600001</v>
      </c>
      <c r="J15" s="586">
        <f t="shared" si="0"/>
        <v>1421375.1714600001</v>
      </c>
      <c r="K15" s="87">
        <f>SUM(K10:K14)</f>
        <v>4201749</v>
      </c>
      <c r="L15" s="87">
        <f>SUM(L10:L14)</f>
        <v>3903020</v>
      </c>
      <c r="M15" s="113">
        <f>SUM(M10:M14)</f>
        <v>8104769</v>
      </c>
      <c r="N15" s="90">
        <f>SUM(N10:N14)</f>
        <v>69612478.638786584</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4950000</v>
      </c>
      <c r="C17" s="87">
        <v>0</v>
      </c>
      <c r="D17" s="87">
        <v>0</v>
      </c>
      <c r="E17" s="87">
        <v>199908</v>
      </c>
      <c r="F17" s="87">
        <v>0</v>
      </c>
      <c r="G17" s="87">
        <v>0</v>
      </c>
      <c r="H17" s="89">
        <f>SUM(B17:G17)</f>
        <v>5149908</v>
      </c>
      <c r="I17" s="87">
        <v>0</v>
      </c>
      <c r="J17" s="113">
        <f>SUM(I17:I17)</f>
        <v>0</v>
      </c>
      <c r="K17" s="87">
        <v>299984</v>
      </c>
      <c r="L17" s="87">
        <v>0</v>
      </c>
      <c r="M17" s="113">
        <f>SUM(K17:L17)</f>
        <v>299984</v>
      </c>
      <c r="N17" s="90">
        <f>+H17+J17+M17</f>
        <v>5449892</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v>8370623.5880000014</v>
      </c>
      <c r="C18" s="87">
        <v>156530.14163</v>
      </c>
      <c r="D18" s="87">
        <v>25101.894998074004</v>
      </c>
      <c r="E18" s="87">
        <v>752939</v>
      </c>
      <c r="F18" s="87">
        <v>9123462.8288099989</v>
      </c>
      <c r="G18" s="87">
        <v>10880819.957782237</v>
      </c>
      <c r="H18" s="89">
        <f>SUM(B18:G18)</f>
        <v>29309477.411220312</v>
      </c>
      <c r="I18" s="87">
        <v>38463.273800000003</v>
      </c>
      <c r="J18" s="113">
        <f>SUM(I18:I18)</f>
        <v>38463.273800000003</v>
      </c>
      <c r="K18" s="87">
        <v>158920</v>
      </c>
      <c r="L18" s="87">
        <v>0</v>
      </c>
      <c r="M18" s="113">
        <f>SUM(K18:L18)</f>
        <v>158920</v>
      </c>
      <c r="N18" s="90">
        <f>+H18+J18+M18</f>
        <v>29506860.685020313</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v>9563073.0561500005</v>
      </c>
      <c r="C19" s="87">
        <v>1204950.4820000001</v>
      </c>
      <c r="D19" s="87">
        <v>1335406.9727073959</v>
      </c>
      <c r="E19" s="87">
        <v>4661700</v>
      </c>
      <c r="F19" s="87">
        <v>17921946.925649997</v>
      </c>
      <c r="G19" s="87">
        <v>17916366.89466</v>
      </c>
      <c r="H19" s="89">
        <f>SUM(B19:G19)</f>
        <v>52603444.3311674</v>
      </c>
      <c r="I19" s="87">
        <v>2482500.6071989997</v>
      </c>
      <c r="J19" s="113">
        <f>SUM(I19:I19)</f>
        <v>2482500.6071989997</v>
      </c>
      <c r="K19" s="87">
        <v>1563830</v>
      </c>
      <c r="L19" s="87">
        <v>2167525</v>
      </c>
      <c r="M19" s="113">
        <f>SUM(K19:L19)</f>
        <v>3731355</v>
      </c>
      <c r="N19" s="90">
        <f>+H19+J19+M19</f>
        <v>58817299.938366398</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v>1163001.7505699999</v>
      </c>
      <c r="C20" s="87">
        <v>133874.90622999999</v>
      </c>
      <c r="D20" s="87">
        <v>222501.31328</v>
      </c>
      <c r="E20" s="87">
        <v>292789</v>
      </c>
      <c r="F20" s="87">
        <v>1549842.6027900001</v>
      </c>
      <c r="G20" s="87">
        <v>1361386.4122599999</v>
      </c>
      <c r="H20" s="89">
        <f>SUM(B20:G20)</f>
        <v>4723395.9851299999</v>
      </c>
      <c r="I20" s="87">
        <v>153442.23752999998</v>
      </c>
      <c r="J20" s="113">
        <f>SUM(I20:I20)</f>
        <v>153442.23752999998</v>
      </c>
      <c r="K20" s="87">
        <v>361094</v>
      </c>
      <c r="L20" s="87">
        <v>96845</v>
      </c>
      <c r="M20" s="113">
        <f>SUM(K20:L20)</f>
        <v>457939</v>
      </c>
      <c r="N20" s="90">
        <f>+H20+J20+M20</f>
        <v>5334777.2226599995</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v>1831530.3199999998</v>
      </c>
      <c r="C21" s="97">
        <v>41666.442710000003</v>
      </c>
      <c r="D21" s="97">
        <v>64415.836402901994</v>
      </c>
      <c r="E21" s="97">
        <v>349621</v>
      </c>
      <c r="F21" s="97">
        <v>1715765.6686200001</v>
      </c>
      <c r="G21" s="579">
        <v>868924.74459924398</v>
      </c>
      <c r="H21" s="96">
        <f>SUM(B21:G21)</f>
        <v>4871924.0123321461</v>
      </c>
      <c r="I21" s="994">
        <v>99878.253550000009</v>
      </c>
      <c r="J21" s="115">
        <f>SUM(I21:I21)</f>
        <v>99878.253550000009</v>
      </c>
      <c r="K21" s="660">
        <v>89613</v>
      </c>
      <c r="L21" s="579">
        <v>12821</v>
      </c>
      <c r="M21" s="96">
        <f>SUM(K21:L21)</f>
        <v>102434</v>
      </c>
      <c r="N21" s="588">
        <f>+H21+J21+M21</f>
        <v>5074236.2658821456</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J22" si="1">SUM(B15:B21)</f>
        <v>40163595.554720007</v>
      </c>
      <c r="C22" s="90">
        <f t="shared" si="1"/>
        <v>2497328.17667</v>
      </c>
      <c r="D22" s="90">
        <f t="shared" si="1"/>
        <v>3941927.8249007058</v>
      </c>
      <c r="E22" s="13">
        <f t="shared" si="1"/>
        <v>10665508</v>
      </c>
      <c r="F22" s="90">
        <f t="shared" si="1"/>
        <v>47927374.237139992</v>
      </c>
      <c r="G22" s="90">
        <f t="shared" si="1"/>
        <v>51548750.413745746</v>
      </c>
      <c r="H22" s="89">
        <f t="shared" si="1"/>
        <v>156744484.20717645</v>
      </c>
      <c r="I22" s="90">
        <f t="shared" si="1"/>
        <v>4195659.5435389997</v>
      </c>
      <c r="J22" s="729">
        <f t="shared" si="1"/>
        <v>4195659.5435389997</v>
      </c>
      <c r="K22" s="13">
        <f>SUM(K15:K21)</f>
        <v>6675190</v>
      </c>
      <c r="L22" s="13">
        <f>SUM(L15:L21)</f>
        <v>6180211</v>
      </c>
      <c r="M22" s="113">
        <f>SUM(M15:M21)</f>
        <v>12855401</v>
      </c>
      <c r="N22" s="90">
        <f>SUM(N15:N21)</f>
        <v>173795544.75071543</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728"/>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t="s">
        <v>0</v>
      </c>
      <c r="G24" s="87"/>
      <c r="H24" s="1408" t="s">
        <v>0</v>
      </c>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v>22269416.289000001</v>
      </c>
      <c r="C26" s="87">
        <v>850838.99980999995</v>
      </c>
      <c r="D26" s="87">
        <v>1100076.306954602</v>
      </c>
      <c r="E26" s="87">
        <v>4871302</v>
      </c>
      <c r="F26" s="87">
        <v>14130876.896240002</v>
      </c>
      <c r="G26" s="87">
        <v>20538139.373584818</v>
      </c>
      <c r="H26" s="89">
        <f>SUM(B26:G26)</f>
        <v>63760649.865589425</v>
      </c>
      <c r="I26" s="87">
        <v>981700.14977999998</v>
      </c>
      <c r="J26" s="113">
        <f>SUM(I26:I26)</f>
        <v>981700.14977999998</v>
      </c>
      <c r="K26" s="87">
        <v>4553991</v>
      </c>
      <c r="L26" s="87">
        <v>3044646</v>
      </c>
      <c r="M26" s="113">
        <f>SUM(K26:L26)</f>
        <v>7598637</v>
      </c>
      <c r="N26" s="90">
        <f>+H26+J26+M26</f>
        <v>72340987.015369415</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v>8761162.6009999998</v>
      </c>
      <c r="C27" s="87">
        <v>494340.73384</v>
      </c>
      <c r="D27" s="87">
        <v>1800883.8381877881</v>
      </c>
      <c r="E27" s="87">
        <v>2447765</v>
      </c>
      <c r="F27" s="87">
        <v>17638965.621949993</v>
      </c>
      <c r="G27" s="87">
        <v>19539849.766520422</v>
      </c>
      <c r="H27" s="89">
        <f>SUM(B27:G27)</f>
        <v>50682967.561498202</v>
      </c>
      <c r="I27" s="87">
        <v>470729.23300999997</v>
      </c>
      <c r="J27" s="113">
        <f>SUM(I27:I27)</f>
        <v>470729.23300999997</v>
      </c>
      <c r="K27" s="87">
        <v>305220</v>
      </c>
      <c r="L27" s="87">
        <v>1368500</v>
      </c>
      <c r="M27" s="113">
        <f>SUM(K27:L27)</f>
        <v>1673720</v>
      </c>
      <c r="N27" s="90">
        <f>+H27+J27+M27</f>
        <v>52827416.794508204</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v>2964790.3422600003</v>
      </c>
      <c r="C28" s="199">
        <v>919843.61216000002</v>
      </c>
      <c r="D28" s="199">
        <v>622426.21820389398</v>
      </c>
      <c r="E28" s="199">
        <v>1828114</v>
      </c>
      <c r="F28" s="199">
        <v>7139648.5059975823</v>
      </c>
      <c r="G28" s="578">
        <v>4698224.9912523683</v>
      </c>
      <c r="H28" s="262">
        <f>SUM(B28:G28)</f>
        <v>18173047.669873845</v>
      </c>
      <c r="I28" s="199">
        <v>1392550.5661599999</v>
      </c>
      <c r="J28" s="113">
        <f>SUM(I28:I28)</f>
        <v>1392550.5661599999</v>
      </c>
      <c r="K28" s="199">
        <v>601057</v>
      </c>
      <c r="L28" s="199">
        <v>576006</v>
      </c>
      <c r="M28" s="262">
        <f>SUM(K28:L28)</f>
        <v>1177063</v>
      </c>
      <c r="N28" s="587">
        <f>+H28+J28+M28</f>
        <v>20742661.236033846</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J29" si="2">SUM(B26:B28)</f>
        <v>33995369.232260004</v>
      </c>
      <c r="C29" s="87">
        <f t="shared" si="2"/>
        <v>2265023.3458099999</v>
      </c>
      <c r="D29" s="87">
        <f t="shared" si="2"/>
        <v>3523386.3633462843</v>
      </c>
      <c r="E29" s="87">
        <f t="shared" si="2"/>
        <v>9147181</v>
      </c>
      <c r="F29" s="87">
        <f t="shared" si="2"/>
        <v>38909491.02418758</v>
      </c>
      <c r="G29" s="87">
        <f t="shared" si="2"/>
        <v>44776214.13135761</v>
      </c>
      <c r="H29" s="89">
        <f t="shared" si="2"/>
        <v>132616665.09696148</v>
      </c>
      <c r="I29" s="87">
        <f t="shared" si="2"/>
        <v>2844979.9489500001</v>
      </c>
      <c r="J29" s="586">
        <f t="shared" si="2"/>
        <v>2844979.9489500001</v>
      </c>
      <c r="K29" s="87">
        <f>SUM(K26:K28)</f>
        <v>5460268</v>
      </c>
      <c r="L29" s="87">
        <f>SUM(L26:L28)</f>
        <v>4989152</v>
      </c>
      <c r="M29" s="113">
        <f>SUM(M26:M28)</f>
        <v>10449420</v>
      </c>
      <c r="N29" s="90">
        <f>SUM(N26:N28)</f>
        <v>145911065.04591146</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v>131376.6</v>
      </c>
      <c r="C32" s="87">
        <v>0</v>
      </c>
      <c r="D32" s="87">
        <v>0</v>
      </c>
      <c r="E32" s="87">
        <v>131377</v>
      </c>
      <c r="F32" s="87">
        <v>0</v>
      </c>
      <c r="G32" s="87">
        <v>0</v>
      </c>
      <c r="H32" s="89">
        <f>SUM(B32:G32)</f>
        <v>262753.59999999998</v>
      </c>
      <c r="I32" s="87">
        <v>0</v>
      </c>
      <c r="J32" s="113">
        <f>SUM(I32:I32)</f>
        <v>0</v>
      </c>
      <c r="K32" s="87">
        <v>230000</v>
      </c>
      <c r="L32" s="87">
        <v>0</v>
      </c>
      <c r="M32" s="113">
        <f>SUM(K32:L32)</f>
        <v>230000</v>
      </c>
      <c r="N32" s="90">
        <f>+H32+J32+M32</f>
        <v>492753.6</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v>0</v>
      </c>
      <c r="C33" s="87">
        <v>0</v>
      </c>
      <c r="D33" s="87">
        <v>0</v>
      </c>
      <c r="E33" s="87">
        <v>0</v>
      </c>
      <c r="F33" s="87">
        <v>0</v>
      </c>
      <c r="G33" s="87">
        <v>0</v>
      </c>
      <c r="H33" s="89">
        <f>SUM(B33:G33)</f>
        <v>0</v>
      </c>
      <c r="I33" s="87">
        <v>0</v>
      </c>
      <c r="J33" s="113">
        <f>SUM(I33:I33)</f>
        <v>0</v>
      </c>
      <c r="K33" s="87">
        <v>0</v>
      </c>
      <c r="L33" s="87">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v>1354566.267</v>
      </c>
      <c r="C34" s="199">
        <v>161224.55832881</v>
      </c>
      <c r="D34" s="199">
        <v>125926.78130685</v>
      </c>
      <c r="E34" s="199">
        <v>214909</v>
      </c>
      <c r="F34" s="199">
        <v>1540564.8052600001</v>
      </c>
      <c r="G34" s="578">
        <v>973947.18081844202</v>
      </c>
      <c r="H34" s="262">
        <f>SUM(B34:G34)</f>
        <v>4371138.592714102</v>
      </c>
      <c r="I34" s="199">
        <v>83974.875750000021</v>
      </c>
      <c r="J34" s="113">
        <f>SUM(I34:I34)</f>
        <v>83974.875750000021</v>
      </c>
      <c r="K34" s="199">
        <v>592696</v>
      </c>
      <c r="L34" s="199">
        <v>183161</v>
      </c>
      <c r="M34" s="262">
        <f>SUM(K34:L34)</f>
        <v>775857</v>
      </c>
      <c r="N34" s="587">
        <f>+H34+J34+M34</f>
        <v>5230970.4684641017</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J35" si="3">SUM(B32:B34)</f>
        <v>1485942.8670000001</v>
      </c>
      <c r="C35" s="87">
        <f t="shared" si="3"/>
        <v>161224.55832881</v>
      </c>
      <c r="D35" s="87">
        <f t="shared" si="3"/>
        <v>125926.78130685</v>
      </c>
      <c r="E35" s="87">
        <f t="shared" si="3"/>
        <v>346286</v>
      </c>
      <c r="F35" s="87">
        <f t="shared" si="3"/>
        <v>1540564.8052600001</v>
      </c>
      <c r="G35" s="87">
        <f t="shared" si="3"/>
        <v>973947.18081844202</v>
      </c>
      <c r="H35" s="89">
        <f t="shared" si="3"/>
        <v>4633892.1927141016</v>
      </c>
      <c r="I35" s="87">
        <f t="shared" si="3"/>
        <v>83974.875750000021</v>
      </c>
      <c r="J35" s="586">
        <f t="shared" si="3"/>
        <v>83974.875750000021</v>
      </c>
      <c r="K35" s="87">
        <f>SUM(K32:K34)</f>
        <v>822696</v>
      </c>
      <c r="L35" s="87">
        <f>SUM(L32:L34)</f>
        <v>183161</v>
      </c>
      <c r="M35" s="113">
        <f>SUM(M32:M34)</f>
        <v>1005857</v>
      </c>
      <c r="N35" s="90">
        <f>SUM(N32:N34)</f>
        <v>5723724.0684641013</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v>3000</v>
      </c>
      <c r="C38" s="87">
        <v>21397.5</v>
      </c>
      <c r="D38" s="87">
        <v>0</v>
      </c>
      <c r="E38" s="87">
        <v>0</v>
      </c>
      <c r="F38" s="87">
        <v>150000</v>
      </c>
      <c r="G38" s="87">
        <v>650000</v>
      </c>
      <c r="H38" s="89">
        <f>SUM(B38:G38)</f>
        <v>824397.5</v>
      </c>
      <c r="I38" s="87">
        <v>800000</v>
      </c>
      <c r="J38" s="113">
        <f>SUM(I38:I38)</f>
        <v>800000</v>
      </c>
      <c r="K38" s="87">
        <v>0</v>
      </c>
      <c r="L38" s="87">
        <v>0</v>
      </c>
      <c r="M38" s="113">
        <f>SUM(K38:L38)</f>
        <v>0</v>
      </c>
      <c r="N38" s="90">
        <f>+H38+J38+M38</f>
        <v>1624397.5</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v>0</v>
      </c>
      <c r="C39" s="87">
        <v>0</v>
      </c>
      <c r="D39" s="87">
        <v>0</v>
      </c>
      <c r="E39" s="87">
        <v>0</v>
      </c>
      <c r="F39" s="87">
        <v>1627656.1034099997</v>
      </c>
      <c r="G39" s="87">
        <v>0</v>
      </c>
      <c r="H39" s="89">
        <f>SUM(B39:G39)</f>
        <v>1627656.1034099997</v>
      </c>
      <c r="I39" s="87">
        <v>0</v>
      </c>
      <c r="J39" s="113">
        <f>SUM(I39:I39)</f>
        <v>0</v>
      </c>
      <c r="K39" s="87">
        <v>0</v>
      </c>
      <c r="L39" s="87">
        <v>0</v>
      </c>
      <c r="M39" s="113">
        <f>SUM(K39:L39)</f>
        <v>0</v>
      </c>
      <c r="N39" s="90">
        <f>+H39+J39+M39</f>
        <v>1627656.1034099997</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v>1304294.1340000001</v>
      </c>
      <c r="C40" s="199">
        <v>11531.702870000001</v>
      </c>
      <c r="D40" s="199">
        <v>3908.5923220779996</v>
      </c>
      <c r="E40" s="199">
        <v>54466</v>
      </c>
      <c r="F40" s="199">
        <v>733529.64212000021</v>
      </c>
      <c r="G40" s="578">
        <v>411512.26147008804</v>
      </c>
      <c r="H40" s="262">
        <f>SUM(B40:G40)</f>
        <v>2519242.3327821661</v>
      </c>
      <c r="I40" s="199">
        <v>14473.583910000045</v>
      </c>
      <c r="J40" s="113">
        <f>SUM(I40:I40)</f>
        <v>14473.583910000045</v>
      </c>
      <c r="K40" s="199">
        <v>59193</v>
      </c>
      <c r="L40" s="199">
        <v>49937</v>
      </c>
      <c r="M40" s="262">
        <f>SUM(K40:L40)</f>
        <v>109130</v>
      </c>
      <c r="N40" s="587">
        <f>+H40+J40+M40</f>
        <v>2642845.9166921661</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J41" si="4">SUM(B38:B40)</f>
        <v>1307294.1340000001</v>
      </c>
      <c r="C41" s="87">
        <f t="shared" si="4"/>
        <v>32929.202870000001</v>
      </c>
      <c r="D41" s="87">
        <f t="shared" si="4"/>
        <v>3908.5923220779996</v>
      </c>
      <c r="E41" s="87">
        <f t="shared" si="4"/>
        <v>54466</v>
      </c>
      <c r="F41" s="87">
        <f t="shared" si="4"/>
        <v>2511185.74553</v>
      </c>
      <c r="G41" s="87">
        <f t="shared" si="4"/>
        <v>1061512.261470088</v>
      </c>
      <c r="H41" s="89">
        <f t="shared" si="4"/>
        <v>4971295.9361921661</v>
      </c>
      <c r="I41" s="87">
        <f t="shared" si="4"/>
        <v>814473.58391000004</v>
      </c>
      <c r="J41" s="585">
        <f t="shared" si="4"/>
        <v>814473.58391000004</v>
      </c>
      <c r="K41" s="87">
        <f>SUM(K38:K40)</f>
        <v>59193</v>
      </c>
      <c r="L41" s="87">
        <f>SUM(L38:L40)</f>
        <v>49937</v>
      </c>
      <c r="M41" s="113">
        <f>SUM(M38:M40)</f>
        <v>109130</v>
      </c>
      <c r="N41" s="90">
        <f>SUM(N38:N40)</f>
        <v>5894899.5201021656</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v>795165.90500000003</v>
      </c>
      <c r="C43" s="199">
        <v>0</v>
      </c>
      <c r="D43" s="199">
        <v>175060.60772886802</v>
      </c>
      <c r="E43" s="199">
        <v>285063</v>
      </c>
      <c r="F43" s="199">
        <v>1626216.0381100001</v>
      </c>
      <c r="G43" s="578">
        <v>342556.06677333999</v>
      </c>
      <c r="H43" s="262">
        <f>SUM(B43:G43)</f>
        <v>3224061.6176122082</v>
      </c>
      <c r="I43" s="199">
        <v>26397.001759999999</v>
      </c>
      <c r="J43" s="113">
        <f>SUM(I43:I43)</f>
        <v>26397.001759999999</v>
      </c>
      <c r="K43" s="199">
        <v>83895</v>
      </c>
      <c r="L43" s="199">
        <v>668774</v>
      </c>
      <c r="M43" s="262">
        <f>SUM(K43:L43)</f>
        <v>752669</v>
      </c>
      <c r="N43" s="587">
        <f>+H43+J43+M43</f>
        <v>4003127.6193722081</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37583772.138260007</v>
      </c>
      <c r="C44" s="87">
        <f t="shared" si="5"/>
        <v>2459177.1070088102</v>
      </c>
      <c r="D44" s="87">
        <f t="shared" si="5"/>
        <v>3828282.3447040804</v>
      </c>
      <c r="E44" s="87">
        <f t="shared" si="5"/>
        <v>9832996</v>
      </c>
      <c r="F44" s="87">
        <f t="shared" si="5"/>
        <v>44587457.613087587</v>
      </c>
      <c r="G44" s="87">
        <f t="shared" si="5"/>
        <v>47154229.640419476</v>
      </c>
      <c r="H44" s="89">
        <f>SUM(B44:G44)</f>
        <v>145445914.84347996</v>
      </c>
      <c r="I44" s="87">
        <f>+I29+I35+I41+I43</f>
        <v>3769825.4103700002</v>
      </c>
      <c r="J44" s="585">
        <f>+J29+J35+J41+J43</f>
        <v>3769825.4103700002</v>
      </c>
      <c r="K44" s="87">
        <f>+K29+K35+K41+K43</f>
        <v>6426052</v>
      </c>
      <c r="L44" s="87">
        <f>+L29+L35+L41+L43</f>
        <v>5891024</v>
      </c>
      <c r="M44" s="113">
        <f>SUM(K44:L44)</f>
        <v>12317076</v>
      </c>
      <c r="N44" s="90">
        <f>+H44+J44+M44</f>
        <v>161532816.25384995</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v>1500000</v>
      </c>
      <c r="C47" s="87">
        <v>5000</v>
      </c>
      <c r="D47" s="87">
        <v>450000</v>
      </c>
      <c r="E47" s="87">
        <v>270000</v>
      </c>
      <c r="F47" s="87">
        <v>1050000</v>
      </c>
      <c r="G47" s="87">
        <v>2093492</v>
      </c>
      <c r="H47" s="89">
        <f>SUM(B47:G47)</f>
        <v>5368492</v>
      </c>
      <c r="I47" s="87">
        <v>150000</v>
      </c>
      <c r="J47" s="113">
        <f>SUM(I47:I47)</f>
        <v>150000</v>
      </c>
      <c r="K47" s="87">
        <v>103837</v>
      </c>
      <c r="L47" s="87">
        <v>94373</v>
      </c>
      <c r="M47" s="113">
        <f>SUM(K47:L47)</f>
        <v>198210</v>
      </c>
      <c r="N47" s="90">
        <f>+H47+J47+M47</f>
        <v>5716702</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v>308777.81900000002</v>
      </c>
      <c r="C48" s="87">
        <v>12977</v>
      </c>
      <c r="D48" s="87">
        <v>27834.104950000001</v>
      </c>
      <c r="E48" s="87">
        <v>175811</v>
      </c>
      <c r="F48" s="87">
        <v>1279214.0487000002</v>
      </c>
      <c r="G48" s="87">
        <v>315525.61963999999</v>
      </c>
      <c r="H48" s="89">
        <f>SUM(B48:G48)</f>
        <v>2120139.5922900001</v>
      </c>
      <c r="I48" s="87">
        <v>139049.84042000002</v>
      </c>
      <c r="J48" s="113">
        <f>SUM(I48:I48)</f>
        <v>139049.84042000002</v>
      </c>
      <c r="K48" s="87">
        <v>79683</v>
      </c>
      <c r="L48" s="87">
        <v>73442</v>
      </c>
      <c r="M48" s="113">
        <f>SUM(K48:L48)</f>
        <v>153125</v>
      </c>
      <c r="N48" s="90">
        <f>+H48+J48+M48</f>
        <v>2412314.4327100003</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v>0</v>
      </c>
      <c r="C49" s="87">
        <v>14325</v>
      </c>
      <c r="D49" s="87">
        <v>110320.3655</v>
      </c>
      <c r="E49" s="87">
        <v>1387</v>
      </c>
      <c r="F49" s="87">
        <v>98479.455170000001</v>
      </c>
      <c r="G49" s="87">
        <v>0</v>
      </c>
      <c r="H49" s="89">
        <f>SUM(B49:G49)</f>
        <v>224511.82066999999</v>
      </c>
      <c r="I49" s="87">
        <v>0</v>
      </c>
      <c r="J49" s="113">
        <f>SUM(I49:I49)</f>
        <v>0</v>
      </c>
      <c r="K49" s="87">
        <v>0</v>
      </c>
      <c r="L49" s="87">
        <v>0</v>
      </c>
      <c r="M49" s="113">
        <f>SUM(K49:L49)</f>
        <v>0</v>
      </c>
      <c r="N49" s="90">
        <f>+H49+J49+M49</f>
        <v>224511.82066999999</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v>771045.60000000009</v>
      </c>
      <c r="C50" s="199">
        <v>5849.0701100000006</v>
      </c>
      <c r="D50" s="199">
        <v>-474508.97026999999</v>
      </c>
      <c r="E50" s="199">
        <v>385314</v>
      </c>
      <c r="F50" s="199">
        <v>912223.12018000102</v>
      </c>
      <c r="G50" s="578">
        <v>1985503.15414</v>
      </c>
      <c r="H50" s="262">
        <f>SUM(B50:G50)</f>
        <v>3585425.9741600011</v>
      </c>
      <c r="I50" s="199">
        <v>136784.29275999998</v>
      </c>
      <c r="J50" s="113">
        <f>SUM(I50:I50)</f>
        <v>136784.29275999998</v>
      </c>
      <c r="K50" s="199">
        <v>65618</v>
      </c>
      <c r="L50" s="199">
        <v>121372</v>
      </c>
      <c r="M50" s="262">
        <f>SUM(K50:L50)</f>
        <v>186990</v>
      </c>
      <c r="N50" s="587">
        <f>+H50+J50+M50</f>
        <v>3909200.2669200012</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2579823.4190000002</v>
      </c>
      <c r="C51" s="97">
        <f t="shared" si="6"/>
        <v>38151.070110000001</v>
      </c>
      <c r="D51" s="97">
        <f t="shared" si="6"/>
        <v>113645.50018000003</v>
      </c>
      <c r="E51" s="97">
        <f t="shared" si="6"/>
        <v>832512</v>
      </c>
      <c r="F51" s="97">
        <f t="shared" si="6"/>
        <v>3339916.6240500011</v>
      </c>
      <c r="G51" s="97">
        <f t="shared" si="6"/>
        <v>4394520.7737800004</v>
      </c>
      <c r="H51" s="96">
        <f>SUM(B51:G51)</f>
        <v>11298569.387120001</v>
      </c>
      <c r="I51" s="97">
        <f t="shared" ref="I51:N51" si="7">SUM(I47:I50)</f>
        <v>425834.13318</v>
      </c>
      <c r="J51" s="584">
        <f t="shared" si="7"/>
        <v>425834.13318</v>
      </c>
      <c r="K51" s="97">
        <f t="shared" si="7"/>
        <v>249138</v>
      </c>
      <c r="L51" s="97">
        <f t="shared" si="7"/>
        <v>289187</v>
      </c>
      <c r="M51" s="115">
        <f t="shared" si="7"/>
        <v>538325</v>
      </c>
      <c r="N51" s="95">
        <f t="shared" si="7"/>
        <v>12262728.520300001</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J52" si="8">+B29+B35+B41+B43+B51</f>
        <v>40163595.557260007</v>
      </c>
      <c r="C52" s="90">
        <f t="shared" si="8"/>
        <v>2497328.1771188104</v>
      </c>
      <c r="D52" s="90">
        <f t="shared" si="8"/>
        <v>3941927.8448840803</v>
      </c>
      <c r="E52" s="90">
        <f t="shared" si="8"/>
        <v>10665508</v>
      </c>
      <c r="F52" s="90">
        <f t="shared" si="8"/>
        <v>47927374.237137586</v>
      </c>
      <c r="G52" s="90">
        <f t="shared" si="8"/>
        <v>51548750.414199479</v>
      </c>
      <c r="H52" s="89">
        <f t="shared" si="8"/>
        <v>156744484.23059997</v>
      </c>
      <c r="I52" s="90">
        <f t="shared" si="8"/>
        <v>4195659.5435500005</v>
      </c>
      <c r="J52" s="1014">
        <f t="shared" si="8"/>
        <v>4195659.5435500005</v>
      </c>
      <c r="K52" s="90">
        <f>+K29+K35+K41+K43+K51</f>
        <v>6675190</v>
      </c>
      <c r="L52" s="90">
        <f>+L29+L35+L41+L43+L51</f>
        <v>6180211</v>
      </c>
      <c r="M52" s="113">
        <f>+M29+M35+M41+M43+M51</f>
        <v>12855401</v>
      </c>
      <c r="N52" s="90">
        <f>(+N29+N35+N41+N43+N51)</f>
        <v>173795544.77414995</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v>0</v>
      </c>
      <c r="C56" s="87">
        <v>0</v>
      </c>
      <c r="D56" s="87">
        <v>0</v>
      </c>
      <c r="E56" s="87">
        <v>0</v>
      </c>
      <c r="F56" s="87">
        <v>96243.195259999993</v>
      </c>
      <c r="G56" s="87">
        <v>0</v>
      </c>
      <c r="H56" s="89">
        <f>SUM(B56:G56)</f>
        <v>96243.195259999993</v>
      </c>
      <c r="I56" s="87">
        <v>0</v>
      </c>
      <c r="J56" s="113">
        <f>SUM(I56:I56)</f>
        <v>0</v>
      </c>
      <c r="K56" s="87">
        <v>0</v>
      </c>
      <c r="L56" s="87">
        <v>0</v>
      </c>
      <c r="M56" s="113">
        <f>SUM(K56:L56)</f>
        <v>0</v>
      </c>
      <c r="N56" s="90">
        <f>+H56+J56+M56</f>
        <v>96243.195259999993</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v>131376.6</v>
      </c>
      <c r="C57" s="87">
        <v>0</v>
      </c>
      <c r="D57" s="87">
        <v>0</v>
      </c>
      <c r="E57" s="87">
        <v>0</v>
      </c>
      <c r="F57" s="87">
        <v>700594.30208000005</v>
      </c>
      <c r="G57" s="87">
        <v>812433.18080098799</v>
      </c>
      <c r="H57" s="89">
        <f>SUM(B57:G57)</f>
        <v>1644404.082880988</v>
      </c>
      <c r="I57" s="87">
        <v>0</v>
      </c>
      <c r="J57" s="113">
        <f>SUM(I57:I57)</f>
        <v>0</v>
      </c>
      <c r="K57" s="87">
        <v>28871</v>
      </c>
      <c r="L57" s="87">
        <v>6674</v>
      </c>
      <c r="M57" s="113">
        <f>SUM(K57:L57)</f>
        <v>35545</v>
      </c>
      <c r="N57" s="90">
        <f>+H57+J57+M57</f>
        <v>1679949.082880988</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v>106957.315</v>
      </c>
      <c r="C58" s="87">
        <v>149492.48112700199</v>
      </c>
      <c r="D58" s="87">
        <v>1243.272273</v>
      </c>
      <c r="E58" s="87">
        <v>142552</v>
      </c>
      <c r="F58" s="87">
        <v>2580318.6066300003</v>
      </c>
      <c r="G58" s="87">
        <v>376135.98200071009</v>
      </c>
      <c r="H58" s="89">
        <f>SUM(B58:G58)</f>
        <v>3356699.6570307123</v>
      </c>
      <c r="I58" s="87">
        <v>413110.81009000004</v>
      </c>
      <c r="J58" s="113">
        <f>SUM(I58:I58)</f>
        <v>413110.81009000004</v>
      </c>
      <c r="K58" s="87">
        <v>2328875</v>
      </c>
      <c r="L58" s="87">
        <v>346649</v>
      </c>
      <c r="M58" s="113">
        <f>SUM(K58:L58)</f>
        <v>2675524</v>
      </c>
      <c r="N58" s="90">
        <f>+H58+J58+M58</f>
        <v>6445334.4671207126</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t="s">
        <v>0</v>
      </c>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v>9721066.1561500002</v>
      </c>
      <c r="C60" s="87">
        <v>1555938.3810000001</v>
      </c>
      <c r="D60" s="87">
        <v>1351852.563683196</v>
      </c>
      <c r="E60" s="87">
        <v>4698230</v>
      </c>
      <c r="F60" s="87">
        <v>18264947.366329998</v>
      </c>
      <c r="G60" s="87">
        <v>18010890.498780001</v>
      </c>
      <c r="H60" s="89">
        <f>SUM(B60:G60)</f>
        <v>53602924.965943187</v>
      </c>
      <c r="I60" s="87">
        <v>2549159.6059389999</v>
      </c>
      <c r="J60" s="113">
        <f>SUM(I60:I60)</f>
        <v>2549159.6059389999</v>
      </c>
      <c r="K60" s="87">
        <v>1564586</v>
      </c>
      <c r="L60" s="87">
        <v>2296874</v>
      </c>
      <c r="M60" s="113">
        <f>SUM(K60:L60)</f>
        <v>3861460</v>
      </c>
      <c r="N60" s="90">
        <f>+H60+J60+M60</f>
        <v>60013544.571882188</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v>157993.1</v>
      </c>
      <c r="C61" s="87">
        <v>350987.89889999997</v>
      </c>
      <c r="D61" s="87">
        <v>16445.590975800002</v>
      </c>
      <c r="E61" s="87">
        <v>36530</v>
      </c>
      <c r="F61" s="87">
        <v>343000.44068</v>
      </c>
      <c r="G61" s="87">
        <v>94523.604119999989</v>
      </c>
      <c r="H61" s="89">
        <f>SUM(B61:G61)</f>
        <v>999480.63467579999</v>
      </c>
      <c r="I61" s="87">
        <v>66658.998739999995</v>
      </c>
      <c r="J61" s="113">
        <f>SUM(I61:I61)</f>
        <v>66658.998739999995</v>
      </c>
      <c r="K61" s="87">
        <v>756</v>
      </c>
      <c r="L61" s="87">
        <v>129348.9</v>
      </c>
      <c r="M61" s="113">
        <f>SUM(K61:L61)</f>
        <v>130104.9</v>
      </c>
      <c r="N61" s="90">
        <f>+H61+J61+M61</f>
        <v>1196244.5334158</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v>229926.67491999999</v>
      </c>
      <c r="C62" s="87">
        <v>410407.12669054599</v>
      </c>
      <c r="D62" s="87">
        <v>13265</v>
      </c>
      <c r="E62" s="87">
        <v>39178</v>
      </c>
      <c r="F62" s="87">
        <v>619479</v>
      </c>
      <c r="G62" s="87">
        <v>43813.48558</v>
      </c>
      <c r="H62" s="89">
        <f>SUM(B62:G62)</f>
        <v>1356069.287190546</v>
      </c>
      <c r="I62" s="87">
        <v>200340.14794</v>
      </c>
      <c r="J62" s="113">
        <f>SUM(I62:I62)</f>
        <v>200340.14794</v>
      </c>
      <c r="K62" s="87">
        <v>0</v>
      </c>
      <c r="L62" s="87">
        <v>215535</v>
      </c>
      <c r="M62" s="113">
        <f>SUM(K62:L62)</f>
        <v>215535</v>
      </c>
      <c r="N62" s="90">
        <f>+H62+J62+M62</f>
        <v>1771944.4351305461</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f>+'bncgdes&amp;$ '!B30</f>
        <v>14356274.529310001</v>
      </c>
      <c r="C68" s="20">
        <f>+'bphgdes&amp;$'!B30</f>
        <v>1895744.6445899999</v>
      </c>
      <c r="D68" s="20">
        <f>+'buhgdes&amp;$'!B30</f>
        <v>2497761.247505975</v>
      </c>
      <c r="E68" s="20">
        <f>+'capitalbkgdes&amp;$'!B30</f>
        <v>6623756</v>
      </c>
      <c r="F68" s="20">
        <f>+'sogebkgdes&amp;$  '!B30</f>
        <v>25516968.386440001</v>
      </c>
      <c r="G68" s="20">
        <f>+'unibkgdes&amp;$'!B30</f>
        <v>30680322.285385784</v>
      </c>
      <c r="H68" s="89">
        <f>SUM(B68:G68)</f>
        <v>81570827.093231767</v>
      </c>
      <c r="I68" s="20">
        <f>+'sgbelgdes&amp;$'!B30</f>
        <v>3332456.9353400003</v>
      </c>
      <c r="J68" s="113">
        <f>+I68</f>
        <v>3332456.9353400003</v>
      </c>
      <c r="K68" s="20">
        <f>+'cbnagdes&amp;$'!B30</f>
        <v>2092611</v>
      </c>
      <c r="L68" s="20">
        <f>+'scotiagdes&amp;$'!B30</f>
        <v>2652874</v>
      </c>
      <c r="M68" s="113">
        <f>SUM(K68:L68)</f>
        <v>4745485</v>
      </c>
      <c r="N68" s="90">
        <f>+H68+J68+M68</f>
        <v>89648769.02857177</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29"/>
      <c r="C73" s="417"/>
      <c r="D73" s="429"/>
      <c r="F73" s="592"/>
      <c r="G73" s="592"/>
      <c r="I73" s="1559"/>
      <c r="J73" s="1559"/>
      <c r="K73" s="418"/>
      <c r="L73" s="417"/>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18"/>
      <c r="C74" s="417"/>
      <c r="D74" s="429"/>
      <c r="F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591"/>
      <c r="C75" s="670"/>
      <c r="D75" s="671"/>
      <c r="F75" s="670"/>
      <c r="G75" s="672"/>
      <c r="I75" s="670"/>
      <c r="J75" s="671"/>
      <c r="K75" s="418"/>
      <c r="L75" s="670"/>
      <c r="M75" s="671"/>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c r="C76" s="670"/>
      <c r="D76" s="671"/>
      <c r="F76" s="670"/>
      <c r="G76" s="672"/>
      <c r="I76" s="670"/>
      <c r="J76" s="671"/>
      <c r="K76" s="418"/>
      <c r="L76" s="670"/>
      <c r="M76" s="671"/>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c r="C77" s="670"/>
      <c r="D77" s="671"/>
      <c r="F77" s="670"/>
      <c r="G77" s="672"/>
      <c r="I77" s="670"/>
      <c r="J77" s="671"/>
      <c r="K77" s="418"/>
      <c r="L77" s="670"/>
      <c r="M77" s="671"/>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c r="C78" s="670"/>
      <c r="D78" s="671"/>
      <c r="F78" s="670"/>
      <c r="G78" s="672"/>
      <c r="I78" s="670"/>
      <c r="J78" s="671"/>
      <c r="K78" s="418"/>
      <c r="L78" s="670"/>
      <c r="M78" s="671"/>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c r="C79" s="670"/>
      <c r="D79" s="671"/>
      <c r="F79" s="670"/>
      <c r="G79" s="672"/>
      <c r="I79" s="670"/>
      <c r="J79" s="671"/>
      <c r="K79" s="418"/>
      <c r="L79" s="670"/>
      <c r="M79" s="671"/>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c r="C80" s="670"/>
      <c r="D80" s="671"/>
      <c r="F80" s="670"/>
      <c r="G80" s="672"/>
      <c r="I80" s="670"/>
      <c r="J80" s="671"/>
      <c r="K80" s="418"/>
      <c r="L80" s="670"/>
      <c r="M80" s="671"/>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c r="C81" s="670"/>
      <c r="D81" s="671"/>
      <c r="F81" s="670"/>
      <c r="G81" s="672"/>
      <c r="I81" s="670"/>
      <c r="J81" s="671"/>
      <c r="K81" s="418"/>
      <c r="L81" s="670"/>
      <c r="M81" s="671"/>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c r="C82" s="670"/>
      <c r="D82" s="671"/>
      <c r="F82" s="670"/>
      <c r="G82" s="672"/>
      <c r="I82" s="670"/>
      <c r="J82" s="671"/>
      <c r="K82" s="418"/>
      <c r="L82" s="670"/>
      <c r="M82" s="671"/>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c r="C83" s="670"/>
      <c r="D83" s="671"/>
      <c r="F83" s="670"/>
      <c r="G83" s="672"/>
      <c r="I83" s="670"/>
      <c r="J83" s="671"/>
      <c r="K83" s="418"/>
      <c r="L83" s="670"/>
      <c r="M83" s="671"/>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H84" s="670" t="s">
        <v>0</v>
      </c>
      <c r="I84" s="981" t="s">
        <v>0</v>
      </c>
      <c r="J84" s="418"/>
      <c r="K84" s="418"/>
      <c r="L84" s="418"/>
      <c r="M84" s="64"/>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c r="F85" s="98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I87" s="418"/>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C88" s="418"/>
      <c r="H88" s="418"/>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D89" s="418"/>
      <c r="E89" s="418"/>
      <c r="F89" s="418"/>
      <c r="G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65"/>
      <c r="D139" s="64"/>
      <c r="E139" s="64"/>
      <c r="F139" s="64"/>
      <c r="G139" s="64"/>
      <c r="H139" s="64"/>
      <c r="I139" s="64"/>
      <c r="J139" s="64"/>
      <c r="K139" s="418"/>
      <c r="L139" s="65"/>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71"/>
      <c r="D140" s="69"/>
      <c r="E140" s="69"/>
      <c r="F140" s="69"/>
      <c r="G140" s="69"/>
      <c r="H140" s="69"/>
      <c r="I140" s="69"/>
      <c r="J140" s="69"/>
      <c r="K140" s="64"/>
      <c r="L140" s="71"/>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65"/>
      <c r="D141" s="64"/>
      <c r="E141" s="64"/>
      <c r="F141" s="64"/>
      <c r="G141" s="64"/>
      <c r="H141" s="64"/>
      <c r="I141" s="64"/>
      <c r="J141" s="64"/>
      <c r="K141" s="64"/>
      <c r="L141" s="65"/>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4"/>
      <c r="C142" s="71"/>
      <c r="D142" s="69"/>
      <c r="E142" s="69"/>
      <c r="F142" s="69"/>
      <c r="G142" s="69"/>
      <c r="H142" s="69"/>
      <c r="I142" s="69"/>
      <c r="J142" s="69"/>
      <c r="K142" s="64"/>
      <c r="L142" s="71"/>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65"/>
      <c r="D143" s="64"/>
      <c r="E143" s="64"/>
      <c r="F143" s="64"/>
      <c r="G143" s="64"/>
      <c r="H143" s="64"/>
      <c r="I143" s="64"/>
      <c r="J143" s="64"/>
      <c r="K143" s="64"/>
      <c r="L143" s="65"/>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71"/>
      <c r="D144" s="69"/>
      <c r="E144" s="69"/>
      <c r="F144" s="69"/>
      <c r="G144" s="69"/>
      <c r="H144" s="69"/>
      <c r="I144" s="69"/>
      <c r="J144" s="69"/>
      <c r="K144" s="64"/>
      <c r="L144" s="71"/>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65"/>
      <c r="D145" s="64"/>
      <c r="E145" s="64"/>
      <c r="F145" s="64"/>
      <c r="G145" s="64"/>
      <c r="H145" s="64"/>
      <c r="I145" s="64"/>
      <c r="J145" s="64"/>
      <c r="K145" s="64"/>
      <c r="L145" s="65"/>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71"/>
      <c r="D151" s="69"/>
      <c r="E151" s="69"/>
      <c r="F151" s="69"/>
      <c r="G151" s="69"/>
      <c r="H151" s="69"/>
      <c r="I151" s="69"/>
      <c r="J151" s="69"/>
      <c r="K151" s="64"/>
      <c r="L151" s="71"/>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65"/>
      <c r="D152" s="64"/>
      <c r="E152" s="64"/>
      <c r="F152" s="64"/>
      <c r="G152" s="64"/>
      <c r="H152" s="64"/>
      <c r="I152" s="64"/>
      <c r="J152" s="64"/>
      <c r="K152" s="64"/>
      <c r="L152" s="65"/>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71" t="s">
        <v>0</v>
      </c>
      <c r="D155" s="69" t="s">
        <v>0</v>
      </c>
      <c r="E155" s="69"/>
      <c r="F155" s="69">
        <f>+F106+F110+F112+F114+F129+F138+F140+F142+F144+F151</f>
        <v>0</v>
      </c>
      <c r="G155" s="69"/>
      <c r="H155" s="69"/>
      <c r="I155" s="69" t="s">
        <v>0</v>
      </c>
      <c r="J155" s="69"/>
      <c r="K155" s="64"/>
      <c r="L155" s="71" t="s">
        <v>0</v>
      </c>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65"/>
      <c r="D156" s="64"/>
      <c r="E156" s="64"/>
      <c r="F156" s="64"/>
      <c r="G156" s="64"/>
      <c r="H156" s="64"/>
      <c r="I156" s="64"/>
      <c r="J156" s="64"/>
      <c r="K156" s="64"/>
      <c r="L156" s="65"/>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K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mergeCells count="1">
    <mergeCell ref="I73:J73"/>
  </mergeCells>
  <pageMargins left="0.2" right="0.21" top="0.68" bottom="0.45" header="0.5" footer="0.23"/>
  <pageSetup scale="55" orientation="landscape" r:id="rId1"/>
  <headerFooter alignWithMargins="0">
    <oddFooter>&amp;R&amp;16&amp;P</oddFooter>
  </headerFooter>
</worksheet>
</file>

<file path=xl/worksheets/sheet57.xml><?xml version="1.0" encoding="utf-8"?>
<worksheet xmlns="http://schemas.openxmlformats.org/spreadsheetml/2006/main" xmlns:r="http://schemas.openxmlformats.org/officeDocument/2006/relationships">
  <sheetPr>
    <pageSetUpPr fitToPage="1"/>
  </sheetPr>
  <dimension ref="A1:AL188"/>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862</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1125774.3910000001</v>
      </c>
      <c r="C10" s="87">
        <v>83747.085480000009</v>
      </c>
      <c r="D10" s="87">
        <v>298001.03399062</v>
      </c>
      <c r="E10" s="87">
        <v>216823</v>
      </c>
      <c r="F10" s="87">
        <v>2150897.3297199998</v>
      </c>
      <c r="G10" s="87">
        <v>912865.38371062686</v>
      </c>
      <c r="H10" s="89">
        <f>SUM(B10:G10)</f>
        <v>4788108.2239012467</v>
      </c>
      <c r="I10" s="87">
        <v>20328.126110000001</v>
      </c>
      <c r="J10" s="113">
        <f>SUM(I10:I10)</f>
        <v>20328.126110000001</v>
      </c>
      <c r="K10" s="87">
        <v>49562</v>
      </c>
      <c r="L10" s="87">
        <v>61363</v>
      </c>
      <c r="M10" s="113">
        <f>SUM(K10:L10)</f>
        <v>110925</v>
      </c>
      <c r="N10" s="90">
        <f>+H10+J10+M10</f>
        <v>4919361.3500112463</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14051095.854</v>
      </c>
      <c r="C11" s="87">
        <v>886454.68745999993</v>
      </c>
      <c r="D11" s="87">
        <v>1114968.5584244921</v>
      </c>
      <c r="E11" s="87">
        <v>3210183</v>
      </c>
      <c r="F11" s="87">
        <v>13781253.740859998</v>
      </c>
      <c r="G11" s="87">
        <v>14115655.515871648</v>
      </c>
      <c r="H11" s="89">
        <f>SUM(B11:G11)</f>
        <v>47159611.356616139</v>
      </c>
      <c r="I11" s="87">
        <v>421016.94880000001</v>
      </c>
      <c r="J11" s="113">
        <f>SUM(I11:I11)</f>
        <v>421016.94880000001</v>
      </c>
      <c r="K11" s="87">
        <v>3900978</v>
      </c>
      <c r="L11" s="87">
        <v>1978928</v>
      </c>
      <c r="M11" s="113">
        <f>SUM(K11:L11)</f>
        <v>5879906</v>
      </c>
      <c r="N11" s="90">
        <f>+H11+J11+M11</f>
        <v>53460534.305416137</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1321623.389</v>
      </c>
      <c r="C12" s="87">
        <v>27857.297060000001</v>
      </c>
      <c r="D12" s="87">
        <v>140122.36790668598</v>
      </c>
      <c r="E12" s="87">
        <v>454411</v>
      </c>
      <c r="F12" s="87">
        <v>402613.79172000004</v>
      </c>
      <c r="G12" s="87">
        <v>3485954.516693431</v>
      </c>
      <c r="H12" s="89">
        <f>SUM(B12:G12)</f>
        <v>5832582.3623801172</v>
      </c>
      <c r="I12" s="87">
        <v>8644.5677599999999</v>
      </c>
      <c r="J12" s="113">
        <f>SUM(I12:I12)</f>
        <v>8644.5677599999999</v>
      </c>
      <c r="K12" s="87">
        <v>350870</v>
      </c>
      <c r="L12" s="87">
        <v>1328576</v>
      </c>
      <c r="M12" s="113">
        <f>SUM(K12:L12)</f>
        <v>1679446</v>
      </c>
      <c r="N12" s="90">
        <f>+H12+J12+M12</f>
        <v>7520672.9301401172</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104582.70977019801</v>
      </c>
      <c r="E13" s="87">
        <v>18804</v>
      </c>
      <c r="F13" s="87">
        <v>5536.7869800000008</v>
      </c>
      <c r="G13" s="87">
        <v>49710.833839603562</v>
      </c>
      <c r="H13" s="89">
        <f>SUM(B13:G13)</f>
        <v>178634.33058980157</v>
      </c>
      <c r="I13" s="87">
        <v>933812.14778</v>
      </c>
      <c r="J13" s="113">
        <f>SUM(I13:I13)</f>
        <v>933812.14778</v>
      </c>
      <c r="K13" s="87">
        <v>0</v>
      </c>
      <c r="L13" s="87">
        <v>0</v>
      </c>
      <c r="M13" s="113">
        <f>SUM(K13:L13)</f>
        <v>0</v>
      </c>
      <c r="N13" s="90">
        <f>+H13+J13+M13</f>
        <v>1112446.4783698015</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481671.288</v>
      </c>
      <c r="C14" s="199">
        <v>67705.350640000004</v>
      </c>
      <c r="D14" s="199">
        <v>29197.515932649996</v>
      </c>
      <c r="E14" s="199">
        <v>125908</v>
      </c>
      <c r="F14" s="199">
        <v>422918.86621000001</v>
      </c>
      <c r="G14" s="578">
        <v>502571.32398113399</v>
      </c>
      <c r="H14" s="262">
        <f>SUM(B14:G14)</f>
        <v>1629972.344763784</v>
      </c>
      <c r="I14" s="993">
        <v>8009.5607900000005</v>
      </c>
      <c r="J14" s="113">
        <f>SUM(I14:I14)</f>
        <v>8009.5607900000005</v>
      </c>
      <c r="K14" s="722">
        <v>71530</v>
      </c>
      <c r="L14" s="578">
        <v>22464</v>
      </c>
      <c r="M14" s="262">
        <f>SUM(K14:L14)</f>
        <v>93994</v>
      </c>
      <c r="N14" s="587">
        <f>+H14+J14+M14</f>
        <v>1731975.905553784</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16980164.922000002</v>
      </c>
      <c r="C15" s="87">
        <f t="shared" ref="C15:J15" si="0">SUM(C10:C14)</f>
        <v>1065764.4206399999</v>
      </c>
      <c r="D15" s="87">
        <f t="shared" si="0"/>
        <v>1686872.186024646</v>
      </c>
      <c r="E15" s="134">
        <f t="shared" si="0"/>
        <v>4026129</v>
      </c>
      <c r="F15" s="87">
        <f t="shared" si="0"/>
        <v>16763220.515489997</v>
      </c>
      <c r="G15" s="87">
        <f t="shared" si="0"/>
        <v>19066757.574096441</v>
      </c>
      <c r="H15" s="89">
        <f t="shared" si="0"/>
        <v>59588908.618251093</v>
      </c>
      <c r="I15" s="24">
        <f t="shared" si="0"/>
        <v>1391811.35124</v>
      </c>
      <c r="J15" s="586">
        <f t="shared" si="0"/>
        <v>1391811.35124</v>
      </c>
      <c r="K15" s="87">
        <f>SUM(K10:K14)</f>
        <v>4372940</v>
      </c>
      <c r="L15" s="87">
        <f>SUM(L10:L14)</f>
        <v>3391331</v>
      </c>
      <c r="M15" s="113">
        <f>SUM(M10:M14)</f>
        <v>7764271</v>
      </c>
      <c r="N15" s="90">
        <f>SUM(N10:N14)</f>
        <v>68744990.969491079</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3615151.6</v>
      </c>
      <c r="C17" s="87">
        <v>0</v>
      </c>
      <c r="D17" s="87">
        <v>0</v>
      </c>
      <c r="E17" s="87">
        <v>0</v>
      </c>
      <c r="F17" s="87">
        <v>1094848.5</v>
      </c>
      <c r="G17" s="87">
        <v>20000</v>
      </c>
      <c r="H17" s="89">
        <f>SUM(B17:G17)</f>
        <v>4730000.0999999996</v>
      </c>
      <c r="I17" s="87">
        <v>0</v>
      </c>
      <c r="J17" s="113">
        <f>SUM(I17:I17)</f>
        <v>0</v>
      </c>
      <c r="K17" s="87">
        <v>346315</v>
      </c>
      <c r="L17" s="87">
        <v>150000</v>
      </c>
      <c r="M17" s="113">
        <f>SUM(K17:L17)</f>
        <v>496315</v>
      </c>
      <c r="N17" s="90">
        <f>+H17+J17+M17</f>
        <v>5226315.0999999996</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v>9356585.0030000005</v>
      </c>
      <c r="C18" s="87">
        <v>24703.990740000001</v>
      </c>
      <c r="D18" s="87">
        <v>110671.18761821999</v>
      </c>
      <c r="E18" s="87">
        <v>633953</v>
      </c>
      <c r="F18" s="87">
        <v>10300008.18819</v>
      </c>
      <c r="G18" s="87">
        <v>13781840.017135173</v>
      </c>
      <c r="H18" s="89">
        <f>SUM(B18:G18)</f>
        <v>34207761.38668339</v>
      </c>
      <c r="I18" s="87">
        <v>29062.370800000001</v>
      </c>
      <c r="J18" s="113">
        <f>SUM(I18:I18)</f>
        <v>29062.370800000001</v>
      </c>
      <c r="K18" s="87">
        <v>160000</v>
      </c>
      <c r="L18" s="87">
        <v>0</v>
      </c>
      <c r="M18" s="113">
        <f>SUM(K18:L18)</f>
        <v>160000</v>
      </c>
      <c r="N18" s="90">
        <f>+H18+J18+M18</f>
        <v>34396823.757483393</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v>8898564.3246300016</v>
      </c>
      <c r="C19" s="87">
        <v>1021381.7901100001</v>
      </c>
      <c r="D19" s="87">
        <v>1356674.8408268241</v>
      </c>
      <c r="E19" s="87">
        <v>4469832</v>
      </c>
      <c r="F19" s="87">
        <v>16948580.061469998</v>
      </c>
      <c r="G19" s="87">
        <v>17586469.59725</v>
      </c>
      <c r="H19" s="89">
        <f>SUM(B19:G19)</f>
        <v>50281502.614286825</v>
      </c>
      <c r="I19" s="87">
        <v>2410670.4689510004</v>
      </c>
      <c r="J19" s="113">
        <f>SUM(I19:I19)</f>
        <v>2410670.4689510004</v>
      </c>
      <c r="K19" s="87">
        <v>1640201</v>
      </c>
      <c r="L19" s="87">
        <v>2122931</v>
      </c>
      <c r="M19" s="113">
        <f>SUM(K19:L19)</f>
        <v>3763132</v>
      </c>
      <c r="N19" s="90">
        <f>+H19+J19+M19</f>
        <v>56455305.083237827</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v>1142914.37157</v>
      </c>
      <c r="C20" s="87">
        <v>129932.22692</v>
      </c>
      <c r="D20" s="87">
        <v>213610.60895999998</v>
      </c>
      <c r="E20" s="87">
        <v>286638</v>
      </c>
      <c r="F20" s="87">
        <v>1511020.0558299997</v>
      </c>
      <c r="G20" s="87">
        <v>1336880.0043699997</v>
      </c>
      <c r="H20" s="89">
        <f>SUM(B20:G20)</f>
        <v>4620995.2676499989</v>
      </c>
      <c r="I20" s="87">
        <v>150038.61628999998</v>
      </c>
      <c r="J20" s="113">
        <f>SUM(I20:I20)</f>
        <v>150038.61628999998</v>
      </c>
      <c r="K20" s="87">
        <v>335257</v>
      </c>
      <c r="L20" s="87">
        <v>105769</v>
      </c>
      <c r="M20" s="113">
        <f>SUM(K20:L20)</f>
        <v>441026</v>
      </c>
      <c r="N20" s="90">
        <f>+H20+J20+M20</f>
        <v>5212059.8839399992</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v>1814458.835</v>
      </c>
      <c r="C21" s="97">
        <v>33508.432970000002</v>
      </c>
      <c r="D21" s="97">
        <v>67946.02256957801</v>
      </c>
      <c r="E21" s="97">
        <v>380810</v>
      </c>
      <c r="F21" s="97">
        <v>1651062.1380099999</v>
      </c>
      <c r="G21" s="579">
        <v>1101284.826482492</v>
      </c>
      <c r="H21" s="96">
        <f>SUM(B21:G21)</f>
        <v>5049070.25503207</v>
      </c>
      <c r="I21" s="994">
        <v>98301.968839999987</v>
      </c>
      <c r="J21" s="115">
        <f>SUM(I21:I21)</f>
        <v>98301.968839999987</v>
      </c>
      <c r="K21" s="660">
        <v>61844</v>
      </c>
      <c r="L21" s="579">
        <v>15653</v>
      </c>
      <c r="M21" s="96">
        <f>SUM(K21:L21)</f>
        <v>77497</v>
      </c>
      <c r="N21" s="588">
        <f>+H21+J21+M21</f>
        <v>5224869.2238720702</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J22" si="1">SUM(B15:B21)</f>
        <v>41807839.056200005</v>
      </c>
      <c r="C22" s="90">
        <f t="shared" si="1"/>
        <v>2275290.8613799997</v>
      </c>
      <c r="D22" s="90">
        <f t="shared" si="1"/>
        <v>3435774.8459992679</v>
      </c>
      <c r="E22" s="13">
        <f t="shared" si="1"/>
        <v>9797362</v>
      </c>
      <c r="F22" s="90">
        <f t="shared" si="1"/>
        <v>48268739.45899</v>
      </c>
      <c r="G22" s="90">
        <f t="shared" si="1"/>
        <v>52893232.0193341</v>
      </c>
      <c r="H22" s="89">
        <f t="shared" si="1"/>
        <v>158478238.24190336</v>
      </c>
      <c r="I22" s="90">
        <f t="shared" si="1"/>
        <v>4079884.7761209998</v>
      </c>
      <c r="J22" s="729">
        <f t="shared" si="1"/>
        <v>4079884.7761209998</v>
      </c>
      <c r="K22" s="13">
        <f>SUM(K15:K21)</f>
        <v>6916557</v>
      </c>
      <c r="L22" s="13">
        <f>SUM(L15:L21)</f>
        <v>5785684</v>
      </c>
      <c r="M22" s="113">
        <f>SUM(M15:M21)</f>
        <v>12702241</v>
      </c>
      <c r="N22" s="90">
        <f>SUM(N15:N21)</f>
        <v>175260364.01802436</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728"/>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t="s">
        <v>0</v>
      </c>
      <c r="G24" s="87"/>
      <c r="H24" s="1408" t="s">
        <v>0</v>
      </c>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v>25050932.145</v>
      </c>
      <c r="C26" s="87">
        <v>807897.01066999999</v>
      </c>
      <c r="D26" s="87">
        <v>975064.30621274596</v>
      </c>
      <c r="E26" s="87">
        <v>4099376</v>
      </c>
      <c r="F26" s="87">
        <v>13717850.850720001</v>
      </c>
      <c r="G26" s="87">
        <v>19922517.100442145</v>
      </c>
      <c r="H26" s="89">
        <f>SUM(B26:G26)</f>
        <v>64573637.413044885</v>
      </c>
      <c r="I26" s="87">
        <v>897079.97631000006</v>
      </c>
      <c r="J26" s="113">
        <f>SUM(I26:I26)</f>
        <v>897079.97631000006</v>
      </c>
      <c r="K26" s="87">
        <v>4743033</v>
      </c>
      <c r="L26" s="87">
        <v>2552155</v>
      </c>
      <c r="M26" s="113">
        <f>SUM(K26:L26)</f>
        <v>7295188</v>
      </c>
      <c r="N26" s="90">
        <f>+H26+J26+M26</f>
        <v>72765905.389354885</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v>8492905.6679999996</v>
      </c>
      <c r="C27" s="87">
        <v>493646.59649000003</v>
      </c>
      <c r="D27" s="87">
        <v>1791247.7203832939</v>
      </c>
      <c r="E27" s="87">
        <v>2420589</v>
      </c>
      <c r="F27" s="87">
        <v>17581201.858759999</v>
      </c>
      <c r="G27" s="87">
        <v>19008389.249872647</v>
      </c>
      <c r="H27" s="89">
        <f>SUM(B27:G27)</f>
        <v>49787980.093505941</v>
      </c>
      <c r="I27" s="87">
        <v>470184.82955000002</v>
      </c>
      <c r="J27" s="113">
        <f>SUM(I27:I27)</f>
        <v>470184.82955000002</v>
      </c>
      <c r="K27" s="87">
        <v>307417</v>
      </c>
      <c r="L27" s="87">
        <v>1379145</v>
      </c>
      <c r="M27" s="113">
        <f>SUM(K27:L27)</f>
        <v>1686562</v>
      </c>
      <c r="N27" s="90">
        <f>+H27+J27+M27</f>
        <v>51944726.923055939</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v>3005456.8402800001</v>
      </c>
      <c r="C28" s="199">
        <v>656892.04157</v>
      </c>
      <c r="D28" s="199">
        <v>613275.8233992419</v>
      </c>
      <c r="E28" s="199">
        <v>1661475</v>
      </c>
      <c r="F28" s="199">
        <v>6903345.1366809979</v>
      </c>
      <c r="G28" s="578">
        <v>4634793.527464306</v>
      </c>
      <c r="H28" s="262">
        <f>SUM(B28:G28)</f>
        <v>17475238.369394548</v>
      </c>
      <c r="I28" s="993">
        <v>1382335.57552</v>
      </c>
      <c r="J28" s="113">
        <f>SUM(I28:I28)</f>
        <v>1382335.57552</v>
      </c>
      <c r="K28" s="722">
        <v>1078658</v>
      </c>
      <c r="L28" s="578">
        <v>612609</v>
      </c>
      <c r="M28" s="262">
        <f>SUM(K28:L28)</f>
        <v>1691267</v>
      </c>
      <c r="N28" s="587">
        <f>+H28+J28+M28</f>
        <v>20548840.94491455</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J29" si="2">SUM(B26:B28)</f>
        <v>36549294.653280005</v>
      </c>
      <c r="C29" s="87">
        <f t="shared" si="2"/>
        <v>1958435.64873</v>
      </c>
      <c r="D29" s="87">
        <f t="shared" si="2"/>
        <v>3379587.849995282</v>
      </c>
      <c r="E29" s="87">
        <f t="shared" si="2"/>
        <v>8181440</v>
      </c>
      <c r="F29" s="87">
        <f t="shared" si="2"/>
        <v>38202397.846161</v>
      </c>
      <c r="G29" s="87">
        <f t="shared" si="2"/>
        <v>43565699.877779104</v>
      </c>
      <c r="H29" s="89">
        <f t="shared" si="2"/>
        <v>131836855.87594536</v>
      </c>
      <c r="I29" s="87">
        <f t="shared" si="2"/>
        <v>2749600.3813800002</v>
      </c>
      <c r="J29" s="586">
        <f t="shared" si="2"/>
        <v>2749600.3813800002</v>
      </c>
      <c r="K29" s="87">
        <f>SUM(K26:K28)</f>
        <v>6129108</v>
      </c>
      <c r="L29" s="87">
        <f>SUM(L26:L28)</f>
        <v>4543909</v>
      </c>
      <c r="M29" s="113">
        <f>SUM(M26:M28)</f>
        <v>10673017</v>
      </c>
      <c r="N29" s="90">
        <f>SUM(N26:N28)</f>
        <v>145259473.25732538</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v>0</v>
      </c>
      <c r="C32" s="87">
        <v>0</v>
      </c>
      <c r="D32" s="87">
        <v>0</v>
      </c>
      <c r="E32" s="87">
        <v>301116</v>
      </c>
      <c r="F32" s="87">
        <v>0</v>
      </c>
      <c r="G32" s="87">
        <v>0</v>
      </c>
      <c r="H32" s="89">
        <f>SUM(B32:G32)</f>
        <v>301116</v>
      </c>
      <c r="I32" s="87">
        <v>0</v>
      </c>
      <c r="J32" s="113">
        <f>SUM(I32:I32)</f>
        <v>0</v>
      </c>
      <c r="K32" s="87">
        <v>200000</v>
      </c>
      <c r="L32" s="87">
        <v>0</v>
      </c>
      <c r="M32" s="113">
        <f>SUM(K32:L32)</f>
        <v>200000</v>
      </c>
      <c r="N32" s="90">
        <f>+H32+J32+M32</f>
        <v>501116</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v>0</v>
      </c>
      <c r="C33" s="87">
        <v>0</v>
      </c>
      <c r="D33" s="87">
        <v>0</v>
      </c>
      <c r="E33" s="87">
        <v>0</v>
      </c>
      <c r="F33" s="87">
        <v>0</v>
      </c>
      <c r="G33" s="87">
        <v>0</v>
      </c>
      <c r="H33" s="89">
        <f>SUM(B33:G33)</f>
        <v>0</v>
      </c>
      <c r="I33" s="87">
        <v>0</v>
      </c>
      <c r="J33" s="113">
        <f>SUM(I33:I33)</f>
        <v>0</v>
      </c>
      <c r="K33" s="87">
        <v>0</v>
      </c>
      <c r="L33" s="87">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v>1291482.6200000001</v>
      </c>
      <c r="C34" s="199">
        <v>172713.33829638598</v>
      </c>
      <c r="D34" s="199">
        <v>106048.24018673399</v>
      </c>
      <c r="E34" s="199">
        <v>228270</v>
      </c>
      <c r="F34" s="199">
        <v>1501458.6681400002</v>
      </c>
      <c r="G34" s="578">
        <v>1003906.297501403</v>
      </c>
      <c r="H34" s="262">
        <f>SUM(B34:G34)</f>
        <v>4303879.1641245233</v>
      </c>
      <c r="I34" s="993">
        <v>85898.582160000005</v>
      </c>
      <c r="J34" s="113">
        <f>SUM(I34:I34)</f>
        <v>85898.582160000005</v>
      </c>
      <c r="K34" s="722">
        <v>250558</v>
      </c>
      <c r="L34" s="578">
        <v>220835</v>
      </c>
      <c r="M34" s="262">
        <f>SUM(K34:L34)</f>
        <v>471393</v>
      </c>
      <c r="N34" s="587">
        <f>+H34+J34+M34</f>
        <v>4861170.746284523</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J35" si="3">SUM(B32:B34)</f>
        <v>1291482.6200000001</v>
      </c>
      <c r="C35" s="87">
        <f t="shared" si="3"/>
        <v>172713.33829638598</v>
      </c>
      <c r="D35" s="87">
        <f t="shared" si="3"/>
        <v>106048.24018673399</v>
      </c>
      <c r="E35" s="87">
        <f t="shared" si="3"/>
        <v>529386</v>
      </c>
      <c r="F35" s="87">
        <f t="shared" si="3"/>
        <v>1501458.6681400002</v>
      </c>
      <c r="G35" s="87">
        <f t="shared" si="3"/>
        <v>1003906.297501403</v>
      </c>
      <c r="H35" s="89">
        <f t="shared" si="3"/>
        <v>4604995.1641245233</v>
      </c>
      <c r="I35" s="87">
        <f t="shared" si="3"/>
        <v>85898.582160000005</v>
      </c>
      <c r="J35" s="586">
        <f t="shared" si="3"/>
        <v>85898.582160000005</v>
      </c>
      <c r="K35" s="87">
        <f>SUM(K32:K34)</f>
        <v>450558</v>
      </c>
      <c r="L35" s="87">
        <f>SUM(L32:L34)</f>
        <v>220835</v>
      </c>
      <c r="M35" s="113">
        <f>SUM(M32:M34)</f>
        <v>671393</v>
      </c>
      <c r="N35" s="90">
        <f>SUM(N32:N34)</f>
        <v>5362286.746284523</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v>3000</v>
      </c>
      <c r="C38" s="87">
        <v>109808.2</v>
      </c>
      <c r="D38" s="87">
        <v>0</v>
      </c>
      <c r="E38" s="87">
        <v>0</v>
      </c>
      <c r="F38" s="87">
        <v>0</v>
      </c>
      <c r="G38" s="87">
        <v>700000</v>
      </c>
      <c r="H38" s="89">
        <f>SUM(B38:G38)</f>
        <v>812808.2</v>
      </c>
      <c r="I38" s="87">
        <v>800000</v>
      </c>
      <c r="J38" s="113">
        <f>SUM(I38:I38)</f>
        <v>800000</v>
      </c>
      <c r="K38" s="87">
        <v>0</v>
      </c>
      <c r="L38" s="87">
        <v>0</v>
      </c>
      <c r="M38" s="113">
        <f>SUM(K38:L38)</f>
        <v>0</v>
      </c>
      <c r="N38" s="90">
        <f>+H38+J38+M38</f>
        <v>1612808.2</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v>0</v>
      </c>
      <c r="C39" s="87">
        <v>0</v>
      </c>
      <c r="D39" s="87">
        <v>0</v>
      </c>
      <c r="E39" s="87">
        <v>0</v>
      </c>
      <c r="F39" s="87">
        <v>3050445.7209600001</v>
      </c>
      <c r="G39" s="87">
        <v>0</v>
      </c>
      <c r="H39" s="89">
        <f>SUM(B39:G39)</f>
        <v>3050445.7209600001</v>
      </c>
      <c r="I39" s="87">
        <v>0</v>
      </c>
      <c r="J39" s="113">
        <f>SUM(I39:I39)</f>
        <v>0</v>
      </c>
      <c r="K39" s="87">
        <v>0</v>
      </c>
      <c r="L39" s="87">
        <v>0</v>
      </c>
      <c r="M39" s="113">
        <f>SUM(K39:L39)</f>
        <v>0</v>
      </c>
      <c r="N39" s="90">
        <f>+H39+J39+M39</f>
        <v>3050445.7209600001</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v>1296361.8359999999</v>
      </c>
      <c r="C40" s="199">
        <v>19125.760219999996</v>
      </c>
      <c r="D40" s="199">
        <v>4700.1895252839995</v>
      </c>
      <c r="E40" s="199">
        <v>37972</v>
      </c>
      <c r="F40" s="199">
        <v>648902.23381000012</v>
      </c>
      <c r="G40" s="578">
        <v>3098159.4661208484</v>
      </c>
      <c r="H40" s="262">
        <f>SUM(B40:G40)</f>
        <v>5105221.4856761321</v>
      </c>
      <c r="I40" s="993">
        <v>7811.6602499999572</v>
      </c>
      <c r="J40" s="113">
        <f>SUM(I40:I40)</f>
        <v>7811.6602499999572</v>
      </c>
      <c r="K40" s="722">
        <v>50394</v>
      </c>
      <c r="L40" s="578">
        <v>31162</v>
      </c>
      <c r="M40" s="262">
        <f>SUM(K40:L40)</f>
        <v>81556</v>
      </c>
      <c r="N40" s="587">
        <f>+H40+J40+M40</f>
        <v>5194589.1459261319</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J41" si="4">SUM(B38:B40)</f>
        <v>1299361.8359999999</v>
      </c>
      <c r="C41" s="87">
        <f t="shared" si="4"/>
        <v>128933.96021999999</v>
      </c>
      <c r="D41" s="87">
        <f t="shared" si="4"/>
        <v>4700.1895252839995</v>
      </c>
      <c r="E41" s="87">
        <f t="shared" si="4"/>
        <v>37972</v>
      </c>
      <c r="F41" s="87">
        <f t="shared" si="4"/>
        <v>3699347.9547700002</v>
      </c>
      <c r="G41" s="87">
        <f t="shared" si="4"/>
        <v>3798159.4661208484</v>
      </c>
      <c r="H41" s="89">
        <f t="shared" si="4"/>
        <v>8968475.4066361319</v>
      </c>
      <c r="I41" s="87">
        <f t="shared" si="4"/>
        <v>807811.66024999996</v>
      </c>
      <c r="J41" s="585">
        <f t="shared" si="4"/>
        <v>807811.66024999996</v>
      </c>
      <c r="K41" s="87">
        <f>SUM(K38:K40)</f>
        <v>50394</v>
      </c>
      <c r="L41" s="87">
        <f>SUM(L38:L40)</f>
        <v>31162</v>
      </c>
      <c r="M41" s="113">
        <f>SUM(M38:M40)</f>
        <v>81556</v>
      </c>
      <c r="N41" s="90">
        <f>SUM(N38:N40)</f>
        <v>9857843.0668861307</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v>297123.80099999998</v>
      </c>
      <c r="C43" s="199">
        <v>21.5</v>
      </c>
      <c r="D43" s="199">
        <v>153644.77677201398</v>
      </c>
      <c r="E43" s="199">
        <v>270992</v>
      </c>
      <c r="F43" s="199">
        <v>1716274.91466</v>
      </c>
      <c r="G43" s="578">
        <v>450061.16434030398</v>
      </c>
      <c r="H43" s="262">
        <f>SUM(B43:G43)</f>
        <v>2888118.1567723183</v>
      </c>
      <c r="I43" s="993">
        <v>28751.886839999999</v>
      </c>
      <c r="J43" s="113">
        <f>SUM(I43:I43)</f>
        <v>28751.886839999999</v>
      </c>
      <c r="K43" s="722">
        <v>34708</v>
      </c>
      <c r="L43" s="578">
        <v>699384</v>
      </c>
      <c r="M43" s="262">
        <f>SUM(K43:L43)</f>
        <v>734092</v>
      </c>
      <c r="N43" s="587">
        <f>+H43+J43+M43</f>
        <v>3650962.0436123181</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39437262.910280004</v>
      </c>
      <c r="C44" s="87">
        <f t="shared" si="5"/>
        <v>2260104.4472463857</v>
      </c>
      <c r="D44" s="87">
        <f t="shared" si="5"/>
        <v>3643981.0564793139</v>
      </c>
      <c r="E44" s="87">
        <f t="shared" si="5"/>
        <v>9019790</v>
      </c>
      <c r="F44" s="87">
        <f t="shared" si="5"/>
        <v>45119479.383731</v>
      </c>
      <c r="G44" s="87">
        <f t="shared" si="5"/>
        <v>48817826.805741653</v>
      </c>
      <c r="H44" s="89">
        <f>SUM(B44:G44)</f>
        <v>148298444.60347837</v>
      </c>
      <c r="I44" s="87">
        <f>+I29+I35+I41+I43</f>
        <v>3672062.5106300004</v>
      </c>
      <c r="J44" s="585">
        <f>+J29+J35+J41+J43</f>
        <v>3672062.5106300004</v>
      </c>
      <c r="K44" s="87">
        <f>+K29+K35+K41+K43</f>
        <v>6664768</v>
      </c>
      <c r="L44" s="87">
        <f>+L29+L35+L41+L43</f>
        <v>5495290</v>
      </c>
      <c r="M44" s="113">
        <f>SUM(K44:L44)</f>
        <v>12160058</v>
      </c>
      <c r="N44" s="90">
        <f>+H44+J44+M44</f>
        <v>164130565.11410838</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v>1500000</v>
      </c>
      <c r="C47" s="87">
        <v>5000</v>
      </c>
      <c r="D47" s="87">
        <v>150202.375</v>
      </c>
      <c r="E47" s="87">
        <v>270000</v>
      </c>
      <c r="F47" s="87">
        <v>1050000</v>
      </c>
      <c r="G47" s="87">
        <v>2093492</v>
      </c>
      <c r="H47" s="89">
        <f>SUM(B47:G47)</f>
        <v>5068694.375</v>
      </c>
      <c r="I47" s="87">
        <v>150000</v>
      </c>
      <c r="J47" s="113">
        <f>SUM(I47:I47)</f>
        <v>150000</v>
      </c>
      <c r="K47" s="87">
        <v>103837</v>
      </c>
      <c r="L47" s="87">
        <v>94373</v>
      </c>
      <c r="M47" s="113">
        <f>SUM(K47:L47)</f>
        <v>198210</v>
      </c>
      <c r="N47" s="90">
        <f>+H47+J47+M47</f>
        <v>5416904.375</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v>229831.353</v>
      </c>
      <c r="C48" s="87">
        <v>12977</v>
      </c>
      <c r="D48" s="87">
        <v>24498.97294</v>
      </c>
      <c r="E48" s="87">
        <v>173152</v>
      </c>
      <c r="F48" s="87">
        <v>1264955.1063600001</v>
      </c>
      <c r="G48" s="87">
        <v>332871.22052999999</v>
      </c>
      <c r="H48" s="89">
        <f>SUM(B48:G48)</f>
        <v>2038285.65283</v>
      </c>
      <c r="I48" s="87">
        <v>139049.84042000002</v>
      </c>
      <c r="J48" s="113">
        <f>SUM(I48:I48)</f>
        <v>139049.84042000002</v>
      </c>
      <c r="K48" s="87">
        <v>79683</v>
      </c>
      <c r="L48" s="87">
        <v>73217</v>
      </c>
      <c r="M48" s="113">
        <f>SUM(K48:L48)</f>
        <v>152900</v>
      </c>
      <c r="N48" s="90">
        <f>+H48+J48+M48</f>
        <v>2330235.4932500003</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v>0</v>
      </c>
      <c r="C49" s="87">
        <v>14325</v>
      </c>
      <c r="D49" s="87">
        <v>105320.72348</v>
      </c>
      <c r="E49" s="87">
        <v>1387</v>
      </c>
      <c r="F49" s="87">
        <v>98479.455170000001</v>
      </c>
      <c r="G49" s="87">
        <v>0</v>
      </c>
      <c r="H49" s="89">
        <f>SUM(B49:G49)</f>
        <v>219512.17865000002</v>
      </c>
      <c r="I49" s="87">
        <v>0</v>
      </c>
      <c r="J49" s="113">
        <f>SUM(I49:I49)</f>
        <v>0</v>
      </c>
      <c r="K49" s="87">
        <v>0</v>
      </c>
      <c r="L49" s="87">
        <v>0</v>
      </c>
      <c r="M49" s="113">
        <f>SUM(K49:L49)</f>
        <v>0</v>
      </c>
      <c r="N49" s="90">
        <f>+H49+J49+M49</f>
        <v>219512.17865000002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v>640744.79</v>
      </c>
      <c r="C50" s="199">
        <v>-17115.58668</v>
      </c>
      <c r="D50" s="199">
        <v>-488228.2819</v>
      </c>
      <c r="E50" s="199">
        <v>333033</v>
      </c>
      <c r="F50" s="199">
        <v>735825.51373000001</v>
      </c>
      <c r="G50" s="578">
        <v>1649041.99331</v>
      </c>
      <c r="H50" s="262">
        <f>SUM(B50:G50)</f>
        <v>2853301.4284600001</v>
      </c>
      <c r="I50" s="993">
        <v>118772.42507</v>
      </c>
      <c r="J50" s="113">
        <f>SUM(I50:I50)</f>
        <v>118772.42507</v>
      </c>
      <c r="K50" s="722">
        <v>68269</v>
      </c>
      <c r="L50" s="578">
        <v>122804</v>
      </c>
      <c r="M50" s="262">
        <f>SUM(K50:L50)</f>
        <v>191073</v>
      </c>
      <c r="N50" s="587">
        <f>+H50+J50+M50</f>
        <v>3163146.85353</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2370576.1430000002</v>
      </c>
      <c r="C51" s="97">
        <f t="shared" si="6"/>
        <v>15186.41332</v>
      </c>
      <c r="D51" s="97">
        <f t="shared" si="6"/>
        <v>-208206.21048000001</v>
      </c>
      <c r="E51" s="97">
        <f t="shared" si="6"/>
        <v>777572</v>
      </c>
      <c r="F51" s="97">
        <f t="shared" si="6"/>
        <v>3149260.0752600003</v>
      </c>
      <c r="G51" s="97">
        <f t="shared" si="6"/>
        <v>4075405.2138400003</v>
      </c>
      <c r="H51" s="96">
        <f>SUM(B51:G51)</f>
        <v>10179793.63494</v>
      </c>
      <c r="I51" s="97">
        <f t="shared" ref="I51:N51" si="7">SUM(I47:I50)</f>
        <v>407822.26549000002</v>
      </c>
      <c r="J51" s="584">
        <f t="shared" si="7"/>
        <v>407822.26549000002</v>
      </c>
      <c r="K51" s="97">
        <f t="shared" si="7"/>
        <v>251789</v>
      </c>
      <c r="L51" s="97">
        <f t="shared" si="7"/>
        <v>290394</v>
      </c>
      <c r="M51" s="115">
        <f t="shared" si="7"/>
        <v>542183</v>
      </c>
      <c r="N51" s="95">
        <f t="shared" si="7"/>
        <v>11129798.900430001</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J52" si="8">+B29+B35+B41+B43+B51</f>
        <v>41807839.053280003</v>
      </c>
      <c r="C52" s="90">
        <f t="shared" si="8"/>
        <v>2275290.8605663856</v>
      </c>
      <c r="D52" s="90">
        <f t="shared" si="8"/>
        <v>3435774.845999314</v>
      </c>
      <c r="E52" s="90">
        <f t="shared" si="8"/>
        <v>9797362</v>
      </c>
      <c r="F52" s="90">
        <f t="shared" si="8"/>
        <v>48268739.458990999</v>
      </c>
      <c r="G52" s="90">
        <f t="shared" si="8"/>
        <v>52893232.019581653</v>
      </c>
      <c r="H52" s="89">
        <f t="shared" si="8"/>
        <v>158478238.23841831</v>
      </c>
      <c r="I52" s="90">
        <f t="shared" si="8"/>
        <v>4079884.7761200005</v>
      </c>
      <c r="J52" s="1014">
        <f t="shared" si="8"/>
        <v>4079884.7761200005</v>
      </c>
      <c r="K52" s="90">
        <f>+K29+K35+K41+K43+K51</f>
        <v>6916557</v>
      </c>
      <c r="L52" s="90">
        <f>+L29+L35+L41+L43+L51</f>
        <v>5785684</v>
      </c>
      <c r="M52" s="113">
        <f>+M29+M35+M41+M43+M51</f>
        <v>12702241</v>
      </c>
      <c r="N52" s="90">
        <f>(+N29+N35+N41+N43+N51)</f>
        <v>175260364.01453835</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v>0</v>
      </c>
      <c r="C56" s="87">
        <v>0</v>
      </c>
      <c r="D56" s="87">
        <v>0</v>
      </c>
      <c r="E56" s="87">
        <v>0</v>
      </c>
      <c r="F56" s="87">
        <v>56042.975229999996</v>
      </c>
      <c r="G56" s="87">
        <v>0</v>
      </c>
      <c r="H56" s="89">
        <f>SUM(B56:G56)</f>
        <v>56042.975229999996</v>
      </c>
      <c r="I56" s="87">
        <v>0</v>
      </c>
      <c r="J56" s="113">
        <f>SUM(I56:I56)</f>
        <v>0</v>
      </c>
      <c r="K56" s="87">
        <v>0</v>
      </c>
      <c r="L56" s="87">
        <v>0</v>
      </c>
      <c r="M56" s="113">
        <f>SUM(K56:L56)</f>
        <v>0</v>
      </c>
      <c r="N56" s="90">
        <f>+H56+J56+M56</f>
        <v>56042.975229999996</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v>136677.11600000001</v>
      </c>
      <c r="C57" s="87">
        <v>0</v>
      </c>
      <c r="D57" s="87">
        <v>0</v>
      </c>
      <c r="E57" s="87">
        <v>0</v>
      </c>
      <c r="F57" s="87">
        <v>634216.41599999997</v>
      </c>
      <c r="G57" s="87">
        <v>835945.24076967197</v>
      </c>
      <c r="H57" s="89">
        <f>SUM(B57:G57)</f>
        <v>1606838.7727696719</v>
      </c>
      <c r="I57" s="87">
        <v>0</v>
      </c>
      <c r="J57" s="113">
        <f>SUM(I57:I57)</f>
        <v>0</v>
      </c>
      <c r="K57" s="87">
        <v>81038</v>
      </c>
      <c r="L57" s="87">
        <v>2581</v>
      </c>
      <c r="M57" s="113">
        <f>SUM(K57:L57)</f>
        <v>83619</v>
      </c>
      <c r="N57" s="90">
        <f>+H57+J57+M57</f>
        <v>1690457.7727696719</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v>65784.379000000001</v>
      </c>
      <c r="C58" s="87">
        <v>175989.91589728202</v>
      </c>
      <c r="D58" s="87">
        <v>1223.9094190000001</v>
      </c>
      <c r="E58" s="87">
        <v>175247</v>
      </c>
      <c r="F58" s="87">
        <v>2116670.7834200002</v>
      </c>
      <c r="G58" s="87">
        <v>432039.68510281807</v>
      </c>
      <c r="H58" s="89">
        <f>SUM(B58:G58)</f>
        <v>2966955.6728391005</v>
      </c>
      <c r="I58" s="87">
        <v>579832.23707999999</v>
      </c>
      <c r="J58" s="113">
        <f>SUM(I58:I58)</f>
        <v>579832.23707999999</v>
      </c>
      <c r="K58" s="87">
        <v>2217104</v>
      </c>
      <c r="L58" s="87">
        <v>290701</v>
      </c>
      <c r="M58" s="113">
        <f>SUM(K58:L58)</f>
        <v>2507805</v>
      </c>
      <c r="N58" s="90">
        <f>+H58+J58+M58</f>
        <v>6054592.9099190999</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t="s">
        <v>0</v>
      </c>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v>9108522.1306300014</v>
      </c>
      <c r="C60" s="87">
        <v>1366040.2529000002</v>
      </c>
      <c r="D60" s="87">
        <v>1388779.9356343681</v>
      </c>
      <c r="E60" s="87">
        <v>4501270</v>
      </c>
      <c r="F60" s="87">
        <v>17289870.828979999</v>
      </c>
      <c r="G60" s="87">
        <v>17668423.019480001</v>
      </c>
      <c r="H60" s="89">
        <f>SUM(B60:G60)</f>
        <v>51322906.167624369</v>
      </c>
      <c r="I60" s="87">
        <v>2472181.9381010002</v>
      </c>
      <c r="J60" s="113">
        <f>SUM(I60:I60)</f>
        <v>2472181.9381010002</v>
      </c>
      <c r="K60" s="87">
        <v>1640957</v>
      </c>
      <c r="L60" s="87">
        <v>2252076</v>
      </c>
      <c r="M60" s="113">
        <f>SUM(K60:L60)</f>
        <v>3893033</v>
      </c>
      <c r="N60" s="90">
        <f>+H60+J60+M60</f>
        <v>57688121.10572537</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v>209957.80600000001</v>
      </c>
      <c r="C61" s="87">
        <v>344658.46279000002</v>
      </c>
      <c r="D61" s="87">
        <v>32105.094807543999</v>
      </c>
      <c r="E61" s="87">
        <v>31438</v>
      </c>
      <c r="F61" s="87">
        <v>341290.76750999998</v>
      </c>
      <c r="G61" s="87">
        <v>81953.422229999996</v>
      </c>
      <c r="H61" s="89">
        <f>SUM(B61:G61)</f>
        <v>1041403.5533375441</v>
      </c>
      <c r="I61" s="87">
        <v>61511.469150000004</v>
      </c>
      <c r="J61" s="113">
        <f>SUM(I61:I61)</f>
        <v>61511.469150000004</v>
      </c>
      <c r="K61" s="87">
        <v>756</v>
      </c>
      <c r="L61" s="87">
        <v>129145.5</v>
      </c>
      <c r="M61" s="113">
        <f>SUM(K61:L61)</f>
        <v>129901.5</v>
      </c>
      <c r="N61" s="90">
        <f>+H61+J61+M61</f>
        <v>1232816.522487544</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v>159877.47900000002</v>
      </c>
      <c r="C62" s="87">
        <v>415904.63603000005</v>
      </c>
      <c r="D62" s="87">
        <v>12400</v>
      </c>
      <c r="E62" s="87">
        <v>30455</v>
      </c>
      <c r="F62" s="87">
        <v>349713</v>
      </c>
      <c r="G62" s="87">
        <v>41243.827000000005</v>
      </c>
      <c r="H62" s="89">
        <f>SUM(B62:G62)</f>
        <v>1009593.9420300002</v>
      </c>
      <c r="I62" s="87">
        <v>298179.181041</v>
      </c>
      <c r="J62" s="113">
        <f>SUM(I62:I62)</f>
        <v>298179.181041</v>
      </c>
      <c r="K62" s="87">
        <v>0</v>
      </c>
      <c r="L62" s="87">
        <v>208697</v>
      </c>
      <c r="M62" s="113">
        <f>SUM(K62:L62)</f>
        <v>208697</v>
      </c>
      <c r="N62" s="90">
        <f>+H62+J62+M62</f>
        <v>1516470.1230710002</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f>+'bncgdes&amp;$ '!B30</f>
        <v>14356274.529310001</v>
      </c>
      <c r="C68" s="20">
        <f>+'bphgdes&amp;$'!B30</f>
        <v>1895744.6445899999</v>
      </c>
      <c r="D68" s="20">
        <f>+'buhgdes&amp;$'!B30</f>
        <v>2497761.247505975</v>
      </c>
      <c r="E68" s="20">
        <f>+'capitalbkgdes&amp;$'!B30</f>
        <v>6623756</v>
      </c>
      <c r="F68" s="20">
        <f>+'sogebkgdes&amp;$  '!B30</f>
        <v>25516968.386440001</v>
      </c>
      <c r="G68" s="20">
        <f>+'unibkgdes&amp;$'!B30</f>
        <v>30680322.285385784</v>
      </c>
      <c r="H68" s="89">
        <f>SUM(B68:G68)</f>
        <v>81570827.093231767</v>
      </c>
      <c r="I68" s="20">
        <f>+'sgbelgdes&amp;$'!B30</f>
        <v>3332456.9353400003</v>
      </c>
      <c r="J68" s="113">
        <f>+I68</f>
        <v>3332456.9353400003</v>
      </c>
      <c r="K68" s="20">
        <f>+'cbnagdes&amp;$'!B30</f>
        <v>2092611</v>
      </c>
      <c r="L68" s="20">
        <f>+'scotiagdes&amp;$'!B30</f>
        <v>2652874</v>
      </c>
      <c r="M68" s="113">
        <f>SUM(K68:L68)</f>
        <v>4745485</v>
      </c>
      <c r="N68" s="90">
        <f>+H68+J68+M68</f>
        <v>89648769.02857177</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29"/>
      <c r="C73" s="417" t="s">
        <v>365</v>
      </c>
      <c r="D73" s="429"/>
      <c r="F73" s="592" t="s">
        <v>366</v>
      </c>
      <c r="G73" s="592"/>
      <c r="I73" s="1559" t="s">
        <v>637</v>
      </c>
      <c r="J73" s="1559"/>
      <c r="K73" s="418"/>
      <c r="L73" s="417" t="s">
        <v>779</v>
      </c>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18"/>
      <c r="C74" s="417"/>
      <c r="D74" s="429"/>
      <c r="F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591" t="s">
        <v>0</v>
      </c>
      <c r="C75" s="670" t="s">
        <v>65</v>
      </c>
      <c r="D75" s="671">
        <f>+unibkvar!D15</f>
        <v>0</v>
      </c>
      <c r="F75" s="670" t="s">
        <v>59</v>
      </c>
      <c r="G75" s="672">
        <f>+bncvar!D17</f>
        <v>0</v>
      </c>
      <c r="I75" s="670" t="s">
        <v>65</v>
      </c>
      <c r="J75" s="671">
        <f>+unibkvar!D20</f>
        <v>0</v>
      </c>
      <c r="K75" s="418"/>
      <c r="L75" s="670" t="s">
        <v>65</v>
      </c>
      <c r="M75" s="671">
        <f>+unibkvar!D52</f>
        <v>0</v>
      </c>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59</v>
      </c>
      <c r="D76" s="671">
        <f>+bncvar!D15</f>
        <v>0</v>
      </c>
      <c r="F76" s="670" t="s">
        <v>64</v>
      </c>
      <c r="G76" s="672">
        <f>+sogebkvar!D17</f>
        <v>0</v>
      </c>
      <c r="I76" s="670" t="s">
        <v>64</v>
      </c>
      <c r="J76" s="671">
        <f>+sogebkvar!D20</f>
        <v>0</v>
      </c>
      <c r="K76" s="418"/>
      <c r="L76" s="670" t="s">
        <v>64</v>
      </c>
      <c r="M76" s="671">
        <f>+sogebkvar!D52</f>
        <v>0</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64</v>
      </c>
      <c r="D77" s="671">
        <f>+sogebkvar!D15</f>
        <v>0</v>
      </c>
      <c r="F77" s="670" t="s">
        <v>68</v>
      </c>
      <c r="G77" s="672">
        <f>+cbnavar!D17</f>
        <v>0</v>
      </c>
      <c r="I77" s="670" t="s">
        <v>59</v>
      </c>
      <c r="J77" s="671">
        <f>+bncvar!D20</f>
        <v>0</v>
      </c>
      <c r="K77" s="418"/>
      <c r="L77" s="670" t="s">
        <v>59</v>
      </c>
      <c r="M77" s="671">
        <f>+bncvar!D52</f>
        <v>0</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68</v>
      </c>
      <c r="D78" s="671">
        <f>+cbnavar!D15</f>
        <v>0</v>
      </c>
      <c r="F78" s="670" t="s">
        <v>69</v>
      </c>
      <c r="G78" s="672">
        <f>+scotiavar!D17</f>
        <v>0</v>
      </c>
      <c r="I78" s="670" t="s">
        <v>66</v>
      </c>
      <c r="J78" s="671">
        <f>+capitalbkvar!D20</f>
        <v>0</v>
      </c>
      <c r="K78" s="418"/>
      <c r="L78" s="670" t="s">
        <v>66</v>
      </c>
      <c r="M78" s="671">
        <f>+capitalbkvar!D52</f>
        <v>0</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66</v>
      </c>
      <c r="D79" s="671">
        <f>+capitalbkvar!D15</f>
        <v>0</v>
      </c>
      <c r="F79" s="670" t="s">
        <v>65</v>
      </c>
      <c r="G79" s="672">
        <f>+unibkvar!D17</f>
        <v>0</v>
      </c>
      <c r="I79" s="670" t="s">
        <v>67</v>
      </c>
      <c r="J79" s="671">
        <f>+sgbelvar!D20</f>
        <v>0</v>
      </c>
      <c r="K79" s="418"/>
      <c r="L79" s="670" t="s">
        <v>67</v>
      </c>
      <c r="M79" s="671">
        <f>+sgbelvar!D52</f>
        <v>0</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69</v>
      </c>
      <c r="D80" s="671">
        <f>+scotiavar!D15</f>
        <v>0</v>
      </c>
      <c r="F80" s="670" t="s">
        <v>66</v>
      </c>
      <c r="G80" s="672">
        <f>+capitalbkvar!D17</f>
        <v>0</v>
      </c>
      <c r="I80" s="670" t="s">
        <v>69</v>
      </c>
      <c r="J80" s="671">
        <f>+scotiavar!D20</f>
        <v>0</v>
      </c>
      <c r="K80" s="418"/>
      <c r="L80" s="670" t="s">
        <v>69</v>
      </c>
      <c r="M80" s="671">
        <f>+scotiavar!D52</f>
        <v>0</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61</v>
      </c>
      <c r="D81" s="671">
        <f>+buhvar!D15</f>
        <v>0</v>
      </c>
      <c r="F81" s="670" t="s">
        <v>61</v>
      </c>
      <c r="G81" s="672">
        <f>+buhvar!D17</f>
        <v>0</v>
      </c>
      <c r="I81" s="670" t="s">
        <v>68</v>
      </c>
      <c r="J81" s="671">
        <f>+cbnavar!D20</f>
        <v>0</v>
      </c>
      <c r="K81" s="418"/>
      <c r="L81" s="670" t="s">
        <v>68</v>
      </c>
      <c r="M81" s="671">
        <f>+cbnavar!D52</f>
        <v>0</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67</v>
      </c>
      <c r="D82" s="671">
        <f>+sgbelvar!D15</f>
        <v>0</v>
      </c>
      <c r="F82" s="670" t="s">
        <v>60</v>
      </c>
      <c r="G82" s="672">
        <f>+bphvar!D17</f>
        <v>0</v>
      </c>
      <c r="I82" s="670" t="s">
        <v>61</v>
      </c>
      <c r="J82" s="671">
        <f>+buhvar!D20</f>
        <v>0</v>
      </c>
      <c r="K82" s="418"/>
      <c r="L82" s="670" t="s">
        <v>60</v>
      </c>
      <c r="M82" s="671">
        <f>+bphvar!D52</f>
        <v>0</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60</v>
      </c>
      <c r="D83" s="671">
        <f>+bphvar!D15</f>
        <v>0</v>
      </c>
      <c r="F83" s="670" t="s">
        <v>67</v>
      </c>
      <c r="G83" s="672">
        <f>+sgbelvar!D17</f>
        <v>0</v>
      </c>
      <c r="I83" s="670" t="s">
        <v>60</v>
      </c>
      <c r="J83" s="671">
        <f>+bphvar!D20</f>
        <v>0</v>
      </c>
      <c r="K83" s="418"/>
      <c r="L83" s="670" t="s">
        <v>61</v>
      </c>
      <c r="M83" s="671">
        <f>+buhvar!D52</f>
        <v>0</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H84" s="670" t="s">
        <v>0</v>
      </c>
      <c r="I84" s="981" t="s">
        <v>0</v>
      </c>
      <c r="J84" s="418"/>
      <c r="K84" s="418"/>
      <c r="L84" s="418"/>
      <c r="M84" s="64"/>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c r="F85" s="98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I87" s="418"/>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C88" s="418"/>
      <c r="H88" s="418"/>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D89" s="418"/>
      <c r="E89" s="418"/>
      <c r="F89" s="418"/>
      <c r="G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65"/>
      <c r="D139" s="64"/>
      <c r="E139" s="64"/>
      <c r="F139" s="64"/>
      <c r="G139" s="64"/>
      <c r="H139" s="64"/>
      <c r="I139" s="64"/>
      <c r="J139" s="64"/>
      <c r="K139" s="418"/>
      <c r="L139" s="65"/>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71"/>
      <c r="D140" s="69"/>
      <c r="E140" s="69"/>
      <c r="F140" s="69"/>
      <c r="G140" s="69"/>
      <c r="H140" s="69"/>
      <c r="I140" s="69"/>
      <c r="J140" s="69"/>
      <c r="K140" s="64"/>
      <c r="L140" s="71"/>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65"/>
      <c r="D141" s="64"/>
      <c r="E141" s="64"/>
      <c r="F141" s="64"/>
      <c r="G141" s="64"/>
      <c r="H141" s="64"/>
      <c r="I141" s="64"/>
      <c r="J141" s="64"/>
      <c r="K141" s="64"/>
      <c r="L141" s="65"/>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4"/>
      <c r="C142" s="71"/>
      <c r="D142" s="69"/>
      <c r="E142" s="69"/>
      <c r="F142" s="69"/>
      <c r="G142" s="69"/>
      <c r="H142" s="69"/>
      <c r="I142" s="69"/>
      <c r="J142" s="69"/>
      <c r="K142" s="64"/>
      <c r="L142" s="71"/>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65"/>
      <c r="D143" s="64"/>
      <c r="E143" s="64"/>
      <c r="F143" s="64"/>
      <c r="G143" s="64"/>
      <c r="H143" s="64"/>
      <c r="I143" s="64"/>
      <c r="J143" s="64"/>
      <c r="K143" s="64"/>
      <c r="L143" s="65"/>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71"/>
      <c r="D144" s="69"/>
      <c r="E144" s="69"/>
      <c r="F144" s="69"/>
      <c r="G144" s="69"/>
      <c r="H144" s="69"/>
      <c r="I144" s="69"/>
      <c r="J144" s="69"/>
      <c r="K144" s="64"/>
      <c r="L144" s="71"/>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65"/>
      <c r="D145" s="64"/>
      <c r="E145" s="64"/>
      <c r="F145" s="64"/>
      <c r="G145" s="64"/>
      <c r="H145" s="64"/>
      <c r="I145" s="64"/>
      <c r="J145" s="64"/>
      <c r="K145" s="64"/>
      <c r="L145" s="65"/>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71"/>
      <c r="D151" s="69"/>
      <c r="E151" s="69"/>
      <c r="F151" s="69"/>
      <c r="G151" s="69"/>
      <c r="H151" s="69"/>
      <c r="I151" s="69"/>
      <c r="J151" s="69"/>
      <c r="K151" s="64"/>
      <c r="L151" s="71"/>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65"/>
      <c r="D152" s="64"/>
      <c r="E152" s="64"/>
      <c r="F152" s="64"/>
      <c r="G152" s="64"/>
      <c r="H152" s="64"/>
      <c r="I152" s="64"/>
      <c r="J152" s="64"/>
      <c r="K152" s="64"/>
      <c r="L152" s="65"/>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71" t="s">
        <v>0</v>
      </c>
      <c r="D155" s="69" t="s">
        <v>0</v>
      </c>
      <c r="E155" s="69"/>
      <c r="F155" s="69">
        <f>+F106+F110+F112+F114+F129+F138+F140+F142+F144+F151</f>
        <v>0</v>
      </c>
      <c r="G155" s="69"/>
      <c r="H155" s="69"/>
      <c r="I155" s="69" t="s">
        <v>0</v>
      </c>
      <c r="J155" s="69"/>
      <c r="K155" s="64"/>
      <c r="L155" s="71" t="s">
        <v>0</v>
      </c>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65"/>
      <c r="D156" s="64"/>
      <c r="E156" s="64"/>
      <c r="F156" s="64"/>
      <c r="G156" s="64"/>
      <c r="H156" s="64"/>
      <c r="I156" s="64"/>
      <c r="J156" s="64"/>
      <c r="K156" s="64"/>
      <c r="L156" s="65"/>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K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mergeCells count="1">
    <mergeCell ref="I73:J73"/>
  </mergeCells>
  <pageMargins left="0.2" right="0.21" top="0.68" bottom="0.45" header="0.5" footer="0.23"/>
  <pageSetup scale="55" orientation="landscape" r:id="rId1"/>
  <headerFooter alignWithMargins="0">
    <oddFooter>&amp;R&amp;16&amp;P</oddFooter>
  </headerFooter>
</worksheet>
</file>

<file path=xl/worksheets/sheet58.xml><?xml version="1.0" encoding="utf-8"?>
<worksheet xmlns="http://schemas.openxmlformats.org/spreadsheetml/2006/main" xmlns:r="http://schemas.openxmlformats.org/officeDocument/2006/relationships">
  <sheetPr>
    <pageSetUpPr fitToPage="1"/>
  </sheetPr>
  <dimension ref="A1:AL188"/>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847</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v>831793.451</v>
      </c>
      <c r="C10" s="87">
        <v>99060.754000000001</v>
      </c>
      <c r="D10" s="87">
        <v>212743.78659993003</v>
      </c>
      <c r="E10" s="87">
        <v>256915</v>
      </c>
      <c r="F10" s="87">
        <v>3000007.2041099998</v>
      </c>
      <c r="G10" s="87">
        <v>1214779.2418644349</v>
      </c>
      <c r="H10" s="89">
        <f>SUM(B10:G10)</f>
        <v>5615299.4375743642</v>
      </c>
      <c r="I10" s="87">
        <v>31518.420469999997</v>
      </c>
      <c r="J10" s="113">
        <f>SUM(I10:I10)</f>
        <v>31518.420469999997</v>
      </c>
      <c r="K10" s="87">
        <v>59946</v>
      </c>
      <c r="L10" s="87">
        <v>96137</v>
      </c>
      <c r="M10" s="113">
        <f>SUM(K10:L10)</f>
        <v>156083</v>
      </c>
      <c r="N10" s="90">
        <f>+H10+J10+M10</f>
        <v>5802900.8580443645</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v>19984808.725000001</v>
      </c>
      <c r="C11" s="87">
        <v>562540.08096000005</v>
      </c>
      <c r="D11" s="87">
        <v>1039706.8151492699</v>
      </c>
      <c r="E11" s="87">
        <v>2538184</v>
      </c>
      <c r="F11" s="87">
        <v>10677126.131409999</v>
      </c>
      <c r="G11" s="87">
        <v>11930153.95497912</v>
      </c>
      <c r="H11" s="89">
        <f>SUM(B11:G11)</f>
        <v>46732519.707498394</v>
      </c>
      <c r="I11" s="87">
        <v>316478.57357999997</v>
      </c>
      <c r="J11" s="113">
        <f>SUM(I11:I11)</f>
        <v>316478.57357999997</v>
      </c>
      <c r="K11" s="87">
        <v>2244835</v>
      </c>
      <c r="L11" s="87">
        <v>1512264</v>
      </c>
      <c r="M11" s="113">
        <f>SUM(K11:L11)</f>
        <v>3757099</v>
      </c>
      <c r="N11" s="90">
        <f>+H11+J11+M11</f>
        <v>50806097.281078391</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v>1960153.7350000001</v>
      </c>
      <c r="C12" s="87">
        <v>33017.498970000001</v>
      </c>
      <c r="D12" s="87">
        <v>142975.30043803999</v>
      </c>
      <c r="E12" s="87">
        <v>576486</v>
      </c>
      <c r="F12" s="87">
        <v>1286737.8642</v>
      </c>
      <c r="G12" s="87">
        <v>3411551.9279267774</v>
      </c>
      <c r="H12" s="89">
        <f>SUM(B12:G12)</f>
        <v>7410922.326534817</v>
      </c>
      <c r="I12" s="87">
        <v>6642.4862599999997</v>
      </c>
      <c r="J12" s="113">
        <f>SUM(I12:I12)</f>
        <v>6642.4862599999997</v>
      </c>
      <c r="K12" s="87">
        <v>689454</v>
      </c>
      <c r="L12" s="87">
        <v>1347952</v>
      </c>
      <c r="M12" s="113">
        <f>SUM(K12:L12)</f>
        <v>2037406</v>
      </c>
      <c r="N12" s="90">
        <f>+H12+J12+M12</f>
        <v>9454970.8127948157</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v>0</v>
      </c>
      <c r="C13" s="87">
        <v>0</v>
      </c>
      <c r="D13" s="87">
        <v>106110.20385054001</v>
      </c>
      <c r="E13" s="87">
        <v>14466</v>
      </c>
      <c r="F13" s="87">
        <v>4058.22282</v>
      </c>
      <c r="G13" s="87">
        <v>171249.64058883168</v>
      </c>
      <c r="H13" s="89">
        <f>SUM(B13:G13)</f>
        <v>295884.06725937169</v>
      </c>
      <c r="I13" s="87">
        <v>1821102.3258100001</v>
      </c>
      <c r="J13" s="113">
        <f>SUM(I13:I13)</f>
        <v>1821102.3258100001</v>
      </c>
      <c r="K13" s="87">
        <v>0</v>
      </c>
      <c r="L13" s="87">
        <v>0</v>
      </c>
      <c r="M13" s="113">
        <f>SUM(K13:L13)</f>
        <v>0</v>
      </c>
      <c r="N13" s="90">
        <f>+H13+J13+M13</f>
        <v>2116986.3930693716</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v>347377.88900000002</v>
      </c>
      <c r="C14" s="199">
        <v>129635.97767000001</v>
      </c>
      <c r="D14" s="199">
        <v>23714.759456629999</v>
      </c>
      <c r="E14" s="199">
        <v>94778</v>
      </c>
      <c r="F14" s="199">
        <v>263750.64953</v>
      </c>
      <c r="G14" s="578">
        <v>553247.56796361995</v>
      </c>
      <c r="H14" s="262">
        <f>SUM(B14:G14)</f>
        <v>1412504.84362025</v>
      </c>
      <c r="I14" s="578">
        <v>13677.94774</v>
      </c>
      <c r="J14" s="113">
        <f>SUM(I14:I14)</f>
        <v>13677.94774</v>
      </c>
      <c r="K14" s="199">
        <v>258799</v>
      </c>
      <c r="L14" s="578">
        <v>109912</v>
      </c>
      <c r="M14" s="262">
        <f>SUM(K14:L14)</f>
        <v>368711</v>
      </c>
      <c r="N14" s="587">
        <f>+H14+J14+M14</f>
        <v>1794893.79136025</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23124133.800000001</v>
      </c>
      <c r="C15" s="87">
        <f t="shared" ref="C15:J15" si="0">SUM(C10:C14)</f>
        <v>824254.31160000002</v>
      </c>
      <c r="D15" s="87">
        <f t="shared" si="0"/>
        <v>1525250.86549441</v>
      </c>
      <c r="E15" s="134">
        <f t="shared" si="0"/>
        <v>3480829</v>
      </c>
      <c r="F15" s="87">
        <f t="shared" si="0"/>
        <v>15231680.072069999</v>
      </c>
      <c r="G15" s="87">
        <f t="shared" si="0"/>
        <v>17280982.333322782</v>
      </c>
      <c r="H15" s="89">
        <f t="shared" si="0"/>
        <v>61467130.382487193</v>
      </c>
      <c r="I15" s="24">
        <f t="shared" si="0"/>
        <v>2189419.7538600001</v>
      </c>
      <c r="J15" s="586">
        <f t="shared" si="0"/>
        <v>2189419.7538600001</v>
      </c>
      <c r="K15" s="87">
        <f>SUM(K10:K14)</f>
        <v>3253034</v>
      </c>
      <c r="L15" s="87">
        <f>SUM(L10:L14)</f>
        <v>3066265</v>
      </c>
      <c r="M15" s="113">
        <f>SUM(M10:M14)</f>
        <v>6319299</v>
      </c>
      <c r="N15" s="90">
        <f>SUM(N10:N14)</f>
        <v>69975849.13634719</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v>4542000</v>
      </c>
      <c r="C17" s="87">
        <v>0</v>
      </c>
      <c r="D17" s="87">
        <v>0</v>
      </c>
      <c r="E17" s="87">
        <v>199996</v>
      </c>
      <c r="F17" s="87">
        <v>300000</v>
      </c>
      <c r="G17" s="87">
        <v>400000</v>
      </c>
      <c r="H17" s="89">
        <f>SUM(B17:G17)</f>
        <v>5441996</v>
      </c>
      <c r="I17" s="87">
        <v>0</v>
      </c>
      <c r="J17" s="113">
        <f>SUM(I17:I17)</f>
        <v>0</v>
      </c>
      <c r="K17" s="87">
        <v>502282</v>
      </c>
      <c r="L17" s="87">
        <v>150000</v>
      </c>
      <c r="M17" s="113">
        <f>SUM(K17:L17)</f>
        <v>652282</v>
      </c>
      <c r="N17" s="90">
        <f>+H17+J17+M17</f>
        <v>6094278</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v>8974607.6639999971</v>
      </c>
      <c r="C18" s="87">
        <v>24429.854319999999</v>
      </c>
      <c r="D18" s="87">
        <v>24368.221910339998</v>
      </c>
      <c r="E18" s="87">
        <v>680212</v>
      </c>
      <c r="F18" s="87">
        <v>11059686.278069999</v>
      </c>
      <c r="G18" s="87">
        <v>14041948.060000001</v>
      </c>
      <c r="H18" s="89">
        <f>SUM(B18:G18)</f>
        <v>34805252.078300342</v>
      </c>
      <c r="I18" s="87">
        <v>29016.0108</v>
      </c>
      <c r="J18" s="113">
        <f>SUM(I18:I18)</f>
        <v>29016.0108</v>
      </c>
      <c r="K18" s="87">
        <v>0</v>
      </c>
      <c r="L18" s="87">
        <v>0</v>
      </c>
      <c r="M18" s="113">
        <f>SUM(K18:L18)</f>
        <v>0</v>
      </c>
      <c r="N18" s="90">
        <f>+H18+J18+M18</f>
        <v>34834268.089100339</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v>7972957.9045400005</v>
      </c>
      <c r="C19" s="87">
        <v>963206.82020000007</v>
      </c>
      <c r="D19" s="87">
        <v>1387587.6928136097</v>
      </c>
      <c r="E19" s="87">
        <v>4452685</v>
      </c>
      <c r="F19" s="87">
        <v>17558558.95744</v>
      </c>
      <c r="G19" s="87">
        <v>16687410.115430001</v>
      </c>
      <c r="H19" s="89">
        <f>SUM(B19:G19)</f>
        <v>49022406.490423612</v>
      </c>
      <c r="I19" s="87">
        <v>2280473.1045929999</v>
      </c>
      <c r="J19" s="113">
        <f>SUM(I19:I19)</f>
        <v>2280473.1045929999</v>
      </c>
      <c r="K19" s="87">
        <v>1415415</v>
      </c>
      <c r="L19" s="87">
        <v>2104721</v>
      </c>
      <c r="M19" s="113">
        <f>SUM(K19:L19)</f>
        <v>3520136</v>
      </c>
      <c r="N19" s="90">
        <f>+H19+J19+M19</f>
        <v>54823015.595016614</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v>1131922.2048800001</v>
      </c>
      <c r="C20" s="87">
        <v>139620.64819000001</v>
      </c>
      <c r="D20" s="87">
        <v>214063.50580000001</v>
      </c>
      <c r="E20" s="87">
        <v>295301</v>
      </c>
      <c r="F20" s="87">
        <v>1458585.3503899996</v>
      </c>
      <c r="G20" s="87">
        <v>1338502.29513</v>
      </c>
      <c r="H20" s="89">
        <f>SUM(B20:G20)</f>
        <v>4577995.0043899994</v>
      </c>
      <c r="I20" s="87">
        <v>155024.64772999997</v>
      </c>
      <c r="J20" s="113">
        <f>SUM(I20:I20)</f>
        <v>155024.64772999997</v>
      </c>
      <c r="K20" s="87">
        <v>311003</v>
      </c>
      <c r="L20" s="87">
        <v>80783</v>
      </c>
      <c r="M20" s="113">
        <f>SUM(K20:L20)</f>
        <v>391786</v>
      </c>
      <c r="N20" s="90">
        <f>+H20+J20+M20</f>
        <v>5124805.6521199998</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v>1840698.835</v>
      </c>
      <c r="C21" s="97">
        <v>154661.34338000001</v>
      </c>
      <c r="D21" s="97">
        <v>61367.73980073999</v>
      </c>
      <c r="E21" s="97">
        <v>521609</v>
      </c>
      <c r="F21" s="97">
        <v>2991822.0829700003</v>
      </c>
      <c r="G21" s="579">
        <v>1022001.6517487601</v>
      </c>
      <c r="H21" s="96">
        <f>SUM(B21:G21)</f>
        <v>6592160.6528995</v>
      </c>
      <c r="I21" s="579">
        <v>85327.839479999995</v>
      </c>
      <c r="J21" s="115">
        <f>SUM(I21:I21)</f>
        <v>85327.839479999995</v>
      </c>
      <c r="K21" s="97">
        <v>69241</v>
      </c>
      <c r="L21" s="579">
        <v>8644</v>
      </c>
      <c r="M21" s="96">
        <f>SUM(K21:L21)</f>
        <v>77885</v>
      </c>
      <c r="N21" s="588">
        <f>+H21+J21+M21</f>
        <v>6755373.4923794996</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J22" si="1">SUM(B15:B21)</f>
        <v>47586320.408420004</v>
      </c>
      <c r="C22" s="90">
        <f t="shared" si="1"/>
        <v>2106172.9776900001</v>
      </c>
      <c r="D22" s="90">
        <f t="shared" si="1"/>
        <v>3212638.0258191</v>
      </c>
      <c r="E22" s="13">
        <f t="shared" si="1"/>
        <v>9630632</v>
      </c>
      <c r="F22" s="90">
        <f t="shared" si="1"/>
        <v>48600332.740939997</v>
      </c>
      <c r="G22" s="90">
        <f t="shared" si="1"/>
        <v>50770844.455631539</v>
      </c>
      <c r="H22" s="89">
        <f t="shared" si="1"/>
        <v>161906940.60850066</v>
      </c>
      <c r="I22" s="90">
        <f t="shared" si="1"/>
        <v>4739261.3564630002</v>
      </c>
      <c r="J22" s="729">
        <f t="shared" si="1"/>
        <v>4739261.3564630002</v>
      </c>
      <c r="K22" s="13">
        <f>SUM(K15:K21)</f>
        <v>5550975</v>
      </c>
      <c r="L22" s="13">
        <f>SUM(L15:L21)</f>
        <v>5410413</v>
      </c>
      <c r="M22" s="113">
        <f>SUM(M15:M21)</f>
        <v>10961388</v>
      </c>
      <c r="N22" s="90">
        <f>SUM(N15:N21)</f>
        <v>177607589.96496361</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728"/>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t="s">
        <v>0</v>
      </c>
      <c r="G24" s="87"/>
      <c r="H24" s="1408" t="s">
        <v>0</v>
      </c>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v>31073825.213</v>
      </c>
      <c r="C26" s="87">
        <v>625106.23445999995</v>
      </c>
      <c r="D26" s="87">
        <v>861462.66819871997</v>
      </c>
      <c r="E26" s="87">
        <v>3984772</v>
      </c>
      <c r="F26" s="87">
        <v>14731939.250130001</v>
      </c>
      <c r="G26" s="87">
        <v>19300957.165896833</v>
      </c>
      <c r="H26" s="89">
        <f>SUM(B26:G26)</f>
        <v>70578062.531685546</v>
      </c>
      <c r="I26" s="87">
        <v>947016.48863999988</v>
      </c>
      <c r="J26" s="113">
        <f>SUM(I26:I26)</f>
        <v>947016.48863999988</v>
      </c>
      <c r="K26" s="87">
        <v>3315873</v>
      </c>
      <c r="L26" s="87">
        <v>2411463</v>
      </c>
      <c r="M26" s="113">
        <f>SUM(K26:L26)</f>
        <v>5727336</v>
      </c>
      <c r="N26" s="90">
        <f>+H26+J26+M26</f>
        <v>77252415.020325541</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v>8130876.3509999998</v>
      </c>
      <c r="C27" s="87">
        <v>484045.67729000002</v>
      </c>
      <c r="D27" s="87">
        <v>1708723.4049474201</v>
      </c>
      <c r="E27" s="87">
        <v>2420124</v>
      </c>
      <c r="F27" s="87">
        <v>17378672.822520003</v>
      </c>
      <c r="G27" s="87">
        <v>18320262.122790121</v>
      </c>
      <c r="H27" s="89">
        <f>SUM(B27:G27)</f>
        <v>48442704.378547542</v>
      </c>
      <c r="I27" s="87">
        <v>431247.03752000001</v>
      </c>
      <c r="J27" s="113">
        <f>SUM(I27:I27)</f>
        <v>431247.03752000001</v>
      </c>
      <c r="K27" s="87">
        <v>323453</v>
      </c>
      <c r="L27" s="87">
        <v>1347844</v>
      </c>
      <c r="M27" s="113">
        <f>SUM(K27:L27)</f>
        <v>1671297</v>
      </c>
      <c r="N27" s="90">
        <f>+H27+J27+M27</f>
        <v>50545248.416067541</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v>2971264.49279</v>
      </c>
      <c r="C28" s="199">
        <v>640305.12043999997</v>
      </c>
      <c r="D28" s="199">
        <v>606961.52318090003</v>
      </c>
      <c r="E28" s="199">
        <v>1673310</v>
      </c>
      <c r="F28" s="199">
        <v>6437346.700091321</v>
      </c>
      <c r="G28" s="578">
        <v>4516587.12458394</v>
      </c>
      <c r="H28" s="262">
        <f>SUM(B28:G28)</f>
        <v>16845774.961086161</v>
      </c>
      <c r="I28" s="578">
        <v>2023658.3964500001</v>
      </c>
      <c r="J28" s="113">
        <f>SUM(I28:I28)</f>
        <v>2023658.3964500001</v>
      </c>
      <c r="K28" s="199">
        <v>1082662</v>
      </c>
      <c r="L28" s="578">
        <v>643374</v>
      </c>
      <c r="M28" s="262">
        <f>SUM(K28:L28)</f>
        <v>1726036</v>
      </c>
      <c r="N28" s="587">
        <f>+H28+J28+M28</f>
        <v>20595469.357536163</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J29" si="2">SUM(B26:B28)</f>
        <v>42175966.056789994</v>
      </c>
      <c r="C29" s="87">
        <f t="shared" si="2"/>
        <v>1749457.0321899999</v>
      </c>
      <c r="D29" s="87">
        <f t="shared" si="2"/>
        <v>3177147.5963270403</v>
      </c>
      <c r="E29" s="87">
        <f t="shared" si="2"/>
        <v>8078206</v>
      </c>
      <c r="F29" s="87">
        <f t="shared" si="2"/>
        <v>38547958.772741325</v>
      </c>
      <c r="G29" s="87">
        <f t="shared" si="2"/>
        <v>42137806.413270891</v>
      </c>
      <c r="H29" s="89">
        <f t="shared" si="2"/>
        <v>135866541.87131923</v>
      </c>
      <c r="I29" s="87">
        <f t="shared" si="2"/>
        <v>3401921.9226099998</v>
      </c>
      <c r="J29" s="586">
        <f t="shared" si="2"/>
        <v>3401921.9226099998</v>
      </c>
      <c r="K29" s="87">
        <f>SUM(K26:K28)</f>
        <v>4721988</v>
      </c>
      <c r="L29" s="87">
        <f>SUM(L26:L28)</f>
        <v>4402681</v>
      </c>
      <c r="M29" s="113">
        <f>SUM(M26:M28)</f>
        <v>9124669</v>
      </c>
      <c r="N29" s="90">
        <f>SUM(N26:N28)</f>
        <v>148393132.79392925</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v>0</v>
      </c>
      <c r="C32" s="87">
        <v>0</v>
      </c>
      <c r="D32" s="87">
        <v>0</v>
      </c>
      <c r="E32" s="87">
        <v>0</v>
      </c>
      <c r="F32" s="87">
        <v>0</v>
      </c>
      <c r="G32" s="87">
        <v>0</v>
      </c>
      <c r="H32" s="89">
        <f>SUM(B32:G32)</f>
        <v>0</v>
      </c>
      <c r="I32" s="87">
        <v>0</v>
      </c>
      <c r="J32" s="113">
        <f>SUM(I32:I32)</f>
        <v>0</v>
      </c>
      <c r="K32" s="87">
        <v>200000</v>
      </c>
      <c r="L32" s="87">
        <v>0</v>
      </c>
      <c r="M32" s="113">
        <f>SUM(K32:L32)</f>
        <v>200000</v>
      </c>
      <c r="N32" s="90">
        <f>+H32+J32+M32</f>
        <v>200000</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v>0</v>
      </c>
      <c r="C33" s="87">
        <v>0</v>
      </c>
      <c r="D33" s="87">
        <v>0</v>
      </c>
      <c r="E33" s="87">
        <v>0</v>
      </c>
      <c r="F33" s="87">
        <v>0</v>
      </c>
      <c r="G33" s="87">
        <v>0</v>
      </c>
      <c r="H33" s="89">
        <f>SUM(B33:G33)</f>
        <v>0</v>
      </c>
      <c r="I33" s="87">
        <v>0</v>
      </c>
      <c r="J33" s="113">
        <f>SUM(I33:I33)</f>
        <v>0</v>
      </c>
      <c r="K33" s="87">
        <v>0</v>
      </c>
      <c r="L33" s="87">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v>1562430.827</v>
      </c>
      <c r="C34" s="199">
        <v>171989.40494305996</v>
      </c>
      <c r="D34" s="199">
        <v>115239.99204310999</v>
      </c>
      <c r="E34" s="199">
        <v>446998</v>
      </c>
      <c r="F34" s="199">
        <v>2653462.36943</v>
      </c>
      <c r="G34" s="578">
        <v>682580.98986256006</v>
      </c>
      <c r="H34" s="262">
        <f>SUM(B34:G34)</f>
        <v>5632701.5832787305</v>
      </c>
      <c r="I34" s="578">
        <v>75404.34736</v>
      </c>
      <c r="J34" s="113">
        <f>SUM(I34:I34)</f>
        <v>75404.34736</v>
      </c>
      <c r="K34" s="199">
        <v>271331</v>
      </c>
      <c r="L34" s="578">
        <v>132595</v>
      </c>
      <c r="M34" s="262">
        <f>SUM(K34:L34)</f>
        <v>403926</v>
      </c>
      <c r="N34" s="587">
        <f>+H34+J34+M34</f>
        <v>6112031.9306387305</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J35" si="3">SUM(B32:B34)</f>
        <v>1562430.827</v>
      </c>
      <c r="C35" s="87">
        <f t="shared" si="3"/>
        <v>171989.40494305996</v>
      </c>
      <c r="D35" s="87">
        <f t="shared" si="3"/>
        <v>115239.99204310999</v>
      </c>
      <c r="E35" s="87">
        <f t="shared" si="3"/>
        <v>446998</v>
      </c>
      <c r="F35" s="87">
        <f t="shared" si="3"/>
        <v>2653462.36943</v>
      </c>
      <c r="G35" s="87">
        <f t="shared" si="3"/>
        <v>682580.98986256006</v>
      </c>
      <c r="H35" s="89">
        <f t="shared" si="3"/>
        <v>5632701.5832787305</v>
      </c>
      <c r="I35" s="87">
        <f t="shared" si="3"/>
        <v>75404.34736</v>
      </c>
      <c r="J35" s="586">
        <f t="shared" si="3"/>
        <v>75404.34736</v>
      </c>
      <c r="K35" s="87">
        <f>SUM(K32:K34)</f>
        <v>471331</v>
      </c>
      <c r="L35" s="87">
        <f>SUM(L32:L34)</f>
        <v>132595</v>
      </c>
      <c r="M35" s="113">
        <f>SUM(M32:M34)</f>
        <v>603926</v>
      </c>
      <c r="N35" s="90">
        <f>SUM(N32:N34)</f>
        <v>6312031.9306387305</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v>3000</v>
      </c>
      <c r="C38" s="87">
        <v>26945</v>
      </c>
      <c r="D38" s="87">
        <v>0</v>
      </c>
      <c r="E38" s="87">
        <v>0</v>
      </c>
      <c r="F38" s="87">
        <v>0</v>
      </c>
      <c r="G38" s="87">
        <v>0</v>
      </c>
      <c r="H38" s="89">
        <f>SUM(B38:G38)</f>
        <v>29945</v>
      </c>
      <c r="I38" s="87">
        <v>800000</v>
      </c>
      <c r="J38" s="113">
        <f>SUM(I38:I38)</f>
        <v>800000</v>
      </c>
      <c r="K38" s="87">
        <v>0</v>
      </c>
      <c r="L38" s="87">
        <v>0</v>
      </c>
      <c r="M38" s="113">
        <f>SUM(K38:L38)</f>
        <v>0</v>
      </c>
      <c r="N38" s="90">
        <f>+H38+J38+M38</f>
        <v>829945</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v>0</v>
      </c>
      <c r="C39" s="87">
        <v>0</v>
      </c>
      <c r="D39" s="87">
        <v>0</v>
      </c>
      <c r="E39" s="87">
        <v>0</v>
      </c>
      <c r="F39" s="87">
        <v>1972806.6793499999</v>
      </c>
      <c r="G39" s="87">
        <v>0</v>
      </c>
      <c r="H39" s="89">
        <f>SUM(B39:G39)</f>
        <v>1972806.6793499999</v>
      </c>
      <c r="I39" s="87">
        <v>0</v>
      </c>
      <c r="J39" s="113">
        <f>SUM(I39:I39)</f>
        <v>0</v>
      </c>
      <c r="K39" s="87">
        <v>0</v>
      </c>
      <c r="L39" s="87">
        <v>0</v>
      </c>
      <c r="M39" s="113">
        <f>SUM(K39:L39)</f>
        <v>0</v>
      </c>
      <c r="N39" s="90">
        <f>+H39+J39+M39</f>
        <v>1972806.6793499999</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v>1270894.4040000001</v>
      </c>
      <c r="C40" s="199">
        <v>143343.85016</v>
      </c>
      <c r="D40" s="199">
        <v>2683.8130047499999</v>
      </c>
      <c r="E40" s="199">
        <v>57708</v>
      </c>
      <c r="F40" s="199">
        <v>614260.04094999982</v>
      </c>
      <c r="G40" s="578">
        <v>3011467.6301318603</v>
      </c>
      <c r="H40" s="262">
        <f>SUM(B40:G40)</f>
        <v>5100357.7382466104</v>
      </c>
      <c r="I40" s="578">
        <v>12256.860899999998</v>
      </c>
      <c r="J40" s="113">
        <f>SUM(I40:I40)</f>
        <v>12256.860899999998</v>
      </c>
      <c r="K40" s="199">
        <v>77167</v>
      </c>
      <c r="L40" s="578">
        <v>37187</v>
      </c>
      <c r="M40" s="262">
        <f>SUM(K40:L40)</f>
        <v>114354</v>
      </c>
      <c r="N40" s="587">
        <f>+H40+J40+M40</f>
        <v>5226968.5991466101</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J41" si="4">SUM(B38:B40)</f>
        <v>1273894.4040000001</v>
      </c>
      <c r="C41" s="87">
        <f t="shared" si="4"/>
        <v>170288.85016</v>
      </c>
      <c r="D41" s="87">
        <f t="shared" si="4"/>
        <v>2683.8130047499999</v>
      </c>
      <c r="E41" s="87">
        <f t="shared" si="4"/>
        <v>57708</v>
      </c>
      <c r="F41" s="87">
        <f t="shared" si="4"/>
        <v>2587066.7202999997</v>
      </c>
      <c r="G41" s="87">
        <f t="shared" si="4"/>
        <v>3011467.6301318603</v>
      </c>
      <c r="H41" s="89">
        <f t="shared" si="4"/>
        <v>7103109.4175966103</v>
      </c>
      <c r="I41" s="87">
        <f t="shared" si="4"/>
        <v>812256.86089999997</v>
      </c>
      <c r="J41" s="585">
        <f t="shared" si="4"/>
        <v>812256.86089999997</v>
      </c>
      <c r="K41" s="87">
        <f>SUM(K38:K40)</f>
        <v>77167</v>
      </c>
      <c r="L41" s="87">
        <f>SUM(L38:L40)</f>
        <v>37187</v>
      </c>
      <c r="M41" s="113">
        <f>SUM(M38:M40)</f>
        <v>114354</v>
      </c>
      <c r="N41" s="90">
        <f>SUM(N38:N40)</f>
        <v>8029720.27849661</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v>288117.51500000001</v>
      </c>
      <c r="C43" s="199">
        <v>0</v>
      </c>
      <c r="D43" s="199">
        <v>144544.29939104003</v>
      </c>
      <c r="E43" s="199">
        <v>261393</v>
      </c>
      <c r="F43" s="199">
        <v>1591629.6982000002</v>
      </c>
      <c r="G43" s="578">
        <v>376898.31135325204</v>
      </c>
      <c r="H43" s="262">
        <f>SUM(B43:G43)</f>
        <v>2662582.823944292</v>
      </c>
      <c r="I43" s="578">
        <v>18348.947489999999</v>
      </c>
      <c r="J43" s="113">
        <f>SUM(I43:I43)</f>
        <v>18348.947489999999</v>
      </c>
      <c r="K43" s="199">
        <v>37601</v>
      </c>
      <c r="L43" s="578">
        <v>579007</v>
      </c>
      <c r="M43" s="262">
        <f>SUM(K43:L43)</f>
        <v>616608</v>
      </c>
      <c r="N43" s="587">
        <f>+H43+J43+M43</f>
        <v>3297539.7714342922</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45300408.802789994</v>
      </c>
      <c r="C44" s="87">
        <f t="shared" si="5"/>
        <v>2091735.2872930598</v>
      </c>
      <c r="D44" s="87">
        <f t="shared" si="5"/>
        <v>3439615.7007659404</v>
      </c>
      <c r="E44" s="87">
        <f t="shared" si="5"/>
        <v>8844305</v>
      </c>
      <c r="F44" s="87">
        <f t="shared" si="5"/>
        <v>45380117.560671322</v>
      </c>
      <c r="G44" s="87">
        <f t="shared" si="5"/>
        <v>46208753.344618566</v>
      </c>
      <c r="H44" s="89">
        <f>SUM(B44:G44)</f>
        <v>151264935.69613889</v>
      </c>
      <c r="I44" s="87">
        <f>+I29+I35+I41+I43</f>
        <v>4307932.0783599997</v>
      </c>
      <c r="J44" s="585">
        <f>+J29+J35+J41+J43</f>
        <v>4307932.0783599997</v>
      </c>
      <c r="K44" s="87">
        <f>+K29+K35+K41+K43</f>
        <v>5308087</v>
      </c>
      <c r="L44" s="87">
        <f>+L29+L35+L41+L43</f>
        <v>5151470</v>
      </c>
      <c r="M44" s="113">
        <f>SUM(K44:L44)</f>
        <v>10459557</v>
      </c>
      <c r="N44" s="90">
        <f>+H44+J44+M44</f>
        <v>166032424.77449888</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v>500000</v>
      </c>
      <c r="C47" s="87">
        <v>5000</v>
      </c>
      <c r="D47" s="87">
        <v>150202.375</v>
      </c>
      <c r="E47" s="87">
        <v>270000</v>
      </c>
      <c r="F47" s="87">
        <v>750000</v>
      </c>
      <c r="G47" s="87">
        <v>2093492</v>
      </c>
      <c r="H47" s="89">
        <f>SUM(B47:G47)</f>
        <v>3768694.375</v>
      </c>
      <c r="I47" s="87">
        <v>150000</v>
      </c>
      <c r="J47" s="113">
        <f>SUM(I47:I47)</f>
        <v>150000</v>
      </c>
      <c r="K47" s="87">
        <v>103837</v>
      </c>
      <c r="L47" s="87">
        <v>94373</v>
      </c>
      <c r="M47" s="113">
        <f>SUM(K47:L47)</f>
        <v>198210</v>
      </c>
      <c r="N47" s="90">
        <f>+H47+J47+M47</f>
        <v>4116904.375</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v>186951.353</v>
      </c>
      <c r="C48" s="87">
        <v>46655</v>
      </c>
      <c r="D48" s="87">
        <v>24498.97294</v>
      </c>
      <c r="E48" s="87">
        <v>146847</v>
      </c>
      <c r="F48" s="87">
        <v>1309208.92245</v>
      </c>
      <c r="G48" s="87">
        <v>103191.21255999999</v>
      </c>
      <c r="H48" s="89">
        <f>SUM(B48:G48)</f>
        <v>1817352.4609499997</v>
      </c>
      <c r="I48" s="87">
        <v>139049.84042000002</v>
      </c>
      <c r="J48" s="113">
        <f>SUM(I48:I48)</f>
        <v>139049.84042000002</v>
      </c>
      <c r="K48" s="87">
        <v>79683</v>
      </c>
      <c r="L48" s="87">
        <v>72586</v>
      </c>
      <c r="M48" s="113">
        <f>SUM(K48:L48)</f>
        <v>152269</v>
      </c>
      <c r="N48" s="90">
        <f>+H48+J48+M48</f>
        <v>2108671.3013699995</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v>0</v>
      </c>
      <c r="C49" s="87">
        <v>14325</v>
      </c>
      <c r="D49" s="87">
        <v>105320.72348</v>
      </c>
      <c r="E49" s="87">
        <v>1387</v>
      </c>
      <c r="F49" s="87">
        <v>98479.455170000001</v>
      </c>
      <c r="G49" s="87">
        <v>0</v>
      </c>
      <c r="H49" s="89">
        <f>SUM(B49:G49)</f>
        <v>219512.17865000002</v>
      </c>
      <c r="I49" s="87">
        <v>0</v>
      </c>
      <c r="J49" s="113">
        <f>SUM(I49:I49)</f>
        <v>0</v>
      </c>
      <c r="K49" s="87">
        <v>0</v>
      </c>
      <c r="L49" s="87">
        <v>0</v>
      </c>
      <c r="M49" s="113">
        <f>SUM(K49:L49)</f>
        <v>0</v>
      </c>
      <c r="N49" s="90">
        <f>+H49+J49+M49</f>
        <v>219512.17865000002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v>1598960.2541399999</v>
      </c>
      <c r="C50" s="199">
        <v>-51542.309140000005</v>
      </c>
      <c r="D50" s="199">
        <v>-506999.74631000002</v>
      </c>
      <c r="E50" s="199">
        <v>368093</v>
      </c>
      <c r="F50" s="199">
        <v>1062526.80265</v>
      </c>
      <c r="G50" s="578">
        <v>2365407.89922</v>
      </c>
      <c r="H50" s="262">
        <f>SUM(B50:G50)</f>
        <v>4836445.90056</v>
      </c>
      <c r="I50" s="578">
        <v>142279.43757000004</v>
      </c>
      <c r="J50" s="113">
        <f>SUM(I50:I50)</f>
        <v>142279.43757000004</v>
      </c>
      <c r="K50" s="199">
        <v>59368</v>
      </c>
      <c r="L50" s="578">
        <v>91984</v>
      </c>
      <c r="M50" s="262">
        <f>SUM(K50:L50)</f>
        <v>151352</v>
      </c>
      <c r="N50" s="587">
        <f>+H50+J50+M50</f>
        <v>5130077.33813</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2285911.60714</v>
      </c>
      <c r="C51" s="97">
        <f t="shared" si="6"/>
        <v>14437.690859999995</v>
      </c>
      <c r="D51" s="97">
        <f t="shared" si="6"/>
        <v>-226977.67489000002</v>
      </c>
      <c r="E51" s="97">
        <f t="shared" si="6"/>
        <v>786327</v>
      </c>
      <c r="F51" s="97">
        <f t="shared" si="6"/>
        <v>3220215.1802699999</v>
      </c>
      <c r="G51" s="97">
        <f t="shared" si="6"/>
        <v>4562091.1117799999</v>
      </c>
      <c r="H51" s="96">
        <f>SUM(B51:G51)</f>
        <v>10642004.91516</v>
      </c>
      <c r="I51" s="97">
        <f t="shared" ref="I51:N51" si="7">SUM(I47:I50)</f>
        <v>431329.27799000009</v>
      </c>
      <c r="J51" s="584">
        <f t="shared" si="7"/>
        <v>431329.27799000009</v>
      </c>
      <c r="K51" s="97">
        <f t="shared" si="7"/>
        <v>242888</v>
      </c>
      <c r="L51" s="97">
        <f t="shared" si="7"/>
        <v>258943</v>
      </c>
      <c r="M51" s="115">
        <f t="shared" si="7"/>
        <v>501831</v>
      </c>
      <c r="N51" s="95">
        <f t="shared" si="7"/>
        <v>11575165.193149999</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J52" si="8">+B29+B35+B41+B43+B51</f>
        <v>47586320.409929991</v>
      </c>
      <c r="C52" s="90">
        <f t="shared" si="8"/>
        <v>2106172.9781530597</v>
      </c>
      <c r="D52" s="90">
        <f t="shared" si="8"/>
        <v>3212638.0258759405</v>
      </c>
      <c r="E52" s="90">
        <f t="shared" si="8"/>
        <v>9630632</v>
      </c>
      <c r="F52" s="90">
        <f t="shared" si="8"/>
        <v>48600332.740941323</v>
      </c>
      <c r="G52" s="90">
        <f t="shared" si="8"/>
        <v>50770844.456398569</v>
      </c>
      <c r="H52" s="89">
        <f t="shared" si="8"/>
        <v>161906940.61129886</v>
      </c>
      <c r="I52" s="90">
        <f t="shared" si="8"/>
        <v>4739261.35635</v>
      </c>
      <c r="J52" s="1014">
        <f t="shared" si="8"/>
        <v>4739261.35635</v>
      </c>
      <c r="K52" s="90">
        <f>+K29+K35+K41+K43+K51</f>
        <v>5550975</v>
      </c>
      <c r="L52" s="90">
        <f>+L29+L35+L41+L43+L51</f>
        <v>5410413</v>
      </c>
      <c r="M52" s="113">
        <f>+M29+M35+M41+M43+M51</f>
        <v>10961388</v>
      </c>
      <c r="N52" s="90">
        <f>(+N29+N35+N41+N43+N51)</f>
        <v>177607589.96764886</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v>0</v>
      </c>
      <c r="C56" s="87">
        <v>0</v>
      </c>
      <c r="D56" s="87">
        <v>0</v>
      </c>
      <c r="E56" s="87">
        <v>0</v>
      </c>
      <c r="F56" s="87">
        <v>75064.801349999994</v>
      </c>
      <c r="G56" s="87">
        <v>0</v>
      </c>
      <c r="H56" s="89">
        <f>SUM(B56:G56)</f>
        <v>75064.801349999994</v>
      </c>
      <c r="I56" s="87">
        <v>0</v>
      </c>
      <c r="J56" s="113">
        <f>SUM(I56:I56)</f>
        <v>0</v>
      </c>
      <c r="K56" s="87">
        <v>0</v>
      </c>
      <c r="L56" s="87">
        <v>0</v>
      </c>
      <c r="M56" s="113">
        <f>SUM(K56:L56)</f>
        <v>0</v>
      </c>
      <c r="N56" s="90">
        <f>+H56+J56+M56</f>
        <v>75064.801349999994</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v>44823.341999999997</v>
      </c>
      <c r="C57" s="87">
        <v>0</v>
      </c>
      <c r="D57" s="87">
        <v>0</v>
      </c>
      <c r="E57" s="87">
        <v>0</v>
      </c>
      <c r="F57" s="87">
        <v>542775.07816999999</v>
      </c>
      <c r="G57" s="87">
        <v>1031452.0324875199</v>
      </c>
      <c r="H57" s="89">
        <f>SUM(B57:G57)</f>
        <v>1619050.4526575198</v>
      </c>
      <c r="I57" s="87">
        <v>0</v>
      </c>
      <c r="J57" s="113">
        <f>SUM(I57:I57)</f>
        <v>0</v>
      </c>
      <c r="K57" s="87">
        <v>25578</v>
      </c>
      <c r="L57" s="87">
        <v>2447</v>
      </c>
      <c r="M57" s="113">
        <f>SUM(K57:L57)</f>
        <v>28025</v>
      </c>
      <c r="N57" s="90">
        <f>+H57+J57+M57</f>
        <v>1647075.4526575198</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v>74229.701000000001</v>
      </c>
      <c r="C58" s="87">
        <v>188532.55913097999</v>
      </c>
      <c r="D58" s="87">
        <v>150</v>
      </c>
      <c r="E58" s="87">
        <v>195788</v>
      </c>
      <c r="F58" s="87">
        <v>2382106.3648399999</v>
      </c>
      <c r="G58" s="87">
        <v>362953.25814876601</v>
      </c>
      <c r="H58" s="89">
        <f>SUM(B58:G58)</f>
        <v>3203759.8831197461</v>
      </c>
      <c r="I58" s="87">
        <v>786789.56414999999</v>
      </c>
      <c r="J58" s="113">
        <f>SUM(I58:I58)</f>
        <v>786789.56414999999</v>
      </c>
      <c r="K58" s="87">
        <v>3249503</v>
      </c>
      <c r="L58" s="87">
        <v>275139</v>
      </c>
      <c r="M58" s="113">
        <f>SUM(K58:L58)</f>
        <v>3524642</v>
      </c>
      <c r="N58" s="90">
        <f>+H58+J58+M58</f>
        <v>7515191.4472697461</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t="s">
        <v>0</v>
      </c>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v>8166822.3245400004</v>
      </c>
      <c r="C60" s="87">
        <v>1297645.6041999999</v>
      </c>
      <c r="D60" s="87">
        <v>1415774.8096468998</v>
      </c>
      <c r="E60" s="87">
        <v>4486840</v>
      </c>
      <c r="F60" s="87">
        <v>17834080.992490001</v>
      </c>
      <c r="G60" s="87">
        <v>16756541.923</v>
      </c>
      <c r="H60" s="89">
        <f>SUM(B60:G60)</f>
        <v>49957705.653876901</v>
      </c>
      <c r="I60" s="87">
        <v>2334578.2754029999</v>
      </c>
      <c r="J60" s="113">
        <f>SUM(I60:I60)</f>
        <v>2334578.2754029999</v>
      </c>
      <c r="K60" s="87">
        <v>1442821</v>
      </c>
      <c r="L60" s="87">
        <v>2255247</v>
      </c>
      <c r="M60" s="113">
        <f>SUM(K60:L60)</f>
        <v>3698068</v>
      </c>
      <c r="N60" s="90">
        <f>+H60+J60+M60</f>
        <v>55990351.929279901</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v>193864.42</v>
      </c>
      <c r="C61" s="87">
        <v>334438.78399999999</v>
      </c>
      <c r="D61" s="87">
        <v>28187.116833289998</v>
      </c>
      <c r="E61" s="87">
        <v>34155</v>
      </c>
      <c r="F61" s="87">
        <v>275522.03504999995</v>
      </c>
      <c r="G61" s="87">
        <v>69131.807570000004</v>
      </c>
      <c r="H61" s="89">
        <f>SUM(B61:G61)</f>
        <v>935299.16345329001</v>
      </c>
      <c r="I61" s="87">
        <v>54105.170809999996</v>
      </c>
      <c r="J61" s="113">
        <f>SUM(I61:I61)</f>
        <v>54105.170809999996</v>
      </c>
      <c r="K61" s="87">
        <v>27406</v>
      </c>
      <c r="L61" s="87">
        <v>150526</v>
      </c>
      <c r="M61" s="113">
        <f>SUM(K61:L61)</f>
        <v>177932</v>
      </c>
      <c r="N61" s="90">
        <f>+H61+J61+M61</f>
        <v>1167336.33426329</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v>157200</v>
      </c>
      <c r="C62" s="87">
        <v>388912.60178000003</v>
      </c>
      <c r="D62" s="87">
        <v>16880</v>
      </c>
      <c r="E62" s="87">
        <v>37402</v>
      </c>
      <c r="F62" s="87">
        <v>268155</v>
      </c>
      <c r="G62" s="87">
        <v>43951.09029</v>
      </c>
      <c r="H62" s="89">
        <f>SUM(B62:G62)</f>
        <v>912500.69206999999</v>
      </c>
      <c r="I62" s="87">
        <v>195623.51149900001</v>
      </c>
      <c r="J62" s="113">
        <f>SUM(I62:I62)</f>
        <v>195623.51149900001</v>
      </c>
      <c r="K62" s="87">
        <v>0</v>
      </c>
      <c r="L62" s="87">
        <v>248269</v>
      </c>
      <c r="M62" s="113">
        <f>SUM(K62:L62)</f>
        <v>248269</v>
      </c>
      <c r="N62" s="90">
        <f>+H62+J62+M62</f>
        <v>1356393.2035690001</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f>+'bncgdes&amp;$ '!B30</f>
        <v>14356274.529310001</v>
      </c>
      <c r="C68" s="20">
        <f>+'bphgdes&amp;$'!B30</f>
        <v>1895744.6445899999</v>
      </c>
      <c r="D68" s="20">
        <f>+'buhgdes&amp;$'!B30</f>
        <v>2497761.247505975</v>
      </c>
      <c r="E68" s="20">
        <f>+'capitalbkgdes&amp;$'!B30</f>
        <v>6623756</v>
      </c>
      <c r="F68" s="20">
        <f>+'sogebkgdes&amp;$  '!B30</f>
        <v>25516968.386440001</v>
      </c>
      <c r="G68" s="20">
        <f>+'unibkgdes&amp;$'!B30</f>
        <v>30680322.285385784</v>
      </c>
      <c r="H68" s="89">
        <f>SUM(B68:G68)</f>
        <v>81570827.093231767</v>
      </c>
      <c r="I68" s="20">
        <f>+'sgbelgdes&amp;$'!B30</f>
        <v>3332456.9353400003</v>
      </c>
      <c r="J68" s="113">
        <f>+I68</f>
        <v>3332456.9353400003</v>
      </c>
      <c r="K68" s="20">
        <f>+'cbnagdes&amp;$'!B30</f>
        <v>2092611</v>
      </c>
      <c r="L68" s="20">
        <f>+'scotiagdes&amp;$'!B30</f>
        <v>2652874</v>
      </c>
      <c r="M68" s="113">
        <f>SUM(K68:L68)</f>
        <v>4745485</v>
      </c>
      <c r="N68" s="90">
        <f>+H68+J68+M68</f>
        <v>89648769.02857177</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29"/>
      <c r="C73" s="417" t="s">
        <v>365</v>
      </c>
      <c r="D73" s="429"/>
      <c r="F73" s="592" t="s">
        <v>366</v>
      </c>
      <c r="G73" s="592"/>
      <c r="I73" s="1559" t="s">
        <v>637</v>
      </c>
      <c r="J73" s="1559"/>
      <c r="K73" s="418"/>
      <c r="L73" s="417" t="s">
        <v>779</v>
      </c>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18"/>
      <c r="C74" s="417"/>
      <c r="D74" s="429"/>
      <c r="F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591" t="s">
        <v>0</v>
      </c>
      <c r="C75" s="670" t="s">
        <v>59</v>
      </c>
      <c r="D75" s="671">
        <f>+bncvar!B15</f>
        <v>15578365.977</v>
      </c>
      <c r="F75" s="670" t="s">
        <v>59</v>
      </c>
      <c r="G75" s="672">
        <f>+bncvar!B17</f>
        <v>3810000</v>
      </c>
      <c r="I75" s="670" t="s">
        <v>64</v>
      </c>
      <c r="J75" s="671">
        <f>+sogebkvar!B20</f>
        <v>19215072.525990002</v>
      </c>
      <c r="K75" s="418"/>
      <c r="L75" s="670" t="s">
        <v>65</v>
      </c>
      <c r="M75" s="671">
        <f>+unibkvar!B52</f>
        <v>5797198.1322699999</v>
      </c>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t="s">
        <v>65</v>
      </c>
      <c r="D76" s="671">
        <f>+unibkvar!B15</f>
        <v>20081261.154802661</v>
      </c>
      <c r="F76" s="670" t="s">
        <v>65</v>
      </c>
      <c r="G76" s="672">
        <f>+unibkvar!B17</f>
        <v>0</v>
      </c>
      <c r="I76" s="670" t="s">
        <v>65</v>
      </c>
      <c r="J76" s="671">
        <f>+unibkvar!B20</f>
        <v>24056419.86524</v>
      </c>
      <c r="K76" s="418"/>
      <c r="L76" s="670" t="s">
        <v>64</v>
      </c>
      <c r="M76" s="671">
        <f>+sogebkvar!B52</f>
        <v>3881092.5410900004</v>
      </c>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t="s">
        <v>64</v>
      </c>
      <c r="D77" s="671">
        <f>+sogebkvar!B15</f>
        <v>16696860.003529999</v>
      </c>
      <c r="F77" s="670" t="s">
        <v>68</v>
      </c>
      <c r="G77" s="672">
        <f>+cbnavar!B17</f>
        <v>796833</v>
      </c>
      <c r="I77" s="670" t="s">
        <v>59</v>
      </c>
      <c r="J77" s="671">
        <f>+bncvar!B20</f>
        <v>10524694.186369998</v>
      </c>
      <c r="K77" s="418"/>
      <c r="L77" s="670" t="s">
        <v>59</v>
      </c>
      <c r="M77" s="671">
        <f>+bncvar!B52</f>
        <v>3191363.1577500002</v>
      </c>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t="s">
        <v>66</v>
      </c>
      <c r="D78" s="671">
        <f>+capitalbkvar!B15</f>
        <v>4901707</v>
      </c>
      <c r="F78" s="670" t="s">
        <v>64</v>
      </c>
      <c r="G78" s="672">
        <f>+sogebkvar!B17</f>
        <v>1300000</v>
      </c>
      <c r="I78" s="670" t="s">
        <v>66</v>
      </c>
      <c r="J78" s="671">
        <f>+capitalbkvar!B20</f>
        <v>5637972</v>
      </c>
      <c r="K78" s="418"/>
      <c r="L78" s="670" t="s">
        <v>66</v>
      </c>
      <c r="M78" s="671">
        <f>+capitalbkvar!B52</f>
        <v>1074342</v>
      </c>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t="s">
        <v>68</v>
      </c>
      <c r="D79" s="671">
        <f>+cbnavar!B15</f>
        <v>3280379</v>
      </c>
      <c r="F79" s="670" t="s">
        <v>66</v>
      </c>
      <c r="G79" s="672">
        <f>+capitalbkvar!B17</f>
        <v>298391</v>
      </c>
      <c r="I79" s="670" t="s">
        <v>67</v>
      </c>
      <c r="J79" s="671">
        <f>+sgbelvar!B20</f>
        <v>3345304.2581560002</v>
      </c>
      <c r="K79" s="418"/>
      <c r="L79" s="670" t="s">
        <v>67</v>
      </c>
      <c r="M79" s="671">
        <f>+sgbelvar!B52</f>
        <v>493689.75045000005</v>
      </c>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t="s">
        <v>69</v>
      </c>
      <c r="D80" s="671">
        <f>+scotiavar!B15</f>
        <v>3991811</v>
      </c>
      <c r="F80" s="670" t="s">
        <v>69</v>
      </c>
      <c r="G80" s="672">
        <f>+scotiavar!B17</f>
        <v>0</v>
      </c>
      <c r="I80" s="670" t="s">
        <v>69</v>
      </c>
      <c r="J80" s="671">
        <f>+scotiavar!B20</f>
        <v>2063611</v>
      </c>
      <c r="K80" s="418"/>
      <c r="L80" s="670" t="s">
        <v>69</v>
      </c>
      <c r="M80" s="671">
        <f>+scotiavar!B52</f>
        <v>272759</v>
      </c>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t="s">
        <v>67</v>
      </c>
      <c r="D81" s="671">
        <f>+sgbelvar!B15</f>
        <v>2356516.1196400002</v>
      </c>
      <c r="F81" s="670" t="s">
        <v>61</v>
      </c>
      <c r="G81" s="672">
        <f>+buhvar!B17</f>
        <v>180000</v>
      </c>
      <c r="I81" s="670" t="s">
        <v>68</v>
      </c>
      <c r="J81" s="671">
        <f>+cbnavar!B20</f>
        <v>1798882</v>
      </c>
      <c r="K81" s="418"/>
      <c r="L81" s="670" t="s">
        <v>68</v>
      </c>
      <c r="M81" s="671">
        <f>+cbnavar!B52</f>
        <v>390175</v>
      </c>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t="s">
        <v>61</v>
      </c>
      <c r="D82" s="671">
        <f>+buhvar!B15</f>
        <v>2697877.9434218104</v>
      </c>
      <c r="F82" s="670" t="s">
        <v>60</v>
      </c>
      <c r="G82" s="672">
        <f>+bphvar!B17</f>
        <v>223000</v>
      </c>
      <c r="I82" s="670" t="s">
        <v>61</v>
      </c>
      <c r="J82" s="671">
        <f>+buhvar!B20</f>
        <v>2291639.3848394938</v>
      </c>
      <c r="K82" s="418"/>
      <c r="L82" s="670" t="s">
        <v>60</v>
      </c>
      <c r="M82" s="671">
        <f>+bphvar!B52</f>
        <v>127762.48477000001</v>
      </c>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t="s">
        <v>60</v>
      </c>
      <c r="D83" s="671">
        <f>+bphvar!B15</f>
        <v>1719442.21624</v>
      </c>
      <c r="F83" s="670" t="s">
        <v>67</v>
      </c>
      <c r="G83" s="672">
        <f>+sgbelvar!B17</f>
        <v>0</v>
      </c>
      <c r="I83" s="670" t="s">
        <v>60</v>
      </c>
      <c r="J83" s="671">
        <f>+bphvar!B20</f>
        <v>858993.53526000003</v>
      </c>
      <c r="K83" s="418"/>
      <c r="L83" s="670" t="s">
        <v>61</v>
      </c>
      <c r="M83" s="671">
        <f>+buhvar!B52</f>
        <v>282671.47166000004</v>
      </c>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H84" s="670" t="s">
        <v>0</v>
      </c>
      <c r="I84" s="981" t="s">
        <v>0</v>
      </c>
      <c r="J84" s="418"/>
      <c r="K84" s="418"/>
      <c r="L84" s="418"/>
      <c r="M84" s="64"/>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c r="F85" s="98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I87" s="418"/>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C88" s="418"/>
      <c r="H88" s="418"/>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D89" s="418"/>
      <c r="E89" s="418"/>
      <c r="F89" s="418"/>
      <c r="G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65"/>
      <c r="D139" s="64"/>
      <c r="E139" s="64"/>
      <c r="F139" s="64"/>
      <c r="G139" s="64"/>
      <c r="H139" s="64"/>
      <c r="I139" s="64"/>
      <c r="J139" s="64"/>
      <c r="K139" s="418"/>
      <c r="L139" s="65"/>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71"/>
      <c r="D140" s="69"/>
      <c r="E140" s="69"/>
      <c r="F140" s="69"/>
      <c r="G140" s="69"/>
      <c r="H140" s="69"/>
      <c r="I140" s="69"/>
      <c r="J140" s="69"/>
      <c r="K140" s="64"/>
      <c r="L140" s="71"/>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65"/>
      <c r="D141" s="64"/>
      <c r="E141" s="64"/>
      <c r="F141" s="64"/>
      <c r="G141" s="64"/>
      <c r="H141" s="64"/>
      <c r="I141" s="64"/>
      <c r="J141" s="64"/>
      <c r="K141" s="64"/>
      <c r="L141" s="65"/>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c r="B142" s="64"/>
      <c r="C142" s="71"/>
      <c r="D142" s="69"/>
      <c r="E142" s="69"/>
      <c r="F142" s="69"/>
      <c r="G142" s="69"/>
      <c r="H142" s="69"/>
      <c r="I142" s="69"/>
      <c r="J142" s="69"/>
      <c r="K142" s="64"/>
      <c r="L142" s="71"/>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65"/>
      <c r="D143" s="64"/>
      <c r="E143" s="64"/>
      <c r="F143" s="64"/>
      <c r="G143" s="64"/>
      <c r="H143" s="64"/>
      <c r="I143" s="64"/>
      <c r="J143" s="64"/>
      <c r="K143" s="64"/>
      <c r="L143" s="65"/>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71"/>
      <c r="D144" s="69"/>
      <c r="E144" s="69"/>
      <c r="F144" s="69"/>
      <c r="G144" s="69"/>
      <c r="H144" s="69"/>
      <c r="I144" s="69"/>
      <c r="J144" s="69"/>
      <c r="K144" s="64"/>
      <c r="L144" s="71"/>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65"/>
      <c r="D145" s="64"/>
      <c r="E145" s="64"/>
      <c r="F145" s="64"/>
      <c r="G145" s="64"/>
      <c r="H145" s="64"/>
      <c r="I145" s="64"/>
      <c r="J145" s="64"/>
      <c r="K145" s="64"/>
      <c r="L145" s="65"/>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54</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71"/>
      <c r="D151" s="69"/>
      <c r="E151" s="69"/>
      <c r="F151" s="69"/>
      <c r="G151" s="69"/>
      <c r="H151" s="69"/>
      <c r="I151" s="69"/>
      <c r="J151" s="69"/>
      <c r="K151" s="64"/>
      <c r="L151" s="71"/>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65"/>
      <c r="D152" s="64"/>
      <c r="E152" s="64"/>
      <c r="F152" s="64"/>
      <c r="G152" s="64"/>
      <c r="H152" s="64"/>
      <c r="I152" s="64"/>
      <c r="J152" s="64"/>
      <c r="K152" s="64"/>
      <c r="L152" s="65"/>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71" t="s">
        <v>0</v>
      </c>
      <c r="D155" s="69" t="s">
        <v>0</v>
      </c>
      <c r="E155" s="69" t="s">
        <v>0</v>
      </c>
      <c r="F155" s="69" t="s">
        <v>0</v>
      </c>
      <c r="G155" s="69" t="s">
        <v>0</v>
      </c>
      <c r="H155" s="69" t="s">
        <v>0</v>
      </c>
      <c r="I155" s="69" t="s">
        <v>0</v>
      </c>
      <c r="J155" s="69" t="s">
        <v>0</v>
      </c>
      <c r="K155" s="64" t="s">
        <v>0</v>
      </c>
      <c r="L155" s="71" t="s">
        <v>0</v>
      </c>
      <c r="M155" s="64" t="s">
        <v>0</v>
      </c>
      <c r="N155" s="64" t="s">
        <v>0</v>
      </c>
      <c r="O155" s="64" t="s">
        <v>0</v>
      </c>
      <c r="P155" s="419" t="s">
        <v>0</v>
      </c>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65"/>
      <c r="D156" s="64"/>
      <c r="E156" s="64"/>
      <c r="F156" s="64"/>
      <c r="G156" s="64"/>
      <c r="H156" s="64"/>
      <c r="I156" s="64"/>
      <c r="J156" s="64"/>
      <c r="K156" s="64"/>
      <c r="L156" s="65"/>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K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mergeCells count="1">
    <mergeCell ref="I73:J73"/>
  </mergeCells>
  <pageMargins left="0.2" right="0.21" top="0.68" bottom="0.45" header="0.5" footer="0.23"/>
  <pageSetup scale="55" orientation="landscape" r:id="rId1"/>
  <headerFooter alignWithMargins="0">
    <oddFooter>&amp;R&amp;16&amp;P</oddFooter>
  </headerFooter>
</worksheet>
</file>

<file path=xl/worksheets/sheet59.xml><?xml version="1.0" encoding="utf-8"?>
<worksheet xmlns="http://schemas.openxmlformats.org/spreadsheetml/2006/main" xmlns:r="http://schemas.openxmlformats.org/officeDocument/2006/relationships">
  <sheetPr>
    <pageSetUpPr fitToPage="1"/>
  </sheetPr>
  <dimension ref="A1:AL188"/>
  <sheetViews>
    <sheetView topLeftCell="A7" zoomScale="110" zoomScaleNormal="110"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882</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f>+bncvar!J10</f>
        <v>4498486.5750000002</v>
      </c>
      <c r="C10" s="87">
        <f>+bphvar!J10</f>
        <v>67921.316949999993</v>
      </c>
      <c r="D10" s="87">
        <f>+buhvar!J10</f>
        <v>359366.72216178401</v>
      </c>
      <c r="E10" s="87">
        <f>+capitalbkvar!J10</f>
        <v>262016</v>
      </c>
      <c r="F10" s="87">
        <f>+sogebkvar!J10</f>
        <v>2000036.36121</v>
      </c>
      <c r="G10" s="87">
        <f>+unibkvar!J10</f>
        <v>614391.03253935603</v>
      </c>
      <c r="H10" s="89">
        <f>SUM(B10:G10)</f>
        <v>7802218.0078611393</v>
      </c>
      <c r="I10" s="87">
        <f>+sgbelvar!J10</f>
        <v>39733.331630000001</v>
      </c>
      <c r="J10" s="113">
        <f>SUM(I10:I10)</f>
        <v>39733.331630000001</v>
      </c>
      <c r="K10" s="87">
        <f>+cbnavar!J10</f>
        <v>71110</v>
      </c>
      <c r="L10" s="87">
        <f>+scotiavar!J10</f>
        <v>84224</v>
      </c>
      <c r="M10" s="113">
        <f>SUM(K10:L10)</f>
        <v>155334</v>
      </c>
      <c r="N10" s="90">
        <f>+H10+J10+M10</f>
        <v>7997285.3394911392</v>
      </c>
      <c r="O10" s="64"/>
      <c r="P10" s="1321"/>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f>+bncvar!J11</f>
        <v>11369006.581999999</v>
      </c>
      <c r="C11" s="87">
        <f>+bphvar!J11</f>
        <v>965698.53037000005</v>
      </c>
      <c r="D11" s="87">
        <f>+buhvar!J11</f>
        <v>1593311.2488331432</v>
      </c>
      <c r="E11" s="87">
        <f>+capitalbkvar!J11</f>
        <v>3747700</v>
      </c>
      <c r="F11" s="87">
        <f>+sogebkvar!J11</f>
        <v>13181626.275699999</v>
      </c>
      <c r="G11" s="87">
        <f>+unibkvar!J11</f>
        <v>18117744.966445513</v>
      </c>
      <c r="H11" s="89">
        <f>SUM(B11:G11)</f>
        <v>48975087.603348657</v>
      </c>
      <c r="I11" s="87">
        <f>+sgbelvar!J11</f>
        <v>517756.43091</v>
      </c>
      <c r="J11" s="113">
        <f>SUM(I11:I11)</f>
        <v>517756.43091</v>
      </c>
      <c r="K11" s="87">
        <f>+cbnavar!J11</f>
        <v>3543883</v>
      </c>
      <c r="L11" s="87">
        <f>+scotiavar!J11</f>
        <v>2114692</v>
      </c>
      <c r="M11" s="113">
        <f>SUM(K11:L11)</f>
        <v>5658575</v>
      </c>
      <c r="N11" s="90">
        <f>+H11+J11+M11</f>
        <v>55151419.034258656</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f>+bncvar!J12</f>
        <v>1227438.7450000001</v>
      </c>
      <c r="C12" s="87">
        <f>+bphvar!J12</f>
        <v>626036.59661000001</v>
      </c>
      <c r="D12" s="87">
        <f>+buhvar!J12</f>
        <v>178291.53911967299</v>
      </c>
      <c r="E12" s="87">
        <f>+capitalbkvar!J12</f>
        <v>541052</v>
      </c>
      <c r="F12" s="87">
        <f>+sogebkvar!J12</f>
        <v>635408.43327000004</v>
      </c>
      <c r="G12" s="87">
        <f>+unibkvar!J12</f>
        <v>1199310.403287437</v>
      </c>
      <c r="H12" s="89">
        <f>SUM(B12:G12)</f>
        <v>4407537.7172871102</v>
      </c>
      <c r="I12" s="87">
        <f>+sgbelvar!J12</f>
        <v>6869.1954699999997</v>
      </c>
      <c r="J12" s="113">
        <f>SUM(I12:I12)</f>
        <v>6869.1954699999997</v>
      </c>
      <c r="K12" s="87">
        <f>+cbnavar!J12</f>
        <v>1399943</v>
      </c>
      <c r="L12" s="87">
        <f>+scotiavar!J12</f>
        <v>1444586</v>
      </c>
      <c r="M12" s="113">
        <f>SUM(K12:L12)</f>
        <v>2844529</v>
      </c>
      <c r="N12" s="90">
        <f>+H12+J12+M12</f>
        <v>7258935.9127571099</v>
      </c>
      <c r="O12" s="64"/>
      <c r="P12" s="728"/>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f>+bncvar!J13</f>
        <v>0</v>
      </c>
      <c r="C13" s="87">
        <f>+bphvar!J13</f>
        <v>0</v>
      </c>
      <c r="D13" s="87">
        <f>+buhvar!J13</f>
        <v>128014.021989259</v>
      </c>
      <c r="E13" s="87">
        <f>+capitalbkvar!J13</f>
        <v>16413</v>
      </c>
      <c r="F13" s="87">
        <f>+sogebkvar!J13</f>
        <v>19547.340909999999</v>
      </c>
      <c r="G13" s="87">
        <f>+unibkvar!J13</f>
        <v>15.342804305166123</v>
      </c>
      <c r="H13" s="89">
        <f>SUM(B13:G13)</f>
        <v>163989.70570356416</v>
      </c>
      <c r="I13" s="87">
        <f>+sgbelvar!J13</f>
        <v>1507063.26143</v>
      </c>
      <c r="J13" s="113">
        <f>SUM(I13:I13)</f>
        <v>1507063.26143</v>
      </c>
      <c r="K13" s="87">
        <f>+cbnavar!J13</f>
        <v>0</v>
      </c>
      <c r="L13" s="87">
        <f>+scotiavar!J13</f>
        <v>0</v>
      </c>
      <c r="M13" s="113">
        <f>SUM(K13:L13)</f>
        <v>0</v>
      </c>
      <c r="N13" s="90">
        <f>+H13+J13+M13</f>
        <v>1671052.9671335642</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f>+bncvar!J14</f>
        <v>146018.71199999997</v>
      </c>
      <c r="C14" s="199">
        <f>+bphvar!J14</f>
        <v>67240.549629999994</v>
      </c>
      <c r="D14" s="199">
        <f>+buhvar!J14</f>
        <v>1401.1219934389999</v>
      </c>
      <c r="E14" s="199">
        <f>+capitalbkvar!J14</f>
        <v>141939</v>
      </c>
      <c r="F14" s="199">
        <f>+sogebkvar!J14</f>
        <v>109906.84101999999</v>
      </c>
      <c r="G14" s="578">
        <f>+unibkvar!J14</f>
        <v>594105.94718516991</v>
      </c>
      <c r="H14" s="262">
        <f>SUM(B14:G14)</f>
        <v>1060612.171828609</v>
      </c>
      <c r="I14" s="199">
        <f>+sgbelvar!J14</f>
        <v>33892.611860000005</v>
      </c>
      <c r="J14" s="113">
        <f>SUM(I14:I14)</f>
        <v>33892.611860000005</v>
      </c>
      <c r="K14" s="199">
        <f>+cbnavar!J14</f>
        <v>99625</v>
      </c>
      <c r="L14" s="199">
        <f>+scotiavar!J14</f>
        <v>51527</v>
      </c>
      <c r="M14" s="262">
        <f>SUM(K14:L14)</f>
        <v>151152</v>
      </c>
      <c r="N14" s="587">
        <f>+H14+J14+M14</f>
        <v>1245656.783688609</v>
      </c>
      <c r="O14" s="64"/>
      <c r="P14" s="728"/>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SUM(B10:B14)</f>
        <v>17240950.614</v>
      </c>
      <c r="C15" s="87">
        <f t="shared" ref="C15:J15" si="0">SUM(C10:C14)</f>
        <v>1726896.9935600001</v>
      </c>
      <c r="D15" s="87">
        <f t="shared" si="0"/>
        <v>2260384.6540972982</v>
      </c>
      <c r="E15" s="134">
        <f t="shared" si="0"/>
        <v>4709120</v>
      </c>
      <c r="F15" s="87">
        <f t="shared" si="0"/>
        <v>15946525.252109999</v>
      </c>
      <c r="G15" s="87">
        <f t="shared" si="0"/>
        <v>20525567.692261782</v>
      </c>
      <c r="H15" s="89">
        <f t="shared" si="0"/>
        <v>62409445.206029072</v>
      </c>
      <c r="I15" s="24">
        <f t="shared" si="0"/>
        <v>2105314.8313000002</v>
      </c>
      <c r="J15" s="586">
        <f t="shared" si="0"/>
        <v>2105314.8313000002</v>
      </c>
      <c r="K15" s="87">
        <f>SUM(K10:K14)</f>
        <v>5114561</v>
      </c>
      <c r="L15" s="87">
        <f>SUM(L10:L14)</f>
        <v>3695029</v>
      </c>
      <c r="M15" s="113">
        <f>SUM(M10:M14)</f>
        <v>8809590</v>
      </c>
      <c r="N15" s="90">
        <f>SUM(N10:N14)</f>
        <v>73324350.037329078</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f>+bncvar!J17</f>
        <v>2334000</v>
      </c>
      <c r="C17" s="87">
        <f>+bphvar!J17</f>
        <v>100000</v>
      </c>
      <c r="D17" s="87">
        <f>+buhvar!J17</f>
        <v>0</v>
      </c>
      <c r="E17" s="87">
        <f>+capitalbkvar!J17</f>
        <v>74992</v>
      </c>
      <c r="F17" s="87">
        <f>+sogebkvar!J17</f>
        <v>1950000</v>
      </c>
      <c r="G17" s="87">
        <f>+unibkvar!J17</f>
        <v>0</v>
      </c>
      <c r="H17" s="89">
        <f>SUM(B17:G17)</f>
        <v>4458992</v>
      </c>
      <c r="I17" s="87">
        <f>+sgbelvar!J17</f>
        <v>0</v>
      </c>
      <c r="J17" s="113">
        <f>SUM(I17:I17)</f>
        <v>0</v>
      </c>
      <c r="K17" s="87">
        <f>+cbnavar!J17</f>
        <v>49563</v>
      </c>
      <c r="L17" s="87">
        <f>+scotiavar!J17</f>
        <v>0</v>
      </c>
      <c r="M17" s="113">
        <f>SUM(K17:L17)</f>
        <v>49563</v>
      </c>
      <c r="N17" s="90">
        <f>+H17+J17+M17</f>
        <v>4508555</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f>+bncvar!J19</f>
        <v>6714311.1409400012</v>
      </c>
      <c r="C18" s="87">
        <f>+bphvar!J19</f>
        <v>67806.928249999997</v>
      </c>
      <c r="D18" s="87">
        <f>+buhvar!J19</f>
        <v>139331.34312741199</v>
      </c>
      <c r="E18" s="87">
        <f>+capitalbkvar!J19</f>
        <v>1081518</v>
      </c>
      <c r="F18" s="87">
        <f>+sogebkvar!J19</f>
        <v>10954575.97844</v>
      </c>
      <c r="G18" s="87">
        <f>+unibkvar!J19</f>
        <v>13846183.679170178</v>
      </c>
      <c r="H18" s="89">
        <f>SUM(B18:G18)</f>
        <v>32803727.069927588</v>
      </c>
      <c r="I18" s="87">
        <f>+sgbelvar!J19</f>
        <v>56237.525569999998</v>
      </c>
      <c r="J18" s="113">
        <f>SUM(I18:I18)</f>
        <v>56237.525569999998</v>
      </c>
      <c r="K18" s="87">
        <f>+cbnavar!J19</f>
        <v>0</v>
      </c>
      <c r="L18" s="87">
        <f>+scotiavar!J19</f>
        <v>0</v>
      </c>
      <c r="M18" s="113">
        <f>SUM(K18:L18)</f>
        <v>0</v>
      </c>
      <c r="N18" s="90">
        <f>+H18+J18+M18</f>
        <v>32859964.59549759</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f>+bncvar!J20</f>
        <v>11264487.9945</v>
      </c>
      <c r="C19" s="87">
        <f>+bphvar!J20</f>
        <v>958681.84587000008</v>
      </c>
      <c r="D19" s="87">
        <f>+buhvar!J20</f>
        <v>2277488.0100037898</v>
      </c>
      <c r="E19" s="87">
        <f>+capitalbkvar!J20</f>
        <v>5416947</v>
      </c>
      <c r="F19" s="87">
        <f>+sogebkvar!J20</f>
        <v>19001042.77665</v>
      </c>
      <c r="G19" s="87">
        <f>+unibkvar!J20</f>
        <v>22477640.604379997</v>
      </c>
      <c r="H19" s="89">
        <f>SUM(B19:G19)</f>
        <v>61396288.231403783</v>
      </c>
      <c r="I19" s="87">
        <f>+sgbelvar!J20</f>
        <v>3180507.1550469999</v>
      </c>
      <c r="J19" s="113">
        <f>SUM(I19:I19)</f>
        <v>3180507.1550469999</v>
      </c>
      <c r="K19" s="87">
        <f>+cbnavar!J20</f>
        <v>1447270</v>
      </c>
      <c r="L19" s="87">
        <f>+scotiavar!J20</f>
        <v>2154182</v>
      </c>
      <c r="M19" s="113">
        <f>SUM(K19:L19)</f>
        <v>3601452</v>
      </c>
      <c r="N19" s="90">
        <f>+H19+J19+M19</f>
        <v>68178247.386450782</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f>+bncvar!J21</f>
        <v>1342683.3114999998</v>
      </c>
      <c r="C20" s="87">
        <f>+bphvar!J21</f>
        <v>184690.54837999999</v>
      </c>
      <c r="D20" s="87">
        <f>+buhvar!J21</f>
        <v>254813.43122000009</v>
      </c>
      <c r="E20" s="87">
        <f>+capitalbkvar!J21</f>
        <v>297986</v>
      </c>
      <c r="F20" s="87">
        <f>+sogebkvar!J21</f>
        <v>2153614.5376499998</v>
      </c>
      <c r="G20" s="87">
        <f>+unibkvar!J21</f>
        <v>1429239.0878300001</v>
      </c>
      <c r="H20" s="89">
        <f>SUM(B20:G20)</f>
        <v>5663026.916579999</v>
      </c>
      <c r="I20" s="87">
        <f>+sgbelvar!J21</f>
        <v>179157.18401</v>
      </c>
      <c r="J20" s="113">
        <f>SUM(I20:I20)</f>
        <v>179157.18401</v>
      </c>
      <c r="K20" s="87">
        <f>+cbnavar!J21</f>
        <v>360539</v>
      </c>
      <c r="L20" s="87">
        <f>+scotiavar!J21</f>
        <v>47824</v>
      </c>
      <c r="M20" s="113">
        <f>SUM(K20:L20)</f>
        <v>408363</v>
      </c>
      <c r="N20" s="90">
        <f>+H20+J20+M20</f>
        <v>6250547.100589999</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f>+bncvar!J22</f>
        <v>1906335.5589999999</v>
      </c>
      <c r="C21" s="97">
        <f>+bphvar!J22</f>
        <v>26752.950630000003</v>
      </c>
      <c r="D21" s="97">
        <f>+buhvar!J22</f>
        <v>52946.767101435013</v>
      </c>
      <c r="E21" s="97">
        <f>+capitalbkvar!J22</f>
        <v>401925</v>
      </c>
      <c r="F21" s="97">
        <f>+sogebkvar!J22</f>
        <v>2047625.0796800002</v>
      </c>
      <c r="G21" s="579">
        <f>+unibkvar!J22</f>
        <v>798731.67073250702</v>
      </c>
      <c r="H21" s="96">
        <f>SUM(B21:G21)</f>
        <v>5234317.0271439422</v>
      </c>
      <c r="I21" s="994">
        <f>+sgbelvar!J22</f>
        <v>144460.95812</v>
      </c>
      <c r="J21" s="115">
        <f>SUM(I21:I21)</f>
        <v>144460.95812</v>
      </c>
      <c r="K21" s="660">
        <f>+cbnavar!J22</f>
        <v>117962</v>
      </c>
      <c r="L21" s="579">
        <f>+scotiavar!J22</f>
        <v>8291</v>
      </c>
      <c r="M21" s="96">
        <f>SUM(K21:L21)</f>
        <v>126253</v>
      </c>
      <c r="N21" s="588">
        <f>+H21+J21+M21</f>
        <v>5505030.9852639418</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J22" si="1">SUM(B15:B21)</f>
        <v>40802768.619939998</v>
      </c>
      <c r="C22" s="90">
        <f t="shared" si="1"/>
        <v>3064829.2666900004</v>
      </c>
      <c r="D22" s="90">
        <f t="shared" si="1"/>
        <v>4984964.2055499339</v>
      </c>
      <c r="E22" s="13">
        <f t="shared" si="1"/>
        <v>11982488</v>
      </c>
      <c r="F22" s="90">
        <f t="shared" si="1"/>
        <v>52053383.624530002</v>
      </c>
      <c r="G22" s="90">
        <f t="shared" si="1"/>
        <v>59077362.734374464</v>
      </c>
      <c r="H22" s="89">
        <f t="shared" si="1"/>
        <v>171965796.45108441</v>
      </c>
      <c r="I22" s="90">
        <f t="shared" si="1"/>
        <v>5665677.6540470002</v>
      </c>
      <c r="J22" s="729">
        <f t="shared" si="1"/>
        <v>5665677.6540470002</v>
      </c>
      <c r="K22" s="13">
        <f>SUM(K15:K21)</f>
        <v>7089895</v>
      </c>
      <c r="L22" s="13">
        <f>SUM(L15:L21)</f>
        <v>5905326</v>
      </c>
      <c r="M22" s="113">
        <f>SUM(M15:M21)</f>
        <v>12995221</v>
      </c>
      <c r="N22" s="90">
        <f>SUM(N15:N21)</f>
        <v>190626695.10513139</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728"/>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t="s">
        <v>0</v>
      </c>
      <c r="G24" s="87"/>
      <c r="H24" s="1408" t="s">
        <v>0</v>
      </c>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f>+bncvar!J27</f>
        <v>22151320.728819996</v>
      </c>
      <c r="C26" s="87">
        <f>+bphvar!J27</f>
        <v>1349236.20499</v>
      </c>
      <c r="D26" s="87">
        <f>+buhvar!J27</f>
        <v>1369420.8002174557</v>
      </c>
      <c r="E26" s="87">
        <f>+capitalbkvar!J27</f>
        <v>5375280</v>
      </c>
      <c r="F26" s="87">
        <f>+sogebkvar!J27</f>
        <v>13783045.50812</v>
      </c>
      <c r="G26" s="87">
        <f>+unibkvar!J27</f>
        <v>22840458.232573729</v>
      </c>
      <c r="H26" s="89">
        <f>SUM(B26:G26)</f>
        <v>66868761.474721178</v>
      </c>
      <c r="I26" s="87">
        <f>+sgbelvar!J27</f>
        <v>1096034.0123000001</v>
      </c>
      <c r="J26" s="113">
        <f>SUM(I26:I26)</f>
        <v>1096034.0123000001</v>
      </c>
      <c r="K26" s="87">
        <f>+cbnavar!J27</f>
        <v>4815765</v>
      </c>
      <c r="L26" s="87">
        <f>+scotiavar!J27</f>
        <v>3067361</v>
      </c>
      <c r="M26" s="113">
        <f>SUM(K26:L26)</f>
        <v>7883126</v>
      </c>
      <c r="N26" s="90">
        <f>+H26+J26+M26</f>
        <v>75847921.487021178</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f>+bncvar!J28</f>
        <v>9774711.9424900003</v>
      </c>
      <c r="C27" s="87">
        <f>+bphvar!J28</f>
        <v>538863.71576000005</v>
      </c>
      <c r="D27" s="87">
        <f>+buhvar!J28</f>
        <v>1710134.4278298719</v>
      </c>
      <c r="E27" s="87">
        <f>+capitalbkvar!J28</f>
        <v>2579050</v>
      </c>
      <c r="F27" s="87">
        <f>+sogebkvar!J28</f>
        <v>18532338.469219998</v>
      </c>
      <c r="G27" s="87">
        <f>+unibkvar!J28</f>
        <v>19790756.37503003</v>
      </c>
      <c r="H27" s="89">
        <f>SUM(B27:G27)</f>
        <v>52925854.930329904</v>
      </c>
      <c r="I27" s="87">
        <f>+sgbelvar!J28</f>
        <v>511316.68787999998</v>
      </c>
      <c r="J27" s="113">
        <f>SUM(I27:I27)</f>
        <v>511316.68787999998</v>
      </c>
      <c r="K27" s="87">
        <f>+cbnavar!J28</f>
        <v>291515</v>
      </c>
      <c r="L27" s="87">
        <f>+scotiavar!J28</f>
        <v>1522098</v>
      </c>
      <c r="M27" s="113">
        <f>SUM(K27:L27)</f>
        <v>1813613</v>
      </c>
      <c r="N27" s="90">
        <f>+H27+J27+M27</f>
        <v>55250784.618209906</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f>+bncvar!J29</f>
        <v>4035560.5621100003</v>
      </c>
      <c r="C28" s="199">
        <f>+bphvar!J29</f>
        <v>867767.10057000001</v>
      </c>
      <c r="D28" s="199">
        <f>+buhvar!J29</f>
        <v>1003470.5567614848</v>
      </c>
      <c r="E28" s="199">
        <f>+capitalbkvar!J29</f>
        <v>2191768</v>
      </c>
      <c r="F28" s="199">
        <f>+sogebkvar!J29</f>
        <v>9142658.7885531895</v>
      </c>
      <c r="G28" s="578">
        <f>+unibkvar!J29</f>
        <v>5855784.9906616667</v>
      </c>
      <c r="H28" s="262">
        <f>SUM(B28:G28)</f>
        <v>23097009.99865634</v>
      </c>
      <c r="I28" s="199">
        <f>+sgbelvar!J29</f>
        <v>2487107.3877699999</v>
      </c>
      <c r="J28" s="113">
        <f>SUM(I28:I28)</f>
        <v>2487107.3877699999</v>
      </c>
      <c r="K28" s="199">
        <f>+cbnavar!J29</f>
        <v>430990</v>
      </c>
      <c r="L28" s="199">
        <f>+scotiavar!J29</f>
        <v>435309</v>
      </c>
      <c r="M28" s="262">
        <f>SUM(K28:L28)</f>
        <v>866299</v>
      </c>
      <c r="N28" s="587">
        <f>+H28+J28+M28</f>
        <v>26450416.386426341</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J29" si="2">SUM(B26:B28)</f>
        <v>35961593.233419999</v>
      </c>
      <c r="C29" s="87">
        <f t="shared" si="2"/>
        <v>2755867.0213200003</v>
      </c>
      <c r="D29" s="87">
        <f t="shared" si="2"/>
        <v>4083025.7848088127</v>
      </c>
      <c r="E29" s="87">
        <f t="shared" si="2"/>
        <v>10146098</v>
      </c>
      <c r="F29" s="87">
        <f t="shared" si="2"/>
        <v>41458042.765893191</v>
      </c>
      <c r="G29" s="87">
        <f t="shared" si="2"/>
        <v>48486999.598265424</v>
      </c>
      <c r="H29" s="89">
        <f t="shared" si="2"/>
        <v>142891626.40370741</v>
      </c>
      <c r="I29" s="87">
        <f t="shared" si="2"/>
        <v>4094458.0879500001</v>
      </c>
      <c r="J29" s="586">
        <f t="shared" si="2"/>
        <v>4094458.0879500001</v>
      </c>
      <c r="K29" s="87">
        <f>SUM(K26:K28)</f>
        <v>5538270</v>
      </c>
      <c r="L29" s="87">
        <f>SUM(L26:L28)</f>
        <v>5024768</v>
      </c>
      <c r="M29" s="113">
        <f>SUM(M26:M28)</f>
        <v>10563038</v>
      </c>
      <c r="N29" s="90">
        <f>SUM(N26:N28)</f>
        <v>157549122.49165741</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f>+bncvar!J33</f>
        <v>0</v>
      </c>
      <c r="C32" s="87">
        <f>+bphvar!J33</f>
        <v>0</v>
      </c>
      <c r="D32" s="87">
        <f>+buhvar!J33</f>
        <v>0</v>
      </c>
      <c r="E32" s="87">
        <f>+capitalbkvar!J33</f>
        <v>0</v>
      </c>
      <c r="F32" s="87">
        <f>+sogebkvar!J33</f>
        <v>0</v>
      </c>
      <c r="G32" s="87">
        <f>+unibkvar!J33</f>
        <v>0</v>
      </c>
      <c r="H32" s="89">
        <f>SUM(B32:G32)</f>
        <v>0</v>
      </c>
      <c r="I32" s="87">
        <f>+sgbelvar!J33</f>
        <v>0</v>
      </c>
      <c r="J32" s="113">
        <f>SUM(I32:I32)</f>
        <v>0</v>
      </c>
      <c r="K32" s="87">
        <f>+cbnavar!J33</f>
        <v>300000</v>
      </c>
      <c r="L32" s="87">
        <f>+scotiavar!J33</f>
        <v>0</v>
      </c>
      <c r="M32" s="113">
        <f>SUM(K32:L32)</f>
        <v>300000</v>
      </c>
      <c r="N32" s="90">
        <f>+H32+J32+M32</f>
        <v>300000</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f>+bncvar!J34</f>
        <v>0</v>
      </c>
      <c r="C33" s="87">
        <f>+bphvar!J34</f>
        <v>0</v>
      </c>
      <c r="D33" s="87">
        <f>+buhvar!J34</f>
        <v>0</v>
      </c>
      <c r="E33" s="87">
        <f>+capitalbkvar!J34</f>
        <v>0</v>
      </c>
      <c r="F33" s="87">
        <f>+sogebkvar!J34</f>
        <v>0</v>
      </c>
      <c r="G33" s="87">
        <f>+unibkvar!J34</f>
        <v>0</v>
      </c>
      <c r="H33" s="89">
        <f>SUM(B33:G33)</f>
        <v>0</v>
      </c>
      <c r="I33" s="87">
        <f>+sgbelvar!J34</f>
        <v>0</v>
      </c>
      <c r="J33" s="113">
        <f>SUM(I33:I33)</f>
        <v>0</v>
      </c>
      <c r="K33" s="87">
        <f>+cbnavar!J34</f>
        <v>0</v>
      </c>
      <c r="L33" s="87">
        <f>+scotiavar!J34</f>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f>+bncvar!J35</f>
        <v>1476534.3979999998</v>
      </c>
      <c r="C34" s="199">
        <f>+bphvar!J35</f>
        <v>162367.24285105799</v>
      </c>
      <c r="D34" s="199">
        <f>+buhvar!J35</f>
        <v>222978.337094883</v>
      </c>
      <c r="E34" s="199">
        <f>+capitalbkvar!J35</f>
        <v>313866</v>
      </c>
      <c r="F34" s="199">
        <f>+sogebkvar!J35</f>
        <v>1670570.43084</v>
      </c>
      <c r="G34" s="578">
        <f>+unibkvar!J35</f>
        <v>2202766.578748968</v>
      </c>
      <c r="H34" s="262">
        <f>SUM(B34:G34)</f>
        <v>6049082.9875349086</v>
      </c>
      <c r="I34" s="199">
        <f>+sgbelvar!J35</f>
        <v>110293.88291</v>
      </c>
      <c r="J34" s="113">
        <f>SUM(I34:I34)</f>
        <v>110293.88291</v>
      </c>
      <c r="K34" s="199">
        <f>+cbnavar!J35</f>
        <v>663613</v>
      </c>
      <c r="L34" s="199">
        <f>+scotiavar!J35</f>
        <v>219650</v>
      </c>
      <c r="M34" s="262">
        <f>SUM(K34:L34)</f>
        <v>883263</v>
      </c>
      <c r="N34" s="587">
        <f>+H34+J34+M34</f>
        <v>7042639.8704449087</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J35" si="3">SUM(B32:B34)</f>
        <v>1476534.3979999998</v>
      </c>
      <c r="C35" s="87">
        <f t="shared" si="3"/>
        <v>162367.24285105799</v>
      </c>
      <c r="D35" s="87">
        <f t="shared" si="3"/>
        <v>222978.337094883</v>
      </c>
      <c r="E35" s="87">
        <f t="shared" si="3"/>
        <v>313866</v>
      </c>
      <c r="F35" s="87">
        <f t="shared" si="3"/>
        <v>1670570.43084</v>
      </c>
      <c r="G35" s="87">
        <f t="shared" si="3"/>
        <v>2202766.578748968</v>
      </c>
      <c r="H35" s="89">
        <f t="shared" si="3"/>
        <v>6049082.9875349086</v>
      </c>
      <c r="I35" s="87">
        <f t="shared" si="3"/>
        <v>110293.88291</v>
      </c>
      <c r="J35" s="586">
        <f t="shared" si="3"/>
        <v>110293.88291</v>
      </c>
      <c r="K35" s="87">
        <f>SUM(K32:K34)</f>
        <v>963613</v>
      </c>
      <c r="L35" s="87">
        <f>SUM(L32:L34)</f>
        <v>219650</v>
      </c>
      <c r="M35" s="113">
        <f>SUM(M32:M34)</f>
        <v>1183263</v>
      </c>
      <c r="N35" s="90">
        <f>SUM(N32:N34)</f>
        <v>7342639.8704449087</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f>+bncvar!J39</f>
        <v>3000</v>
      </c>
      <c r="C38" s="87">
        <f>+bphvar!J39</f>
        <v>9510</v>
      </c>
      <c r="D38" s="87">
        <f>+buhvar!J39</f>
        <v>200000</v>
      </c>
      <c r="E38" s="87">
        <f>+capitalbkvar!J39</f>
        <v>0</v>
      </c>
      <c r="F38" s="87">
        <f>+sogebkvar!J39</f>
        <v>0</v>
      </c>
      <c r="G38" s="87">
        <f>+unibkvar!J39</f>
        <v>600000</v>
      </c>
      <c r="H38" s="89">
        <f>SUM(B38:G38)</f>
        <v>812510</v>
      </c>
      <c r="I38" s="87">
        <f>+sgbelvar!J39</f>
        <v>855000</v>
      </c>
      <c r="J38" s="113">
        <f>SUM(I38:I38)</f>
        <v>855000</v>
      </c>
      <c r="K38" s="87">
        <f>+cbnavar!J39</f>
        <v>0</v>
      </c>
      <c r="L38" s="87">
        <f>+scotiavar!J39</f>
        <v>0</v>
      </c>
      <c r="M38" s="113">
        <f>SUM(K38:L38)</f>
        <v>0</v>
      </c>
      <c r="N38" s="90">
        <f>+H38+J38+M38</f>
        <v>1667510</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f>+bncvar!J40</f>
        <v>0</v>
      </c>
      <c r="C39" s="87">
        <f>+bphvar!J40</f>
        <v>0</v>
      </c>
      <c r="D39" s="87">
        <f>+buhvar!J40</f>
        <v>0</v>
      </c>
      <c r="E39" s="87">
        <f>+capitalbkvar!J40</f>
        <v>0</v>
      </c>
      <c r="F39" s="87">
        <f>+sogebkvar!J40</f>
        <v>2785806.59913</v>
      </c>
      <c r="G39" s="87">
        <f>+unibkvar!J40</f>
        <v>1457846.4</v>
      </c>
      <c r="H39" s="89">
        <f>SUM(B39:G39)</f>
        <v>4243652.9991299994</v>
      </c>
      <c r="I39" s="87">
        <f>+sgbelvar!J40</f>
        <v>0</v>
      </c>
      <c r="J39" s="113">
        <f>SUM(I39:I39)</f>
        <v>0</v>
      </c>
      <c r="K39" s="87">
        <f>+cbnavar!J40</f>
        <v>0</v>
      </c>
      <c r="L39" s="87">
        <f>+scotiavar!J40</f>
        <v>0</v>
      </c>
      <c r="M39" s="113">
        <f>SUM(K39:L39)</f>
        <v>0</v>
      </c>
      <c r="N39" s="90">
        <f>+H39+J39+M39</f>
        <v>4243652.9991299994</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f>+bncvar!J41</f>
        <v>3322967.8364500003</v>
      </c>
      <c r="C40" s="199">
        <f>+bphvar!J41</f>
        <v>7297.9101099999998</v>
      </c>
      <c r="D40" s="199">
        <f>+buhvar!J41</f>
        <v>7049.5000599999994</v>
      </c>
      <c r="E40" s="199">
        <f>+capitalbkvar!J41</f>
        <v>88007</v>
      </c>
      <c r="F40" s="199">
        <f>+sogebkvar!J41</f>
        <v>571012.74373000022</v>
      </c>
      <c r="G40" s="578">
        <f>+unibkvar!J41</f>
        <v>372529.52439225098</v>
      </c>
      <c r="H40" s="262">
        <f>SUM(B40:G40)</f>
        <v>4368864.5147422515</v>
      </c>
      <c r="I40" s="199">
        <f>+sgbelvar!J41</f>
        <v>62887.521659999969</v>
      </c>
      <c r="J40" s="113">
        <f>SUM(I40:I40)</f>
        <v>62887.521659999969</v>
      </c>
      <c r="K40" s="199">
        <f>+cbnavar!J41</f>
        <v>115374</v>
      </c>
      <c r="L40" s="199">
        <f>+scotiavar!J41</f>
        <v>32145</v>
      </c>
      <c r="M40" s="262">
        <f>SUM(K40:L40)</f>
        <v>147519</v>
      </c>
      <c r="N40" s="587">
        <f>+H40+J40+M40</f>
        <v>4579271.0364022516</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J41" si="4">SUM(B38:B40)</f>
        <v>3325967.8364500003</v>
      </c>
      <c r="C41" s="87">
        <f t="shared" si="4"/>
        <v>16807.910110000001</v>
      </c>
      <c r="D41" s="87">
        <f t="shared" si="4"/>
        <v>207049.50005999999</v>
      </c>
      <c r="E41" s="87">
        <f t="shared" si="4"/>
        <v>88007</v>
      </c>
      <c r="F41" s="87">
        <f t="shared" si="4"/>
        <v>3356819.3428600002</v>
      </c>
      <c r="G41" s="87">
        <f t="shared" si="4"/>
        <v>2430375.9243922508</v>
      </c>
      <c r="H41" s="89">
        <f t="shared" si="4"/>
        <v>9425027.5138722509</v>
      </c>
      <c r="I41" s="87">
        <f t="shared" si="4"/>
        <v>917887.52165999997</v>
      </c>
      <c r="J41" s="585">
        <f t="shared" si="4"/>
        <v>917887.52165999997</v>
      </c>
      <c r="K41" s="87">
        <f>SUM(K38:K40)</f>
        <v>115374</v>
      </c>
      <c r="L41" s="87">
        <f>SUM(L38:L40)</f>
        <v>32145</v>
      </c>
      <c r="M41" s="113">
        <f>SUM(M38:M40)</f>
        <v>147519</v>
      </c>
      <c r="N41" s="90">
        <f>SUM(N38:N40)</f>
        <v>10490434.035532251</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f>+bncvar!J44</f>
        <v>876997.35400000005</v>
      </c>
      <c r="C43" s="199">
        <f>+bphvar!J44</f>
        <v>486.15384</v>
      </c>
      <c r="D43" s="199">
        <f>+buhvar!J44</f>
        <v>202639.537648242</v>
      </c>
      <c r="E43" s="199">
        <f>+capitalbkvar!J44</f>
        <v>425327</v>
      </c>
      <c r="F43" s="199">
        <f>+sogebkvar!J44</f>
        <v>1800511.0100599998</v>
      </c>
      <c r="G43" s="578">
        <f>+unibkvar!J44</f>
        <v>501530.57568533707</v>
      </c>
      <c r="H43" s="262">
        <f>SUM(B43:G43)</f>
        <v>3807491.631233579</v>
      </c>
      <c r="I43" s="199">
        <f>+sgbelvar!J44</f>
        <v>76862.384119999973</v>
      </c>
      <c r="J43" s="113">
        <f>SUM(I43:I43)</f>
        <v>76862.384119999973</v>
      </c>
      <c r="K43" s="199">
        <f>+cbnavar!J44</f>
        <v>103130</v>
      </c>
      <c r="L43" s="199">
        <f>+scotiavar!J44</f>
        <v>381529</v>
      </c>
      <c r="M43" s="262">
        <f>SUM(K43:L43)</f>
        <v>484659</v>
      </c>
      <c r="N43" s="587">
        <f>+H43+J43+M43</f>
        <v>4369013.0153535791</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41641092.821870007</v>
      </c>
      <c r="C44" s="87">
        <f t="shared" si="5"/>
        <v>2935528.3281210582</v>
      </c>
      <c r="D44" s="87">
        <f t="shared" si="5"/>
        <v>4715693.1596119385</v>
      </c>
      <c r="E44" s="87">
        <f t="shared" si="5"/>
        <v>10973298</v>
      </c>
      <c r="F44" s="87">
        <f t="shared" si="5"/>
        <v>48285943.549653187</v>
      </c>
      <c r="G44" s="87">
        <f t="shared" si="5"/>
        <v>53621672.677091986</v>
      </c>
      <c r="H44" s="89">
        <f>SUM(B44:G44)</f>
        <v>162173228.53634816</v>
      </c>
      <c r="I44" s="87">
        <f>+I29+I35+I41+I43</f>
        <v>5199501.8766399994</v>
      </c>
      <c r="J44" s="585">
        <f>+J29+J35+J41+J43</f>
        <v>5199501.8766399994</v>
      </c>
      <c r="K44" s="87">
        <f>+K29+K35+K41+K43</f>
        <v>6720387</v>
      </c>
      <c r="L44" s="87">
        <f>+L29+L35+L41+L43</f>
        <v>5658092</v>
      </c>
      <c r="M44" s="113">
        <f>SUM(K44:L44)</f>
        <v>12378479</v>
      </c>
      <c r="N44" s="90">
        <f>+H44+J44+M44</f>
        <v>179751209.41298816</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f>+bncvar!J48</f>
        <v>1500000</v>
      </c>
      <c r="C47" s="87">
        <f>+bphvar!J48</f>
        <v>165000</v>
      </c>
      <c r="D47" s="87">
        <f>+buhvar!J48</f>
        <v>448651</v>
      </c>
      <c r="E47" s="87">
        <f>+capitalbkvar!J48</f>
        <v>270000</v>
      </c>
      <c r="F47" s="87">
        <f>+sogebkvar!J48</f>
        <v>1200000</v>
      </c>
      <c r="G47" s="87">
        <f>+unibkvar!J48</f>
        <v>2092704</v>
      </c>
      <c r="H47" s="89">
        <f>SUM(B47:G47)</f>
        <v>5676355</v>
      </c>
      <c r="I47" s="87">
        <f>+sgbelvar!J48</f>
        <v>150000</v>
      </c>
      <c r="J47" s="113">
        <f>SUM(I47:I47)</f>
        <v>150000</v>
      </c>
      <c r="K47" s="87">
        <f>+cbnavar!J48</f>
        <v>103837</v>
      </c>
      <c r="L47" s="87">
        <f>+scotiavar!J48</f>
        <v>94373</v>
      </c>
      <c r="M47" s="113">
        <f>SUM(K47:L47)</f>
        <v>198210</v>
      </c>
      <c r="N47" s="90">
        <f>+H47+J47+M47</f>
        <v>6024565</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f>+bncvar!J49</f>
        <v>352614.36806000001</v>
      </c>
      <c r="C48" s="87">
        <f>+bphvar!J49</f>
        <v>87983</v>
      </c>
      <c r="D48" s="87">
        <f>+buhvar!J49</f>
        <v>34306.199999999997</v>
      </c>
      <c r="E48" s="87">
        <f>+capitalbkvar!J49</f>
        <v>204148</v>
      </c>
      <c r="F48" s="87">
        <f>+sogebkvar!J49</f>
        <v>1048734.60412</v>
      </c>
      <c r="G48" s="87">
        <f>+unibkvar!J49</f>
        <v>867190.37237999996</v>
      </c>
      <c r="H48" s="89">
        <f>SUM(B48:G48)</f>
        <v>2594976.5445599998</v>
      </c>
      <c r="I48" s="87">
        <f>+sgbelvar!J49</f>
        <v>155712.09143999999</v>
      </c>
      <c r="J48" s="113">
        <f>SUM(I48:I48)</f>
        <v>155712.09143999999</v>
      </c>
      <c r="K48" s="87">
        <f>+cbnavar!J49</f>
        <v>70114</v>
      </c>
      <c r="L48" s="87">
        <f>+scotiavar!J49</f>
        <v>73658</v>
      </c>
      <c r="M48" s="113">
        <f>SUM(K48:L48)</f>
        <v>143772</v>
      </c>
      <c r="N48" s="90">
        <f>+H48+J48+M48</f>
        <v>2894460.6359999999</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f>+bncvar!J50</f>
        <v>0</v>
      </c>
      <c r="C49" s="87">
        <f>+bphvar!J50</f>
        <v>14325</v>
      </c>
      <c r="D49" s="87">
        <f>+buhvar!J50</f>
        <v>93847.2</v>
      </c>
      <c r="E49" s="87">
        <f>+capitalbkvar!J50</f>
        <v>1384</v>
      </c>
      <c r="F49" s="87">
        <f>+sogebkvar!J50</f>
        <v>98479.455170000001</v>
      </c>
      <c r="G49" s="87">
        <f>+unibkvar!J50</f>
        <v>0</v>
      </c>
      <c r="H49" s="89">
        <f>SUM(B49:G49)</f>
        <v>208035.65516999998</v>
      </c>
      <c r="I49" s="87">
        <f>+sgbelvar!J50</f>
        <v>0</v>
      </c>
      <c r="J49" s="113">
        <f>SUM(I49:I49)</f>
        <v>0</v>
      </c>
      <c r="K49" s="87">
        <f>+cbnavar!J50</f>
        <v>0</v>
      </c>
      <c r="L49" s="87">
        <f>+scotiavar!J50</f>
        <v>0</v>
      </c>
      <c r="M49" s="113">
        <f>SUM(K49:L49)</f>
        <v>0</v>
      </c>
      <c r="N49" s="90">
        <f>+H49+J49+M49</f>
        <v>208035.65516999998</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f>+bncvar!J51</f>
        <v>1184061.4283699999</v>
      </c>
      <c r="C50" s="199">
        <f>+bphvar!J51</f>
        <v>-138007.06143999999</v>
      </c>
      <c r="D50" s="199">
        <f>+buhvar!J51</f>
        <v>-307533.40000000002</v>
      </c>
      <c r="E50" s="199">
        <f>+capitalbkvar!J51</f>
        <v>533658</v>
      </c>
      <c r="F50" s="199">
        <f>+sogebkvar!J51</f>
        <v>1420226.01559</v>
      </c>
      <c r="G50" s="578">
        <f>+unibkvar!J51</f>
        <v>2495795.6846699999</v>
      </c>
      <c r="H50" s="262">
        <f>SUM(B50:G50)</f>
        <v>5188200.6671900004</v>
      </c>
      <c r="I50" s="199">
        <f>+sgbelvar!J51</f>
        <v>160463.68586999999</v>
      </c>
      <c r="J50" s="113">
        <f>SUM(I50:I50)</f>
        <v>160463.68586999999</v>
      </c>
      <c r="K50" s="199">
        <f>+cbnavar!J51</f>
        <v>195557</v>
      </c>
      <c r="L50" s="199">
        <f>+scotiavar!J51</f>
        <v>79203</v>
      </c>
      <c r="M50" s="262">
        <f>SUM(K50:L50)</f>
        <v>274760</v>
      </c>
      <c r="N50" s="587">
        <f>+H50+J50+M50</f>
        <v>5623424.3530600006</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3036675.7964300001</v>
      </c>
      <c r="C51" s="97">
        <f t="shared" si="6"/>
        <v>129300.93856000001</v>
      </c>
      <c r="D51" s="97">
        <f t="shared" si="6"/>
        <v>269271</v>
      </c>
      <c r="E51" s="97">
        <f t="shared" si="6"/>
        <v>1009190</v>
      </c>
      <c r="F51" s="97">
        <f t="shared" si="6"/>
        <v>3767440.0748800002</v>
      </c>
      <c r="G51" s="97">
        <f t="shared" si="6"/>
        <v>5455690.0570499999</v>
      </c>
      <c r="H51" s="96">
        <f>SUM(B51:G51)</f>
        <v>13667567.866920002</v>
      </c>
      <c r="I51" s="97">
        <f t="shared" ref="I51:N51" si="7">SUM(I47:I50)</f>
        <v>466175.77730999998</v>
      </c>
      <c r="J51" s="584">
        <f t="shared" si="7"/>
        <v>466175.77730999998</v>
      </c>
      <c r="K51" s="97">
        <f t="shared" si="7"/>
        <v>369508</v>
      </c>
      <c r="L51" s="97">
        <f t="shared" si="7"/>
        <v>247234</v>
      </c>
      <c r="M51" s="115">
        <f t="shared" si="7"/>
        <v>616742</v>
      </c>
      <c r="N51" s="95">
        <f t="shared" si="7"/>
        <v>14750485.644230001</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J52" si="8">+B29+B35+B41+B43+B51</f>
        <v>44677768.618300006</v>
      </c>
      <c r="C52" s="90">
        <f t="shared" si="8"/>
        <v>3064829.2666810583</v>
      </c>
      <c r="D52" s="90">
        <f t="shared" si="8"/>
        <v>4984964.1596119385</v>
      </c>
      <c r="E52" s="90">
        <f t="shared" si="8"/>
        <v>11982488</v>
      </c>
      <c r="F52" s="90">
        <f t="shared" si="8"/>
        <v>52053383.624533191</v>
      </c>
      <c r="G52" s="90">
        <f t="shared" si="8"/>
        <v>59077362.734141983</v>
      </c>
      <c r="H52" s="89">
        <f t="shared" si="8"/>
        <v>175840796.40326816</v>
      </c>
      <c r="I52" s="90">
        <f t="shared" si="8"/>
        <v>5665677.6539499993</v>
      </c>
      <c r="J52" s="1014">
        <f t="shared" si="8"/>
        <v>5665677.6539499993</v>
      </c>
      <c r="K52" s="90">
        <f>+K29+K35+K41+K43+K51</f>
        <v>7089895</v>
      </c>
      <c r="L52" s="90">
        <f>+L29+L35+L41+L43+L51</f>
        <v>5905326</v>
      </c>
      <c r="M52" s="113">
        <f>+M29+M35+M41+M43+M51</f>
        <v>12995221</v>
      </c>
      <c r="N52" s="90">
        <f>(+N29+N35+N41+N43+N51)</f>
        <v>194501695.05721816</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f>+bncvar!J57</f>
        <v>0</v>
      </c>
      <c r="C56" s="87">
        <f>+bphvar!J57</f>
        <v>0</v>
      </c>
      <c r="D56" s="87">
        <f>+buhvar!J57</f>
        <v>0</v>
      </c>
      <c r="E56" s="87">
        <f>+capitalbkvar!J57</f>
        <v>0</v>
      </c>
      <c r="F56" s="87">
        <f>+sogebkvar!J57</f>
        <v>94679.355009999985</v>
      </c>
      <c r="G56" s="87">
        <f>+unibkvar!J57</f>
        <v>743.6336419139999</v>
      </c>
      <c r="H56" s="89">
        <f>SUM(B56:G56)</f>
        <v>95422.988651913984</v>
      </c>
      <c r="I56" s="87">
        <f>+sgbelvar!J57</f>
        <v>0</v>
      </c>
      <c r="J56" s="113">
        <f>SUM(I56:I56)</f>
        <v>0</v>
      </c>
      <c r="K56" s="87">
        <f>+cbnavar!J57</f>
        <v>0</v>
      </c>
      <c r="L56" s="87">
        <f>+scotiavar!J57</f>
        <v>0</v>
      </c>
      <c r="M56" s="113">
        <f>SUM(K56:L56)</f>
        <v>0</v>
      </c>
      <c r="N56" s="90">
        <f>+H56+J56+M56</f>
        <v>95422.988651913984</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f>+bncvar!J58</f>
        <v>136673.1</v>
      </c>
      <c r="C57" s="87">
        <f>+bphvar!J58</f>
        <v>0</v>
      </c>
      <c r="D57" s="87">
        <f>+buhvar!J58</f>
        <v>0</v>
      </c>
      <c r="E57" s="87">
        <f>+capitalbkvar!J58</f>
        <v>0</v>
      </c>
      <c r="F57" s="87">
        <f>+sogebkvar!J58</f>
        <v>714772.20241999999</v>
      </c>
      <c r="G57" s="87">
        <f>+unibkvar!J58</f>
        <v>733540.53257558693</v>
      </c>
      <c r="H57" s="89">
        <f>SUM(B57:G57)</f>
        <v>1584985.8349955869</v>
      </c>
      <c r="I57" s="87">
        <f>+sgbelvar!J58</f>
        <v>0</v>
      </c>
      <c r="J57" s="113">
        <f>SUM(I57:I57)</f>
        <v>0</v>
      </c>
      <c r="K57" s="87">
        <f>+cbnavar!J58</f>
        <v>68176</v>
      </c>
      <c r="L57" s="87">
        <f>+scotiavar!J58</f>
        <v>81071</v>
      </c>
      <c r="M57" s="113">
        <f>SUM(K57:L57)</f>
        <v>149247</v>
      </c>
      <c r="N57" s="90">
        <f>+H57+J57+M57</f>
        <v>1734232.8349955869</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f>+bncvar!J59</f>
        <v>294443.174</v>
      </c>
      <c r="C58" s="87">
        <f>+bphvar!J59</f>
        <v>219300.77508037502</v>
      </c>
      <c r="D58" s="87">
        <f>+buhvar!J59</f>
        <v>2427.8850000000002</v>
      </c>
      <c r="E58" s="87">
        <f>+capitalbkvar!J59</f>
        <v>160556</v>
      </c>
      <c r="F58" s="87">
        <f>+sogebkvar!J59</f>
        <v>3240235.8544799997</v>
      </c>
      <c r="G58" s="87">
        <f>+unibkvar!J59</f>
        <v>559775.16554171999</v>
      </c>
      <c r="H58" s="89">
        <f>SUM(B58:G58)</f>
        <v>4476738.8541020947</v>
      </c>
      <c r="I58" s="87">
        <f>+sgbelvar!J59</f>
        <v>609384.05111899995</v>
      </c>
      <c r="J58" s="113">
        <f>SUM(I58:I58)</f>
        <v>609384.05111899995</v>
      </c>
      <c r="K58" s="87">
        <f>+cbnavar!J59</f>
        <v>5921460</v>
      </c>
      <c r="L58" s="87">
        <f>+scotiavar!J59</f>
        <v>1475592</v>
      </c>
      <c r="M58" s="113">
        <f>SUM(K58:L58)</f>
        <v>7397052</v>
      </c>
      <c r="N58" s="90">
        <f>+H58+J58+M58</f>
        <v>12483174.905221093</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t="s">
        <v>0</v>
      </c>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f>+bncvar!J61</f>
        <v>11521904.286499999</v>
      </c>
      <c r="C60" s="87">
        <f>+bphvar!J61</f>
        <v>1369610.7905000001</v>
      </c>
      <c r="D60" s="87">
        <f>+buhvar!J61</f>
        <v>2301326.7615482868</v>
      </c>
      <c r="E60" s="87">
        <f>+capitalbkvar!J61</f>
        <v>5447996</v>
      </c>
      <c r="F60" s="87">
        <f>+sogebkvar!J61</f>
        <v>19519215.03672</v>
      </c>
      <c r="G60" s="87">
        <f>+unibkvar!J61</f>
        <v>22587458.600659996</v>
      </c>
      <c r="H60" s="89">
        <f>SUM(B60:G60)</f>
        <v>62747511.475928284</v>
      </c>
      <c r="I60" s="87">
        <f>+sgbelvar!J61</f>
        <v>3248793.2088270001</v>
      </c>
      <c r="J60" s="113">
        <f>SUM(I60:I60)</f>
        <v>3248793.2088270001</v>
      </c>
      <c r="K60" s="87">
        <f>+cbnavar!J61</f>
        <v>1447380</v>
      </c>
      <c r="L60" s="87">
        <f>+scotiavar!J61</f>
        <v>2239595</v>
      </c>
      <c r="M60" s="113">
        <f>SUM(K60:L60)</f>
        <v>3686975</v>
      </c>
      <c r="N60" s="90">
        <f>+H60+J60+M60</f>
        <v>69683279.684755281</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f>+bncvar!J62</f>
        <v>257416.29200000002</v>
      </c>
      <c r="C61" s="87">
        <f>+bphvar!J62</f>
        <v>410928.94462999998</v>
      </c>
      <c r="D61" s="87">
        <f>+buhvar!J62</f>
        <v>23838.751544496998</v>
      </c>
      <c r="E61" s="87">
        <f>+capitalbkvar!J62</f>
        <v>31049</v>
      </c>
      <c r="F61" s="87">
        <f>+sogebkvar!J62</f>
        <v>518172.26006999996</v>
      </c>
      <c r="G61" s="87">
        <f>+unibkvar!J62</f>
        <v>109817.99628000001</v>
      </c>
      <c r="H61" s="89">
        <f>SUM(B61:G61)</f>
        <v>1351223.2445244971</v>
      </c>
      <c r="I61" s="87">
        <f>+sgbelvar!J62</f>
        <v>68286.053780000002</v>
      </c>
      <c r="J61" s="113">
        <f>SUM(I61:I61)</f>
        <v>68286.053780000002</v>
      </c>
      <c r="K61" s="87">
        <f>+cbnavar!J62</f>
        <v>109</v>
      </c>
      <c r="L61" s="87">
        <f>+scotiavar!J62</f>
        <v>85413</v>
      </c>
      <c r="M61" s="113">
        <f>SUM(K61:L61)</f>
        <v>85522</v>
      </c>
      <c r="N61" s="90">
        <f>+H61+J61+M61</f>
        <v>1505031.298304497</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f>+bncvar!J63</f>
        <v>520366.73300000001</v>
      </c>
      <c r="C62" s="87">
        <f>+bphvar!J63</f>
        <v>512899.07956317492</v>
      </c>
      <c r="D62" s="87">
        <f>+buhvar!J63</f>
        <v>49958</v>
      </c>
      <c r="E62" s="87">
        <f>+capitalbkvar!J63</f>
        <v>31942</v>
      </c>
      <c r="F62" s="87">
        <f>+sogebkvar!J63</f>
        <v>504231</v>
      </c>
      <c r="G62" s="87">
        <f>+unibkvar!J63</f>
        <v>15971.1625</v>
      </c>
      <c r="H62" s="89">
        <f>SUM(B62:G62)</f>
        <v>1635367.975063175</v>
      </c>
      <c r="I62" s="87">
        <f>+sgbelvar!J63</f>
        <v>303585.96730999998</v>
      </c>
      <c r="J62" s="113">
        <f>SUM(I62:I62)</f>
        <v>303585.96730999998</v>
      </c>
      <c r="K62" s="87">
        <f>+cbnavar!J63</f>
        <v>511</v>
      </c>
      <c r="L62" s="87">
        <f>+scotiavar!J63</f>
        <v>148481</v>
      </c>
      <c r="M62" s="113">
        <f>SUM(K62:L62)</f>
        <v>148992</v>
      </c>
      <c r="N62" s="90">
        <f>+H62+J62+M62</f>
        <v>2087945.9423731749</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1460" t="s">
        <v>0</v>
      </c>
      <c r="C64" s="1460" t="s">
        <v>0</v>
      </c>
      <c r="D64" s="418"/>
      <c r="E64" s="418"/>
      <c r="F64" s="1460" t="s">
        <v>0</v>
      </c>
      <c r="G64" s="1460" t="s">
        <v>0</v>
      </c>
      <c r="H64" s="418"/>
      <c r="I64" s="418"/>
      <c r="J64" s="418"/>
      <c r="K64" s="1461" t="s">
        <v>0</v>
      </c>
      <c r="L64" s="1461" t="s">
        <v>0</v>
      </c>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f>+'bncgdes&amp;$ '!B30</f>
        <v>14356274.529310001</v>
      </c>
      <c r="C68" s="20">
        <f>+'bphgdes&amp;$'!B30</f>
        <v>1895744.6445899999</v>
      </c>
      <c r="D68" s="20">
        <f>+'buhgdes&amp;$'!B30</f>
        <v>2497761.247505975</v>
      </c>
      <c r="E68" s="20">
        <f>+'capitalbkgdes&amp;$'!B30</f>
        <v>6623756</v>
      </c>
      <c r="F68" s="20">
        <f>+'sogebkgdes&amp;$  '!B30</f>
        <v>25516968.386440001</v>
      </c>
      <c r="G68" s="20">
        <f>+'unibkgdes&amp;$'!B30</f>
        <v>30680322.285385784</v>
      </c>
      <c r="H68" s="89">
        <f>SUM(B68:G68)</f>
        <v>81570827.093231767</v>
      </c>
      <c r="I68" s="20">
        <f>+'sgbelgdes&amp;$'!B30</f>
        <v>3332456.9353400003</v>
      </c>
      <c r="J68" s="113">
        <f>+I68</f>
        <v>3332456.9353400003</v>
      </c>
      <c r="K68" s="20">
        <f>+'cbnagdes&amp;$'!B30</f>
        <v>2092611</v>
      </c>
      <c r="L68" s="20">
        <f>+'scotiagdes&amp;$'!B30</f>
        <v>2652874</v>
      </c>
      <c r="M68" s="113">
        <f>SUM(K68:L68)</f>
        <v>4745485</v>
      </c>
      <c r="N68" s="90">
        <f>+H68+J68+M68</f>
        <v>89648769.02857177</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29"/>
      <c r="C73" s="417"/>
      <c r="D73" s="429"/>
      <c r="F73" s="592"/>
      <c r="G73" s="592"/>
      <c r="I73" s="1559"/>
      <c r="J73" s="1559"/>
      <c r="K73" s="418"/>
      <c r="L73" s="417"/>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18"/>
      <c r="C74" s="417"/>
      <c r="D74" s="429"/>
      <c r="F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591" t="s">
        <v>0</v>
      </c>
      <c r="C75" s="670"/>
      <c r="D75" s="671"/>
      <c r="F75" s="670"/>
      <c r="G75" s="672"/>
      <c r="I75" s="670"/>
      <c r="J75" s="671"/>
      <c r="K75" s="418"/>
      <c r="L75" s="670"/>
      <c r="M75" s="671"/>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t="s">
        <v>0</v>
      </c>
      <c r="C76" s="670"/>
      <c r="D76" s="671"/>
      <c r="F76" s="670"/>
      <c r="G76" s="672"/>
      <c r="I76" s="670"/>
      <c r="J76" s="671"/>
      <c r="K76" s="418"/>
      <c r="L76" s="670"/>
      <c r="M76" s="671"/>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t="s">
        <v>0</v>
      </c>
      <c r="C77" s="670"/>
      <c r="D77" s="671"/>
      <c r="F77" s="670"/>
      <c r="G77" s="672"/>
      <c r="I77" s="670"/>
      <c r="J77" s="671"/>
      <c r="K77" s="418"/>
      <c r="L77" s="670"/>
      <c r="M77" s="671"/>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t="s">
        <v>0</v>
      </c>
      <c r="C78" s="670"/>
      <c r="D78" s="671"/>
      <c r="F78" s="670"/>
      <c r="G78" s="672"/>
      <c r="I78" s="670"/>
      <c r="J78" s="671"/>
      <c r="K78" s="418"/>
      <c r="L78" s="670"/>
      <c r="M78" s="671"/>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t="s">
        <v>0</v>
      </c>
      <c r="C79" s="670"/>
      <c r="D79" s="671"/>
      <c r="F79" s="670"/>
      <c r="G79" s="672"/>
      <c r="I79" s="670"/>
      <c r="J79" s="671"/>
      <c r="K79" s="418"/>
      <c r="L79" s="670"/>
      <c r="M79" s="671"/>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t="s">
        <v>0</v>
      </c>
      <c r="C80" s="670"/>
      <c r="D80" s="671"/>
      <c r="F80" s="670"/>
      <c r="G80" s="672"/>
      <c r="I80" s="670"/>
      <c r="J80" s="671"/>
      <c r="K80" s="418"/>
      <c r="L80" s="670"/>
      <c r="M80" s="671"/>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t="s">
        <v>0</v>
      </c>
      <c r="C81" s="670"/>
      <c r="D81" s="671"/>
      <c r="F81" s="670"/>
      <c r="G81" s="672"/>
      <c r="I81" s="670"/>
      <c r="J81" s="671"/>
      <c r="K81" s="418"/>
      <c r="L81" s="670"/>
      <c r="M81" s="671"/>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t="s">
        <v>0</v>
      </c>
      <c r="C82" s="670"/>
      <c r="D82" s="671"/>
      <c r="F82" s="670"/>
      <c r="G82" s="672"/>
      <c r="I82" s="670"/>
      <c r="J82" s="671"/>
      <c r="K82" s="418"/>
      <c r="L82" s="670"/>
      <c r="M82" s="671"/>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t="s">
        <v>0</v>
      </c>
      <c r="C83" s="670"/>
      <c r="D83" s="671"/>
      <c r="F83" s="670"/>
      <c r="G83" s="672"/>
      <c r="I83" s="670"/>
      <c r="J83" s="671"/>
      <c r="K83" s="418"/>
      <c r="L83" s="670"/>
      <c r="M83" s="671"/>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t="s">
        <v>0</v>
      </c>
      <c r="H84" s="670" t="s">
        <v>0</v>
      </c>
      <c r="I84" s="981" t="s">
        <v>0</v>
      </c>
      <c r="J84" s="418"/>
      <c r="K84" s="418"/>
      <c r="L84" s="418"/>
      <c r="M84" s="64"/>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c r="F85" s="981" t="s">
        <v>0</v>
      </c>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I87" s="418"/>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C88" s="418"/>
      <c r="H88" s="418"/>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D89" s="418"/>
      <c r="E89" s="418"/>
      <c r="F89" s="418"/>
      <c r="G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65"/>
      <c r="D139" s="64"/>
      <c r="E139" s="64"/>
      <c r="F139" s="64"/>
      <c r="G139" s="64"/>
      <c r="H139" s="64"/>
      <c r="I139" s="64"/>
      <c r="J139" s="64"/>
      <c r="K139" s="418"/>
      <c r="L139" s="65"/>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71"/>
      <c r="D140" s="69"/>
      <c r="E140" s="69"/>
      <c r="F140" s="69"/>
      <c r="G140" s="69"/>
      <c r="H140" s="69"/>
      <c r="I140" s="69"/>
      <c r="J140" s="69"/>
      <c r="K140" s="64"/>
      <c r="L140" s="71"/>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65"/>
      <c r="D141" s="64"/>
      <c r="E141" s="64"/>
      <c r="F141" s="64"/>
      <c r="G141" s="64"/>
      <c r="H141" s="64"/>
      <c r="I141" s="64"/>
      <c r="J141" s="64"/>
      <c r="K141" s="64"/>
      <c r="L141" s="65"/>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4"/>
      <c r="C142" s="71"/>
      <c r="D142" s="69"/>
      <c r="E142" s="69"/>
      <c r="F142" s="69"/>
      <c r="G142" s="69"/>
      <c r="H142" s="69"/>
      <c r="I142" s="69"/>
      <c r="J142" s="69"/>
      <c r="K142" s="64"/>
      <c r="L142" s="71"/>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65"/>
      <c r="D143" s="64"/>
      <c r="E143" s="64"/>
      <c r="F143" s="64"/>
      <c r="G143" s="64"/>
      <c r="H143" s="64"/>
      <c r="I143" s="64"/>
      <c r="J143" s="64"/>
      <c r="K143" s="64"/>
      <c r="L143" s="65"/>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71"/>
      <c r="D144" s="69"/>
      <c r="E144" s="69"/>
      <c r="F144" s="69"/>
      <c r="G144" s="69"/>
      <c r="H144" s="69"/>
      <c r="I144" s="69"/>
      <c r="J144" s="69"/>
      <c r="K144" s="64"/>
      <c r="L144" s="71"/>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65"/>
      <c r="D145" s="64"/>
      <c r="E145" s="64"/>
      <c r="F145" s="64"/>
      <c r="G145" s="64"/>
      <c r="H145" s="64"/>
      <c r="I145" s="64"/>
      <c r="J145" s="64"/>
      <c r="K145" s="64"/>
      <c r="L145" s="65"/>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71"/>
      <c r="D151" s="69"/>
      <c r="E151" s="69"/>
      <c r="F151" s="69"/>
      <c r="G151" s="69"/>
      <c r="H151" s="69"/>
      <c r="I151" s="69"/>
      <c r="J151" s="69"/>
      <c r="K151" s="64"/>
      <c r="L151" s="71"/>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65"/>
      <c r="D152" s="64"/>
      <c r="E152" s="64"/>
      <c r="F152" s="64"/>
      <c r="G152" s="64"/>
      <c r="H152" s="64"/>
      <c r="I152" s="64"/>
      <c r="J152" s="64"/>
      <c r="K152" s="64"/>
      <c r="L152" s="65"/>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71" t="s">
        <v>0</v>
      </c>
      <c r="D155" s="69" t="s">
        <v>0</v>
      </c>
      <c r="E155" s="69"/>
      <c r="F155" s="69">
        <f>+F106+F110+F112+F114+F129+F138+F140+F142+F144+F151</f>
        <v>0</v>
      </c>
      <c r="G155" s="69"/>
      <c r="H155" s="69"/>
      <c r="I155" s="69" t="s">
        <v>0</v>
      </c>
      <c r="J155" s="69"/>
      <c r="K155" s="64"/>
      <c r="L155" s="71" t="s">
        <v>0</v>
      </c>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65"/>
      <c r="D156" s="64"/>
      <c r="E156" s="64"/>
      <c r="F156" s="64"/>
      <c r="G156" s="64"/>
      <c r="H156" s="64"/>
      <c r="I156" s="64"/>
      <c r="J156" s="64"/>
      <c r="K156" s="64"/>
      <c r="L156" s="65"/>
      <c r="M156" s="64"/>
      <c r="N156" s="64"/>
      <c r="O156" s="64"/>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K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mergeCells count="1">
    <mergeCell ref="I73:J73"/>
  </mergeCells>
  <pageMargins left="0.2" right="0.21" top="0.68" bottom="0.45" header="0.5" footer="0.23"/>
  <pageSetup scale="55" orientation="landscape" r:id="rId1"/>
  <headerFooter alignWithMargins="0">
    <oddFooter>&amp;R&amp;16&amp;P</oddFooter>
  </headerFooter>
</worksheet>
</file>

<file path=xl/worksheets/sheet60.xml><?xml version="1.0" encoding="utf-8"?>
<worksheet xmlns="http://schemas.openxmlformats.org/spreadsheetml/2006/main" xmlns:r="http://schemas.openxmlformats.org/officeDocument/2006/relationships">
  <sheetPr>
    <pageSetUpPr fitToPage="1"/>
  </sheetPr>
  <dimension ref="A1:AL188"/>
  <sheetViews>
    <sheetView topLeftCell="A7"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839</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f>+bncvar!L10</f>
        <v>2410499.5789999999</v>
      </c>
      <c r="C10" s="87">
        <f>+bphvar!L10</f>
        <v>89844.406149999995</v>
      </c>
      <c r="D10" s="87">
        <f>+buhvar!L10</f>
        <v>261204.22370552499</v>
      </c>
      <c r="E10" s="87">
        <f>+capitalbkvar!L10</f>
        <v>262872</v>
      </c>
      <c r="F10" s="87">
        <f>+sogebkvar!L10</f>
        <v>2485735.5971599999</v>
      </c>
      <c r="G10" s="87">
        <f>+unibkvar!L10</f>
        <v>555451.08603758109</v>
      </c>
      <c r="H10" s="89">
        <f>SUM(B10:G10)</f>
        <v>6065606.8920531059</v>
      </c>
      <c r="I10" s="87">
        <f>+sgbelvar!L10</f>
        <v>36750.556450000004</v>
      </c>
      <c r="J10" s="113">
        <f>SUM(I10:I10)</f>
        <v>36750.556450000004</v>
      </c>
      <c r="K10" s="87">
        <f>+cbnavar!L10</f>
        <v>46964</v>
      </c>
      <c r="L10" s="87">
        <f>+scotiavar!L10</f>
        <v>81028</v>
      </c>
      <c r="M10" s="113">
        <f>SUM(K10:L10)</f>
        <v>127992</v>
      </c>
      <c r="N10" s="90">
        <f>+H10+J10+M10</f>
        <v>6230349.4485031059</v>
      </c>
      <c r="O10" s="64"/>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f>+bncvar!L11</f>
        <v>11856301.23</v>
      </c>
      <c r="C11" s="87">
        <f>+bphvar!L11</f>
        <v>864757.19238999998</v>
      </c>
      <c r="D11" s="87">
        <f>+buhvar!L11</f>
        <v>1733403.6355144237</v>
      </c>
      <c r="E11" s="87">
        <f>+capitalbkvar!L11</f>
        <v>3182205</v>
      </c>
      <c r="F11" s="87">
        <f>+sogebkvar!L11</f>
        <v>12867870.894880001</v>
      </c>
      <c r="G11" s="87">
        <f>+unibkvar!L11</f>
        <v>16257943.865496946</v>
      </c>
      <c r="H11" s="89">
        <f>SUM(B11:G11)</f>
        <v>46762481.818281367</v>
      </c>
      <c r="I11" s="87">
        <f>+sgbelvar!L11</f>
        <v>353908.72057</v>
      </c>
      <c r="J11" s="113">
        <f>SUM(I11:I11)</f>
        <v>353908.72057</v>
      </c>
      <c r="K11" s="87">
        <f>+cbnavar!L11</f>
        <v>3013016</v>
      </c>
      <c r="L11" s="87">
        <f>+scotiavar!L11</f>
        <v>1971725</v>
      </c>
      <c r="M11" s="113">
        <f>SUM(K11:L11)</f>
        <v>4984741</v>
      </c>
      <c r="N11" s="90">
        <f>+H11+J11+M11</f>
        <v>52101131.538851365</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f>+bncvar!L12</f>
        <v>574334.45600000001</v>
      </c>
      <c r="C12" s="87">
        <f>+bphvar!L12</f>
        <v>385690.28788000002</v>
      </c>
      <c r="D12" s="87">
        <f>+buhvar!L12</f>
        <v>149180.22100173199</v>
      </c>
      <c r="E12" s="87">
        <f>+capitalbkvar!L12</f>
        <v>458335</v>
      </c>
      <c r="F12" s="87">
        <f>+sogebkvar!L12</f>
        <v>714411.31926999998</v>
      </c>
      <c r="G12" s="87">
        <f>+unibkvar!L12</f>
        <v>2217638.9634514898</v>
      </c>
      <c r="H12" s="89">
        <f>SUM(B12:G12)</f>
        <v>4499590.2476032218</v>
      </c>
      <c r="I12" s="87">
        <f>+sgbelvar!L12</f>
        <v>6961.8325599999998</v>
      </c>
      <c r="J12" s="113">
        <f>SUM(I12:I12)</f>
        <v>6961.8325599999998</v>
      </c>
      <c r="K12" s="87">
        <f>+cbnavar!L12</f>
        <v>320233</v>
      </c>
      <c r="L12" s="87">
        <f>+scotiavar!L12</f>
        <v>1397046</v>
      </c>
      <c r="M12" s="113">
        <f>SUM(K12:L12)</f>
        <v>1717279</v>
      </c>
      <c r="N12" s="90">
        <f>+H12+J12+M12</f>
        <v>6223831.0801632218</v>
      </c>
      <c r="O12" s="64"/>
      <c r="P12" s="419"/>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f>+bncvar!L13</f>
        <v>0</v>
      </c>
      <c r="C13" s="87">
        <f>+bphvar!L13</f>
        <v>0</v>
      </c>
      <c r="D13" s="87">
        <f>+buhvar!L13</f>
        <v>130753.69359616199</v>
      </c>
      <c r="E13" s="87">
        <f>+capitalbkvar!L13</f>
        <v>24221</v>
      </c>
      <c r="F13" s="87">
        <f>+sogebkvar!L13</f>
        <v>8831.4234400000005</v>
      </c>
      <c r="G13" s="87">
        <f>+unibkvar!L13</f>
        <v>1270.5630431491086</v>
      </c>
      <c r="H13" s="89">
        <f>SUM(B13:G13)</f>
        <v>165076.6800793111</v>
      </c>
      <c r="I13" s="87">
        <f>+sgbelvar!L13</f>
        <v>997789.80197000003</v>
      </c>
      <c r="J13" s="113">
        <f>SUM(I13:I13)</f>
        <v>997789.80197000003</v>
      </c>
      <c r="K13" s="87">
        <f>+cbnavar!L13</f>
        <v>0</v>
      </c>
      <c r="L13" s="87">
        <f>+scotiavar!L13</f>
        <v>0</v>
      </c>
      <c r="M13" s="113">
        <f>SUM(K13:L13)</f>
        <v>0</v>
      </c>
      <c r="N13" s="90">
        <f>+H13+J13+M13</f>
        <v>1162866.482049311</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f>+bncvar!L14</f>
        <v>149676.73500000002</v>
      </c>
      <c r="C14" s="199">
        <f>+bphvar!L14</f>
        <v>87589.631049999996</v>
      </c>
      <c r="D14" s="199">
        <f>+buhvar!L14</f>
        <v>28840.075408088</v>
      </c>
      <c r="E14" s="199">
        <f>+capitalbkvar!L14</f>
        <v>331133</v>
      </c>
      <c r="F14" s="199">
        <f>+sogebkvar!L14</f>
        <v>57832.093339999992</v>
      </c>
      <c r="G14" s="578">
        <f>+unibkvar!L14</f>
        <v>467816.45581607003</v>
      </c>
      <c r="H14" s="262">
        <f>SUM(B14:G14)</f>
        <v>1122887.9906141581</v>
      </c>
      <c r="I14" s="578">
        <f>+sgbelvar!L14</f>
        <v>20958.664199999999</v>
      </c>
      <c r="J14" s="113">
        <f>SUM(I14:I14)</f>
        <v>20958.664199999999</v>
      </c>
      <c r="K14" s="722">
        <f>+cbnavar!L14</f>
        <v>219096</v>
      </c>
      <c r="L14" s="578">
        <f>+scotiavar!L14</f>
        <v>85020</v>
      </c>
      <c r="M14" s="262">
        <f>SUM(K14:L14)</f>
        <v>304116</v>
      </c>
      <c r="N14" s="587">
        <f>+H14+J14+M14</f>
        <v>1447962.6548141581</v>
      </c>
      <c r="O14" s="64"/>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 t="shared" ref="B15:N15" si="0">SUM(B10:B14)</f>
        <v>14990812</v>
      </c>
      <c r="C15" s="87">
        <f t="shared" si="0"/>
        <v>1427881.5174699998</v>
      </c>
      <c r="D15" s="87">
        <f t="shared" si="0"/>
        <v>2303381.8492259309</v>
      </c>
      <c r="E15" s="134">
        <f t="shared" si="0"/>
        <v>4258766</v>
      </c>
      <c r="F15" s="87">
        <f t="shared" si="0"/>
        <v>16134681.328090001</v>
      </c>
      <c r="G15" s="87">
        <f t="shared" si="0"/>
        <v>19500120.933845237</v>
      </c>
      <c r="H15" s="89">
        <f t="shared" si="0"/>
        <v>58615643.628631167</v>
      </c>
      <c r="I15" s="24">
        <f t="shared" si="0"/>
        <v>1416369.5757500001</v>
      </c>
      <c r="J15" s="586">
        <f t="shared" si="0"/>
        <v>1416369.5757500001</v>
      </c>
      <c r="K15" s="87">
        <f t="shared" si="0"/>
        <v>3599309</v>
      </c>
      <c r="L15" s="87">
        <f t="shared" si="0"/>
        <v>3534819</v>
      </c>
      <c r="M15" s="113">
        <f t="shared" si="0"/>
        <v>7134128</v>
      </c>
      <c r="N15" s="90">
        <f t="shared" si="0"/>
        <v>67166141.204381168</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f>+bncvar!L17</f>
        <v>5670000</v>
      </c>
      <c r="C17" s="87">
        <f>+bphvar!L17</f>
        <v>0</v>
      </c>
      <c r="D17" s="87">
        <f>+buhvar!L17</f>
        <v>0</v>
      </c>
      <c r="E17" s="87">
        <f>+capitalbkvar!L17</f>
        <v>174985</v>
      </c>
      <c r="F17" s="87">
        <f>+sogebkvar!L17</f>
        <v>100000</v>
      </c>
      <c r="G17" s="87">
        <f>+unibkvar!L17</f>
        <v>0</v>
      </c>
      <c r="H17" s="89">
        <f>SUM(B17:G17)</f>
        <v>5944985</v>
      </c>
      <c r="I17" s="87">
        <f>+sgbelvar!L17</f>
        <v>0</v>
      </c>
      <c r="J17" s="113">
        <f>SUM(I17:I17)</f>
        <v>0</v>
      </c>
      <c r="K17" s="87">
        <f>+cbnavar!L17</f>
        <v>0</v>
      </c>
      <c r="L17" s="87">
        <f>+scotiavar!L17</f>
        <v>0</v>
      </c>
      <c r="M17" s="113">
        <f>SUM(K17:L17)</f>
        <v>0</v>
      </c>
      <c r="N17" s="90">
        <f>+H17+J17+M17</f>
        <v>5944985</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f>+bncvar!L19</f>
        <v>8798760.8949999996</v>
      </c>
      <c r="C18" s="87">
        <f>+bphvar!L19</f>
        <v>25129.35252</v>
      </c>
      <c r="D18" s="87">
        <f>+buhvar!L19</f>
        <v>25084.971210718002</v>
      </c>
      <c r="E18" s="87">
        <f>+capitalbkvar!L19</f>
        <v>583114</v>
      </c>
      <c r="F18" s="87">
        <f>+sogebkvar!L19</f>
        <v>9048258.6318499986</v>
      </c>
      <c r="G18" s="87">
        <f>+unibkvar!L19</f>
        <v>12033161.468905982</v>
      </c>
      <c r="H18" s="89">
        <f>SUM(B18:G18)</f>
        <v>30513509.319486696</v>
      </c>
      <c r="I18" s="87">
        <f>+sgbelvar!L19</f>
        <v>38460.343800000002</v>
      </c>
      <c r="J18" s="113">
        <f>SUM(I18:I18)</f>
        <v>38460.343800000002</v>
      </c>
      <c r="K18" s="87">
        <f>+cbnavar!L19</f>
        <v>0</v>
      </c>
      <c r="L18" s="87">
        <f>+scotiavar!L19</f>
        <v>0</v>
      </c>
      <c r="M18" s="113">
        <f>SUM(K18:L18)</f>
        <v>0</v>
      </c>
      <c r="N18" s="90">
        <f>+H18+J18+M18</f>
        <v>30551969.663286697</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f>+bncvar!L20</f>
        <v>10111946.507410001</v>
      </c>
      <c r="C19" s="87">
        <f>+bphvar!L20</f>
        <v>1091817.4077099999</v>
      </c>
      <c r="D19" s="87">
        <f>+buhvar!L20</f>
        <v>1419069.286724146</v>
      </c>
      <c r="E19" s="87">
        <f>+capitalbkvar!L20</f>
        <v>4719462</v>
      </c>
      <c r="F19" s="87">
        <f>+sogebkvar!L20</f>
        <v>18747203.52186</v>
      </c>
      <c r="G19" s="87">
        <f>+unibkvar!L20</f>
        <v>20039270.123089999</v>
      </c>
      <c r="H19" s="89">
        <f>SUM(B19:G19)</f>
        <v>56128768.846794143</v>
      </c>
      <c r="I19" s="87">
        <f>+sgbelvar!L20</f>
        <v>2524913.2396200001</v>
      </c>
      <c r="J19" s="113">
        <f>SUM(I19:I19)</f>
        <v>2524913.2396200001</v>
      </c>
      <c r="K19" s="87">
        <f>+cbnavar!L20</f>
        <v>1310583</v>
      </c>
      <c r="L19" s="87">
        <f>+scotiavar!L20</f>
        <v>2201715</v>
      </c>
      <c r="M19" s="113">
        <f>SUM(K19:L19)</f>
        <v>3512298</v>
      </c>
      <c r="N19" s="90">
        <f>+H19+J19+M19</f>
        <v>62165980.086414143</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f>+bncvar!L21</f>
        <v>1183593.3618099999</v>
      </c>
      <c r="C20" s="87">
        <f>+bphvar!L21</f>
        <v>137790.47558</v>
      </c>
      <c r="D20" s="87">
        <f>+buhvar!L21</f>
        <v>236486.56621999992</v>
      </c>
      <c r="E20" s="87">
        <f>+capitalbkvar!L21</f>
        <v>302775</v>
      </c>
      <c r="F20" s="87">
        <f>+sogebkvar!L21</f>
        <v>1581024.9465000001</v>
      </c>
      <c r="G20" s="87">
        <f>+unibkvar!L21</f>
        <v>1357648.0556999999</v>
      </c>
      <c r="H20" s="89">
        <f>SUM(B20:G20)</f>
        <v>4799318.4058100004</v>
      </c>
      <c r="I20" s="87">
        <f>+sgbelvar!L21</f>
        <v>167200.65615999998</v>
      </c>
      <c r="J20" s="113">
        <f>SUM(I20:I20)</f>
        <v>167200.65615999998</v>
      </c>
      <c r="K20" s="87">
        <f>+cbnavar!L21</f>
        <v>373087</v>
      </c>
      <c r="L20" s="87">
        <f>+scotiavar!L21</f>
        <v>75578</v>
      </c>
      <c r="M20" s="113">
        <f>SUM(K20:L20)</f>
        <v>448665</v>
      </c>
      <c r="N20" s="90">
        <f>+H20+J20+M20</f>
        <v>5415184.0619700002</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f>+bncvar!L22</f>
        <v>1807622.1949999998</v>
      </c>
      <c r="C21" s="97">
        <f>+bphvar!L22</f>
        <v>32499.579819999999</v>
      </c>
      <c r="D21" s="97">
        <f>+buhvar!L22</f>
        <v>63790.76399575801</v>
      </c>
      <c r="E21" s="97">
        <f>+capitalbkvar!L22</f>
        <v>282824</v>
      </c>
      <c r="F21" s="97">
        <f>+sogebkvar!L22</f>
        <v>1631675.7269400002</v>
      </c>
      <c r="G21" s="579">
        <f>+unibkvar!L22</f>
        <v>715835.007043196</v>
      </c>
      <c r="H21" s="96">
        <f>SUM(B21:G21)</f>
        <v>4534247.2727989545</v>
      </c>
      <c r="I21" s="579">
        <f>+sgbelvar!L22</f>
        <v>82821.414310000007</v>
      </c>
      <c r="J21" s="115">
        <f>SUM(I21:I21)</f>
        <v>82821.414310000007</v>
      </c>
      <c r="K21" s="660">
        <f>+cbnavar!L22</f>
        <v>53979</v>
      </c>
      <c r="L21" s="579">
        <f>+scotiavar!L22</f>
        <v>16719</v>
      </c>
      <c r="M21" s="96">
        <f>SUM(K21:L21)</f>
        <v>70698</v>
      </c>
      <c r="N21" s="588">
        <f>+H21+J21+M21</f>
        <v>4687766.6871089544</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N22" si="1">SUM(B15:B21)</f>
        <v>42562734.95922</v>
      </c>
      <c r="C22" s="90">
        <f t="shared" si="1"/>
        <v>2715118.3330999995</v>
      </c>
      <c r="D22" s="90">
        <f t="shared" si="1"/>
        <v>4047813.4373765527</v>
      </c>
      <c r="E22" s="13">
        <f t="shared" si="1"/>
        <v>10321926</v>
      </c>
      <c r="F22" s="90">
        <f t="shared" si="1"/>
        <v>47242844.155240007</v>
      </c>
      <c r="G22" s="90">
        <f t="shared" si="1"/>
        <v>53646035.588584416</v>
      </c>
      <c r="H22" s="89">
        <f t="shared" si="1"/>
        <v>160536472.47352096</v>
      </c>
      <c r="I22" s="90">
        <f t="shared" si="1"/>
        <v>4229765.2296399996</v>
      </c>
      <c r="J22" s="729">
        <f t="shared" si="1"/>
        <v>4229765.2296399996</v>
      </c>
      <c r="K22" s="13">
        <f t="shared" si="1"/>
        <v>5336958</v>
      </c>
      <c r="L22" s="13">
        <f t="shared" si="1"/>
        <v>5828831</v>
      </c>
      <c r="M22" s="113">
        <f t="shared" si="1"/>
        <v>11165789</v>
      </c>
      <c r="N22" s="90">
        <f t="shared" si="1"/>
        <v>175932026.70316097</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c r="G24" s="87"/>
      <c r="H24" s="93"/>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f>+bncvar!L27</f>
        <v>22266681.601000004</v>
      </c>
      <c r="C26" s="87">
        <f>+bphvar!L27</f>
        <v>952502.66348999995</v>
      </c>
      <c r="D26" s="87">
        <f>+buhvar!L27</f>
        <v>1177082.3591220009</v>
      </c>
      <c r="E26" s="87">
        <f>+capitalbkvar!L27</f>
        <v>4446288</v>
      </c>
      <c r="F26" s="87">
        <f>+sogebkvar!L27</f>
        <v>13845301.643379999</v>
      </c>
      <c r="G26" s="87">
        <f>+unibkvar!L27</f>
        <v>21798549.035225436</v>
      </c>
      <c r="H26" s="89">
        <f>SUM(B26:G26)</f>
        <v>64486405.302217439</v>
      </c>
      <c r="I26" s="87">
        <f>+sgbelvar!L27</f>
        <v>910346.66780000005</v>
      </c>
      <c r="J26" s="113">
        <f>SUM(I26:I26)</f>
        <v>910346.66780000005</v>
      </c>
      <c r="K26" s="87">
        <f>+cbnavar!L27</f>
        <v>3290279</v>
      </c>
      <c r="L26" s="87">
        <f>+scotiavar!L27</f>
        <v>2773264</v>
      </c>
      <c r="M26" s="113">
        <f>SUM(K26:L26)</f>
        <v>6063543</v>
      </c>
      <c r="N26" s="90">
        <f>+H26+J26+M26</f>
        <v>71460294.970017433</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f>+bncvar!L28</f>
        <v>8632062.5820000004</v>
      </c>
      <c r="C27" s="87">
        <f>+bphvar!L28</f>
        <v>527358.96530000004</v>
      </c>
      <c r="D27" s="87">
        <f>+buhvar!L28</f>
        <v>1742798.0918011959</v>
      </c>
      <c r="E27" s="87">
        <f>+capitalbkvar!L28</f>
        <v>2405891</v>
      </c>
      <c r="F27" s="87">
        <f>+sogebkvar!L28</f>
        <v>17470828.427980002</v>
      </c>
      <c r="G27" s="87">
        <f>+unibkvar!L28</f>
        <v>19035126.141294427</v>
      </c>
      <c r="H27" s="89">
        <f>SUM(B27:G27)</f>
        <v>49814065.208375625</v>
      </c>
      <c r="I27" s="87">
        <f>+sgbelvar!L28</f>
        <v>488685.90922000003</v>
      </c>
      <c r="J27" s="113">
        <f>SUM(I27:I27)</f>
        <v>488685.90922000003</v>
      </c>
      <c r="K27" s="87">
        <f>+cbnavar!L28</f>
        <v>309228</v>
      </c>
      <c r="L27" s="87">
        <f>+scotiavar!L28</f>
        <v>1388451</v>
      </c>
      <c r="M27" s="113">
        <f>SUM(K27:L27)</f>
        <v>1697679</v>
      </c>
      <c r="N27" s="90">
        <f>+H27+J27+M27</f>
        <v>52000430.117595628</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f>+bncvar!L29</f>
        <v>4044380.7950699995</v>
      </c>
      <c r="C28" s="199">
        <f>+bphvar!L29</f>
        <v>842477.45561000006</v>
      </c>
      <c r="D28" s="199">
        <f>+buhvar!L29</f>
        <v>639978.886855155</v>
      </c>
      <c r="E28" s="199">
        <f>+capitalbkvar!L29</f>
        <v>1894697</v>
      </c>
      <c r="F28" s="199">
        <f>+sogebkvar!L29</f>
        <v>7343675.4145341087</v>
      </c>
      <c r="G28" s="578">
        <f>+unibkvar!L29</f>
        <v>4879139.4486481864</v>
      </c>
      <c r="H28" s="262">
        <f>SUM(B28:G28)</f>
        <v>19644349.00071745</v>
      </c>
      <c r="I28" s="578">
        <f>+sgbelvar!L29</f>
        <v>1400777.1773099999</v>
      </c>
      <c r="J28" s="113">
        <f>SUM(I28:I28)</f>
        <v>1400777.1773099999</v>
      </c>
      <c r="K28" s="722">
        <f>+cbnavar!L29</f>
        <v>592756</v>
      </c>
      <c r="L28" s="578">
        <f>+scotiavar!L29</f>
        <v>547339</v>
      </c>
      <c r="M28" s="262">
        <f>SUM(K28:L28)</f>
        <v>1140095</v>
      </c>
      <c r="N28" s="587">
        <f>+H28+J28+M28</f>
        <v>22185221.178027451</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N29" si="2">SUM(B26:B28)</f>
        <v>34943124.978070006</v>
      </c>
      <c r="C29" s="87">
        <f t="shared" si="2"/>
        <v>2322339.0844000001</v>
      </c>
      <c r="D29" s="87">
        <f t="shared" si="2"/>
        <v>3559859.3377783522</v>
      </c>
      <c r="E29" s="87">
        <f t="shared" si="2"/>
        <v>8746876</v>
      </c>
      <c r="F29" s="87">
        <f t="shared" si="2"/>
        <v>38659805.485894106</v>
      </c>
      <c r="G29" s="87">
        <f t="shared" si="2"/>
        <v>45712814.625168048</v>
      </c>
      <c r="H29" s="89">
        <f t="shared" si="2"/>
        <v>133944819.5113105</v>
      </c>
      <c r="I29" s="87">
        <f t="shared" si="2"/>
        <v>2799809.7543299999</v>
      </c>
      <c r="J29" s="586">
        <f t="shared" si="2"/>
        <v>2799809.7543299999</v>
      </c>
      <c r="K29" s="87">
        <f t="shared" si="2"/>
        <v>4192263</v>
      </c>
      <c r="L29" s="87">
        <f t="shared" si="2"/>
        <v>4709054</v>
      </c>
      <c r="M29" s="113">
        <f t="shared" si="2"/>
        <v>8901317</v>
      </c>
      <c r="N29" s="90">
        <f t="shared" si="2"/>
        <v>145645946.2656405</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f>+bncvar!L33</f>
        <v>0</v>
      </c>
      <c r="C32" s="87">
        <f>+bphvar!L33</f>
        <v>0</v>
      </c>
      <c r="D32" s="87">
        <f>+buhvar!L33</f>
        <v>0</v>
      </c>
      <c r="E32" s="87">
        <f>+capitalbkvar!L33</f>
        <v>0</v>
      </c>
      <c r="F32" s="87">
        <f>+sogebkvar!L33</f>
        <v>0</v>
      </c>
      <c r="G32" s="87">
        <f>+unibkvar!L33</f>
        <v>0</v>
      </c>
      <c r="H32" s="89">
        <f>SUM(B32:G32)</f>
        <v>0</v>
      </c>
      <c r="I32" s="87">
        <f>+sgbelvar!L33</f>
        <v>0</v>
      </c>
      <c r="J32" s="113">
        <f>SUM(I32:I32)</f>
        <v>0</v>
      </c>
      <c r="K32" s="87">
        <f>+cbnavar!L33</f>
        <v>200000</v>
      </c>
      <c r="L32" s="87">
        <f>+scotiavar!L33</f>
        <v>0</v>
      </c>
      <c r="M32" s="113">
        <f>SUM(K32:L32)</f>
        <v>200000</v>
      </c>
      <c r="N32" s="90">
        <f>+H32+J32+M32</f>
        <v>200000</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f>+bncvar!L34</f>
        <v>0</v>
      </c>
      <c r="C33" s="87">
        <f>+bphvar!L34</f>
        <v>0</v>
      </c>
      <c r="D33" s="87">
        <f>+buhvar!L34</f>
        <v>0</v>
      </c>
      <c r="E33" s="87">
        <f>+capitalbkvar!L34</f>
        <v>0</v>
      </c>
      <c r="F33" s="87">
        <f>+sogebkvar!L34</f>
        <v>0</v>
      </c>
      <c r="G33" s="87">
        <f>+unibkvar!L34</f>
        <v>0</v>
      </c>
      <c r="H33" s="89">
        <f>SUM(B33:G33)</f>
        <v>0</v>
      </c>
      <c r="I33" s="87">
        <f>+sgbelvar!L34</f>
        <v>0</v>
      </c>
      <c r="J33" s="113">
        <f>SUM(I33:I33)</f>
        <v>0</v>
      </c>
      <c r="K33" s="87">
        <f>+cbnavar!L34</f>
        <v>0</v>
      </c>
      <c r="L33" s="87">
        <f>+scotiavar!L34</f>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f>+bncvar!L35</f>
        <v>1423045.7236800001</v>
      </c>
      <c r="C34" s="199">
        <f>+bphvar!L35</f>
        <v>168355.29780862899</v>
      </c>
      <c r="D34" s="199">
        <f>+buhvar!L35</f>
        <v>154021.34902756099</v>
      </c>
      <c r="E34" s="199">
        <f>+capitalbkvar!L35</f>
        <v>348826</v>
      </c>
      <c r="F34" s="199">
        <f>+sogebkvar!L35</f>
        <v>1474113.0204400001</v>
      </c>
      <c r="G34" s="578">
        <f>+unibkvar!L35</f>
        <v>1057912.3859349231</v>
      </c>
      <c r="H34" s="262">
        <f>SUM(B34:G34)</f>
        <v>4626273.7768911133</v>
      </c>
      <c r="I34" s="578">
        <f>+sgbelvar!L35</f>
        <v>89149.113875999959</v>
      </c>
      <c r="J34" s="113">
        <f>SUM(I34:I34)</f>
        <v>89149.113875999959</v>
      </c>
      <c r="K34" s="722">
        <f>+cbnavar!L35</f>
        <v>609196</v>
      </c>
      <c r="L34" s="578">
        <f>+scotiavar!L35</f>
        <v>172132</v>
      </c>
      <c r="M34" s="262">
        <f>SUM(K34:L34)</f>
        <v>781328</v>
      </c>
      <c r="N34" s="587">
        <f>+H34+J34+M34</f>
        <v>5496750.8907671133</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N35" si="3">SUM(B32:B34)</f>
        <v>1423045.7236800001</v>
      </c>
      <c r="C35" s="87">
        <f t="shared" si="3"/>
        <v>168355.29780862899</v>
      </c>
      <c r="D35" s="87">
        <f t="shared" si="3"/>
        <v>154021.34902756099</v>
      </c>
      <c r="E35" s="87">
        <f t="shared" si="3"/>
        <v>348826</v>
      </c>
      <c r="F35" s="87">
        <f t="shared" si="3"/>
        <v>1474113.0204400001</v>
      </c>
      <c r="G35" s="87">
        <f t="shared" si="3"/>
        <v>1057912.3859349231</v>
      </c>
      <c r="H35" s="89">
        <f t="shared" si="3"/>
        <v>4626273.7768911133</v>
      </c>
      <c r="I35" s="87">
        <f t="shared" si="3"/>
        <v>89149.113875999959</v>
      </c>
      <c r="J35" s="586">
        <f t="shared" si="3"/>
        <v>89149.113875999959</v>
      </c>
      <c r="K35" s="87">
        <f t="shared" si="3"/>
        <v>809196</v>
      </c>
      <c r="L35" s="87">
        <f t="shared" si="3"/>
        <v>172132</v>
      </c>
      <c r="M35" s="113">
        <f t="shared" si="3"/>
        <v>981328</v>
      </c>
      <c r="N35" s="90">
        <f t="shared" si="3"/>
        <v>5696750.8907671133</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f>+bncvar!L39</f>
        <v>3000</v>
      </c>
      <c r="C38" s="87">
        <f>+bphvar!L39</f>
        <v>19020</v>
      </c>
      <c r="D38" s="87">
        <f>+buhvar!L39</f>
        <v>0</v>
      </c>
      <c r="E38" s="87">
        <f>+capitalbkvar!L39</f>
        <v>0</v>
      </c>
      <c r="F38" s="87">
        <f>+sogebkvar!L39</f>
        <v>0</v>
      </c>
      <c r="G38" s="87">
        <f>+unibkvar!L39</f>
        <v>850000</v>
      </c>
      <c r="H38" s="89">
        <f>SUM(B38:G38)</f>
        <v>872020</v>
      </c>
      <c r="I38" s="87">
        <f>+sgbelvar!L39</f>
        <v>855000</v>
      </c>
      <c r="J38" s="113">
        <f>SUM(I38:I38)</f>
        <v>855000</v>
      </c>
      <c r="K38" s="87">
        <f>+cbnavar!L39</f>
        <v>0</v>
      </c>
      <c r="L38" s="87">
        <f>+scotiavar!L39</f>
        <v>0</v>
      </c>
      <c r="M38" s="113">
        <f>SUM(K38:L38)</f>
        <v>0</v>
      </c>
      <c r="N38" s="90">
        <f>+H38+J38+M38</f>
        <v>1727020</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f>+bncvar!L40</f>
        <v>0</v>
      </c>
      <c r="C39" s="87">
        <f>+bphvar!L40</f>
        <v>0</v>
      </c>
      <c r="D39" s="87">
        <f>+buhvar!L40</f>
        <v>0</v>
      </c>
      <c r="E39" s="87">
        <f>+capitalbkvar!L40</f>
        <v>0</v>
      </c>
      <c r="F39" s="87">
        <f>+sogebkvar!L40</f>
        <v>1126307.7336800001</v>
      </c>
      <c r="G39" s="87">
        <f>+unibkvar!L40</f>
        <v>656143.5</v>
      </c>
      <c r="H39" s="89">
        <f>SUM(B39:G39)</f>
        <v>1782451.2336800001</v>
      </c>
      <c r="I39" s="87">
        <f>+sgbelvar!L40</f>
        <v>0</v>
      </c>
      <c r="J39" s="113">
        <f>SUM(I39:I39)</f>
        <v>0</v>
      </c>
      <c r="K39" s="87">
        <f>+cbnavar!L40</f>
        <v>0</v>
      </c>
      <c r="L39" s="87">
        <f>+scotiavar!L40</f>
        <v>0</v>
      </c>
      <c r="M39" s="113">
        <f>SUM(K39:L39)</f>
        <v>0</v>
      </c>
      <c r="N39" s="90">
        <f>+H39+J39+M39</f>
        <v>1782451.2336800001</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f>+bncvar!L41</f>
        <v>2674300.6469999999</v>
      </c>
      <c r="C40" s="199">
        <f>+bphvar!L41</f>
        <v>9931.0022900000004</v>
      </c>
      <c r="D40" s="199">
        <f>+buhvar!L41</f>
        <v>5422.8541799999994</v>
      </c>
      <c r="E40" s="199">
        <f>+capitalbkvar!L41</f>
        <v>53979</v>
      </c>
      <c r="F40" s="199">
        <f>+sogebkvar!L41</f>
        <v>733642.83086999995</v>
      </c>
      <c r="G40" s="578">
        <f>+unibkvar!L41</f>
        <v>285187.13686240098</v>
      </c>
      <c r="H40" s="262">
        <f>SUM(B40:G40)</f>
        <v>3762463.4712024005</v>
      </c>
      <c r="I40" s="578">
        <f>+sgbelvar!L41</f>
        <v>14804.963039999944</v>
      </c>
      <c r="J40" s="113">
        <f>SUM(I40:I40)</f>
        <v>14804.963039999944</v>
      </c>
      <c r="K40" s="722">
        <f>+cbnavar!L41</f>
        <v>56041</v>
      </c>
      <c r="L40" s="578">
        <f>+scotiavar!L41</f>
        <v>64486</v>
      </c>
      <c r="M40" s="262">
        <f>SUM(K40:L40)</f>
        <v>120527</v>
      </c>
      <c r="N40" s="587">
        <f>+H40+J40+M40</f>
        <v>3897795.4342424003</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N41" si="4">SUM(B38:B40)</f>
        <v>2677300.6469999999</v>
      </c>
      <c r="C41" s="87">
        <f t="shared" si="4"/>
        <v>28951.00229</v>
      </c>
      <c r="D41" s="87">
        <f t="shared" si="4"/>
        <v>5422.8541799999994</v>
      </c>
      <c r="E41" s="87">
        <f t="shared" si="4"/>
        <v>53979</v>
      </c>
      <c r="F41" s="87">
        <f t="shared" si="4"/>
        <v>1859950.56455</v>
      </c>
      <c r="G41" s="87">
        <f t="shared" si="4"/>
        <v>1791330.6368624009</v>
      </c>
      <c r="H41" s="89">
        <f t="shared" si="4"/>
        <v>6416934.7048824001</v>
      </c>
      <c r="I41" s="87">
        <f t="shared" si="4"/>
        <v>869804.96303999994</v>
      </c>
      <c r="J41" s="585">
        <f t="shared" si="4"/>
        <v>869804.96303999994</v>
      </c>
      <c r="K41" s="87">
        <f t="shared" si="4"/>
        <v>56041</v>
      </c>
      <c r="L41" s="87">
        <f t="shared" si="4"/>
        <v>64486</v>
      </c>
      <c r="M41" s="113">
        <f t="shared" si="4"/>
        <v>120527</v>
      </c>
      <c r="N41" s="90">
        <f t="shared" si="4"/>
        <v>7407266.6679223999</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f>+bncvar!L44</f>
        <v>835185.005</v>
      </c>
      <c r="C43" s="199">
        <f>+bphvar!L44</f>
        <v>0</v>
      </c>
      <c r="D43" s="199">
        <f>+buhvar!L44</f>
        <v>174889.35611522602</v>
      </c>
      <c r="E43" s="199">
        <f>+capitalbkvar!L44</f>
        <v>299498</v>
      </c>
      <c r="F43" s="199">
        <f>+sogebkvar!L44</f>
        <v>1773645.17747</v>
      </c>
      <c r="G43" s="578">
        <f>+unibkvar!L44</f>
        <v>340031.091375324</v>
      </c>
      <c r="H43" s="262">
        <f>SUM(B43:G43)</f>
        <v>3423248.62996055</v>
      </c>
      <c r="I43" s="578">
        <f>+sgbelvar!L44</f>
        <v>28056.705590000001</v>
      </c>
      <c r="J43" s="113">
        <f>SUM(I43:I43)</f>
        <v>28056.705590000001</v>
      </c>
      <c r="K43" s="722">
        <f>+cbnavar!L44</f>
        <v>41645</v>
      </c>
      <c r="L43" s="578">
        <f>+scotiavar!L44</f>
        <v>625199</v>
      </c>
      <c r="M43" s="262">
        <f>SUM(K43:L43)</f>
        <v>666844</v>
      </c>
      <c r="N43" s="587">
        <f>+H43+J43+M43</f>
        <v>4118149.3355505499</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39878656.353750005</v>
      </c>
      <c r="C44" s="87">
        <f t="shared" si="5"/>
        <v>2519645.3844986293</v>
      </c>
      <c r="D44" s="87">
        <f t="shared" si="5"/>
        <v>3894192.8971011392</v>
      </c>
      <c r="E44" s="87">
        <f t="shared" si="5"/>
        <v>9449179</v>
      </c>
      <c r="F44" s="87">
        <f t="shared" si="5"/>
        <v>43767514.2483541</v>
      </c>
      <c r="G44" s="87">
        <f t="shared" si="5"/>
        <v>48902088.739340693</v>
      </c>
      <c r="H44" s="89">
        <f>SUM(B44:G44)</f>
        <v>148411276.62304455</v>
      </c>
      <c r="I44" s="87">
        <f>+I29+I35+I41+I43</f>
        <v>3786820.5368359997</v>
      </c>
      <c r="J44" s="585">
        <f>+J29+J35+J41+J43</f>
        <v>3786820.5368359997</v>
      </c>
      <c r="K44" s="87">
        <f>+K29+K35+K41+K43</f>
        <v>5099145</v>
      </c>
      <c r="L44" s="87">
        <f>+L29+L35+L41+L43</f>
        <v>5570871</v>
      </c>
      <c r="M44" s="113">
        <f>SUM(K44:L44)</f>
        <v>10670016</v>
      </c>
      <c r="N44" s="90">
        <f>+H44+J44+M44</f>
        <v>162868113.15988055</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f>+bncvar!L48</f>
        <v>1500000</v>
      </c>
      <c r="C47" s="87">
        <f>+bphvar!L48</f>
        <v>165000</v>
      </c>
      <c r="D47" s="87">
        <f>+buhvar!L48</f>
        <v>450000</v>
      </c>
      <c r="E47" s="87">
        <f>+capitalbkvar!L48</f>
        <v>270000</v>
      </c>
      <c r="F47" s="87">
        <f>+sogebkvar!L48</f>
        <v>1050000</v>
      </c>
      <c r="G47" s="87">
        <f>+unibkvar!L48</f>
        <v>2093492</v>
      </c>
      <c r="H47" s="89">
        <f>SUM(B47:G47)</f>
        <v>5528492</v>
      </c>
      <c r="I47" s="87">
        <f>+sgbelvar!L48</f>
        <v>150000</v>
      </c>
      <c r="J47" s="113">
        <f>SUM(I47:I47)</f>
        <v>150000</v>
      </c>
      <c r="K47" s="87">
        <f>+cbnavar!L48</f>
        <v>103837</v>
      </c>
      <c r="L47" s="87">
        <f>+scotiavar!L48</f>
        <v>94373</v>
      </c>
      <c r="M47" s="113">
        <f>SUM(K47:L47)</f>
        <v>198210</v>
      </c>
      <c r="N47" s="90">
        <f>+H47+J47+M47</f>
        <v>5876702</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f>+bncvar!L49</f>
        <v>333055.05027000001</v>
      </c>
      <c r="C48" s="87">
        <f>+bphvar!L49</f>
        <v>12977</v>
      </c>
      <c r="D48" s="87">
        <f>+buhvar!L49</f>
        <v>21734.104950000001</v>
      </c>
      <c r="E48" s="87">
        <f>+capitalbkvar!L49</f>
        <v>171108</v>
      </c>
      <c r="F48" s="87">
        <f>+sogebkvar!L49</f>
        <v>1307064.6000000001</v>
      </c>
      <c r="G48" s="87">
        <f>+unibkvar!L49</f>
        <v>302924.09750999999</v>
      </c>
      <c r="H48" s="89">
        <f>SUM(B48:G48)</f>
        <v>2148862.8527300004</v>
      </c>
      <c r="I48" s="87">
        <f>+sgbelvar!L49</f>
        <v>139049.84042000002</v>
      </c>
      <c r="J48" s="113">
        <f>SUM(I48:I48)</f>
        <v>139049.84042000002</v>
      </c>
      <c r="K48" s="87">
        <f>+cbnavar!L49</f>
        <v>79683</v>
      </c>
      <c r="L48" s="87">
        <f>+scotiavar!L49</f>
        <v>73899</v>
      </c>
      <c r="M48" s="113">
        <f>SUM(K48:L48)</f>
        <v>153582</v>
      </c>
      <c r="N48" s="90">
        <f>+H48+J48+M48</f>
        <v>2441494.6931500006</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f>+bncvar!L50</f>
        <v>0</v>
      </c>
      <c r="C49" s="87">
        <f>+bphvar!L50</f>
        <v>14325</v>
      </c>
      <c r="D49" s="87">
        <f>+buhvar!L50</f>
        <v>110320.3655</v>
      </c>
      <c r="E49" s="87">
        <f>+capitalbkvar!L50</f>
        <v>1387</v>
      </c>
      <c r="F49" s="87">
        <f>+sogebkvar!L50</f>
        <v>98479.5</v>
      </c>
      <c r="G49" s="87">
        <f>+unibkvar!L50</f>
        <v>0</v>
      </c>
      <c r="H49" s="89">
        <f>SUM(B49:G49)</f>
        <v>224511.86550000001</v>
      </c>
      <c r="I49" s="87">
        <f>+sgbelvar!L50</f>
        <v>0</v>
      </c>
      <c r="J49" s="113">
        <f>SUM(I49:I49)</f>
        <v>0</v>
      </c>
      <c r="K49" s="87">
        <f>+cbnavar!L50</f>
        <v>0</v>
      </c>
      <c r="L49" s="87">
        <f>+scotiavar!L50</f>
        <v>0</v>
      </c>
      <c r="M49" s="113">
        <f>SUM(K49:L49)</f>
        <v>0</v>
      </c>
      <c r="N49" s="90">
        <f>+H49+J49+M49</f>
        <v>224511.86550000001</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f>+bncvar!L51</f>
        <v>851023.55514000007</v>
      </c>
      <c r="C50" s="199">
        <f>+bphvar!L51</f>
        <v>3170.94859</v>
      </c>
      <c r="D50" s="199">
        <f>+buhvar!L51</f>
        <v>-428433.93017000001</v>
      </c>
      <c r="E50" s="199">
        <f>+capitalbkvar!L51</f>
        <v>430252</v>
      </c>
      <c r="F50" s="199">
        <f>+sogebkvar!L51</f>
        <v>1019785.9</v>
      </c>
      <c r="G50" s="578">
        <f>+unibkvar!L51</f>
        <v>2347530.7559199999</v>
      </c>
      <c r="H50" s="262">
        <f>SUM(B50:G50)</f>
        <v>4223329.2294800002</v>
      </c>
      <c r="I50" s="578">
        <f>+sgbelvar!L51</f>
        <v>153894.85227999999</v>
      </c>
      <c r="J50" s="113">
        <f>SUM(I50:I50)</f>
        <v>153894.85227999999</v>
      </c>
      <c r="K50" s="722">
        <f>+cbnavar!L51</f>
        <v>54293</v>
      </c>
      <c r="L50" s="578">
        <f>+scotiavar!L51</f>
        <v>89688</v>
      </c>
      <c r="M50" s="262">
        <f>SUM(K50:L50)</f>
        <v>143981</v>
      </c>
      <c r="N50" s="587">
        <f>+H50+J50+M50</f>
        <v>4521205.0817600004</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2684078.6054100003</v>
      </c>
      <c r="C51" s="97">
        <f t="shared" si="6"/>
        <v>195472.94858999999</v>
      </c>
      <c r="D51" s="97">
        <f t="shared" si="6"/>
        <v>153620.54028000002</v>
      </c>
      <c r="E51" s="97">
        <f t="shared" si="6"/>
        <v>872747</v>
      </c>
      <c r="F51" s="97">
        <f t="shared" si="6"/>
        <v>3475330</v>
      </c>
      <c r="G51" s="97">
        <f t="shared" si="6"/>
        <v>4743946.8534299992</v>
      </c>
      <c r="H51" s="96">
        <f>SUM(B51:G51)</f>
        <v>12125195.94771</v>
      </c>
      <c r="I51" s="97">
        <f t="shared" ref="I51:N51" si="7">SUM(I47:I50)</f>
        <v>442944.69270000001</v>
      </c>
      <c r="J51" s="584">
        <f t="shared" si="7"/>
        <v>442944.69270000001</v>
      </c>
      <c r="K51" s="97">
        <f t="shared" si="7"/>
        <v>237813</v>
      </c>
      <c r="L51" s="97">
        <f t="shared" si="7"/>
        <v>257960</v>
      </c>
      <c r="M51" s="115">
        <f t="shared" si="7"/>
        <v>495773</v>
      </c>
      <c r="N51" s="95">
        <f t="shared" si="7"/>
        <v>13063913.64041</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M52" si="8">+B29+B35+B41+B43+B51</f>
        <v>42562734.959160008</v>
      </c>
      <c r="C52" s="90">
        <f t="shared" si="8"/>
        <v>2715118.3330886294</v>
      </c>
      <c r="D52" s="90">
        <f t="shared" si="8"/>
        <v>4047813.437381139</v>
      </c>
      <c r="E52" s="90">
        <f t="shared" si="8"/>
        <v>10321926</v>
      </c>
      <c r="F52" s="90">
        <f t="shared" si="8"/>
        <v>47242844.2483541</v>
      </c>
      <c r="G52" s="90">
        <f t="shared" si="8"/>
        <v>53646035.592770696</v>
      </c>
      <c r="H52" s="89">
        <f t="shared" si="8"/>
        <v>160536472.57075459</v>
      </c>
      <c r="I52" s="90">
        <f t="shared" si="8"/>
        <v>4229765.2295359997</v>
      </c>
      <c r="J52" s="1014">
        <f t="shared" si="8"/>
        <v>4229765.2295359997</v>
      </c>
      <c r="K52" s="90">
        <f t="shared" si="8"/>
        <v>5336958</v>
      </c>
      <c r="L52" s="90">
        <f t="shared" si="8"/>
        <v>5828831</v>
      </c>
      <c r="M52" s="113">
        <f t="shared" si="8"/>
        <v>11165789</v>
      </c>
      <c r="N52" s="90">
        <f>(+N29+N35+N41+N43+N51)</f>
        <v>175932026.80029058</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f>+bncvar!L57</f>
        <v>0</v>
      </c>
      <c r="C56" s="87">
        <f>+bphvar!L57</f>
        <v>0</v>
      </c>
      <c r="D56" s="87">
        <f>+buhvar!L57</f>
        <v>0</v>
      </c>
      <c r="E56" s="87">
        <f>+capitalbkvar!L57</f>
        <v>0</v>
      </c>
      <c r="F56" s="87">
        <f>+sogebkvar!L57</f>
        <v>94567</v>
      </c>
      <c r="G56" s="87">
        <f>+unibkvar!L57</f>
        <v>474.61716518500003</v>
      </c>
      <c r="H56" s="89">
        <f>SUM(B56:G56)</f>
        <v>95041.617165185002</v>
      </c>
      <c r="I56" s="87">
        <f>+sgbelvar!L57</f>
        <v>0</v>
      </c>
      <c r="J56" s="113">
        <f>SUM(I56:I56)</f>
        <v>0</v>
      </c>
      <c r="K56" s="87">
        <f>+cbnavar!L57</f>
        <v>0</v>
      </c>
      <c r="L56" s="87">
        <f>+scotiavar!L57</f>
        <v>0</v>
      </c>
      <c r="M56" s="113">
        <f>SUM(K56:L56)</f>
        <v>0</v>
      </c>
      <c r="N56" s="90">
        <f>+H56+J56+M56</f>
        <v>95041.617165185002</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f>+bncvar!L58</f>
        <v>131228.70000000001</v>
      </c>
      <c r="C57" s="87">
        <f>+bphvar!L58</f>
        <v>0</v>
      </c>
      <c r="D57" s="87">
        <f>+buhvar!L58</f>
        <v>0</v>
      </c>
      <c r="E57" s="87">
        <f>+capitalbkvar!L58</f>
        <v>0</v>
      </c>
      <c r="F57" s="87">
        <f>+sogebkvar!L58</f>
        <v>656038.40000000002</v>
      </c>
      <c r="G57" s="87">
        <f>+unibkvar!L58</f>
        <v>571276.00476757193</v>
      </c>
      <c r="H57" s="89">
        <f>SUM(B57:G57)</f>
        <v>1358543.1047675721</v>
      </c>
      <c r="I57" s="87">
        <f>+sgbelvar!L58</f>
        <v>0</v>
      </c>
      <c r="J57" s="113">
        <f>SUM(I57:I57)</f>
        <v>0</v>
      </c>
      <c r="K57" s="87">
        <f>+cbnavar!L58</f>
        <v>34241</v>
      </c>
      <c r="L57" s="87">
        <f>+scotiavar!L58</f>
        <v>3467</v>
      </c>
      <c r="M57" s="113">
        <f>SUM(K57:L57)</f>
        <v>37708</v>
      </c>
      <c r="N57" s="90">
        <f>+H57+J57+M57</f>
        <v>1396251.1047675721</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f>+bncvar!L59</f>
        <v>12513.599</v>
      </c>
      <c r="C58" s="87">
        <f>+bphvar!L59</f>
        <v>180466.19122378898</v>
      </c>
      <c r="D58" s="87">
        <f>+buhvar!L59</f>
        <v>2335.6139985</v>
      </c>
      <c r="E58" s="87">
        <f>+capitalbkvar!L59</f>
        <v>221270</v>
      </c>
      <c r="F58" s="87">
        <f>+sogebkvar!L59</f>
        <v>3213217.7</v>
      </c>
      <c r="G58" s="87">
        <f>+unibkvar!L59</f>
        <v>520711.46705514111</v>
      </c>
      <c r="H58" s="89">
        <f>SUM(B58:G58)</f>
        <v>4150514.5712774303</v>
      </c>
      <c r="I58" s="87">
        <f>+sgbelvar!L59</f>
        <v>944447.68732000003</v>
      </c>
      <c r="J58" s="113">
        <f>SUM(I58:I58)</f>
        <v>944447.68732000003</v>
      </c>
      <c r="K58" s="87">
        <f>+cbnavar!L59</f>
        <v>2960372</v>
      </c>
      <c r="L58" s="87">
        <f>+scotiavar!L59</f>
        <v>354237</v>
      </c>
      <c r="M58" s="113">
        <f>SUM(K58:L58)</f>
        <v>3314609</v>
      </c>
      <c r="N58" s="90">
        <f>+H58+J58+M58</f>
        <v>8409571.2585974298</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f>+cbnavar!B60</f>
        <v>0</v>
      </c>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f>+bncvar!L61</f>
        <v>10260466.46941</v>
      </c>
      <c r="C60" s="87">
        <f>+bphvar!L61</f>
        <v>1422764.2750200001</v>
      </c>
      <c r="D60" s="87">
        <f>+buhvar!L61</f>
        <v>1434132.415562616</v>
      </c>
      <c r="E60" s="87">
        <f>+capitalbkvar!L61</f>
        <v>4747381</v>
      </c>
      <c r="F60" s="87">
        <f>+sogebkvar!L61</f>
        <v>19055477.5</v>
      </c>
      <c r="G60" s="87">
        <f>+unibkvar!L61</f>
        <v>20138504.26199</v>
      </c>
      <c r="H60" s="89">
        <f>SUM(B60:G60)</f>
        <v>57058725.921982616</v>
      </c>
      <c r="I60" s="87">
        <f>+sgbelvar!L61</f>
        <v>2596651.3525900003</v>
      </c>
      <c r="J60" s="113">
        <f>SUM(I60:I60)</f>
        <v>2596651.3525900003</v>
      </c>
      <c r="K60" s="87">
        <f>+cbnavar!L61</f>
        <v>1336713</v>
      </c>
      <c r="L60" s="87">
        <f>+scotiavar!L61</f>
        <v>2286119</v>
      </c>
      <c r="M60" s="113">
        <f>SUM(K60:L60)</f>
        <v>3622832</v>
      </c>
      <c r="N60" s="90">
        <f>+H60+J60+M60</f>
        <v>63278209.274572618</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f>+bncvar!L62</f>
        <v>148519.962</v>
      </c>
      <c r="C61" s="87">
        <f>+bphvar!L62</f>
        <v>330946.86731</v>
      </c>
      <c r="D61" s="87">
        <f>+buhvar!L62</f>
        <v>15063.128838470002</v>
      </c>
      <c r="E61" s="87">
        <f>+capitalbkvar!L62</f>
        <v>27919</v>
      </c>
      <c r="F61" s="87">
        <f>+sogebkvar!L62</f>
        <v>308274</v>
      </c>
      <c r="G61" s="87">
        <f>+unibkvar!L62</f>
        <v>99234.138899999991</v>
      </c>
      <c r="H61" s="89">
        <f>SUM(B61:G61)</f>
        <v>929957.09704847005</v>
      </c>
      <c r="I61" s="87">
        <f>+sgbelvar!L62</f>
        <v>71738.112970000002</v>
      </c>
      <c r="J61" s="113">
        <f>SUM(I61:I61)</f>
        <v>71738.112970000002</v>
      </c>
      <c r="K61" s="87">
        <f>+cbnavar!L62</f>
        <v>26130</v>
      </c>
      <c r="L61" s="87">
        <f>+scotiavar!L62</f>
        <v>84404</v>
      </c>
      <c r="M61" s="113">
        <f>SUM(K61:L61)</f>
        <v>110534</v>
      </c>
      <c r="N61" s="90">
        <f>+H61+J61+M61</f>
        <v>1112229.21001847</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f>+bncvar!L63</f>
        <v>216873.18099999998</v>
      </c>
      <c r="C62" s="87">
        <f>+bphvar!L63</f>
        <v>483458.14643999998</v>
      </c>
      <c r="D62" s="87">
        <f>+buhvar!L63</f>
        <v>214879</v>
      </c>
      <c r="E62" s="87">
        <f>+capitalbkvar!L63</f>
        <v>32678</v>
      </c>
      <c r="F62" s="87">
        <f>+sogebkvar!L63</f>
        <v>161197</v>
      </c>
      <c r="G62" s="87">
        <f>+unibkvar!L63</f>
        <v>37153.131000000001</v>
      </c>
      <c r="H62" s="89">
        <f>SUM(B62:G62)</f>
        <v>1146238.45844</v>
      </c>
      <c r="I62" s="87">
        <f>+sgbelvar!L63</f>
        <v>180904.13842999999</v>
      </c>
      <c r="J62" s="113">
        <f>SUM(I62:I62)</f>
        <v>180904.13842999999</v>
      </c>
      <c r="K62" s="87">
        <f>+cbnavar!L63</f>
        <v>28583</v>
      </c>
      <c r="L62" s="87">
        <f>+scotiavar!L63</f>
        <v>184987</v>
      </c>
      <c r="M62" s="113">
        <f>SUM(K62:L62)</f>
        <v>213570</v>
      </c>
      <c r="N62" s="90">
        <f>+H62+J62+M62</f>
        <v>1540712.59687</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v>7797930</v>
      </c>
      <c r="C68" s="20">
        <v>671682.6</v>
      </c>
      <c r="D68" s="20">
        <v>1249080.2000000002</v>
      </c>
      <c r="E68" s="20">
        <v>2777183</v>
      </c>
      <c r="F68" s="20">
        <v>17897710.200000003</v>
      </c>
      <c r="G68" s="20">
        <v>16869755.699999999</v>
      </c>
      <c r="H68" s="89">
        <f>SUM(B68:G68)</f>
        <v>47263341.700000003</v>
      </c>
      <c r="I68" s="20">
        <v>2253304</v>
      </c>
      <c r="J68" s="113">
        <f>+I68</f>
        <v>2253304</v>
      </c>
      <c r="K68" s="20">
        <v>2279642</v>
      </c>
      <c r="L68" s="20">
        <v>833814</v>
      </c>
      <c r="M68" s="113">
        <f>SUM(K68:L68)</f>
        <v>3113456</v>
      </c>
      <c r="N68" s="90">
        <f>+H68+J68+M68</f>
        <v>52630101.700000003</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429"/>
      <c r="C73" s="417"/>
      <c r="D73" s="429"/>
      <c r="F73" s="592"/>
      <c r="G73" s="592"/>
      <c r="H73" s="1559"/>
      <c r="I73" s="1559"/>
      <c r="J73" s="418"/>
      <c r="K73" s="418"/>
      <c r="L73" s="417"/>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18"/>
      <c r="C74" s="417"/>
      <c r="D74" s="429"/>
      <c r="F74" s="418"/>
      <c r="I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591"/>
      <c r="C75" s="670"/>
      <c r="D75" s="671"/>
      <c r="F75" s="670"/>
      <c r="G75" s="672"/>
      <c r="H75" s="670"/>
      <c r="I75" s="671"/>
      <c r="J75" s="418"/>
      <c r="K75" s="418"/>
      <c r="L75" s="670"/>
      <c r="M75" s="671"/>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c r="C76" s="670"/>
      <c r="D76" s="671"/>
      <c r="F76" s="670"/>
      <c r="G76" s="672"/>
      <c r="H76" s="670"/>
      <c r="I76" s="671"/>
      <c r="J76" s="418"/>
      <c r="K76" s="418"/>
      <c r="L76" s="670"/>
      <c r="M76" s="671"/>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c r="C77" s="670"/>
      <c r="D77" s="671"/>
      <c r="F77" s="670"/>
      <c r="G77" s="672"/>
      <c r="H77" s="670"/>
      <c r="I77" s="671"/>
      <c r="J77" s="418"/>
      <c r="K77" s="418"/>
      <c r="L77" s="670"/>
      <c r="M77" s="671"/>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c r="C78" s="670"/>
      <c r="D78" s="671"/>
      <c r="F78" s="670"/>
      <c r="G78" s="672"/>
      <c r="H78" s="670"/>
      <c r="I78" s="671"/>
      <c r="J78" s="418"/>
      <c r="K78" s="418"/>
      <c r="L78" s="670"/>
      <c r="M78" s="671"/>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c r="C79" s="670"/>
      <c r="D79" s="671"/>
      <c r="F79" s="670"/>
      <c r="G79" s="672"/>
      <c r="H79" s="670"/>
      <c r="I79" s="671"/>
      <c r="J79" s="418"/>
      <c r="K79" s="418"/>
      <c r="L79" s="670"/>
      <c r="M79" s="671"/>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c r="C80" s="670"/>
      <c r="D80" s="671"/>
      <c r="F80" s="670"/>
      <c r="G80" s="672"/>
      <c r="H80" s="670"/>
      <c r="I80" s="671"/>
      <c r="J80" s="418"/>
      <c r="K80" s="418"/>
      <c r="L80" s="670"/>
      <c r="M80" s="671"/>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c r="C81" s="670"/>
      <c r="D81" s="671"/>
      <c r="F81" s="670"/>
      <c r="G81" s="672"/>
      <c r="H81" s="670"/>
      <c r="I81" s="671"/>
      <c r="J81" s="418"/>
      <c r="K81" s="418"/>
      <c r="L81" s="670"/>
      <c r="M81" s="671"/>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c r="C82" s="670"/>
      <c r="D82" s="671"/>
      <c r="F82" s="670"/>
      <c r="G82" s="672"/>
      <c r="H82" s="670"/>
      <c r="I82" s="671"/>
      <c r="J82" s="418"/>
      <c r="K82" s="418"/>
      <c r="L82" s="670"/>
      <c r="M82" s="671"/>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c r="C83" s="670"/>
      <c r="D83" s="671"/>
      <c r="F83" s="670"/>
      <c r="G83" s="672"/>
      <c r="H83" s="670"/>
      <c r="I83" s="671"/>
      <c r="J83" s="418"/>
      <c r="K83" s="418"/>
      <c r="L83" s="982"/>
      <c r="M83" s="671"/>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c r="C84" s="670"/>
      <c r="D84" s="671"/>
      <c r="F84" s="670"/>
      <c r="G84" s="672"/>
      <c r="H84" s="670"/>
      <c r="I84" s="671"/>
      <c r="J84" s="418"/>
      <c r="K84" s="418"/>
      <c r="L84" s="670"/>
      <c r="M84" s="671"/>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65"/>
      <c r="D140" s="64"/>
      <c r="E140" s="64"/>
      <c r="F140" s="64"/>
      <c r="G140" s="64"/>
      <c r="H140" s="64"/>
      <c r="I140" s="64"/>
      <c r="J140" s="64"/>
      <c r="K140" s="64"/>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c r="B142" s="64"/>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71" t="s">
        <v>0</v>
      </c>
      <c r="D156" s="69" t="s">
        <v>0</v>
      </c>
      <c r="E156" s="69" t="s">
        <v>0</v>
      </c>
      <c r="F156" s="69" t="s">
        <v>0</v>
      </c>
      <c r="G156" s="69" t="s">
        <v>0</v>
      </c>
      <c r="H156" s="69" t="s">
        <v>0</v>
      </c>
      <c r="I156" s="69" t="s">
        <v>0</v>
      </c>
      <c r="J156" s="69" t="s">
        <v>0</v>
      </c>
      <c r="K156" s="64" t="s">
        <v>0</v>
      </c>
      <c r="L156" s="71" t="s">
        <v>0</v>
      </c>
      <c r="M156" s="64" t="s">
        <v>0</v>
      </c>
      <c r="N156" s="64" t="s">
        <v>0</v>
      </c>
      <c r="O156" s="64" t="s">
        <v>0</v>
      </c>
      <c r="P156" s="419"/>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mergeCells count="1">
    <mergeCell ref="H73:I73"/>
  </mergeCells>
  <phoneticPr fontId="0" type="noConversion"/>
  <pageMargins left="0.2" right="0.21" top="0.68" bottom="0.45" header="0.5" footer="0.23"/>
  <pageSetup scale="55" orientation="landscape" r:id="rId1"/>
  <headerFooter alignWithMargins="0">
    <oddFooter>&amp;R&amp;16&amp;P</oddFooter>
  </headerFooter>
</worksheet>
</file>

<file path=xl/worksheets/sheet61.xml><?xml version="1.0" encoding="utf-8"?>
<worksheet xmlns="http://schemas.openxmlformats.org/spreadsheetml/2006/main" xmlns:r="http://schemas.openxmlformats.org/officeDocument/2006/relationships">
  <sheetPr>
    <pageSetUpPr fitToPage="1"/>
  </sheetPr>
  <dimension ref="A1:AL188"/>
  <sheetViews>
    <sheetView topLeftCell="A7"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809</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f>+bncvar!N10</f>
        <v>1370114.0430000001</v>
      </c>
      <c r="C10" s="87">
        <f>+bphvar!N10</f>
        <v>96412.01367</v>
      </c>
      <c r="D10" s="87">
        <f>+buhvar!N10</f>
        <v>209436.95843423801</v>
      </c>
      <c r="E10" s="87">
        <f>+capitalbkvar!N10</f>
        <v>218417</v>
      </c>
      <c r="F10" s="87">
        <f>+sogebkvar!N10</f>
        <v>2498599.1741800001</v>
      </c>
      <c r="G10" s="87">
        <f>+unibkvar!N10</f>
        <v>529917.70568704803</v>
      </c>
      <c r="H10" s="89">
        <f>SUM(B10:G10)</f>
        <v>4922896.8949712859</v>
      </c>
      <c r="I10" s="87">
        <f>+sgbelvar!N10</f>
        <v>15353.20853</v>
      </c>
      <c r="J10" s="113">
        <f>SUM(I10:I10)</f>
        <v>15353.20853</v>
      </c>
      <c r="K10" s="87">
        <f>+cbnavar!N10</f>
        <v>42194</v>
      </c>
      <c r="L10" s="87">
        <f>+scotiavar!N10</f>
        <v>81129</v>
      </c>
      <c r="M10" s="113">
        <f>SUM(K10:L10)</f>
        <v>123323</v>
      </c>
      <c r="N10" s="90">
        <f>+H10+J10+M10</f>
        <v>5061573.1035012864</v>
      </c>
      <c r="O10" s="64"/>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f>+bncvar!N11</f>
        <v>18834806.552000001</v>
      </c>
      <c r="C11" s="87">
        <f>+bphvar!N11</f>
        <v>766794.2219</v>
      </c>
      <c r="D11" s="87">
        <f>+buhvar!N11</f>
        <v>1113552.7789323621</v>
      </c>
      <c r="E11" s="87">
        <f>+capitalbkvar!N11</f>
        <v>2755816</v>
      </c>
      <c r="F11" s="87">
        <f>+sogebkvar!N11</f>
        <v>10043893.1533</v>
      </c>
      <c r="G11" s="87">
        <f>+unibkvar!N11</f>
        <v>16212771.642809624</v>
      </c>
      <c r="H11" s="89">
        <f>SUM(B11:G11)</f>
        <v>49727634.348941989</v>
      </c>
      <c r="I11" s="87">
        <f>+sgbelvar!N11</f>
        <v>312908.24065000005</v>
      </c>
      <c r="J11" s="113">
        <f>SUM(I11:I11)</f>
        <v>312908.24065000005</v>
      </c>
      <c r="K11" s="87">
        <f>+cbnavar!N11</f>
        <v>2536514</v>
      </c>
      <c r="L11" s="87">
        <f>+scotiavar!N11</f>
        <v>1637353</v>
      </c>
      <c r="M11" s="113">
        <f>SUM(K11:L11)</f>
        <v>4173867</v>
      </c>
      <c r="N11" s="90">
        <f>+H11+J11+M11</f>
        <v>54214409.589591987</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f>+bncvar!N12</f>
        <v>1198118.5090000001</v>
      </c>
      <c r="C12" s="87">
        <f>+bphvar!N12</f>
        <v>56353.204089999999</v>
      </c>
      <c r="D12" s="87">
        <f>+buhvar!N12</f>
        <v>158639.735013642</v>
      </c>
      <c r="E12" s="87">
        <f>+capitalbkvar!N12</f>
        <v>687504</v>
      </c>
      <c r="F12" s="87">
        <f>+sogebkvar!N12</f>
        <v>972058.23866000003</v>
      </c>
      <c r="G12" s="87">
        <f>+unibkvar!N12</f>
        <v>3641525.8499604375</v>
      </c>
      <c r="H12" s="89">
        <f>SUM(B12:G12)</f>
        <v>6714199.5367240794</v>
      </c>
      <c r="I12" s="87">
        <f>+sgbelvar!N12</f>
        <v>1050.9160899999999</v>
      </c>
      <c r="J12" s="113">
        <f>SUM(I12:I12)</f>
        <v>1050.9160899999999</v>
      </c>
      <c r="K12" s="87">
        <f>+cbnavar!N12</f>
        <v>395584</v>
      </c>
      <c r="L12" s="87">
        <f>+scotiavar!N12</f>
        <v>1020107</v>
      </c>
      <c r="M12" s="113">
        <f>SUM(K12:L12)</f>
        <v>1415691</v>
      </c>
      <c r="N12" s="90">
        <f>+H12+J12+M12</f>
        <v>8130941.4528140798</v>
      </c>
      <c r="O12" s="64"/>
      <c r="P12" s="419"/>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f>+bncvar!N13</f>
        <v>0</v>
      </c>
      <c r="C13" s="87">
        <f>+bphvar!N13</f>
        <v>0</v>
      </c>
      <c r="D13" s="87">
        <f>+buhvar!N13</f>
        <v>76348.916444676011</v>
      </c>
      <c r="E13" s="87">
        <f>+capitalbkvar!N13</f>
        <v>15305</v>
      </c>
      <c r="F13" s="87">
        <f>+sogebkvar!N13</f>
        <v>2406.2145799999998</v>
      </c>
      <c r="G13" s="87">
        <f>+unibkvar!N13</f>
        <v>59111.892658244265</v>
      </c>
      <c r="H13" s="89">
        <f>SUM(B13:G13)</f>
        <v>153172.02368292026</v>
      </c>
      <c r="I13" s="87">
        <f>+sgbelvar!N13</f>
        <v>1596205.0412599999</v>
      </c>
      <c r="J13" s="113">
        <f>SUM(I13:I13)</f>
        <v>1596205.0412599999</v>
      </c>
      <c r="K13" s="87">
        <f>+cbnavar!N13</f>
        <v>0</v>
      </c>
      <c r="L13" s="87">
        <f>+scotiavar!N13</f>
        <v>0</v>
      </c>
      <c r="M13" s="113">
        <f>SUM(K13:L13)</f>
        <v>0</v>
      </c>
      <c r="N13" s="90">
        <f>+H13+J13+M13</f>
        <v>1749377.0649429201</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f>+bncvar!N14</f>
        <v>264043.61900000001</v>
      </c>
      <c r="C14" s="199">
        <f>+bphvar!N14</f>
        <v>28482.354420000003</v>
      </c>
      <c r="D14" s="199">
        <f>+buhvar!N14</f>
        <v>34882.693079197998</v>
      </c>
      <c r="E14" s="199">
        <f>+capitalbkvar!N14</f>
        <v>268085</v>
      </c>
      <c r="F14" s="199">
        <f>+sogebkvar!N14</f>
        <v>407643.55497999996</v>
      </c>
      <c r="G14" s="578">
        <f>+unibkvar!N14</f>
        <v>782101.15132867591</v>
      </c>
      <c r="H14" s="262">
        <f>SUM(B14:G14)</f>
        <v>1785238.3728078739</v>
      </c>
      <c r="I14" s="993">
        <f>+sgbelvar!N14</f>
        <v>36795.10037</v>
      </c>
      <c r="J14" s="113">
        <f>SUM(I14:I14)</f>
        <v>36795.10037</v>
      </c>
      <c r="K14" s="722">
        <f>+cbnavar!N14</f>
        <v>245856</v>
      </c>
      <c r="L14" s="578">
        <f>+scotiavar!N14</f>
        <v>59929</v>
      </c>
      <c r="M14" s="262">
        <f>SUM(K14:L14)</f>
        <v>305785</v>
      </c>
      <c r="N14" s="587">
        <f>+H14+J14+M14</f>
        <v>2127818.473177874</v>
      </c>
      <c r="O14" s="64"/>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 t="shared" ref="B15:N15" si="0">SUM(B10:B14)</f>
        <v>21667082.723000001</v>
      </c>
      <c r="C15" s="87">
        <f t="shared" si="0"/>
        <v>948041.79408000002</v>
      </c>
      <c r="D15" s="87">
        <f t="shared" si="0"/>
        <v>1592861.0819041163</v>
      </c>
      <c r="E15" s="134">
        <f t="shared" si="0"/>
        <v>3945127</v>
      </c>
      <c r="F15" s="87">
        <f t="shared" si="0"/>
        <v>13924600.3357</v>
      </c>
      <c r="G15" s="87">
        <f t="shared" si="0"/>
        <v>21225428.242444031</v>
      </c>
      <c r="H15" s="89">
        <f t="shared" si="0"/>
        <v>63303141.177128151</v>
      </c>
      <c r="I15" s="24">
        <f t="shared" si="0"/>
        <v>1962312.5068999999</v>
      </c>
      <c r="J15" s="586">
        <f t="shared" si="0"/>
        <v>1962312.5068999999</v>
      </c>
      <c r="K15" s="87">
        <f t="shared" si="0"/>
        <v>3220148</v>
      </c>
      <c r="L15" s="87">
        <f t="shared" si="0"/>
        <v>2798518</v>
      </c>
      <c r="M15" s="113">
        <f t="shared" si="0"/>
        <v>6018666</v>
      </c>
      <c r="N15" s="90">
        <f t="shared" si="0"/>
        <v>71284119.684028149</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f>+bncvar!N17</f>
        <v>3397881</v>
      </c>
      <c r="C17" s="87">
        <f>+bphvar!N17</f>
        <v>0</v>
      </c>
      <c r="D17" s="87">
        <f>+buhvar!N17</f>
        <v>0</v>
      </c>
      <c r="E17" s="87">
        <f>+capitalbkvar!N17</f>
        <v>80000</v>
      </c>
      <c r="F17" s="87">
        <f>+sogebkvar!N17</f>
        <v>599999.60499999998</v>
      </c>
      <c r="G17" s="87">
        <f>+unibkvar!N17</f>
        <v>1791680.1</v>
      </c>
      <c r="H17" s="89">
        <f>SUM(B17:G17)</f>
        <v>5869560.7050000001</v>
      </c>
      <c r="I17" s="87">
        <f>+sgbelvar!N17</f>
        <v>0</v>
      </c>
      <c r="J17" s="113">
        <f>SUM(I17:I17)</f>
        <v>0</v>
      </c>
      <c r="K17" s="87">
        <f>+cbnavar!N17</f>
        <v>399899</v>
      </c>
      <c r="L17" s="87">
        <f>+scotiavar!N17</f>
        <v>0</v>
      </c>
      <c r="M17" s="113">
        <f>SUM(K17:L17)</f>
        <v>399899</v>
      </c>
      <c r="N17" s="90">
        <f>+H17+J17+M17</f>
        <v>6269459.7050000001</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f>+bncvar!N19</f>
        <v>7262705.0385900009</v>
      </c>
      <c r="C18" s="87">
        <f>+bphvar!N19</f>
        <v>24297.35108</v>
      </c>
      <c r="D18" s="87">
        <f>+buhvar!N19</f>
        <v>24215.426527732005</v>
      </c>
      <c r="E18" s="87">
        <f>+capitalbkvar!N19</f>
        <v>652046</v>
      </c>
      <c r="F18" s="87">
        <f>+sogebkvar!N19</f>
        <v>11469064.330850001</v>
      </c>
      <c r="G18" s="87">
        <f>+unibkvar!N19</f>
        <v>10857402.07829904</v>
      </c>
      <c r="H18" s="89">
        <f>SUM(B18:G18)</f>
        <v>30289730.225346774</v>
      </c>
      <c r="I18" s="87">
        <f>+sgbelvar!N19</f>
        <v>28992.930800000002</v>
      </c>
      <c r="J18" s="113">
        <f>SUM(I18:I18)</f>
        <v>28992.930800000002</v>
      </c>
      <c r="K18" s="87">
        <f>+cbnavar!N19</f>
        <v>0</v>
      </c>
      <c r="L18" s="87">
        <f>+scotiavar!N19</f>
        <v>0</v>
      </c>
      <c r="M18" s="113">
        <f>SUM(K18:L18)</f>
        <v>0</v>
      </c>
      <c r="N18" s="90">
        <f>+H18+J18+M18</f>
        <v>30318723.156146772</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f>+bncvar!N20</f>
        <v>6347999.1491</v>
      </c>
      <c r="C19" s="87">
        <f>+bphvar!N20</f>
        <v>871518.50167000003</v>
      </c>
      <c r="D19" s="87">
        <f>+buhvar!N20</f>
        <v>1384144.9737510919</v>
      </c>
      <c r="E19" s="87">
        <f>+capitalbkvar!N20</f>
        <v>4108729</v>
      </c>
      <c r="F19" s="87">
        <f>+sogebkvar!N20</f>
        <v>16211855.77159</v>
      </c>
      <c r="G19" s="87">
        <f>+unibkvar!N20</f>
        <v>17174851.664670002</v>
      </c>
      <c r="H19" s="89">
        <f>SUM(B19:G19)</f>
        <v>46099099.060781091</v>
      </c>
      <c r="I19" s="87">
        <f>+sgbelvar!N20</f>
        <v>2089734.9150224</v>
      </c>
      <c r="J19" s="113">
        <f>SUM(I19:I19)</f>
        <v>2089734.9150224</v>
      </c>
      <c r="K19" s="87">
        <f>+cbnavar!N20</f>
        <v>1584777</v>
      </c>
      <c r="L19" s="87">
        <f>+scotiavar!N20</f>
        <v>2086555</v>
      </c>
      <c r="M19" s="113">
        <f>SUM(K19:L19)</f>
        <v>3671332</v>
      </c>
      <c r="N19" s="90">
        <f>+H19+J19+M19</f>
        <v>51860165.975803494</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f>+bncvar!N21</f>
        <v>1109657.2625500001</v>
      </c>
      <c r="C20" s="87">
        <f>+bphvar!N21</f>
        <v>129549.13488</v>
      </c>
      <c r="D20" s="87">
        <f>+buhvar!N21</f>
        <v>213238.20509</v>
      </c>
      <c r="E20" s="87">
        <f>+capitalbkvar!N21</f>
        <v>296962</v>
      </c>
      <c r="F20" s="87">
        <f>+sogebkvar!N21</f>
        <v>1420379.1239800001</v>
      </c>
      <c r="G20" s="87">
        <f>+unibkvar!N21</f>
        <v>1322498.0337099999</v>
      </c>
      <c r="H20" s="89">
        <f>SUM(B20:G20)</f>
        <v>4492283.76021</v>
      </c>
      <c r="I20" s="87">
        <f>+sgbelvar!N21</f>
        <v>154237.68187000003</v>
      </c>
      <c r="J20" s="113">
        <f>SUM(I20:I20)</f>
        <v>154237.68187000003</v>
      </c>
      <c r="K20" s="87">
        <f>+cbnavar!N21</f>
        <v>247807</v>
      </c>
      <c r="L20" s="87">
        <f>+scotiavar!N21</f>
        <v>54511</v>
      </c>
      <c r="M20" s="113">
        <f>SUM(K20:L20)</f>
        <v>302318</v>
      </c>
      <c r="N20" s="90">
        <f>+H20+J20+M20</f>
        <v>4948839.4420800004</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f>+bncvar!N22</f>
        <v>1820978.7339999999</v>
      </c>
      <c r="C21" s="97">
        <f>+bphvar!N22</f>
        <v>127775.67998000002</v>
      </c>
      <c r="D21" s="97">
        <f>+buhvar!N22</f>
        <v>60051.489842443996</v>
      </c>
      <c r="E21" s="97">
        <f>+capitalbkvar!N22</f>
        <v>344886</v>
      </c>
      <c r="F21" s="97">
        <f>+sogebkvar!N22</f>
        <v>2230529.6310000001</v>
      </c>
      <c r="G21" s="579">
        <f>+unibkvar!N22</f>
        <v>1081183.8865861301</v>
      </c>
      <c r="H21" s="96">
        <f>SUM(B21:G21)</f>
        <v>5665405.4214085732</v>
      </c>
      <c r="I21" s="994">
        <f>+sgbelvar!N22</f>
        <v>75513.694210000001</v>
      </c>
      <c r="J21" s="115">
        <f>SUM(I21:I21)</f>
        <v>75513.694210000001</v>
      </c>
      <c r="K21" s="660">
        <f>+cbnavar!N22</f>
        <v>123299</v>
      </c>
      <c r="L21" s="579">
        <f>+scotiavar!N22</f>
        <v>10179</v>
      </c>
      <c r="M21" s="96">
        <f>SUM(K21:L21)</f>
        <v>133478</v>
      </c>
      <c r="N21" s="588">
        <f>+H21+J21+M21</f>
        <v>5874397.1156185735</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N22" si="1">SUM(B15:B21)</f>
        <v>41606303.907240003</v>
      </c>
      <c r="C22" s="90">
        <f t="shared" si="1"/>
        <v>2101182.4616900003</v>
      </c>
      <c r="D22" s="90">
        <f t="shared" si="1"/>
        <v>3274511.1771153845</v>
      </c>
      <c r="E22" s="13">
        <f t="shared" si="1"/>
        <v>9427750</v>
      </c>
      <c r="F22" s="90">
        <f t="shared" si="1"/>
        <v>45856428.798119999</v>
      </c>
      <c r="G22" s="90">
        <f t="shared" si="1"/>
        <v>53453044.005709201</v>
      </c>
      <c r="H22" s="89">
        <f t="shared" si="1"/>
        <v>155719220.34987459</v>
      </c>
      <c r="I22" s="90">
        <f t="shared" si="1"/>
        <v>4310791.7288024006</v>
      </c>
      <c r="J22" s="729">
        <f t="shared" si="1"/>
        <v>4310791.7288024006</v>
      </c>
      <c r="K22" s="13">
        <f t="shared" si="1"/>
        <v>5575930</v>
      </c>
      <c r="L22" s="13">
        <f t="shared" si="1"/>
        <v>4949763</v>
      </c>
      <c r="M22" s="113">
        <f t="shared" si="1"/>
        <v>10525693</v>
      </c>
      <c r="N22" s="90">
        <f t="shared" si="1"/>
        <v>170555705.078677</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c r="G24" s="87"/>
      <c r="H24" s="93"/>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f>+bncvar!N27</f>
        <v>25592452.41</v>
      </c>
      <c r="C26" s="87">
        <f>+bphvar!N27</f>
        <v>742741.99014000001</v>
      </c>
      <c r="D26" s="87">
        <f>+buhvar!N27</f>
        <v>902954.35886984994</v>
      </c>
      <c r="E26" s="87">
        <f>+capitalbkvar!N27</f>
        <v>3966588</v>
      </c>
      <c r="F26" s="87">
        <f>+sogebkvar!N27</f>
        <v>15369480.802409999</v>
      </c>
      <c r="G26" s="87">
        <f>+unibkvar!N27</f>
        <v>23902240.379860204</v>
      </c>
      <c r="H26" s="89">
        <f>SUM(B26:G26)</f>
        <v>70476457.941280052</v>
      </c>
      <c r="I26" s="87">
        <f>+sgbelvar!N27</f>
        <v>840457.01092999999</v>
      </c>
      <c r="J26" s="113">
        <f>SUM(I26:I26)</f>
        <v>840457.01092999999</v>
      </c>
      <c r="K26" s="87">
        <f>+cbnavar!N27</f>
        <v>3135559</v>
      </c>
      <c r="L26" s="87">
        <f>+scotiavar!N27</f>
        <v>2216716</v>
      </c>
      <c r="M26" s="113">
        <f>SUM(K26:L26)</f>
        <v>5352275</v>
      </c>
      <c r="N26" s="90">
        <f>+H26+J26+M26</f>
        <v>76669189.952210054</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f>+bncvar!N28</f>
        <v>7973275.4610000011</v>
      </c>
      <c r="C27" s="87">
        <f>+bphvar!N28</f>
        <v>482950.52103</v>
      </c>
      <c r="D27" s="87">
        <f>+buhvar!N28</f>
        <v>1709736.717832484</v>
      </c>
      <c r="E27" s="87">
        <f>+capitalbkvar!N28</f>
        <v>2387708</v>
      </c>
      <c r="F27" s="87">
        <f>+sogebkvar!N28</f>
        <v>17580604.563530002</v>
      </c>
      <c r="G27" s="87">
        <f>+unibkvar!N28</f>
        <v>18102263.584215958</v>
      </c>
      <c r="H27" s="89">
        <f>SUM(B27:G27)</f>
        <v>48236538.847608447</v>
      </c>
      <c r="I27" s="87">
        <f>+sgbelvar!N28</f>
        <v>429145.14979000005</v>
      </c>
      <c r="J27" s="113">
        <f>SUM(I27:I27)</f>
        <v>429145.14979000005</v>
      </c>
      <c r="K27" s="87">
        <f>+cbnavar!N28</f>
        <v>429570</v>
      </c>
      <c r="L27" s="87">
        <f>+scotiavar!N28</f>
        <v>1290146</v>
      </c>
      <c r="M27" s="113">
        <f>SUM(K27:L27)</f>
        <v>1719716</v>
      </c>
      <c r="N27" s="90">
        <f>+H27+J27+M27</f>
        <v>50385399.997398444</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f>+bncvar!N29</f>
        <v>3051012.0819800003</v>
      </c>
      <c r="C28" s="199">
        <f>+bphvar!N29</f>
        <v>606813.83675999998</v>
      </c>
      <c r="D28" s="199">
        <f>+buhvar!N29</f>
        <v>615245.14662978007</v>
      </c>
      <c r="E28" s="199">
        <f>+capitalbkvar!N29</f>
        <v>1560473</v>
      </c>
      <c r="F28" s="199">
        <f>+sogebkvar!N29</f>
        <v>5649320.5374531783</v>
      </c>
      <c r="G28" s="578">
        <f>+unibkvar!N29</f>
        <v>4465893.2497843346</v>
      </c>
      <c r="H28" s="262">
        <f>SUM(B28:G28)</f>
        <v>15948757.852607295</v>
      </c>
      <c r="I28" s="993">
        <f>+sgbelvar!N29</f>
        <v>2002074.14769</v>
      </c>
      <c r="J28" s="113">
        <f>SUM(I28:I28)</f>
        <v>2002074.14769</v>
      </c>
      <c r="K28" s="722">
        <f>+cbnavar!N29</f>
        <v>1171474</v>
      </c>
      <c r="L28" s="578">
        <f>+scotiavar!N29</f>
        <v>661199</v>
      </c>
      <c r="M28" s="262">
        <f>SUM(K28:L28)</f>
        <v>1832673</v>
      </c>
      <c r="N28" s="587">
        <f>+H28+J28+M28</f>
        <v>19783505.000297293</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N29" si="2">SUM(B26:B28)</f>
        <v>36616739.952979997</v>
      </c>
      <c r="C29" s="87">
        <f t="shared" si="2"/>
        <v>1832506.3479300002</v>
      </c>
      <c r="D29" s="87">
        <f t="shared" si="2"/>
        <v>3227936.2233321141</v>
      </c>
      <c r="E29" s="87">
        <f t="shared" si="2"/>
        <v>7914769</v>
      </c>
      <c r="F29" s="87">
        <f t="shared" si="2"/>
        <v>38599405.903393179</v>
      </c>
      <c r="G29" s="87">
        <f t="shared" si="2"/>
        <v>46470397.213860497</v>
      </c>
      <c r="H29" s="89">
        <f t="shared" si="2"/>
        <v>134661754.64149579</v>
      </c>
      <c r="I29" s="87">
        <f t="shared" si="2"/>
        <v>3271676.3084100001</v>
      </c>
      <c r="J29" s="586">
        <f t="shared" si="2"/>
        <v>3271676.3084100001</v>
      </c>
      <c r="K29" s="87">
        <f t="shared" si="2"/>
        <v>4736603</v>
      </c>
      <c r="L29" s="87">
        <f t="shared" si="2"/>
        <v>4168061</v>
      </c>
      <c r="M29" s="113">
        <f t="shared" si="2"/>
        <v>8904664</v>
      </c>
      <c r="N29" s="90">
        <f t="shared" si="2"/>
        <v>146838094.94990581</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f>+bncvar!N33</f>
        <v>0</v>
      </c>
      <c r="C32" s="87">
        <f>+bphvar!N33</f>
        <v>0</v>
      </c>
      <c r="D32" s="87">
        <f>+buhvar!N33</f>
        <v>0</v>
      </c>
      <c r="E32" s="87">
        <f>+capitalbkvar!N33</f>
        <v>0</v>
      </c>
      <c r="F32" s="87">
        <f>+sogebkvar!N33</f>
        <v>0</v>
      </c>
      <c r="G32" s="87">
        <f>+unibkvar!N33</f>
        <v>0</v>
      </c>
      <c r="H32" s="89">
        <f>SUM(B32:G32)</f>
        <v>0</v>
      </c>
      <c r="I32" s="87">
        <f>+sgbelvar!N33</f>
        <v>0</v>
      </c>
      <c r="J32" s="113">
        <f>SUM(I32:I32)</f>
        <v>0</v>
      </c>
      <c r="K32" s="87">
        <f>+cbnavar!N33</f>
        <v>200000</v>
      </c>
      <c r="L32" s="87">
        <f>+scotiavar!N33</f>
        <v>0</v>
      </c>
      <c r="M32" s="113">
        <f>SUM(K32:L32)</f>
        <v>200000</v>
      </c>
      <c r="N32" s="90">
        <f>+H32+J32+M32</f>
        <v>200000</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f>+bncvar!N34</f>
        <v>0</v>
      </c>
      <c r="C33" s="87">
        <f>+bphvar!N34</f>
        <v>0</v>
      </c>
      <c r="D33" s="87">
        <f>+buhvar!N34</f>
        <v>0</v>
      </c>
      <c r="E33" s="87">
        <f>+capitalbkvar!N34</f>
        <v>0</v>
      </c>
      <c r="F33" s="87">
        <f>+sogebkvar!N34</f>
        <v>0</v>
      </c>
      <c r="G33" s="87">
        <f>+unibkvar!N34</f>
        <v>0</v>
      </c>
      <c r="H33" s="89">
        <f>SUM(B33:G33)</f>
        <v>0</v>
      </c>
      <c r="I33" s="87">
        <f>+sgbelvar!N34</f>
        <v>0</v>
      </c>
      <c r="J33" s="113">
        <f>SUM(I33:I33)</f>
        <v>0</v>
      </c>
      <c r="K33" s="87">
        <f>+cbnavar!N34</f>
        <v>0</v>
      </c>
      <c r="L33" s="87">
        <f>+scotiavar!N34</f>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f>+bncvar!N35</f>
        <v>1216512.3</v>
      </c>
      <c r="C34" s="199">
        <f>+bphvar!N35</f>
        <v>108975.199220276</v>
      </c>
      <c r="D34" s="199">
        <f>+buhvar!N35</f>
        <v>122885.84126214201</v>
      </c>
      <c r="E34" s="199">
        <f>+capitalbkvar!N35</f>
        <v>268674</v>
      </c>
      <c r="F34" s="199">
        <f>+sogebkvar!N35</f>
        <v>1956972.7203599999</v>
      </c>
      <c r="G34" s="578">
        <f>+unibkvar!N35</f>
        <v>661118.11459894793</v>
      </c>
      <c r="H34" s="262">
        <f>SUM(B34:G34)</f>
        <v>4335138.1754413657</v>
      </c>
      <c r="I34" s="993">
        <f>+sgbelvar!N35</f>
        <v>102852.65009</v>
      </c>
      <c r="J34" s="113">
        <f>SUM(I34:I34)</f>
        <v>102852.65009</v>
      </c>
      <c r="K34" s="722">
        <f>+cbnavar!N35</f>
        <v>231908</v>
      </c>
      <c r="L34" s="578">
        <f>+scotiavar!N35</f>
        <v>160285</v>
      </c>
      <c r="M34" s="262">
        <f>SUM(K34:L34)</f>
        <v>392193</v>
      </c>
      <c r="N34" s="587">
        <f>+H34+J34+M34</f>
        <v>4830183.8255313653</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N35" si="3">SUM(B32:B34)</f>
        <v>1216512.3</v>
      </c>
      <c r="C35" s="87">
        <f t="shared" si="3"/>
        <v>108975.199220276</v>
      </c>
      <c r="D35" s="87">
        <f t="shared" si="3"/>
        <v>122885.84126214201</v>
      </c>
      <c r="E35" s="87">
        <f t="shared" si="3"/>
        <v>268674</v>
      </c>
      <c r="F35" s="87">
        <f t="shared" si="3"/>
        <v>1956972.7203599999</v>
      </c>
      <c r="G35" s="87">
        <f t="shared" si="3"/>
        <v>661118.11459894793</v>
      </c>
      <c r="H35" s="89">
        <f t="shared" si="3"/>
        <v>4335138.1754413657</v>
      </c>
      <c r="I35" s="87">
        <f t="shared" si="3"/>
        <v>102852.65009</v>
      </c>
      <c r="J35" s="586">
        <f t="shared" si="3"/>
        <v>102852.65009</v>
      </c>
      <c r="K35" s="87">
        <f t="shared" si="3"/>
        <v>431908</v>
      </c>
      <c r="L35" s="87">
        <f t="shared" si="3"/>
        <v>160285</v>
      </c>
      <c r="M35" s="113">
        <f t="shared" si="3"/>
        <v>592193</v>
      </c>
      <c r="N35" s="90">
        <f t="shared" si="3"/>
        <v>5030183.8255313653</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f>+bncvar!N39</f>
        <v>3000</v>
      </c>
      <c r="C38" s="87">
        <f>+bphvar!N39</f>
        <v>28530</v>
      </c>
      <c r="D38" s="87">
        <f>+buhvar!N39</f>
        <v>0</v>
      </c>
      <c r="E38" s="87">
        <f>+capitalbkvar!N39</f>
        <v>0</v>
      </c>
      <c r="F38" s="87">
        <f>+sogebkvar!N39</f>
        <v>0</v>
      </c>
      <c r="G38" s="87">
        <f>+unibkvar!N39</f>
        <v>650000</v>
      </c>
      <c r="H38" s="89">
        <f>SUM(B38:G38)</f>
        <v>681530</v>
      </c>
      <c r="I38" s="87">
        <f>+sgbelvar!N39</f>
        <v>500000</v>
      </c>
      <c r="J38" s="113">
        <f>SUM(I38:I38)</f>
        <v>500000</v>
      </c>
      <c r="K38" s="87">
        <f>+cbnavar!N39</f>
        <v>0</v>
      </c>
      <c r="L38" s="87">
        <f>+scotiavar!N39</f>
        <v>0</v>
      </c>
      <c r="M38" s="113">
        <f>SUM(K38:L38)</f>
        <v>0</v>
      </c>
      <c r="N38" s="90">
        <f>+H38+J38+M38</f>
        <v>1181530</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f>+bncvar!N40</f>
        <v>0</v>
      </c>
      <c r="C39" s="87">
        <f>+bphvar!N40</f>
        <v>0</v>
      </c>
      <c r="D39" s="87">
        <f>+buhvar!N40</f>
        <v>0</v>
      </c>
      <c r="E39" s="87">
        <f>+capitalbkvar!N40</f>
        <v>0</v>
      </c>
      <c r="F39" s="87">
        <f>+sogebkvar!N40</f>
        <v>634833</v>
      </c>
      <c r="G39" s="87">
        <f>+unibkvar!N40</f>
        <v>0</v>
      </c>
      <c r="H39" s="89">
        <f>SUM(B39:G39)</f>
        <v>634833</v>
      </c>
      <c r="I39" s="87">
        <f>+sgbelvar!N40</f>
        <v>0</v>
      </c>
      <c r="J39" s="113">
        <f>SUM(I39:I39)</f>
        <v>0</v>
      </c>
      <c r="K39" s="87">
        <f>+cbnavar!N40</f>
        <v>0</v>
      </c>
      <c r="L39" s="87">
        <f>+scotiavar!N40</f>
        <v>0</v>
      </c>
      <c r="M39" s="113">
        <f>SUM(K39:L39)</f>
        <v>0</v>
      </c>
      <c r="N39" s="90">
        <f>+H39+J39+M39</f>
        <v>634833</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f>+bncvar!N41</f>
        <v>1302768.9079999998</v>
      </c>
      <c r="C40" s="199">
        <f>+bphvar!N41</f>
        <v>124234.22891999999</v>
      </c>
      <c r="D40" s="199">
        <f>+buhvar!N41</f>
        <v>7564.8392976499999</v>
      </c>
      <c r="E40" s="199">
        <f>+capitalbkvar!N41</f>
        <v>255237</v>
      </c>
      <c r="F40" s="199">
        <f>+sogebkvar!N41</f>
        <v>275111.09762000002</v>
      </c>
      <c r="G40" s="578">
        <f>+unibkvar!N41</f>
        <v>846520.29362838203</v>
      </c>
      <c r="H40" s="262">
        <f>SUM(B40:G40)</f>
        <v>2811436.3674660316</v>
      </c>
      <c r="I40" s="993">
        <f>+sgbelvar!N41</f>
        <v>10784.995340000023</v>
      </c>
      <c r="J40" s="113">
        <f>SUM(I40:I40)</f>
        <v>10784.995340000023</v>
      </c>
      <c r="K40" s="722">
        <f>+cbnavar!N41</f>
        <v>80230</v>
      </c>
      <c r="L40" s="578">
        <f>+scotiavar!N41</f>
        <v>53924</v>
      </c>
      <c r="M40" s="262">
        <f>SUM(K40:L40)</f>
        <v>134154</v>
      </c>
      <c r="N40" s="587">
        <f>+H40+J40+M40</f>
        <v>2956375.3628060315</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N41" si="4">SUM(B38:B40)</f>
        <v>1305768.9079999998</v>
      </c>
      <c r="C41" s="87">
        <f t="shared" si="4"/>
        <v>152764.22891999999</v>
      </c>
      <c r="D41" s="87">
        <f t="shared" si="4"/>
        <v>7564.8392976499999</v>
      </c>
      <c r="E41" s="87">
        <f t="shared" si="4"/>
        <v>255237</v>
      </c>
      <c r="F41" s="87">
        <f t="shared" si="4"/>
        <v>909944.09762000002</v>
      </c>
      <c r="G41" s="87">
        <f t="shared" si="4"/>
        <v>1496520.293628382</v>
      </c>
      <c r="H41" s="89">
        <f t="shared" si="4"/>
        <v>4127799.3674660316</v>
      </c>
      <c r="I41" s="87">
        <f t="shared" si="4"/>
        <v>510784.99534000002</v>
      </c>
      <c r="J41" s="585">
        <f t="shared" si="4"/>
        <v>510784.99534000002</v>
      </c>
      <c r="K41" s="87">
        <f t="shared" si="4"/>
        <v>80230</v>
      </c>
      <c r="L41" s="87">
        <f t="shared" si="4"/>
        <v>53924</v>
      </c>
      <c r="M41" s="113">
        <f t="shared" si="4"/>
        <v>134154</v>
      </c>
      <c r="N41" s="90">
        <f t="shared" si="4"/>
        <v>4772738.3628060315</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f>+bncvar!N44</f>
        <v>275889.67200000002</v>
      </c>
      <c r="C43" s="199">
        <f>+bphvar!N44</f>
        <v>0</v>
      </c>
      <c r="D43" s="199">
        <f>+buhvar!N44</f>
        <v>143634.70773921005</v>
      </c>
      <c r="E43" s="199">
        <f>+capitalbkvar!N44</f>
        <v>241876</v>
      </c>
      <c r="F43" s="199">
        <f>+sogebkvar!N44</f>
        <v>1399117.24767</v>
      </c>
      <c r="G43" s="578">
        <f>+unibkvar!N44</f>
        <v>473583.12652092794</v>
      </c>
      <c r="H43" s="262">
        <f>SUM(B43:G43)</f>
        <v>2534100.753930138</v>
      </c>
      <c r="I43" s="993">
        <f>+sgbelvar!N44</f>
        <v>5585.5665399999989</v>
      </c>
      <c r="J43" s="113">
        <f>SUM(I43:I43)</f>
        <v>5585.5665399999989</v>
      </c>
      <c r="K43" s="722">
        <f>+cbnavar!N44</f>
        <v>94203</v>
      </c>
      <c r="L43" s="578">
        <f>+scotiavar!N44</f>
        <v>363592</v>
      </c>
      <c r="M43" s="262">
        <f>SUM(K43:L43)</f>
        <v>457795</v>
      </c>
      <c r="N43" s="587">
        <f>+H43+J43+M43</f>
        <v>2997481.320470138</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39414910.832979992</v>
      </c>
      <c r="C44" s="87">
        <f t="shared" si="5"/>
        <v>2094245.776070276</v>
      </c>
      <c r="D44" s="87">
        <f t="shared" si="5"/>
        <v>3502021.6116311164</v>
      </c>
      <c r="E44" s="87">
        <f t="shared" si="5"/>
        <v>8680556</v>
      </c>
      <c r="F44" s="87">
        <f t="shared" si="5"/>
        <v>42865439.969043188</v>
      </c>
      <c r="G44" s="87">
        <f t="shared" si="5"/>
        <v>49101618.748608746</v>
      </c>
      <c r="H44" s="89">
        <f>SUM(B44:G44)</f>
        <v>145658792.9383333</v>
      </c>
      <c r="I44" s="87">
        <f>+I29+I35+I41+I43</f>
        <v>3890899.5203800001</v>
      </c>
      <c r="J44" s="585">
        <f>+J29+J35+J41+J43</f>
        <v>3890899.5203800001</v>
      </c>
      <c r="K44" s="87">
        <f>+K29+K35+K41+K43</f>
        <v>5342944</v>
      </c>
      <c r="L44" s="87">
        <f>+L29+L35+L41+L43</f>
        <v>4745862</v>
      </c>
      <c r="M44" s="113">
        <f>SUM(K44:L44)</f>
        <v>10088806</v>
      </c>
      <c r="N44" s="90">
        <f>+H44+J44+M44</f>
        <v>159638498.45871329</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f>+bncvar!N48</f>
        <v>500000</v>
      </c>
      <c r="C47" s="87">
        <f>+bphvar!N48</f>
        <v>5000</v>
      </c>
      <c r="D47" s="87">
        <f>+buhvar!N48</f>
        <v>150202.375</v>
      </c>
      <c r="E47" s="87">
        <f>+capitalbkvar!N48</f>
        <v>270000</v>
      </c>
      <c r="F47" s="87">
        <f>+sogebkvar!N48</f>
        <v>750000</v>
      </c>
      <c r="G47" s="87">
        <f>+unibkvar!N48</f>
        <v>2093492</v>
      </c>
      <c r="H47" s="89">
        <f>SUM(B47:G47)</f>
        <v>3768694.375</v>
      </c>
      <c r="I47" s="87">
        <f>+sgbelvar!N48</f>
        <v>150000</v>
      </c>
      <c r="J47" s="113">
        <f>SUM(I47:I47)</f>
        <v>150000</v>
      </c>
      <c r="K47" s="87">
        <f>+cbnavar!N48</f>
        <v>103837</v>
      </c>
      <c r="L47" s="87">
        <f>+scotiavar!N48</f>
        <v>94373</v>
      </c>
      <c r="M47" s="113">
        <f>SUM(K47:L47)</f>
        <v>198210</v>
      </c>
      <c r="N47" s="90">
        <f>+H47+J47+M47</f>
        <v>4116904.375</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f>+bncvar!N49</f>
        <v>186951.353</v>
      </c>
      <c r="C48" s="87">
        <f>+bphvar!N49</f>
        <v>46655</v>
      </c>
      <c r="D48" s="87">
        <f>+buhvar!N49</f>
        <v>24498.97294</v>
      </c>
      <c r="E48" s="87">
        <f>+capitalbkvar!N49</f>
        <v>147921</v>
      </c>
      <c r="F48" s="87">
        <f>+sogebkvar!N49</f>
        <v>1179291.5603800002</v>
      </c>
      <c r="G48" s="87">
        <f>+unibkvar!N49</f>
        <v>105578.76949999999</v>
      </c>
      <c r="H48" s="89">
        <f>SUM(B48:G48)</f>
        <v>1690896.65582</v>
      </c>
      <c r="I48" s="87">
        <f>+sgbelvar!N49</f>
        <v>130984.99542000001</v>
      </c>
      <c r="J48" s="113">
        <f>SUM(I48:I48)</f>
        <v>130984.99542000001</v>
      </c>
      <c r="K48" s="87">
        <f>+cbnavar!N49</f>
        <v>79683</v>
      </c>
      <c r="L48" s="87">
        <f>+scotiavar!N49</f>
        <v>71875</v>
      </c>
      <c r="M48" s="113">
        <f>SUM(K48:L48)</f>
        <v>151558</v>
      </c>
      <c r="N48" s="90">
        <f>+H48+J48+M48</f>
        <v>1973439.65124</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f>+bncvar!N50</f>
        <v>0</v>
      </c>
      <c r="C49" s="87">
        <f>+bphvar!N50</f>
        <v>14325</v>
      </c>
      <c r="D49" s="87">
        <f>+buhvar!N50</f>
        <v>105320.72348</v>
      </c>
      <c r="E49" s="87">
        <f>+capitalbkvar!N50</f>
        <v>1387</v>
      </c>
      <c r="F49" s="87">
        <f>+sogebkvar!N50</f>
        <v>98479.455170000001</v>
      </c>
      <c r="G49" s="87">
        <f>+unibkvar!N50</f>
        <v>0</v>
      </c>
      <c r="H49" s="89">
        <f>SUM(B49:G49)</f>
        <v>219512.17865000002</v>
      </c>
      <c r="I49" s="87">
        <f>+sgbelvar!N50</f>
        <v>0</v>
      </c>
      <c r="J49" s="113">
        <f>SUM(I49:I49)</f>
        <v>0</v>
      </c>
      <c r="K49" s="87">
        <f>+cbnavar!N50</f>
        <v>0</v>
      </c>
      <c r="L49" s="87">
        <f>+scotiavar!N50</f>
        <v>0</v>
      </c>
      <c r="M49" s="113">
        <f>SUM(K49:L49)</f>
        <v>0</v>
      </c>
      <c r="N49" s="90">
        <f>+H49+J49+M49</f>
        <v>219512.17865000002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f>+bncvar!N51</f>
        <v>1504441.7239999999</v>
      </c>
      <c r="C50" s="199">
        <f>+bphvar!N51</f>
        <v>-59043.31439</v>
      </c>
      <c r="D50" s="199">
        <f>+buhvar!N51</f>
        <v>-507532.50594</v>
      </c>
      <c r="E50" s="199">
        <f>+capitalbkvar!N51</f>
        <v>327886</v>
      </c>
      <c r="F50" s="199">
        <f>+sogebkvar!N51</f>
        <v>963217.81325000105</v>
      </c>
      <c r="G50" s="578">
        <f>+unibkvar!N51</f>
        <v>2152354.4907499999</v>
      </c>
      <c r="H50" s="262">
        <f>SUM(B50:G50)</f>
        <v>4381324.2076700013</v>
      </c>
      <c r="I50" s="993">
        <f>+sgbelvar!N51</f>
        <v>138907.21292000002</v>
      </c>
      <c r="J50" s="113">
        <f>SUM(I50:I50)</f>
        <v>138907.21292000002</v>
      </c>
      <c r="K50" s="722">
        <f>+cbnavar!N51</f>
        <v>49466</v>
      </c>
      <c r="L50" s="578">
        <f>+scotiavar!N51</f>
        <v>37653</v>
      </c>
      <c r="M50" s="262">
        <f>SUM(K50:L50)</f>
        <v>87119</v>
      </c>
      <c r="N50" s="587">
        <f>+H50+J50+M50</f>
        <v>4607350.4205900012</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2191393.077</v>
      </c>
      <c r="C51" s="97">
        <f t="shared" si="6"/>
        <v>6936.6856100000005</v>
      </c>
      <c r="D51" s="97">
        <f t="shared" si="6"/>
        <v>-227510.43452000001</v>
      </c>
      <c r="E51" s="97">
        <f t="shared" si="6"/>
        <v>747194</v>
      </c>
      <c r="F51" s="97">
        <f t="shared" si="6"/>
        <v>2990988.8288000012</v>
      </c>
      <c r="G51" s="97">
        <f t="shared" si="6"/>
        <v>4351425.2602500003</v>
      </c>
      <c r="H51" s="96">
        <f>SUM(B51:G51)</f>
        <v>10060427.417140001</v>
      </c>
      <c r="I51" s="97">
        <f t="shared" ref="I51:N51" si="7">SUM(I47:I50)</f>
        <v>419892.20834000001</v>
      </c>
      <c r="J51" s="584">
        <f t="shared" si="7"/>
        <v>419892.20834000001</v>
      </c>
      <c r="K51" s="97">
        <f t="shared" si="7"/>
        <v>232986</v>
      </c>
      <c r="L51" s="97">
        <f t="shared" si="7"/>
        <v>203901</v>
      </c>
      <c r="M51" s="115">
        <f t="shared" si="7"/>
        <v>436887</v>
      </c>
      <c r="N51" s="95">
        <f t="shared" si="7"/>
        <v>10917206.625480002</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M52" si="8">+B29+B35+B41+B43+B51</f>
        <v>41606303.909979992</v>
      </c>
      <c r="C52" s="90">
        <f t="shared" si="8"/>
        <v>2101182.4616802759</v>
      </c>
      <c r="D52" s="90">
        <f t="shared" si="8"/>
        <v>3274511.1771111162</v>
      </c>
      <c r="E52" s="90">
        <f t="shared" si="8"/>
        <v>9427750</v>
      </c>
      <c r="F52" s="90">
        <f t="shared" si="8"/>
        <v>45856428.797843188</v>
      </c>
      <c r="G52" s="90">
        <f t="shared" si="8"/>
        <v>53453044.008858748</v>
      </c>
      <c r="H52" s="89">
        <f t="shared" si="8"/>
        <v>155719220.35547334</v>
      </c>
      <c r="I52" s="90">
        <f t="shared" si="8"/>
        <v>4310791.72872</v>
      </c>
      <c r="J52" s="90">
        <f t="shared" si="8"/>
        <v>4310791.72872</v>
      </c>
      <c r="K52" s="90">
        <f t="shared" si="8"/>
        <v>5575930</v>
      </c>
      <c r="L52" s="90">
        <f t="shared" si="8"/>
        <v>4949763</v>
      </c>
      <c r="M52" s="113">
        <f t="shared" si="8"/>
        <v>10525693</v>
      </c>
      <c r="N52" s="90">
        <f>(+N29+N35+N41+N43+N51)</f>
        <v>170555705.08419332</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f>+bncvar!N57</f>
        <v>0</v>
      </c>
      <c r="C56" s="87">
        <f>+bphvar!N57</f>
        <v>0</v>
      </c>
      <c r="D56" s="87">
        <f>+buhvar!N57</f>
        <v>0</v>
      </c>
      <c r="E56" s="87">
        <f>+capitalbkvar!N57</f>
        <v>0</v>
      </c>
      <c r="F56" s="87">
        <f>+sogebkvar!N57</f>
        <v>86017.312829999995</v>
      </c>
      <c r="G56" s="87">
        <f>+unibkvar!N57</f>
        <v>2136.5071842900002</v>
      </c>
      <c r="H56" s="89">
        <f>SUM(B56:G56)</f>
        <v>88153.820014290002</v>
      </c>
      <c r="I56" s="87">
        <f>+sgbelvar!N57</f>
        <v>0</v>
      </c>
      <c r="J56" s="113">
        <f>SUM(I56:I56)</f>
        <v>0</v>
      </c>
      <c r="K56" s="87">
        <f>+cbnavar!N57</f>
        <v>0</v>
      </c>
      <c r="L56" s="87">
        <f>+scotiavar!N57</f>
        <v>0</v>
      </c>
      <c r="M56" s="113">
        <f>SUM(K56:L56)</f>
        <v>0</v>
      </c>
      <c r="N56" s="90">
        <f>+H56+J56+M56</f>
        <v>88153.820014290002</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f>+bncvar!N58</f>
        <v>86889.277000000002</v>
      </c>
      <c r="C57" s="87">
        <f>+bphvar!N58</f>
        <v>0</v>
      </c>
      <c r="D57" s="87">
        <f>+buhvar!N58</f>
        <v>0</v>
      </c>
      <c r="E57" s="87">
        <f>+capitalbkvar!N58</f>
        <v>0</v>
      </c>
      <c r="F57" s="87">
        <f>+sogebkvar!N58</f>
        <v>779585.4834400001</v>
      </c>
      <c r="G57" s="87">
        <f>+unibkvar!N58</f>
        <v>596824.93758065405</v>
      </c>
      <c r="H57" s="89">
        <f>SUM(B57:G57)</f>
        <v>1463299.6980206543</v>
      </c>
      <c r="I57" s="87">
        <f>+sgbelvar!N58</f>
        <v>0</v>
      </c>
      <c r="J57" s="113">
        <f>SUM(I57:I57)</f>
        <v>0</v>
      </c>
      <c r="K57" s="87">
        <f>+cbnavar!N58</f>
        <v>66592</v>
      </c>
      <c r="L57" s="87">
        <f>+scotiavar!N58</f>
        <v>3048</v>
      </c>
      <c r="M57" s="113">
        <f>SUM(K57:L57)</f>
        <v>69640</v>
      </c>
      <c r="N57" s="90">
        <f>+H57+J57+M57</f>
        <v>1532939.6980206543</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f>+bncvar!N59</f>
        <v>46330.311000000002</v>
      </c>
      <c r="C58" s="87">
        <f>+bphvar!N59</f>
        <v>174516.15533920599</v>
      </c>
      <c r="D58" s="87">
        <f>+buhvar!N59</f>
        <v>150</v>
      </c>
      <c r="E58" s="87">
        <f>+capitalbkvar!N59</f>
        <v>162745</v>
      </c>
      <c r="F58" s="87">
        <f>+sogebkvar!N59</f>
        <v>1980524.7513399995</v>
      </c>
      <c r="G58" s="87">
        <f>+unibkvar!N59</f>
        <v>362692.71921780996</v>
      </c>
      <c r="H58" s="89">
        <f>SUM(B58:G58)</f>
        <v>2726958.9368970152</v>
      </c>
      <c r="I58" s="87">
        <f>+sgbelvar!N59</f>
        <v>1078134.4024499999</v>
      </c>
      <c r="J58" s="113">
        <f>SUM(I58:I58)</f>
        <v>1078134.4024499999</v>
      </c>
      <c r="K58" s="87">
        <f>+cbnavar!N59</f>
        <v>2729812</v>
      </c>
      <c r="L58" s="87">
        <f>+scotiavar!N59</f>
        <v>293648</v>
      </c>
      <c r="M58" s="113">
        <f>SUM(K58:L58)</f>
        <v>3023460</v>
      </c>
      <c r="N58" s="90">
        <f>+H58+J58+M58</f>
        <v>6828553.3393470151</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f>+cbnavar!B60</f>
        <v>0</v>
      </c>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f>+bncvar!N61</f>
        <v>6541273.8450999996</v>
      </c>
      <c r="C60" s="87">
        <f>+bphvar!N61</f>
        <v>1199872.8719200001</v>
      </c>
      <c r="D60" s="87">
        <f>+buhvar!N61</f>
        <v>1433465.548540514</v>
      </c>
      <c r="E60" s="87">
        <f>+capitalbkvar!N61</f>
        <v>4137722</v>
      </c>
      <c r="F60" s="87">
        <f>+sogebkvar!N61</f>
        <v>16518676.833000001</v>
      </c>
      <c r="G60" s="87">
        <f>+unibkvar!N61</f>
        <v>17231662.81123</v>
      </c>
      <c r="H60" s="89">
        <f>SUM(B60:G60)</f>
        <v>47062673.909790516</v>
      </c>
      <c r="I60" s="87">
        <f>+sgbelvar!N61</f>
        <v>2163512.5342323999</v>
      </c>
      <c r="J60" s="113">
        <f>SUM(I60:I60)</f>
        <v>2163512.5342323999</v>
      </c>
      <c r="K60" s="87">
        <f>+cbnavar!N61</f>
        <v>1617316</v>
      </c>
      <c r="L60" s="87">
        <f>+scotiavar!N61</f>
        <v>2258806</v>
      </c>
      <c r="M60" s="113">
        <f>SUM(K60:L60)</f>
        <v>3876122</v>
      </c>
      <c r="N60" s="90">
        <f>+H60+J60+M60</f>
        <v>53102308.444022916</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f>+bncvar!N62</f>
        <v>193274.696</v>
      </c>
      <c r="C61" s="87">
        <f>+bphvar!N62</f>
        <v>328354.37024999998</v>
      </c>
      <c r="D61" s="87">
        <f>+buhvar!N62</f>
        <v>49320.574789421997</v>
      </c>
      <c r="E61" s="87">
        <f>+capitalbkvar!N62</f>
        <v>28993</v>
      </c>
      <c r="F61" s="87">
        <f>+sogebkvar!N62</f>
        <v>306821.06140999997</v>
      </c>
      <c r="G61" s="87">
        <f>+unibkvar!N62</f>
        <v>56811.146560000001</v>
      </c>
      <c r="H61" s="89">
        <f>SUM(B61:G61)</f>
        <v>963574.849009422</v>
      </c>
      <c r="I61" s="87">
        <f>+sgbelvar!N62</f>
        <v>73777.619210000004</v>
      </c>
      <c r="J61" s="113">
        <f>SUM(I61:I61)</f>
        <v>73777.619210000004</v>
      </c>
      <c r="K61" s="87">
        <f>+cbnavar!N62</f>
        <v>32539</v>
      </c>
      <c r="L61" s="87">
        <f>+scotiavar!N62</f>
        <v>172250.6</v>
      </c>
      <c r="M61" s="113">
        <f>SUM(K61:L61)</f>
        <v>204789.6</v>
      </c>
      <c r="N61" s="90">
        <f>+H61+J61+M61</f>
        <v>1242142.0682194221</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f>+bncvar!N63</f>
        <v>147203.39899999998</v>
      </c>
      <c r="C62" s="87">
        <f>+bphvar!N63</f>
        <v>367554.87442000001</v>
      </c>
      <c r="D62" s="87">
        <f>+buhvar!N63</f>
        <v>38277</v>
      </c>
      <c r="E62" s="87">
        <f>+capitalbkvar!N63</f>
        <v>24943</v>
      </c>
      <c r="F62" s="87">
        <f>+sogebkvar!N63</f>
        <v>248992.777</v>
      </c>
      <c r="G62" s="87">
        <f>+unibkvar!N63</f>
        <v>44520.280619999998</v>
      </c>
      <c r="H62" s="89">
        <f>SUM(B62:G62)</f>
        <v>871491.33103999996</v>
      </c>
      <c r="I62" s="87">
        <f>+sgbelvar!N63</f>
        <v>125622.022461</v>
      </c>
      <c r="J62" s="113">
        <f>SUM(I62:I62)</f>
        <v>125622.022461</v>
      </c>
      <c r="K62" s="87">
        <f>+cbnavar!N63</f>
        <v>0</v>
      </c>
      <c r="L62" s="87">
        <f>+scotiavar!N63</f>
        <v>287980</v>
      </c>
      <c r="M62" s="113">
        <f>SUM(K62:L62)</f>
        <v>287980</v>
      </c>
      <c r="N62" s="90">
        <f>+H62+J62+M62</f>
        <v>1285093.353501</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v>9743029.5</v>
      </c>
      <c r="C68" s="20">
        <v>517789.2</v>
      </c>
      <c r="D68" s="20">
        <v>1140427</v>
      </c>
      <c r="E68" s="20">
        <v>2395928</v>
      </c>
      <c r="F68" s="20">
        <v>15553997.199999999</v>
      </c>
      <c r="G68" s="20">
        <v>15125111.100000001</v>
      </c>
      <c r="H68" s="89">
        <f>SUM(B68:G68)</f>
        <v>44476282</v>
      </c>
      <c r="I68" s="20">
        <v>2053402.2</v>
      </c>
      <c r="J68" s="113">
        <f>+I68</f>
        <v>2053402.2</v>
      </c>
      <c r="K68" s="20">
        <v>2191551</v>
      </c>
      <c r="L68" s="20">
        <v>602463</v>
      </c>
      <c r="M68" s="113">
        <f>SUM(K68:L68)</f>
        <v>2794014</v>
      </c>
      <c r="N68" s="90">
        <f>+H68+J68+M68</f>
        <v>49323698.200000003</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B73" s="1465"/>
      <c r="C73" s="417"/>
      <c r="D73" s="429"/>
      <c r="F73" s="592"/>
      <c r="G73" s="592"/>
      <c r="I73" s="1559"/>
      <c r="J73" s="1559"/>
      <c r="K73" s="418"/>
      <c r="L73" s="417"/>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B74" s="418"/>
      <c r="C74" s="417"/>
      <c r="D74" s="429"/>
      <c r="F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B75" s="591"/>
      <c r="C75" s="670"/>
      <c r="D75" s="671"/>
      <c r="F75" s="670"/>
      <c r="G75" s="672"/>
      <c r="I75" s="670"/>
      <c r="J75" s="671"/>
      <c r="K75" s="418"/>
      <c r="L75" s="670"/>
      <c r="M75" s="671"/>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B76" s="591"/>
      <c r="C76" s="670"/>
      <c r="D76" s="671"/>
      <c r="F76" s="670"/>
      <c r="G76" s="672"/>
      <c r="I76" s="670"/>
      <c r="J76" s="671"/>
      <c r="K76" s="418"/>
      <c r="L76" s="670"/>
      <c r="M76" s="671"/>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B77" s="591"/>
      <c r="C77" s="670"/>
      <c r="D77" s="671"/>
      <c r="F77" s="670"/>
      <c r="G77" s="672"/>
      <c r="I77" s="670"/>
      <c r="J77" s="671"/>
      <c r="K77" s="418"/>
      <c r="L77" s="670"/>
      <c r="M77" s="671"/>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B78" s="591"/>
      <c r="C78" s="670"/>
      <c r="D78" s="671"/>
      <c r="F78" s="670"/>
      <c r="G78" s="672"/>
      <c r="I78" s="670"/>
      <c r="J78" s="671"/>
      <c r="K78" s="418"/>
      <c r="L78" s="670"/>
      <c r="M78" s="671"/>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B79" s="591"/>
      <c r="C79" s="670"/>
      <c r="D79" s="671"/>
      <c r="F79" s="670"/>
      <c r="G79" s="672"/>
      <c r="I79" s="670"/>
      <c r="J79" s="671"/>
      <c r="K79" s="418"/>
      <c r="L79" s="670"/>
      <c r="M79" s="671"/>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B80" s="591"/>
      <c r="C80" s="670"/>
      <c r="D80" s="671"/>
      <c r="F80" s="670"/>
      <c r="G80" s="672"/>
      <c r="I80" s="670"/>
      <c r="J80" s="671"/>
      <c r="K80" s="418"/>
      <c r="L80" s="670"/>
      <c r="M80" s="671"/>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B81" s="591"/>
      <c r="C81" s="670"/>
      <c r="D81" s="671"/>
      <c r="F81" s="670"/>
      <c r="G81" s="672"/>
      <c r="I81" s="670"/>
      <c r="J81" s="671"/>
      <c r="K81" s="418"/>
      <c r="L81" s="670"/>
      <c r="M81" s="671"/>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B82" s="591"/>
      <c r="C82" s="670"/>
      <c r="D82" s="671"/>
      <c r="F82" s="670"/>
      <c r="G82" s="672"/>
      <c r="I82" s="670"/>
      <c r="J82" s="671"/>
      <c r="K82" s="418"/>
      <c r="L82" s="670"/>
      <c r="M82" s="671"/>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B83" s="591"/>
      <c r="C83" s="670"/>
      <c r="D83" s="671"/>
      <c r="F83" s="670"/>
      <c r="G83" s="672"/>
      <c r="I83" s="670"/>
      <c r="J83" s="671"/>
      <c r="K83" s="418"/>
      <c r="L83" s="670"/>
      <c r="M83" s="671"/>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B84" s="591"/>
      <c r="C84" s="670"/>
      <c r="D84" s="671"/>
      <c r="F84" s="670"/>
      <c r="G84" s="672"/>
      <c r="I84" s="670"/>
      <c r="J84" s="671"/>
      <c r="K84" s="418"/>
      <c r="L84" s="982"/>
      <c r="M84" s="671"/>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B85" s="591"/>
      <c r="H85" s="670" t="s">
        <v>0</v>
      </c>
      <c r="I85" s="981" t="s">
        <v>0</v>
      </c>
      <c r="J85" s="418"/>
      <c r="K85" s="418"/>
      <c r="L85" s="418"/>
      <c r="M85" s="64"/>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65"/>
      <c r="D140" s="64"/>
      <c r="E140" s="64"/>
      <c r="F140" s="64"/>
      <c r="G140" s="64"/>
      <c r="H140" s="64"/>
      <c r="I140" s="64"/>
      <c r="J140" s="64"/>
      <c r="K140" s="64"/>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4"/>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71" t="s">
        <v>0</v>
      </c>
      <c r="D156" s="69" t="s">
        <v>0</v>
      </c>
      <c r="E156" s="69" t="s">
        <v>0</v>
      </c>
      <c r="F156" s="69" t="s">
        <v>0</v>
      </c>
      <c r="G156" s="69" t="s">
        <v>0</v>
      </c>
      <c r="H156" s="69" t="s">
        <v>0</v>
      </c>
      <c r="I156" s="69" t="s">
        <v>0</v>
      </c>
      <c r="J156" s="69" t="s">
        <v>0</v>
      </c>
      <c r="K156" s="64" t="s">
        <v>0</v>
      </c>
      <c r="L156" s="71" t="s">
        <v>0</v>
      </c>
      <c r="M156" s="64" t="s">
        <v>0</v>
      </c>
      <c r="N156" s="64" t="s">
        <v>0</v>
      </c>
      <c r="O156" s="64" t="s">
        <v>0</v>
      </c>
      <c r="P156" s="419" t="s">
        <v>0</v>
      </c>
      <c r="Q156" s="419"/>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mergeCells count="1">
    <mergeCell ref="I73:J73"/>
  </mergeCells>
  <phoneticPr fontId="0" type="noConversion"/>
  <pageMargins left="0.2" right="0.21" top="0.68" bottom="0.45" header="0.5" footer="0.23"/>
  <pageSetup scale="55" orientation="landscape" r:id="rId1"/>
  <headerFooter alignWithMargins="0">
    <oddFooter>&amp;R&amp;16&amp;P</oddFooter>
  </headerFooter>
</worksheet>
</file>

<file path=xl/worksheets/sheet62.xml><?xml version="1.0" encoding="utf-8"?>
<worksheet xmlns="http://schemas.openxmlformats.org/spreadsheetml/2006/main" xmlns:r="http://schemas.openxmlformats.org/officeDocument/2006/relationships">
  <sheetPr>
    <pageSetUpPr fitToPage="1"/>
  </sheetPr>
  <dimension ref="A1:AL188"/>
  <sheetViews>
    <sheetView topLeftCell="A7" workbookViewId="0">
      <pane xSplit="1" ySplit="1" topLeftCell="B8"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32.75" style="418" customWidth="1"/>
    <col min="2" max="2" width="13.75" style="20" customWidth="1"/>
    <col min="3" max="3" width="13.75" style="21" customWidth="1"/>
    <col min="4" max="5" width="13.75" style="20" customWidth="1"/>
    <col min="6" max="6" width="15.875" style="20" customWidth="1"/>
    <col min="7" max="7" width="15.25" style="20" customWidth="1"/>
    <col min="8" max="8" width="16.5" style="20" customWidth="1"/>
    <col min="9" max="9" width="13.625" style="20" customWidth="1"/>
    <col min="10" max="11" width="13.75" style="20" customWidth="1"/>
    <col min="12" max="12" width="13.75" style="21" customWidth="1"/>
    <col min="13" max="13" width="13.75" style="20" customWidth="1"/>
    <col min="14" max="14" width="17.125" style="20" customWidth="1"/>
    <col min="15" max="15" width="14.375" style="20" customWidth="1"/>
    <col min="16" max="20" width="14.375" style="418" customWidth="1"/>
    <col min="21" max="16384" width="9" style="418"/>
  </cols>
  <sheetData>
    <row r="1" spans="1:38">
      <c r="A1" s="417" t="s">
        <v>192</v>
      </c>
      <c r="B1" s="42"/>
      <c r="C1" s="43"/>
      <c r="D1" s="42"/>
      <c r="E1" s="42"/>
      <c r="F1" s="42"/>
      <c r="G1" s="42"/>
      <c r="H1" s="42"/>
      <c r="I1" s="42"/>
      <c r="J1" s="42"/>
      <c r="K1" s="42"/>
      <c r="L1" s="43"/>
      <c r="M1" s="42"/>
    </row>
    <row r="2" spans="1:38">
      <c r="A2" s="417" t="s">
        <v>327</v>
      </c>
      <c r="B2" s="42"/>
      <c r="C2" s="43"/>
      <c r="D2" s="42"/>
      <c r="E2" s="42"/>
      <c r="F2" s="42"/>
      <c r="G2" s="42"/>
      <c r="H2" s="42"/>
      <c r="I2" s="42"/>
      <c r="J2" s="42"/>
      <c r="K2" s="42"/>
      <c r="L2" s="43"/>
      <c r="M2" s="42"/>
    </row>
    <row r="3" spans="1:38">
      <c r="A3" s="417" t="s">
        <v>355</v>
      </c>
      <c r="B3" s="42"/>
      <c r="C3" s="43"/>
      <c r="D3" s="42"/>
      <c r="E3" s="42"/>
      <c r="F3" s="42"/>
      <c r="G3" s="42"/>
      <c r="H3" s="42"/>
      <c r="I3" s="42"/>
      <c r="J3" s="42"/>
      <c r="K3" s="42"/>
      <c r="L3" s="43"/>
      <c r="M3" s="42"/>
    </row>
    <row r="4" spans="1:38">
      <c r="A4" s="417" t="s">
        <v>721</v>
      </c>
      <c r="B4" s="42"/>
      <c r="C4" s="43"/>
      <c r="D4" s="42"/>
      <c r="E4" s="42"/>
      <c r="F4" s="42"/>
      <c r="G4" s="42"/>
      <c r="H4" s="42"/>
      <c r="I4" s="42"/>
      <c r="J4" s="42"/>
      <c r="K4" s="42"/>
      <c r="L4" s="43"/>
      <c r="M4" s="42"/>
    </row>
    <row r="5" spans="1:38">
      <c r="A5" s="417" t="s">
        <v>198</v>
      </c>
      <c r="B5" s="42"/>
      <c r="C5" s="43"/>
      <c r="D5" s="42"/>
      <c r="E5" s="42"/>
      <c r="F5" s="42"/>
      <c r="G5" s="42"/>
      <c r="H5" s="42"/>
      <c r="I5" s="42"/>
      <c r="J5" s="42"/>
      <c r="K5" s="42"/>
      <c r="L5" s="43"/>
      <c r="M5" s="42"/>
    </row>
    <row r="6" spans="1:38">
      <c r="A6" s="419"/>
      <c r="B6" s="64"/>
      <c r="C6" s="65"/>
      <c r="D6" s="64"/>
      <c r="E6" s="64"/>
      <c r="F6" s="64"/>
      <c r="G6" s="64"/>
      <c r="H6" s="64"/>
      <c r="I6" s="64"/>
      <c r="J6" s="64"/>
      <c r="K6" s="64"/>
      <c r="L6" s="65"/>
      <c r="M6" s="64"/>
      <c r="N6" s="64"/>
      <c r="O6" s="64"/>
      <c r="P6" s="419"/>
      <c r="Q6" s="419"/>
      <c r="R6" s="419"/>
      <c r="S6" s="419"/>
      <c r="T6" s="419"/>
      <c r="U6" s="419"/>
      <c r="V6" s="419"/>
      <c r="W6" s="419"/>
      <c r="X6" s="419"/>
      <c r="Y6" s="419"/>
      <c r="Z6" s="419"/>
      <c r="AA6" s="419"/>
      <c r="AB6" s="419"/>
      <c r="AC6" s="419"/>
      <c r="AD6" s="419"/>
      <c r="AE6" s="419"/>
      <c r="AF6" s="419"/>
      <c r="AG6" s="419"/>
      <c r="AH6" s="419"/>
      <c r="AI6" s="419"/>
      <c r="AJ6" s="419"/>
      <c r="AK6" s="419"/>
      <c r="AL6" s="419"/>
    </row>
    <row r="7" spans="1:38" s="421" customFormat="1" ht="16.5" thickBot="1">
      <c r="A7" s="420"/>
      <c r="B7" s="141" t="s">
        <v>356</v>
      </c>
      <c r="C7" s="141" t="s">
        <v>60</v>
      </c>
      <c r="D7" s="140" t="s">
        <v>61</v>
      </c>
      <c r="E7" s="141" t="s">
        <v>66</v>
      </c>
      <c r="F7" s="140" t="s">
        <v>64</v>
      </c>
      <c r="G7" s="140" t="s">
        <v>328</v>
      </c>
      <c r="H7" s="268" t="s">
        <v>329</v>
      </c>
      <c r="I7" s="140" t="s">
        <v>67</v>
      </c>
      <c r="J7" s="268" t="s">
        <v>329</v>
      </c>
      <c r="K7" s="140" t="s">
        <v>68</v>
      </c>
      <c r="L7" s="141" t="s">
        <v>69</v>
      </c>
      <c r="M7" s="268" t="s">
        <v>329</v>
      </c>
      <c r="N7" s="140" t="s">
        <v>621</v>
      </c>
      <c r="O7" s="72"/>
      <c r="P7" s="420"/>
      <c r="Q7" s="420"/>
      <c r="R7" s="420"/>
      <c r="S7" s="420"/>
      <c r="T7" s="420"/>
      <c r="U7" s="420"/>
      <c r="V7" s="420"/>
      <c r="W7" s="420"/>
      <c r="X7" s="420"/>
      <c r="Y7" s="420"/>
      <c r="Z7" s="420"/>
      <c r="AA7" s="420"/>
      <c r="AB7" s="420"/>
      <c r="AC7" s="420"/>
      <c r="AD7" s="420"/>
      <c r="AE7" s="420"/>
      <c r="AF7" s="420"/>
      <c r="AG7" s="420"/>
      <c r="AH7" s="420"/>
      <c r="AI7" s="420"/>
      <c r="AJ7" s="420"/>
      <c r="AK7" s="420"/>
      <c r="AL7" s="420"/>
    </row>
    <row r="8" spans="1:38">
      <c r="A8" s="421" t="s">
        <v>244</v>
      </c>
      <c r="B8" s="419"/>
      <c r="C8" s="419"/>
      <c r="D8" s="419"/>
      <c r="E8" s="419"/>
      <c r="F8" s="419"/>
      <c r="G8" s="419"/>
      <c r="H8" s="422"/>
      <c r="I8" s="419"/>
      <c r="J8" s="422"/>
      <c r="K8" s="419"/>
      <c r="L8" s="419"/>
      <c r="M8" s="422"/>
      <c r="N8" s="66"/>
      <c r="O8" s="66"/>
      <c r="P8" s="423"/>
      <c r="Q8" s="423"/>
      <c r="R8" s="423"/>
      <c r="S8" s="419"/>
      <c r="T8" s="419" t="s">
        <v>0</v>
      </c>
      <c r="U8" s="419"/>
      <c r="V8" s="419"/>
      <c r="W8" s="419"/>
      <c r="X8" s="419"/>
      <c r="Y8" s="419"/>
      <c r="Z8" s="419"/>
      <c r="AA8" s="419"/>
      <c r="AB8" s="419"/>
      <c r="AC8" s="419"/>
      <c r="AD8" s="419"/>
      <c r="AE8" s="419"/>
      <c r="AF8" s="419"/>
      <c r="AG8" s="419"/>
      <c r="AH8" s="419"/>
      <c r="AI8" s="419"/>
      <c r="AJ8" s="419"/>
      <c r="AK8" s="419"/>
      <c r="AL8" s="419"/>
    </row>
    <row r="9" spans="1:38">
      <c r="A9" s="419" t="s">
        <v>255</v>
      </c>
      <c r="B9" s="65"/>
      <c r="C9" s="65"/>
      <c r="D9" s="419"/>
      <c r="E9" s="65"/>
      <c r="F9" s="64"/>
      <c r="G9" s="64"/>
      <c r="H9" s="84"/>
      <c r="I9" s="64"/>
      <c r="J9" s="84"/>
      <c r="K9" s="64"/>
      <c r="L9" s="65"/>
      <c r="M9" s="84"/>
      <c r="N9" s="64"/>
      <c r="O9" s="64"/>
      <c r="P9" s="419"/>
      <c r="Q9" s="419"/>
      <c r="R9" s="419"/>
      <c r="S9" s="419"/>
      <c r="T9" s="419"/>
      <c r="U9" s="419"/>
      <c r="V9" s="419"/>
      <c r="W9" s="419"/>
      <c r="X9" s="419"/>
      <c r="Y9" s="419"/>
      <c r="Z9" s="419"/>
      <c r="AA9" s="419"/>
      <c r="AB9" s="419"/>
      <c r="AC9" s="419"/>
      <c r="AD9" s="419"/>
      <c r="AE9" s="419"/>
      <c r="AF9" s="419"/>
      <c r="AG9" s="419"/>
      <c r="AH9" s="419"/>
      <c r="AI9" s="419"/>
      <c r="AJ9" s="419"/>
      <c r="AK9" s="419"/>
      <c r="AL9" s="419"/>
    </row>
    <row r="10" spans="1:38">
      <c r="A10" s="419" t="s">
        <v>256</v>
      </c>
      <c r="B10" s="87">
        <f>+bncvar!P10</f>
        <v>1488174.7220000001</v>
      </c>
      <c r="C10" s="87">
        <f>+bphvar!P10</f>
        <v>91515.908509999994</v>
      </c>
      <c r="D10" s="87">
        <f>+buhvar!P10</f>
        <v>201180.01104191001</v>
      </c>
      <c r="E10" s="87">
        <f>+capitalbkvar!P10</f>
        <v>186348</v>
      </c>
      <c r="F10" s="87">
        <f>+sogebkvar!P10</f>
        <v>1766417.2985599998</v>
      </c>
      <c r="G10" s="87">
        <f>+unibkvar!P10</f>
        <v>490047.19718948804</v>
      </c>
      <c r="H10" s="89">
        <f>SUM(B10:G10)</f>
        <v>4223683.1373013984</v>
      </c>
      <c r="I10" s="87">
        <f>+sgbelvar!P10</f>
        <v>36858.325579999997</v>
      </c>
      <c r="J10" s="113">
        <f>SUM(I10:I10)</f>
        <v>36858.325579999997</v>
      </c>
      <c r="K10" s="87">
        <f>+cbnavar!P10</f>
        <v>38710</v>
      </c>
      <c r="L10" s="87">
        <f>+scotiavar!P10</f>
        <v>42212</v>
      </c>
      <c r="M10" s="113">
        <f>SUM(K10:L10)</f>
        <v>80922</v>
      </c>
      <c r="N10" s="90">
        <f>+H10+J10+M10</f>
        <v>4341463.4628813984</v>
      </c>
      <c r="O10" s="64"/>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row>
    <row r="11" spans="1:38">
      <c r="A11" s="419" t="s">
        <v>257</v>
      </c>
      <c r="B11" s="87">
        <f>+bncvar!P11</f>
        <v>17886141.397</v>
      </c>
      <c r="C11" s="87">
        <f>+bphvar!P11</f>
        <v>539315.11343999999</v>
      </c>
      <c r="D11" s="87">
        <f>+buhvar!P11</f>
        <v>1519274.6810427741</v>
      </c>
      <c r="E11" s="87">
        <f>+capitalbkvar!P11</f>
        <v>2367954</v>
      </c>
      <c r="F11" s="87">
        <f>+sogebkvar!P11</f>
        <v>10646690.897349998</v>
      </c>
      <c r="G11" s="87">
        <f>+unibkvar!P11</f>
        <v>14203488.27244992</v>
      </c>
      <c r="H11" s="89">
        <f>SUM(B11:G11)</f>
        <v>47162864.361282691</v>
      </c>
      <c r="I11" s="87">
        <f>+sgbelvar!P11</f>
        <v>302769.37097000005</v>
      </c>
      <c r="J11" s="113">
        <f>SUM(I11:I11)</f>
        <v>302769.37097000005</v>
      </c>
      <c r="K11" s="87">
        <f>+cbnavar!P11</f>
        <v>1922661</v>
      </c>
      <c r="L11" s="87">
        <f>+scotiavar!P11</f>
        <v>1361981</v>
      </c>
      <c r="M11" s="113">
        <f>SUM(K11:L11)</f>
        <v>3284642</v>
      </c>
      <c r="N11" s="90">
        <f>+H11+J11+M11</f>
        <v>50750275.732252695</v>
      </c>
      <c r="O11" s="64"/>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419"/>
    </row>
    <row r="12" spans="1:38">
      <c r="A12" s="419" t="s">
        <v>258</v>
      </c>
      <c r="B12" s="87">
        <f>+bncvar!P12</f>
        <v>2197690.9619999998</v>
      </c>
      <c r="C12" s="87">
        <f>+bphvar!P12</f>
        <v>84189.008719999998</v>
      </c>
      <c r="D12" s="87">
        <f>+buhvar!P12</f>
        <v>149426.77713698402</v>
      </c>
      <c r="E12" s="87">
        <f>+capitalbkvar!P12</f>
        <v>790654</v>
      </c>
      <c r="F12" s="87">
        <f>+sogebkvar!P12</f>
        <v>1676646.8940000001</v>
      </c>
      <c r="G12" s="87">
        <f>+unibkvar!P12</f>
        <v>4840002.0959622385</v>
      </c>
      <c r="H12" s="89">
        <f>SUM(B12:G12)</f>
        <v>9738609.7378192209</v>
      </c>
      <c r="I12" s="87">
        <f>+sgbelvar!P12</f>
        <v>-190.6524</v>
      </c>
      <c r="J12" s="113">
        <f>SUM(I12:I12)</f>
        <v>-190.6524</v>
      </c>
      <c r="K12" s="87">
        <f>+cbnavar!P12</f>
        <v>717111</v>
      </c>
      <c r="L12" s="87">
        <f>+scotiavar!P12</f>
        <v>1099940</v>
      </c>
      <c r="M12" s="113">
        <f>SUM(K12:L12)</f>
        <v>1817051</v>
      </c>
      <c r="N12" s="90">
        <f>+H12+J12+M12</f>
        <v>11555470.085419221</v>
      </c>
      <c r="O12" s="64"/>
      <c r="P12" s="419"/>
      <c r="Q12" s="419"/>
      <c r="R12" s="419"/>
      <c r="S12" s="419"/>
      <c r="T12" s="419"/>
      <c r="U12" s="419"/>
      <c r="V12" s="419"/>
      <c r="W12" s="419"/>
      <c r="X12" s="419"/>
      <c r="Y12" s="419"/>
      <c r="Z12" s="419"/>
      <c r="AA12" s="419"/>
      <c r="AB12" s="419"/>
      <c r="AC12" s="419"/>
      <c r="AD12" s="419"/>
      <c r="AE12" s="419"/>
      <c r="AF12" s="419"/>
      <c r="AG12" s="419"/>
      <c r="AH12" s="419"/>
      <c r="AI12" s="419"/>
      <c r="AJ12" s="419"/>
      <c r="AK12" s="419"/>
      <c r="AL12" s="419"/>
    </row>
    <row r="13" spans="1:38">
      <c r="A13" s="419" t="s">
        <v>259</v>
      </c>
      <c r="B13" s="87">
        <f>+bncvar!P13</f>
        <v>0</v>
      </c>
      <c r="C13" s="87">
        <f>+bphvar!P13</f>
        <v>0</v>
      </c>
      <c r="D13" s="87">
        <f>+buhvar!P13</f>
        <v>55838.142408726002</v>
      </c>
      <c r="E13" s="87">
        <f>+capitalbkvar!P13</f>
        <v>25071</v>
      </c>
      <c r="F13" s="87">
        <f>+sogebkvar!P13</f>
        <v>10406.72236</v>
      </c>
      <c r="G13" s="87">
        <f>+unibkvar!P13</f>
        <v>82052.474129740905</v>
      </c>
      <c r="H13" s="89">
        <f>SUM(B13:G13)</f>
        <v>173368.3388984669</v>
      </c>
      <c r="I13" s="87">
        <f>+sgbelvar!P13</f>
        <v>1606176.1016500001</v>
      </c>
      <c r="J13" s="113">
        <f>SUM(I13:I13)</f>
        <v>1606176.1016500001</v>
      </c>
      <c r="K13" s="87">
        <f>+cbnavar!P13</f>
        <v>0</v>
      </c>
      <c r="L13" s="87">
        <f>+scotiavar!P13</f>
        <v>0</v>
      </c>
      <c r="M13" s="113">
        <f>SUM(K13:L13)</f>
        <v>0</v>
      </c>
      <c r="N13" s="90">
        <f>+H13+J13+M13</f>
        <v>1779544.440548467</v>
      </c>
      <c r="O13" s="64"/>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row>
    <row r="14" spans="1:38">
      <c r="A14" s="419" t="s">
        <v>260</v>
      </c>
      <c r="B14" s="199">
        <f>+bncvar!P14</f>
        <v>217176.18000000002</v>
      </c>
      <c r="C14" s="199">
        <f>+bphvar!P14</f>
        <v>81184.023630000011</v>
      </c>
      <c r="D14" s="199">
        <f>+buhvar!P14</f>
        <v>15745.951939594001</v>
      </c>
      <c r="E14" s="199">
        <f>+capitalbkvar!P14</f>
        <v>200245</v>
      </c>
      <c r="F14" s="199">
        <f>+sogebkvar!P14</f>
        <v>381007.48737000005</v>
      </c>
      <c r="G14" s="578">
        <f>+unibkvar!P14</f>
        <v>422217.551286412</v>
      </c>
      <c r="H14" s="262">
        <f>SUM(B14:G14)</f>
        <v>1317576.194226006</v>
      </c>
      <c r="I14" s="993">
        <f>+sgbelvar!P14</f>
        <v>48984.624680000001</v>
      </c>
      <c r="J14" s="113">
        <f>SUM(I14:I14)</f>
        <v>48984.624680000001</v>
      </c>
      <c r="K14" s="722">
        <f>+cbnavar!P14</f>
        <v>125904</v>
      </c>
      <c r="L14" s="578">
        <f>+scotiavar!P14</f>
        <v>42646</v>
      </c>
      <c r="M14" s="262">
        <f>SUM(K14:L14)</f>
        <v>168550</v>
      </c>
      <c r="N14" s="587">
        <f>+H14+J14+M14</f>
        <v>1535110.8189060059</v>
      </c>
      <c r="O14" s="64"/>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row>
    <row r="15" spans="1:38" ht="15.6" customHeight="1">
      <c r="A15" s="419"/>
      <c r="B15" s="87">
        <f t="shared" ref="B15:N15" si="0">SUM(B10:B14)</f>
        <v>21789183.261</v>
      </c>
      <c r="C15" s="87">
        <f t="shared" si="0"/>
        <v>796204.05429999996</v>
      </c>
      <c r="D15" s="87">
        <f t="shared" si="0"/>
        <v>1941465.5635699881</v>
      </c>
      <c r="E15" s="134">
        <f t="shared" si="0"/>
        <v>3570272</v>
      </c>
      <c r="F15" s="87">
        <f t="shared" si="0"/>
        <v>14481169.299639996</v>
      </c>
      <c r="G15" s="87">
        <f t="shared" si="0"/>
        <v>20037807.591017798</v>
      </c>
      <c r="H15" s="89">
        <f t="shared" si="0"/>
        <v>62616101.769527785</v>
      </c>
      <c r="I15" s="24">
        <f t="shared" si="0"/>
        <v>1994597.7704799999</v>
      </c>
      <c r="J15" s="586">
        <f t="shared" si="0"/>
        <v>1994597.7704799999</v>
      </c>
      <c r="K15" s="87">
        <f t="shared" si="0"/>
        <v>2804386</v>
      </c>
      <c r="L15" s="87">
        <f t="shared" si="0"/>
        <v>2546779</v>
      </c>
      <c r="M15" s="113">
        <f t="shared" si="0"/>
        <v>5351165</v>
      </c>
      <c r="N15" s="90">
        <f t="shared" si="0"/>
        <v>69961864.5400078</v>
      </c>
      <c r="O15" s="64"/>
      <c r="P15" s="651"/>
      <c r="Q15" s="419"/>
      <c r="R15" s="419"/>
      <c r="S15" s="419"/>
      <c r="T15" s="419"/>
      <c r="U15" s="419"/>
      <c r="V15" s="419"/>
      <c r="W15" s="419"/>
      <c r="X15" s="419"/>
      <c r="Y15" s="419"/>
      <c r="Z15" s="419"/>
      <c r="AA15" s="419"/>
      <c r="AB15" s="419"/>
      <c r="AC15" s="419"/>
      <c r="AD15" s="419"/>
      <c r="AE15" s="419"/>
      <c r="AF15" s="419"/>
      <c r="AG15" s="419"/>
      <c r="AH15" s="419"/>
      <c r="AI15" s="419"/>
      <c r="AJ15" s="419"/>
      <c r="AK15" s="419"/>
      <c r="AL15" s="419"/>
    </row>
    <row r="16" spans="1:38" ht="7.9" customHeight="1">
      <c r="A16" s="419"/>
      <c r="B16" s="98" t="s">
        <v>0</v>
      </c>
      <c r="C16" s="88" t="s">
        <v>0</v>
      </c>
      <c r="D16" s="87"/>
      <c r="E16" s="87" t="s">
        <v>0</v>
      </c>
      <c r="F16" s="87"/>
      <c r="G16" s="87"/>
      <c r="H16" s="89"/>
      <c r="I16" s="87"/>
      <c r="J16" s="113"/>
      <c r="K16" s="87"/>
      <c r="L16" s="87" t="s">
        <v>0</v>
      </c>
      <c r="M16" s="113"/>
      <c r="N16" s="90"/>
      <c r="O16" s="64"/>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row>
    <row r="17" spans="1:38" ht="15.6" customHeight="1">
      <c r="A17" s="419" t="s">
        <v>261</v>
      </c>
      <c r="B17" s="87">
        <f>+bncvar!P17</f>
        <v>3847999.5</v>
      </c>
      <c r="C17" s="87">
        <f>+bphvar!P17</f>
        <v>170000</v>
      </c>
      <c r="D17" s="87">
        <f>+buhvar!P17</f>
        <v>0</v>
      </c>
      <c r="E17" s="87">
        <f>+capitalbkvar!P17</f>
        <v>0</v>
      </c>
      <c r="F17" s="87">
        <f>+sogebkvar!P17</f>
        <v>1425000</v>
      </c>
      <c r="G17" s="87">
        <f>+unibkvar!P17</f>
        <v>350000</v>
      </c>
      <c r="H17" s="89">
        <f>SUM(B17:G17)</f>
        <v>5792999.5</v>
      </c>
      <c r="I17" s="87">
        <f>+sgbelvar!P17</f>
        <v>0</v>
      </c>
      <c r="J17" s="113">
        <f>SUM(I17:I17)</f>
        <v>0</v>
      </c>
      <c r="K17" s="87">
        <f>+cbnavar!P17</f>
        <v>384920</v>
      </c>
      <c r="L17" s="87">
        <f>+scotiavar!P17</f>
        <v>150000</v>
      </c>
      <c r="M17" s="113">
        <f>SUM(K17:L17)</f>
        <v>534920</v>
      </c>
      <c r="N17" s="90">
        <f>+H17+J17+M17</f>
        <v>6327919.5</v>
      </c>
      <c r="O17" s="64"/>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row>
    <row r="18" spans="1:38">
      <c r="A18" s="419" t="s">
        <v>262</v>
      </c>
      <c r="B18" s="87">
        <f>+bncvar!P19</f>
        <v>4132127.5435800003</v>
      </c>
      <c r="C18" s="87">
        <f>+bphvar!P19</f>
        <v>23438.948659999998</v>
      </c>
      <c r="D18" s="87">
        <f>+buhvar!P19</f>
        <v>23328.127456934002</v>
      </c>
      <c r="E18" s="87">
        <f>+capitalbkvar!P19</f>
        <v>685989</v>
      </c>
      <c r="F18" s="87">
        <f>+sogebkvar!P19</f>
        <v>12500865.426439999</v>
      </c>
      <c r="G18" s="87">
        <f>+unibkvar!P19</f>
        <v>12245083.451345455</v>
      </c>
      <c r="H18" s="89">
        <f>SUM(B18:G18)</f>
        <v>29610832.497482389</v>
      </c>
      <c r="I18" s="87">
        <f>+sgbelvar!P19</f>
        <v>55725.620800000004</v>
      </c>
      <c r="J18" s="113">
        <f>SUM(I18:I18)</f>
        <v>55725.620800000004</v>
      </c>
      <c r="K18" s="87">
        <f>+cbnavar!P19</f>
        <v>0</v>
      </c>
      <c r="L18" s="87">
        <f>+scotiavar!P19</f>
        <v>0</v>
      </c>
      <c r="M18" s="113">
        <f>SUM(K18:L18)</f>
        <v>0</v>
      </c>
      <c r="N18" s="90">
        <f>+H18+J18+M18</f>
        <v>29666558.118282389</v>
      </c>
      <c r="O18" s="64"/>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row>
    <row r="19" spans="1:38">
      <c r="A19" s="419" t="s">
        <v>357</v>
      </c>
      <c r="B19" s="87">
        <f>+bncvar!P20</f>
        <v>3751142.6182700004</v>
      </c>
      <c r="C19" s="87">
        <f>+bphvar!P20</f>
        <v>425797.31738999998</v>
      </c>
      <c r="D19" s="87">
        <f>+buhvar!P20</f>
        <v>1123957.013653338</v>
      </c>
      <c r="E19" s="87">
        <f>+capitalbkvar!P20</f>
        <v>3304691</v>
      </c>
      <c r="F19" s="87">
        <f>+sogebkvar!P20</f>
        <v>11647178.847340001</v>
      </c>
      <c r="G19" s="87">
        <f>+unibkvar!P20</f>
        <v>13143530.354259999</v>
      </c>
      <c r="H19" s="89">
        <f>SUM(B19:G19)</f>
        <v>33396297.150913335</v>
      </c>
      <c r="I19" s="87">
        <f>+sgbelvar!P20</f>
        <v>1717204.336383</v>
      </c>
      <c r="J19" s="113">
        <f>SUM(I19:I19)</f>
        <v>1717204.336383</v>
      </c>
      <c r="K19" s="87">
        <f>+cbnavar!P20</f>
        <v>1759910</v>
      </c>
      <c r="L19" s="87">
        <f>+scotiavar!P20</f>
        <v>1823893</v>
      </c>
      <c r="M19" s="113">
        <f>SUM(K19:L19)</f>
        <v>3583803</v>
      </c>
      <c r="N19" s="90">
        <f>+H19+J19+M19</f>
        <v>38697304.487296335</v>
      </c>
      <c r="O19" s="64"/>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row>
    <row r="20" spans="1:38">
      <c r="A20" s="419" t="s">
        <v>264</v>
      </c>
      <c r="B20" s="87">
        <f>+bncvar!P21</f>
        <v>937521.87055000011</v>
      </c>
      <c r="C20" s="87">
        <f>+bphvar!P21</f>
        <v>120710.61300000001</v>
      </c>
      <c r="D20" s="87">
        <f>+buhvar!P21</f>
        <v>236518.38985999997</v>
      </c>
      <c r="E20" s="87">
        <f>+capitalbkvar!P21</f>
        <v>245121</v>
      </c>
      <c r="F20" s="87">
        <f>+sogebkvar!P21</f>
        <v>1318390.42879</v>
      </c>
      <c r="G20" s="87">
        <f>+unibkvar!P21</f>
        <v>1214194.3846799999</v>
      </c>
      <c r="H20" s="89">
        <f>SUM(B20:G20)</f>
        <v>4072456.6868799999</v>
      </c>
      <c r="I20" s="87">
        <f>+sgbelvar!P21</f>
        <v>177948.04894000001</v>
      </c>
      <c r="J20" s="113">
        <f>SUM(I20:I20)</f>
        <v>177948.04894000001</v>
      </c>
      <c r="K20" s="87">
        <f>+cbnavar!P21</f>
        <v>66814</v>
      </c>
      <c r="L20" s="87">
        <f>+scotiavar!P21</f>
        <v>48614</v>
      </c>
      <c r="M20" s="113">
        <f>SUM(K20:L20)</f>
        <v>115428</v>
      </c>
      <c r="N20" s="90">
        <f>+H20+J20+M20</f>
        <v>4365832.7358200001</v>
      </c>
      <c r="O20" s="64"/>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row>
    <row r="21" spans="1:38" ht="16.5" thickBot="1">
      <c r="A21" s="419" t="s">
        <v>265</v>
      </c>
      <c r="B21" s="97">
        <f>+bncvar!P22</f>
        <v>1731794.5889999999</v>
      </c>
      <c r="C21" s="97">
        <f>+bphvar!P22</f>
        <v>18550.045377099999</v>
      </c>
      <c r="D21" s="97">
        <f>+buhvar!P22</f>
        <v>66661.624046710014</v>
      </c>
      <c r="E21" s="97">
        <f>+capitalbkvar!P22</f>
        <v>266917</v>
      </c>
      <c r="F21" s="97">
        <f>+sogebkvar!P22</f>
        <v>1638728.6413700001</v>
      </c>
      <c r="G21" s="579">
        <f>+unibkvar!P22</f>
        <v>1053823.940380842</v>
      </c>
      <c r="H21" s="96">
        <f>SUM(B21:G21)</f>
        <v>4776475.8401746526</v>
      </c>
      <c r="I21" s="994">
        <f>+sgbelvar!P22</f>
        <v>70314.156159999999</v>
      </c>
      <c r="J21" s="115">
        <f>SUM(I21:I21)</f>
        <v>70314.156159999999</v>
      </c>
      <c r="K21" s="660">
        <f>+cbnavar!P22</f>
        <v>114197</v>
      </c>
      <c r="L21" s="579">
        <f>+scotiavar!P22</f>
        <v>14838</v>
      </c>
      <c r="M21" s="96">
        <f>SUM(K21:L21)</f>
        <v>129035</v>
      </c>
      <c r="N21" s="588">
        <f>+H21+J21+M21</f>
        <v>4975824.9963346524</v>
      </c>
      <c r="O21" s="64"/>
      <c r="P21" s="419"/>
      <c r="Q21" s="419"/>
      <c r="R21" s="419"/>
      <c r="S21" s="419"/>
      <c r="T21" s="419"/>
      <c r="U21" s="419"/>
      <c r="V21" s="419"/>
      <c r="W21" s="419"/>
      <c r="X21" s="419"/>
      <c r="Y21" s="419"/>
      <c r="Z21" s="419"/>
      <c r="AA21" s="419"/>
      <c r="AB21" s="419"/>
      <c r="AC21" s="419"/>
      <c r="AD21" s="419"/>
      <c r="AE21" s="419"/>
      <c r="AF21" s="419"/>
      <c r="AG21" s="419"/>
      <c r="AH21" s="419"/>
      <c r="AI21" s="419"/>
      <c r="AJ21" s="419"/>
      <c r="AK21" s="419"/>
      <c r="AL21" s="419"/>
    </row>
    <row r="22" spans="1:38">
      <c r="A22" s="419" t="s">
        <v>54</v>
      </c>
      <c r="B22" s="90">
        <f t="shared" ref="B22:N22" si="1">SUM(B15:B21)</f>
        <v>36189769.382399999</v>
      </c>
      <c r="C22" s="90">
        <f t="shared" si="1"/>
        <v>1554700.9787271</v>
      </c>
      <c r="D22" s="90">
        <f t="shared" si="1"/>
        <v>3391930.7185869701</v>
      </c>
      <c r="E22" s="13">
        <f t="shared" si="1"/>
        <v>8072990</v>
      </c>
      <c r="F22" s="90">
        <f t="shared" si="1"/>
        <v>43011332.643579997</v>
      </c>
      <c r="G22" s="90">
        <f t="shared" si="1"/>
        <v>48044439.721684098</v>
      </c>
      <c r="H22" s="89">
        <f t="shared" si="1"/>
        <v>140265163.44497815</v>
      </c>
      <c r="I22" s="90">
        <f t="shared" si="1"/>
        <v>4015789.932763</v>
      </c>
      <c r="J22" s="729">
        <f t="shared" si="1"/>
        <v>4015789.932763</v>
      </c>
      <c r="K22" s="13">
        <f t="shared" si="1"/>
        <v>5130227</v>
      </c>
      <c r="L22" s="13">
        <f t="shared" si="1"/>
        <v>4584124</v>
      </c>
      <c r="M22" s="113">
        <f t="shared" si="1"/>
        <v>9714351</v>
      </c>
      <c r="N22" s="90">
        <f t="shared" si="1"/>
        <v>153995304.37774116</v>
      </c>
      <c r="O22" s="64"/>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19"/>
    </row>
    <row r="23" spans="1:38" ht="15.6" customHeight="1">
      <c r="A23" s="419"/>
      <c r="B23" s="98" t="s">
        <v>0</v>
      </c>
      <c r="C23" s="88" t="s">
        <v>0</v>
      </c>
      <c r="D23" s="87"/>
      <c r="E23" s="88" t="s">
        <v>0</v>
      </c>
      <c r="F23" s="87"/>
      <c r="G23" s="87"/>
      <c r="H23" s="93"/>
      <c r="I23" s="87"/>
      <c r="J23" s="565"/>
      <c r="K23" s="87"/>
      <c r="L23" s="87" t="s">
        <v>0</v>
      </c>
      <c r="M23" s="114"/>
      <c r="N23" s="90"/>
      <c r="O23" s="64"/>
      <c r="P23" s="419"/>
      <c r="Q23" s="419"/>
      <c r="R23" s="419"/>
      <c r="S23" s="419"/>
      <c r="T23" s="419"/>
      <c r="U23" s="419"/>
      <c r="V23" s="419"/>
      <c r="W23" s="419"/>
      <c r="X23" s="419"/>
      <c r="Y23" s="419"/>
      <c r="Z23" s="419"/>
      <c r="AA23" s="419"/>
      <c r="AB23" s="419"/>
      <c r="AC23" s="419"/>
      <c r="AD23" s="419"/>
      <c r="AE23" s="419"/>
      <c r="AF23" s="419"/>
      <c r="AG23" s="419"/>
      <c r="AH23" s="419"/>
      <c r="AI23" s="419"/>
      <c r="AJ23" s="419"/>
      <c r="AK23" s="419"/>
      <c r="AL23" s="419"/>
    </row>
    <row r="24" spans="1:38">
      <c r="A24" s="421" t="s">
        <v>266</v>
      </c>
      <c r="B24" s="98" t="s">
        <v>0</v>
      </c>
      <c r="C24" s="88" t="s">
        <v>0</v>
      </c>
      <c r="D24" s="87"/>
      <c r="E24" s="88" t="s">
        <v>0</v>
      </c>
      <c r="F24" s="87"/>
      <c r="G24" s="87"/>
      <c r="H24" s="93"/>
      <c r="I24" s="87"/>
      <c r="J24" s="565"/>
      <c r="K24" s="87"/>
      <c r="L24" s="87" t="s">
        <v>0</v>
      </c>
      <c r="M24" s="114"/>
      <c r="N24" s="90" t="s">
        <v>0</v>
      </c>
      <c r="O24" s="64"/>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419"/>
    </row>
    <row r="25" spans="1:38">
      <c r="A25" s="419" t="s">
        <v>267</v>
      </c>
      <c r="B25" s="98" t="s">
        <v>0</v>
      </c>
      <c r="C25" s="88" t="s">
        <v>0</v>
      </c>
      <c r="D25" s="87"/>
      <c r="E25" s="88" t="s">
        <v>0</v>
      </c>
      <c r="F25" s="87"/>
      <c r="G25" s="87"/>
      <c r="H25" s="93"/>
      <c r="I25" s="87"/>
      <c r="J25" s="565"/>
      <c r="K25" s="87"/>
      <c r="L25" s="87" t="s">
        <v>0</v>
      </c>
      <c r="M25" s="114"/>
      <c r="N25" s="90"/>
      <c r="O25" s="64"/>
      <c r="P25" s="419"/>
      <c r="Q25" s="419"/>
      <c r="R25" s="419"/>
      <c r="S25" s="419"/>
      <c r="T25" s="419"/>
      <c r="U25" s="419"/>
      <c r="V25" s="419"/>
      <c r="W25" s="419"/>
      <c r="X25" s="419"/>
      <c r="Y25" s="419"/>
      <c r="Z25" s="419"/>
      <c r="AA25" s="419"/>
      <c r="AB25" s="419"/>
      <c r="AC25" s="419"/>
      <c r="AD25" s="419"/>
      <c r="AE25" s="419"/>
      <c r="AF25" s="419"/>
      <c r="AG25" s="419"/>
      <c r="AH25" s="419"/>
      <c r="AI25" s="419"/>
      <c r="AJ25" s="419"/>
      <c r="AK25" s="419"/>
      <c r="AL25" s="419"/>
    </row>
    <row r="26" spans="1:38">
      <c r="A26" s="419" t="s">
        <v>268</v>
      </c>
      <c r="B26" s="87">
        <f>+bncvar!P27</f>
        <v>21232008.129999999</v>
      </c>
      <c r="C26" s="87">
        <f>+bphvar!P27</f>
        <v>554030.43226000003</v>
      </c>
      <c r="D26" s="87">
        <f>+buhvar!P27</f>
        <v>937957.14332893805</v>
      </c>
      <c r="E26" s="87">
        <f>+capitalbkvar!P27</f>
        <v>3502122</v>
      </c>
      <c r="F26" s="87">
        <f>+sogebkvar!P27</f>
        <v>15232045.606699996</v>
      </c>
      <c r="G26" s="87">
        <f>+unibkvar!P27</f>
        <v>21378208.948365685</v>
      </c>
      <c r="H26" s="89">
        <f>SUM(B26:G26)</f>
        <v>62836372.260654613</v>
      </c>
      <c r="I26" s="87">
        <f>+sgbelvar!P27</f>
        <v>725355.05649999995</v>
      </c>
      <c r="J26" s="113">
        <f>SUM(I26:I26)</f>
        <v>725355.05649999995</v>
      </c>
      <c r="K26" s="87">
        <f>+cbnavar!P27</f>
        <v>2986574</v>
      </c>
      <c r="L26" s="87">
        <f>+scotiavar!P27</f>
        <v>1913087</v>
      </c>
      <c r="M26" s="113">
        <f>SUM(K26:L26)</f>
        <v>4899661</v>
      </c>
      <c r="N26" s="90">
        <f>+H26+J26+M26</f>
        <v>68461388.317154616</v>
      </c>
      <c r="O26" s="64"/>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19"/>
    </row>
    <row r="27" spans="1:38">
      <c r="A27" s="419" t="s">
        <v>269</v>
      </c>
      <c r="B27" s="87">
        <f>+bncvar!P28</f>
        <v>7535982.6699999999</v>
      </c>
      <c r="C27" s="87">
        <f>+bphvar!P28</f>
        <v>465547.87167999998</v>
      </c>
      <c r="D27" s="87">
        <f>+buhvar!P28</f>
        <v>1671035.8748480282</v>
      </c>
      <c r="E27" s="87">
        <f>+capitalbkvar!P28</f>
        <v>2163229</v>
      </c>
      <c r="F27" s="87">
        <f>+sogebkvar!P28</f>
        <v>17058001.856620006</v>
      </c>
      <c r="G27" s="87">
        <f>+unibkvar!P28</f>
        <v>17209814.976216234</v>
      </c>
      <c r="H27" s="89">
        <f>SUM(B27:G27)</f>
        <v>46103612.249364272</v>
      </c>
      <c r="I27" s="87">
        <f>+sgbelvar!P28</f>
        <v>408520.66936000006</v>
      </c>
      <c r="J27" s="113">
        <f>SUM(I27:I27)</f>
        <v>408520.66936000006</v>
      </c>
      <c r="K27" s="87">
        <f>+cbnavar!P28</f>
        <v>340790</v>
      </c>
      <c r="L27" s="87">
        <f>+scotiavar!P28</f>
        <v>1143934</v>
      </c>
      <c r="M27" s="113">
        <f>SUM(K27:L27)</f>
        <v>1484724</v>
      </c>
      <c r="N27" s="90">
        <f>+H27+J27+M27</f>
        <v>47996856.918724269</v>
      </c>
      <c r="O27" s="64"/>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row>
    <row r="28" spans="1:38">
      <c r="A28" s="419" t="s">
        <v>270</v>
      </c>
      <c r="B28" s="199">
        <f>+bncvar!P29</f>
        <v>3013854.0047900002</v>
      </c>
      <c r="C28" s="199">
        <f>+bphvar!P29</f>
        <v>426649.08075000002</v>
      </c>
      <c r="D28" s="199">
        <f>+buhvar!P29</f>
        <v>697635.35004883213</v>
      </c>
      <c r="E28" s="199">
        <f>+capitalbkvar!P29</f>
        <v>1256483</v>
      </c>
      <c r="F28" s="199">
        <f>+sogebkvar!P29</f>
        <v>6078294.6732443124</v>
      </c>
      <c r="G28" s="578">
        <f>+unibkvar!P29</f>
        <v>4175306.0473045562</v>
      </c>
      <c r="H28" s="262">
        <f>SUM(B28:G28)</f>
        <v>15648222.156137701</v>
      </c>
      <c r="I28" s="993">
        <f>+sgbelvar!P29</f>
        <v>1924144.6655100002</v>
      </c>
      <c r="J28" s="113">
        <f>SUM(I28:I28)</f>
        <v>1924144.6655100002</v>
      </c>
      <c r="K28" s="722">
        <f>+cbnavar!P29</f>
        <v>809265</v>
      </c>
      <c r="L28" s="578">
        <f>+scotiavar!P29</f>
        <v>709119</v>
      </c>
      <c r="M28" s="262">
        <f>SUM(K28:L28)</f>
        <v>1518384</v>
      </c>
      <c r="N28" s="587">
        <f>+H28+J28+M28</f>
        <v>19090750.8216477</v>
      </c>
      <c r="O28" s="64"/>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row>
    <row r="29" spans="1:38">
      <c r="A29" s="419"/>
      <c r="B29" s="87">
        <f t="shared" ref="B29:N29" si="2">SUM(B26:B28)</f>
        <v>31781844.804789998</v>
      </c>
      <c r="C29" s="87">
        <f t="shared" si="2"/>
        <v>1446227.38469</v>
      </c>
      <c r="D29" s="87">
        <f t="shared" si="2"/>
        <v>3306628.3682257985</v>
      </c>
      <c r="E29" s="87">
        <f t="shared" si="2"/>
        <v>6921834</v>
      </c>
      <c r="F29" s="87">
        <f t="shared" si="2"/>
        <v>38368342.136564314</v>
      </c>
      <c r="G29" s="87">
        <f t="shared" si="2"/>
        <v>42763329.971886471</v>
      </c>
      <c r="H29" s="89">
        <f t="shared" si="2"/>
        <v>124588206.66615659</v>
      </c>
      <c r="I29" s="87">
        <f t="shared" si="2"/>
        <v>3058020.3913700003</v>
      </c>
      <c r="J29" s="586">
        <f t="shared" si="2"/>
        <v>3058020.3913700003</v>
      </c>
      <c r="K29" s="87">
        <f t="shared" si="2"/>
        <v>4136629</v>
      </c>
      <c r="L29" s="87">
        <f t="shared" si="2"/>
        <v>3766140</v>
      </c>
      <c r="M29" s="113">
        <f t="shared" si="2"/>
        <v>7902769</v>
      </c>
      <c r="N29" s="90">
        <f t="shared" si="2"/>
        <v>135548996.05752659</v>
      </c>
      <c r="O29" s="64"/>
      <c r="P29" s="419"/>
      <c r="Q29" s="419"/>
      <c r="R29" s="419"/>
      <c r="S29" s="419"/>
      <c r="T29" s="419"/>
      <c r="U29" s="419"/>
      <c r="V29" s="419"/>
      <c r="W29" s="419"/>
      <c r="X29" s="419"/>
      <c r="Y29" s="419"/>
      <c r="Z29" s="419"/>
      <c r="AA29" s="419"/>
      <c r="AB29" s="419"/>
      <c r="AC29" s="419"/>
      <c r="AD29" s="419"/>
      <c r="AE29" s="419"/>
      <c r="AF29" s="419"/>
      <c r="AG29" s="419"/>
      <c r="AH29" s="419"/>
      <c r="AI29" s="419"/>
      <c r="AJ29" s="419"/>
      <c r="AK29" s="419"/>
      <c r="AL29" s="419"/>
    </row>
    <row r="30" spans="1:38" ht="7.9" customHeight="1">
      <c r="A30" s="419"/>
      <c r="B30" s="98" t="s">
        <v>0</v>
      </c>
      <c r="C30" s="88" t="s">
        <v>0</v>
      </c>
      <c r="D30" s="87"/>
      <c r="E30" s="88" t="s">
        <v>0</v>
      </c>
      <c r="F30" s="87"/>
      <c r="G30" s="87"/>
      <c r="H30" s="89"/>
      <c r="I30" s="87"/>
      <c r="J30" s="113"/>
      <c r="K30" s="87"/>
      <c r="L30" s="87" t="s">
        <v>0</v>
      </c>
      <c r="M30" s="113"/>
      <c r="N30" s="90"/>
      <c r="O30" s="64"/>
      <c r="P30" s="419"/>
      <c r="Q30" s="419"/>
      <c r="R30" s="419"/>
      <c r="S30" s="419"/>
      <c r="T30" s="419"/>
      <c r="U30" s="419"/>
      <c r="V30" s="419"/>
      <c r="W30" s="419"/>
      <c r="X30" s="419"/>
      <c r="Y30" s="419"/>
      <c r="Z30" s="419"/>
      <c r="AA30" s="419"/>
      <c r="AB30" s="419"/>
      <c r="AC30" s="419"/>
      <c r="AD30" s="419"/>
      <c r="AE30" s="419"/>
      <c r="AF30" s="419"/>
      <c r="AG30" s="419"/>
      <c r="AH30" s="419"/>
      <c r="AI30" s="419"/>
      <c r="AJ30" s="419"/>
      <c r="AK30" s="419"/>
      <c r="AL30" s="419"/>
    </row>
    <row r="31" spans="1:38">
      <c r="A31" s="419" t="s">
        <v>271</v>
      </c>
      <c r="B31" s="98" t="s">
        <v>0</v>
      </c>
      <c r="C31" s="88" t="s">
        <v>0</v>
      </c>
      <c r="D31" s="87"/>
      <c r="E31" s="88" t="s">
        <v>0</v>
      </c>
      <c r="F31" s="87"/>
      <c r="G31" s="87"/>
      <c r="H31" s="89"/>
      <c r="I31" s="87"/>
      <c r="J31" s="113"/>
      <c r="K31" s="87"/>
      <c r="L31" s="87" t="s">
        <v>0</v>
      </c>
      <c r="M31" s="113"/>
      <c r="N31" s="90"/>
      <c r="O31" s="64"/>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row>
    <row r="32" spans="1:38">
      <c r="A32" s="419" t="s">
        <v>272</v>
      </c>
      <c r="B32" s="87">
        <f>+bncvar!P33</f>
        <v>0</v>
      </c>
      <c r="C32" s="87">
        <f>+bphvar!P33</f>
        <v>0</v>
      </c>
      <c r="D32" s="87">
        <f>+buhvar!P33</f>
        <v>0</v>
      </c>
      <c r="E32" s="87">
        <f>+capitalbkvar!P33</f>
        <v>0</v>
      </c>
      <c r="F32" s="87">
        <f>+sogebkvar!P33</f>
        <v>0</v>
      </c>
      <c r="G32" s="87">
        <f>+unibkvar!P33</f>
        <v>0</v>
      </c>
      <c r="H32" s="89">
        <f>SUM(B32:G32)</f>
        <v>0</v>
      </c>
      <c r="I32" s="87">
        <f>+sgbelvar!P33</f>
        <v>0</v>
      </c>
      <c r="J32" s="113">
        <f>SUM(I32:I32)</f>
        <v>0</v>
      </c>
      <c r="K32" s="87">
        <f>+cbnavar!P33</f>
        <v>320000</v>
      </c>
      <c r="L32" s="87">
        <f>+scotiavar!P33</f>
        <v>0</v>
      </c>
      <c r="M32" s="113">
        <f>SUM(K32:L32)</f>
        <v>320000</v>
      </c>
      <c r="N32" s="90">
        <f>+H32+J32+M32</f>
        <v>320000</v>
      </c>
      <c r="O32" s="64"/>
      <c r="P32" s="419"/>
      <c r="Q32" s="419"/>
      <c r="R32" s="419"/>
      <c r="S32" s="419"/>
      <c r="T32" s="419"/>
      <c r="U32" s="419"/>
      <c r="V32" s="419"/>
      <c r="W32" s="419"/>
      <c r="X32" s="419"/>
      <c r="Y32" s="419"/>
      <c r="Z32" s="419"/>
      <c r="AA32" s="419"/>
      <c r="AB32" s="419"/>
      <c r="AC32" s="419"/>
      <c r="AD32" s="419"/>
      <c r="AE32" s="419"/>
      <c r="AF32" s="419"/>
      <c r="AG32" s="419"/>
      <c r="AH32" s="419"/>
      <c r="AI32" s="419"/>
      <c r="AJ32" s="419"/>
      <c r="AK32" s="419"/>
      <c r="AL32" s="419"/>
    </row>
    <row r="33" spans="1:38">
      <c r="A33" s="419" t="s">
        <v>273</v>
      </c>
      <c r="B33" s="87">
        <f>+bncvar!P34</f>
        <v>0</v>
      </c>
      <c r="C33" s="87">
        <f>+bphvar!P34</f>
        <v>0</v>
      </c>
      <c r="D33" s="87">
        <f>+buhvar!P34</f>
        <v>0</v>
      </c>
      <c r="E33" s="87">
        <f>+capitalbkvar!P34</f>
        <v>0</v>
      </c>
      <c r="F33" s="87">
        <f>+sogebkvar!P34</f>
        <v>0</v>
      </c>
      <c r="G33" s="87">
        <f>+unibkvar!P34</f>
        <v>0</v>
      </c>
      <c r="H33" s="89">
        <f>SUM(B33:G33)</f>
        <v>0</v>
      </c>
      <c r="I33" s="87">
        <f>+sgbelvar!P34</f>
        <v>0</v>
      </c>
      <c r="J33" s="113">
        <f>SUM(I33:I33)</f>
        <v>0</v>
      </c>
      <c r="K33" s="87">
        <f>+cbnavar!P34</f>
        <v>0</v>
      </c>
      <c r="L33" s="87">
        <f>+scotiavar!P34</f>
        <v>0</v>
      </c>
      <c r="M33" s="113">
        <f>SUM(K33:L33)</f>
        <v>0</v>
      </c>
      <c r="N33" s="90">
        <f>+H33+J33+M33</f>
        <v>0</v>
      </c>
      <c r="O33" s="64"/>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row>
    <row r="34" spans="1:38" ht="17.25">
      <c r="A34" s="419" t="s">
        <v>274</v>
      </c>
      <c r="B34" s="199">
        <f>+bncvar!P35</f>
        <v>1105932.159</v>
      </c>
      <c r="C34" s="199">
        <f>+bphvar!P35</f>
        <v>85629.844455099999</v>
      </c>
      <c r="D34" s="199">
        <f>+buhvar!P35</f>
        <v>110687.06894135599</v>
      </c>
      <c r="E34" s="199">
        <f>+capitalbkvar!P35</f>
        <v>228641</v>
      </c>
      <c r="F34" s="199">
        <f>+sogebkvar!P35</f>
        <v>1112211.2394399999</v>
      </c>
      <c r="G34" s="578">
        <f>+unibkvar!P35</f>
        <v>626919.96963537589</v>
      </c>
      <c r="H34" s="262">
        <f>SUM(B34:G34)</f>
        <v>3270021.2814718317</v>
      </c>
      <c r="I34" s="993">
        <f>+sgbelvar!P35</f>
        <v>144235.87297999999</v>
      </c>
      <c r="J34" s="113">
        <f>SUM(I34:I34)</f>
        <v>144235.87297999999</v>
      </c>
      <c r="K34" s="722">
        <f>+cbnavar!P35</f>
        <v>355904</v>
      </c>
      <c r="L34" s="578">
        <f>+scotiavar!P35</f>
        <v>227942</v>
      </c>
      <c r="M34" s="262">
        <f>SUM(K34:L34)</f>
        <v>583846</v>
      </c>
      <c r="N34" s="587">
        <f>+H34+J34+M34</f>
        <v>3998103.1544518317</v>
      </c>
      <c r="O34" s="68"/>
      <c r="P34" s="424"/>
      <c r="Q34" s="424"/>
      <c r="R34" s="424"/>
      <c r="S34" s="419"/>
      <c r="T34" s="419"/>
      <c r="U34" s="419"/>
      <c r="V34" s="419"/>
      <c r="W34" s="419"/>
      <c r="X34" s="419"/>
      <c r="Y34" s="419"/>
      <c r="Z34" s="419"/>
      <c r="AA34" s="419"/>
      <c r="AB34" s="419"/>
      <c r="AC34" s="419"/>
      <c r="AD34" s="419"/>
      <c r="AE34" s="419"/>
      <c r="AF34" s="419"/>
      <c r="AG34" s="419"/>
      <c r="AH34" s="419"/>
      <c r="AI34" s="419"/>
      <c r="AJ34" s="419"/>
      <c r="AK34" s="419"/>
      <c r="AL34" s="419"/>
    </row>
    <row r="35" spans="1:38">
      <c r="A35" s="419"/>
      <c r="B35" s="87">
        <f t="shared" ref="B35:N35" si="3">SUM(B32:B34)</f>
        <v>1105932.159</v>
      </c>
      <c r="C35" s="87">
        <f t="shared" si="3"/>
        <v>85629.844455099999</v>
      </c>
      <c r="D35" s="87">
        <f t="shared" si="3"/>
        <v>110687.06894135599</v>
      </c>
      <c r="E35" s="87">
        <f t="shared" si="3"/>
        <v>228641</v>
      </c>
      <c r="F35" s="87">
        <f t="shared" si="3"/>
        <v>1112211.2394399999</v>
      </c>
      <c r="G35" s="87">
        <f t="shared" si="3"/>
        <v>626919.96963537589</v>
      </c>
      <c r="H35" s="89">
        <f t="shared" si="3"/>
        <v>3270021.2814718317</v>
      </c>
      <c r="I35" s="87">
        <f t="shared" si="3"/>
        <v>144235.87297999999</v>
      </c>
      <c r="J35" s="586">
        <f t="shared" si="3"/>
        <v>144235.87297999999</v>
      </c>
      <c r="K35" s="87">
        <f t="shared" si="3"/>
        <v>675904</v>
      </c>
      <c r="L35" s="87">
        <f t="shared" si="3"/>
        <v>227942</v>
      </c>
      <c r="M35" s="113">
        <f t="shared" si="3"/>
        <v>903846</v>
      </c>
      <c r="N35" s="90">
        <f t="shared" si="3"/>
        <v>4318103.1544518322</v>
      </c>
      <c r="O35" s="64"/>
      <c r="P35" s="419"/>
      <c r="Q35" s="419"/>
      <c r="R35" s="419"/>
      <c r="S35" s="419"/>
      <c r="T35" s="419"/>
      <c r="U35" s="419"/>
      <c r="V35" s="419"/>
      <c r="W35" s="419"/>
      <c r="X35" s="419"/>
      <c r="Y35" s="419"/>
      <c r="Z35" s="419"/>
      <c r="AA35" s="419"/>
      <c r="AB35" s="419"/>
      <c r="AC35" s="419"/>
      <c r="AD35" s="419"/>
      <c r="AE35" s="419"/>
      <c r="AF35" s="419"/>
      <c r="AG35" s="419"/>
      <c r="AH35" s="419"/>
      <c r="AI35" s="419"/>
      <c r="AJ35" s="419"/>
      <c r="AK35" s="419"/>
      <c r="AL35" s="419"/>
    </row>
    <row r="36" spans="1:38" ht="7.15" customHeight="1">
      <c r="A36" s="419"/>
      <c r="B36" s="98" t="s">
        <v>0</v>
      </c>
      <c r="C36" s="88" t="s">
        <v>0</v>
      </c>
      <c r="D36" s="87"/>
      <c r="E36" s="88" t="s">
        <v>0</v>
      </c>
      <c r="F36" s="87"/>
      <c r="G36" s="87"/>
      <c r="H36" s="89"/>
      <c r="I36" s="87"/>
      <c r="J36" s="113"/>
      <c r="K36" s="87"/>
      <c r="L36" s="87" t="s">
        <v>0</v>
      </c>
      <c r="M36" s="113"/>
      <c r="N36" s="90"/>
      <c r="O36" s="64"/>
      <c r="P36" s="419"/>
      <c r="Q36" s="419"/>
      <c r="R36" s="419"/>
      <c r="S36" s="419"/>
      <c r="T36" s="419"/>
      <c r="U36" s="419"/>
      <c r="V36" s="419"/>
      <c r="W36" s="419"/>
      <c r="X36" s="419"/>
      <c r="Y36" s="419"/>
      <c r="Z36" s="419"/>
      <c r="AA36" s="419"/>
      <c r="AB36" s="419"/>
      <c r="AC36" s="419"/>
      <c r="AD36" s="419"/>
      <c r="AE36" s="419"/>
      <c r="AF36" s="419"/>
      <c r="AG36" s="419"/>
      <c r="AH36" s="419"/>
      <c r="AI36" s="419"/>
      <c r="AJ36" s="419"/>
      <c r="AK36" s="419"/>
      <c r="AL36" s="419"/>
    </row>
    <row r="37" spans="1:38">
      <c r="A37" s="419" t="s">
        <v>275</v>
      </c>
      <c r="B37" s="98" t="s">
        <v>0</v>
      </c>
      <c r="C37" s="88" t="s">
        <v>0</v>
      </c>
      <c r="D37" s="87"/>
      <c r="E37" s="88" t="s">
        <v>0</v>
      </c>
      <c r="F37" s="87"/>
      <c r="G37" s="87"/>
      <c r="H37" s="89"/>
      <c r="I37" s="87"/>
      <c r="J37" s="113"/>
      <c r="K37" s="87"/>
      <c r="L37" s="87" t="s">
        <v>0</v>
      </c>
      <c r="M37" s="113"/>
      <c r="N37" s="90"/>
      <c r="O37" s="64"/>
      <c r="P37" s="419"/>
      <c r="Q37" s="419"/>
      <c r="R37" s="419"/>
      <c r="S37" s="419"/>
      <c r="T37" s="419"/>
      <c r="U37" s="419"/>
      <c r="V37" s="419"/>
      <c r="W37" s="419"/>
      <c r="X37" s="419"/>
      <c r="Y37" s="419"/>
      <c r="Z37" s="419"/>
      <c r="AA37" s="419"/>
      <c r="AB37" s="419"/>
      <c r="AC37" s="419"/>
      <c r="AD37" s="419"/>
      <c r="AE37" s="419"/>
      <c r="AF37" s="419"/>
      <c r="AG37" s="419"/>
      <c r="AH37" s="419"/>
      <c r="AI37" s="419"/>
      <c r="AJ37" s="419"/>
      <c r="AK37" s="419"/>
      <c r="AL37" s="419"/>
    </row>
    <row r="38" spans="1:38">
      <c r="A38" s="419" t="s">
        <v>272</v>
      </c>
      <c r="B38" s="87">
        <f>+bncvar!P39</f>
        <v>3000</v>
      </c>
      <c r="C38" s="87">
        <f>+bphvar!P39</f>
        <v>0</v>
      </c>
      <c r="D38" s="87">
        <f>+buhvar!P39</f>
        <v>0</v>
      </c>
      <c r="E38" s="87">
        <f>+capitalbkvar!P39</f>
        <v>0</v>
      </c>
      <c r="F38" s="87">
        <f>+sogebkvar!P39</f>
        <v>0</v>
      </c>
      <c r="G38" s="87">
        <f>+unibkvar!P39</f>
        <v>0</v>
      </c>
      <c r="H38" s="89">
        <f>SUM(B38:G38)</f>
        <v>3000</v>
      </c>
      <c r="I38" s="87">
        <f>+sgbelvar!P39</f>
        <v>400000</v>
      </c>
      <c r="J38" s="113">
        <f>SUM(I38:I38)</f>
        <v>400000</v>
      </c>
      <c r="K38" s="87">
        <f>+cbnavar!P39</f>
        <v>0</v>
      </c>
      <c r="L38" s="87">
        <f>+scotiavar!P39</f>
        <v>0</v>
      </c>
      <c r="M38" s="113">
        <f>SUM(K38:L38)</f>
        <v>0</v>
      </c>
      <c r="N38" s="90">
        <f>+H38+J38+M38</f>
        <v>403000</v>
      </c>
      <c r="O38" s="64"/>
      <c r="P38" s="419"/>
      <c r="Q38" s="419"/>
      <c r="R38" s="419"/>
      <c r="S38" s="419"/>
      <c r="T38" s="419"/>
      <c r="U38" s="419"/>
      <c r="V38" s="419"/>
      <c r="W38" s="419"/>
      <c r="X38" s="419"/>
      <c r="Y38" s="419"/>
      <c r="Z38" s="419"/>
      <c r="AA38" s="419"/>
      <c r="AB38" s="419"/>
      <c r="AC38" s="419"/>
      <c r="AD38" s="419"/>
      <c r="AE38" s="419"/>
      <c r="AF38" s="419"/>
      <c r="AG38" s="419"/>
      <c r="AH38" s="419"/>
      <c r="AI38" s="419"/>
      <c r="AJ38" s="419"/>
      <c r="AK38" s="419"/>
      <c r="AL38" s="419"/>
    </row>
    <row r="39" spans="1:38">
      <c r="A39" s="419" t="s">
        <v>276</v>
      </c>
      <c r="B39" s="87">
        <f>+bncvar!P40</f>
        <v>0</v>
      </c>
      <c r="C39" s="87">
        <f>+bphvar!P40</f>
        <v>0</v>
      </c>
      <c r="D39" s="87">
        <f>+buhvar!P40</f>
        <v>0</v>
      </c>
      <c r="E39" s="87">
        <f>+capitalbkvar!P40</f>
        <v>0</v>
      </c>
      <c r="F39" s="87">
        <f>+sogebkvar!P40</f>
        <v>-4.5780000000000001E-2</v>
      </c>
      <c r="G39" s="87">
        <f>+unibkvar!P40</f>
        <v>0</v>
      </c>
      <c r="H39" s="89">
        <f>SUM(B39:G39)</f>
        <v>-4.5780000000000001E-2</v>
      </c>
      <c r="I39" s="87">
        <f>+sgbelvar!P40</f>
        <v>0</v>
      </c>
      <c r="J39" s="113">
        <f>SUM(I39:I39)</f>
        <v>0</v>
      </c>
      <c r="K39" s="87">
        <f>+cbnavar!P40</f>
        <v>0</v>
      </c>
      <c r="L39" s="87">
        <f>+scotiavar!P40</f>
        <v>0</v>
      </c>
      <c r="M39" s="113">
        <f>SUM(K39:L39)</f>
        <v>0</v>
      </c>
      <c r="N39" s="90">
        <f>+H39+J39+M39</f>
        <v>-4.5780000000000001E-2</v>
      </c>
      <c r="O39" s="64"/>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row>
    <row r="40" spans="1:38">
      <c r="A40" s="419" t="s">
        <v>274</v>
      </c>
      <c r="B40" s="199">
        <f>+bncvar!P41</f>
        <v>1154173.8089999999</v>
      </c>
      <c r="C40" s="199">
        <f>+bphvar!P41</f>
        <v>18750.605170000003</v>
      </c>
      <c r="D40" s="199">
        <f>+buhvar!P41</f>
        <v>7814.7519376700002</v>
      </c>
      <c r="E40" s="199">
        <f>+capitalbkvar!P41</f>
        <v>37442</v>
      </c>
      <c r="F40" s="199">
        <f>+sogebkvar!P41</f>
        <v>262627.21996000002</v>
      </c>
      <c r="G40" s="578">
        <f>+unibkvar!P41</f>
        <v>346949.64375424403</v>
      </c>
      <c r="H40" s="262">
        <f>SUM(B40:G40)</f>
        <v>1827758.0298219139</v>
      </c>
      <c r="I40" s="993">
        <f>+sgbelvar!P41</f>
        <v>3877.4264000000003</v>
      </c>
      <c r="J40" s="113">
        <f>SUM(I40:I40)</f>
        <v>3877.4264000000003</v>
      </c>
      <c r="K40" s="722">
        <f>+cbnavar!P41</f>
        <v>79502</v>
      </c>
      <c r="L40" s="578">
        <f>+scotiavar!P41</f>
        <v>28117</v>
      </c>
      <c r="M40" s="262">
        <f>SUM(K40:L40)</f>
        <v>107619</v>
      </c>
      <c r="N40" s="587">
        <f>+H40+J40+M40</f>
        <v>1939254.4562219139</v>
      </c>
      <c r="O40" s="64"/>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row>
    <row r="41" spans="1:38">
      <c r="A41" s="419"/>
      <c r="B41" s="87">
        <f t="shared" ref="B41:N41" si="4">SUM(B38:B40)</f>
        <v>1157173.8089999999</v>
      </c>
      <c r="C41" s="87">
        <f t="shared" si="4"/>
        <v>18750.605170000003</v>
      </c>
      <c r="D41" s="87">
        <f t="shared" si="4"/>
        <v>7814.7519376700002</v>
      </c>
      <c r="E41" s="87">
        <f t="shared" si="4"/>
        <v>37442</v>
      </c>
      <c r="F41" s="87">
        <f t="shared" si="4"/>
        <v>262627.17418000003</v>
      </c>
      <c r="G41" s="87">
        <f t="shared" si="4"/>
        <v>346949.64375424403</v>
      </c>
      <c r="H41" s="89">
        <f t="shared" si="4"/>
        <v>1830757.9840419139</v>
      </c>
      <c r="I41" s="87">
        <f t="shared" si="4"/>
        <v>403877.4264</v>
      </c>
      <c r="J41" s="585">
        <f t="shared" si="4"/>
        <v>403877.4264</v>
      </c>
      <c r="K41" s="87">
        <f t="shared" si="4"/>
        <v>79502</v>
      </c>
      <c r="L41" s="87">
        <f t="shared" si="4"/>
        <v>28117</v>
      </c>
      <c r="M41" s="113">
        <f t="shared" si="4"/>
        <v>107619</v>
      </c>
      <c r="N41" s="90">
        <f t="shared" si="4"/>
        <v>2342254.4104419141</v>
      </c>
      <c r="O41" s="64"/>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row>
    <row r="42" spans="1:38" ht="8.4499999999999993" customHeight="1">
      <c r="A42" s="419"/>
      <c r="B42" s="98" t="s">
        <v>0</v>
      </c>
      <c r="C42" s="88" t="s">
        <v>0</v>
      </c>
      <c r="D42" s="87"/>
      <c r="E42" s="88" t="s">
        <v>0</v>
      </c>
      <c r="F42" s="87"/>
      <c r="G42" s="87"/>
      <c r="H42" s="89"/>
      <c r="I42" s="87"/>
      <c r="J42" s="113"/>
      <c r="K42" s="87"/>
      <c r="L42" s="87" t="s">
        <v>0</v>
      </c>
      <c r="M42" s="113"/>
      <c r="N42" s="90"/>
      <c r="O42" s="64"/>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row>
    <row r="43" spans="1:38" ht="17.25">
      <c r="A43" s="419" t="s">
        <v>277</v>
      </c>
      <c r="B43" s="199">
        <f>+bncvar!P44</f>
        <v>278632.20500000002</v>
      </c>
      <c r="C43" s="199">
        <f>+bphvar!P44</f>
        <v>207.92537999999999</v>
      </c>
      <c r="D43" s="199">
        <f>+buhvar!P44</f>
        <v>149604.899336698</v>
      </c>
      <c r="E43" s="199">
        <f>+capitalbkvar!P44</f>
        <v>256606</v>
      </c>
      <c r="F43" s="199">
        <f>+sogebkvar!P44</f>
        <v>670192.78408000001</v>
      </c>
      <c r="G43" s="578">
        <f>+unibkvar!P44</f>
        <v>553442.69762023201</v>
      </c>
      <c r="H43" s="262">
        <f>SUM(B43:G43)</f>
        <v>1908686.5114169302</v>
      </c>
      <c r="I43" s="87">
        <f>+sgbelvar!P44</f>
        <v>3256.79684</v>
      </c>
      <c r="J43" s="113">
        <f>SUM(I43:I43)</f>
        <v>3256.79684</v>
      </c>
      <c r="K43" s="87">
        <f>+cbnavar!P44</f>
        <v>23191</v>
      </c>
      <c r="L43" s="87">
        <f>+scotiavar!P44</f>
        <v>346382</v>
      </c>
      <c r="M43" s="262">
        <f>SUM(K43:L43)</f>
        <v>369573</v>
      </c>
      <c r="N43" s="587">
        <f>+H43+J43+M43</f>
        <v>2281516.3082569302</v>
      </c>
      <c r="O43" s="68"/>
      <c r="P43" s="419"/>
      <c r="Q43" s="419"/>
      <c r="R43" s="419"/>
      <c r="S43" s="419"/>
      <c r="T43" s="419"/>
      <c r="U43" s="419"/>
      <c r="V43" s="419"/>
      <c r="W43" s="419"/>
      <c r="X43" s="419"/>
      <c r="Y43" s="419"/>
      <c r="Z43" s="419"/>
      <c r="AA43" s="419"/>
      <c r="AB43" s="419"/>
      <c r="AC43" s="419"/>
      <c r="AD43" s="419"/>
      <c r="AE43" s="419"/>
      <c r="AF43" s="419"/>
      <c r="AG43" s="419"/>
      <c r="AH43" s="419"/>
      <c r="AI43" s="419"/>
      <c r="AJ43" s="419"/>
      <c r="AK43" s="419"/>
      <c r="AL43" s="419"/>
    </row>
    <row r="44" spans="1:38">
      <c r="A44" s="419"/>
      <c r="B44" s="87">
        <f t="shared" ref="B44:G44" si="5">+B29+B35+B41+B43</f>
        <v>34323582.977789998</v>
      </c>
      <c r="C44" s="87">
        <f t="shared" si="5"/>
        <v>1550815.7596950999</v>
      </c>
      <c r="D44" s="87">
        <f t="shared" si="5"/>
        <v>3574735.0884415228</v>
      </c>
      <c r="E44" s="87">
        <f t="shared" si="5"/>
        <v>7444523</v>
      </c>
      <c r="F44" s="87">
        <f t="shared" si="5"/>
        <v>40413373.334264316</v>
      </c>
      <c r="G44" s="87">
        <f t="shared" si="5"/>
        <v>44290642.282896325</v>
      </c>
      <c r="H44" s="89">
        <f>SUM(B44:G44)</f>
        <v>131597672.44308726</v>
      </c>
      <c r="I44" s="87">
        <f>+I29+I35+I41+I43</f>
        <v>3609390.48759</v>
      </c>
      <c r="J44" s="585">
        <f>+J29+J35+J41+J43</f>
        <v>3609390.48759</v>
      </c>
      <c r="K44" s="87">
        <f>+K29+K35+K41+K43</f>
        <v>4915226</v>
      </c>
      <c r="L44" s="87">
        <f>+L29+L35+L41+L43</f>
        <v>4368581</v>
      </c>
      <c r="M44" s="113">
        <f>SUM(K44:L44)</f>
        <v>9283807</v>
      </c>
      <c r="N44" s="90">
        <f>+H44+J44+M44</f>
        <v>144490869.93067726</v>
      </c>
      <c r="O44" s="64"/>
      <c r="P44" s="419"/>
      <c r="Q44" s="419"/>
      <c r="R44" s="419"/>
      <c r="S44" s="419"/>
      <c r="T44" s="419"/>
      <c r="U44" s="419"/>
      <c r="V44" s="419"/>
      <c r="W44" s="419"/>
      <c r="X44" s="419"/>
      <c r="Y44" s="419"/>
      <c r="Z44" s="419"/>
      <c r="AA44" s="419"/>
      <c r="AB44" s="419"/>
      <c r="AC44" s="419"/>
      <c r="AD44" s="419"/>
      <c r="AE44" s="419"/>
      <c r="AF44" s="419"/>
      <c r="AG44" s="419"/>
      <c r="AH44" s="419"/>
      <c r="AI44" s="419"/>
      <c r="AJ44" s="419"/>
      <c r="AK44" s="419"/>
      <c r="AL44" s="419"/>
    </row>
    <row r="45" spans="1:38" ht="15.6" customHeight="1">
      <c r="A45" s="419"/>
      <c r="B45" s="98" t="s">
        <v>0</v>
      </c>
      <c r="C45" s="88" t="s">
        <v>0</v>
      </c>
      <c r="D45" s="87"/>
      <c r="E45" s="88" t="s">
        <v>0</v>
      </c>
      <c r="F45" s="87"/>
      <c r="G45" s="87"/>
      <c r="H45" s="89"/>
      <c r="I45" s="87"/>
      <c r="J45" s="113"/>
      <c r="K45" s="87"/>
      <c r="L45" s="87" t="s">
        <v>0</v>
      </c>
      <c r="M45" s="113"/>
      <c r="N45" s="90"/>
      <c r="O45" s="64"/>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row>
    <row r="46" spans="1:38">
      <c r="A46" s="425" t="s">
        <v>278</v>
      </c>
      <c r="B46" s="98" t="s">
        <v>0</v>
      </c>
      <c r="C46" s="88" t="s">
        <v>0</v>
      </c>
      <c r="D46" s="87"/>
      <c r="E46" s="88" t="s">
        <v>0</v>
      </c>
      <c r="F46" s="87"/>
      <c r="G46" s="87"/>
      <c r="H46" s="89"/>
      <c r="I46" s="87"/>
      <c r="J46" s="113"/>
      <c r="K46" s="87"/>
      <c r="L46" s="87" t="s">
        <v>0</v>
      </c>
      <c r="M46" s="113"/>
      <c r="N46" s="90"/>
      <c r="O46" s="64"/>
      <c r="P46" s="419"/>
      <c r="Q46" s="419"/>
      <c r="R46" s="419"/>
      <c r="S46" s="419"/>
      <c r="T46" s="419"/>
      <c r="U46" s="419"/>
      <c r="V46" s="419"/>
      <c r="W46" s="419"/>
      <c r="X46" s="419"/>
      <c r="Y46" s="419"/>
      <c r="Z46" s="419"/>
      <c r="AA46" s="419"/>
      <c r="AB46" s="419"/>
      <c r="AC46" s="419"/>
      <c r="AD46" s="419"/>
      <c r="AE46" s="419"/>
      <c r="AF46" s="419"/>
      <c r="AG46" s="419"/>
      <c r="AH46" s="419"/>
      <c r="AI46" s="419"/>
      <c r="AJ46" s="419"/>
      <c r="AK46" s="419"/>
      <c r="AL46" s="419"/>
    </row>
    <row r="47" spans="1:38">
      <c r="A47" s="419" t="s">
        <v>279</v>
      </c>
      <c r="B47" s="87">
        <f>+bncvar!P48</f>
        <v>500000</v>
      </c>
      <c r="C47" s="87">
        <f>+bphvar!P48</f>
        <v>5000</v>
      </c>
      <c r="D47" s="87">
        <f>+buhvar!P48</f>
        <v>150202.375</v>
      </c>
      <c r="E47" s="87">
        <f>+capitalbkvar!P48</f>
        <v>270000</v>
      </c>
      <c r="F47" s="87">
        <f>+sogebkvar!P48</f>
        <v>750000</v>
      </c>
      <c r="G47" s="87">
        <f>+unibkvar!P48</f>
        <v>2000000</v>
      </c>
      <c r="H47" s="89">
        <f>SUM(B47:G47)</f>
        <v>3675202.375</v>
      </c>
      <c r="I47" s="87">
        <f>+sgbelvar!P48</f>
        <v>150000</v>
      </c>
      <c r="J47" s="113">
        <f>SUM(I47:I47)</f>
        <v>150000</v>
      </c>
      <c r="K47" s="87">
        <f>+cbnavar!P48</f>
        <v>103837</v>
      </c>
      <c r="L47" s="87">
        <f>+scotiavar!P48</f>
        <v>94372</v>
      </c>
      <c r="M47" s="113">
        <f>SUM(K47:L47)</f>
        <v>198209</v>
      </c>
      <c r="N47" s="90">
        <f>+H47+J47+M47</f>
        <v>4023411.375</v>
      </c>
      <c r="O47" s="64"/>
      <c r="P47" s="419"/>
      <c r="Q47" s="419"/>
      <c r="R47" s="419"/>
      <c r="S47" s="419"/>
      <c r="T47" s="419"/>
      <c r="U47" s="419"/>
      <c r="V47" s="419"/>
      <c r="W47" s="419"/>
      <c r="X47" s="419"/>
      <c r="Y47" s="419"/>
      <c r="Z47" s="419"/>
      <c r="AA47" s="419"/>
      <c r="AB47" s="419"/>
      <c r="AC47" s="419"/>
      <c r="AD47" s="419"/>
      <c r="AE47" s="419"/>
      <c r="AF47" s="419"/>
      <c r="AG47" s="419"/>
      <c r="AH47" s="419"/>
      <c r="AI47" s="419"/>
      <c r="AJ47" s="419"/>
      <c r="AK47" s="419"/>
      <c r="AL47" s="419"/>
    </row>
    <row r="48" spans="1:38">
      <c r="A48" s="419" t="s">
        <v>280</v>
      </c>
      <c r="B48" s="87">
        <f>+bncvar!P49</f>
        <v>175715.15400000001</v>
      </c>
      <c r="C48" s="87">
        <f>+bphvar!P49</f>
        <v>53964</v>
      </c>
      <c r="D48" s="87">
        <f>+buhvar!P49</f>
        <v>26065.105</v>
      </c>
      <c r="E48" s="87">
        <f>+capitalbkvar!P49</f>
        <v>117270</v>
      </c>
      <c r="F48" s="87">
        <f>+sogebkvar!P49</f>
        <v>1003392.86263</v>
      </c>
      <c r="G48" s="87">
        <f>+unibkvar!P49</f>
        <v>65043.87904</v>
      </c>
      <c r="H48" s="89">
        <f>SUM(B48:G48)</f>
        <v>1441451.00067</v>
      </c>
      <c r="I48" s="87">
        <f>+sgbelvar!P49</f>
        <v>129575.44542</v>
      </c>
      <c r="J48" s="113">
        <f>SUM(I48:I48)</f>
        <v>129575.44542</v>
      </c>
      <c r="K48" s="87">
        <f>+cbnavar!P49</f>
        <v>70546</v>
      </c>
      <c r="L48" s="87">
        <f>+scotiavar!P49</f>
        <v>67566</v>
      </c>
      <c r="M48" s="113">
        <f>SUM(K48:L48)</f>
        <v>138112</v>
      </c>
      <c r="N48" s="90">
        <f>+H48+J48+M48</f>
        <v>1709138.44609</v>
      </c>
      <c r="O48" s="64"/>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row>
    <row r="49" spans="1:38">
      <c r="A49" s="419" t="s">
        <v>281</v>
      </c>
      <c r="B49" s="87">
        <f>+bncvar!P50</f>
        <v>0</v>
      </c>
      <c r="C49" s="87">
        <f>+bphvar!P50</f>
        <v>14325</v>
      </c>
      <c r="D49" s="87">
        <f>+buhvar!P50</f>
        <v>105320.72348</v>
      </c>
      <c r="E49" s="87">
        <f>+capitalbkvar!P50</f>
        <v>1387</v>
      </c>
      <c r="F49" s="87">
        <f>+sogebkvar!P50</f>
        <v>98479.455170000001</v>
      </c>
      <c r="G49" s="87">
        <f>+unibkvar!P50</f>
        <v>0</v>
      </c>
      <c r="H49" s="89">
        <f>SUM(B49:G49)</f>
        <v>219512.17865000002</v>
      </c>
      <c r="I49" s="87">
        <f>+sgbelvar!P50</f>
        <v>0</v>
      </c>
      <c r="J49" s="113">
        <f>SUM(I49:I49)</f>
        <v>0</v>
      </c>
      <c r="K49" s="87">
        <f>+cbnavar!P50</f>
        <v>0</v>
      </c>
      <c r="L49" s="87">
        <f>+scotiavar!P50</f>
        <v>0</v>
      </c>
      <c r="M49" s="113">
        <f>SUM(K49:L49)</f>
        <v>0</v>
      </c>
      <c r="N49" s="90">
        <f>+H49+J49+M49</f>
        <v>219512.17865000002</v>
      </c>
      <c r="O49" s="64"/>
      <c r="P49" s="419"/>
      <c r="Q49" s="419"/>
      <c r="R49" s="419"/>
      <c r="S49" s="419"/>
      <c r="T49" s="419"/>
      <c r="U49" s="419"/>
      <c r="V49" s="419"/>
      <c r="W49" s="419"/>
      <c r="X49" s="419"/>
      <c r="Y49" s="419"/>
      <c r="Z49" s="419"/>
      <c r="AA49" s="419"/>
      <c r="AB49" s="419"/>
      <c r="AC49" s="419"/>
      <c r="AD49" s="419"/>
      <c r="AE49" s="419"/>
      <c r="AF49" s="419"/>
      <c r="AG49" s="419"/>
      <c r="AH49" s="419"/>
      <c r="AI49" s="419"/>
      <c r="AJ49" s="419"/>
      <c r="AK49" s="419"/>
      <c r="AL49" s="419"/>
    </row>
    <row r="50" spans="1:38" ht="17.25">
      <c r="A50" s="419" t="s">
        <v>282</v>
      </c>
      <c r="B50" s="199">
        <f>+bncvar!P51</f>
        <v>1190471.26348</v>
      </c>
      <c r="C50" s="199">
        <f>+bphvar!P51</f>
        <v>-69403.781140000006</v>
      </c>
      <c r="D50" s="199">
        <f>+buhvar!P51</f>
        <v>-464392.59516000003</v>
      </c>
      <c r="E50" s="199">
        <f>+capitalbkvar!P51</f>
        <v>239810</v>
      </c>
      <c r="F50" s="199">
        <f>+sogebkvar!P51</f>
        <v>746086.99152000039</v>
      </c>
      <c r="G50" s="578">
        <f>+unibkvar!P51</f>
        <v>1688753.5638000001</v>
      </c>
      <c r="H50" s="262">
        <f>SUM(B50:G50)</f>
        <v>3331325.4425000004</v>
      </c>
      <c r="I50" s="993">
        <f>+sgbelvar!P51</f>
        <v>126823.99971999999</v>
      </c>
      <c r="J50" s="113">
        <f>SUM(I50:I50)</f>
        <v>126823.99971999999</v>
      </c>
      <c r="K50" s="722">
        <f>+cbnavar!P51</f>
        <v>40618</v>
      </c>
      <c r="L50" s="578">
        <f>+scotiavar!P51</f>
        <v>53605</v>
      </c>
      <c r="M50" s="262">
        <f>SUM(K50:L50)</f>
        <v>94223</v>
      </c>
      <c r="N50" s="587">
        <f>+H50+J50+M50</f>
        <v>3552372.4422200006</v>
      </c>
      <c r="O50" s="64"/>
      <c r="P50" s="424"/>
      <c r="Q50" s="424"/>
      <c r="R50" s="424"/>
      <c r="S50" s="419"/>
      <c r="T50" s="419"/>
      <c r="U50" s="419"/>
      <c r="V50" s="419"/>
      <c r="W50" s="419"/>
      <c r="X50" s="419"/>
      <c r="Y50" s="419"/>
      <c r="Z50" s="419"/>
      <c r="AA50" s="419"/>
      <c r="AB50" s="419"/>
      <c r="AC50" s="419"/>
      <c r="AD50" s="419"/>
      <c r="AE50" s="419"/>
      <c r="AF50" s="419"/>
      <c r="AG50" s="419"/>
      <c r="AH50" s="419"/>
      <c r="AI50" s="419"/>
      <c r="AJ50" s="419"/>
      <c r="AK50" s="419"/>
      <c r="AL50" s="419"/>
    </row>
    <row r="51" spans="1:38" ht="16.5" thickBot="1">
      <c r="A51" s="419" t="s">
        <v>54</v>
      </c>
      <c r="B51" s="97">
        <f t="shared" ref="B51:G51" si="6">SUM(B47:B50)</f>
        <v>1866186.4174799998</v>
      </c>
      <c r="C51" s="97">
        <f t="shared" si="6"/>
        <v>3885.2188599999936</v>
      </c>
      <c r="D51" s="97">
        <f t="shared" si="6"/>
        <v>-182804.39168</v>
      </c>
      <c r="E51" s="97">
        <f t="shared" si="6"/>
        <v>628467</v>
      </c>
      <c r="F51" s="97">
        <f t="shared" si="6"/>
        <v>2597959.30932</v>
      </c>
      <c r="G51" s="97">
        <f t="shared" si="6"/>
        <v>3753797.4428400001</v>
      </c>
      <c r="H51" s="96">
        <f>SUM(B51:G51)</f>
        <v>8667490.9968200009</v>
      </c>
      <c r="I51" s="97">
        <f t="shared" ref="I51:N51" si="7">SUM(I47:I50)</f>
        <v>406399.44513999997</v>
      </c>
      <c r="J51" s="584">
        <f t="shared" si="7"/>
        <v>406399.44513999997</v>
      </c>
      <c r="K51" s="97">
        <f t="shared" si="7"/>
        <v>215001</v>
      </c>
      <c r="L51" s="97">
        <f t="shared" si="7"/>
        <v>215543</v>
      </c>
      <c r="M51" s="115">
        <f t="shared" si="7"/>
        <v>430544</v>
      </c>
      <c r="N51" s="95">
        <f t="shared" si="7"/>
        <v>9504434.4419599995</v>
      </c>
      <c r="O51" s="64"/>
      <c r="P51" s="419"/>
      <c r="Q51" s="419"/>
      <c r="R51" s="419"/>
      <c r="S51" s="419"/>
      <c r="T51" s="419"/>
      <c r="U51" s="419"/>
      <c r="V51" s="419"/>
      <c r="W51" s="419"/>
      <c r="X51" s="419"/>
      <c r="Y51" s="419"/>
      <c r="Z51" s="419"/>
      <c r="AA51" s="419"/>
      <c r="AB51" s="419"/>
      <c r="AC51" s="419"/>
      <c r="AD51" s="419"/>
      <c r="AE51" s="419"/>
      <c r="AF51" s="419"/>
      <c r="AG51" s="419"/>
      <c r="AH51" s="419"/>
      <c r="AI51" s="419"/>
      <c r="AJ51" s="419"/>
      <c r="AK51" s="419"/>
      <c r="AL51" s="419"/>
    </row>
    <row r="52" spans="1:38">
      <c r="A52" s="419" t="s">
        <v>0</v>
      </c>
      <c r="B52" s="90">
        <f t="shared" ref="B52:M52" si="8">+B29+B35+B41+B43+B51</f>
        <v>36189769.395269997</v>
      </c>
      <c r="C52" s="90">
        <f t="shared" si="8"/>
        <v>1554700.9785550998</v>
      </c>
      <c r="D52" s="90">
        <f t="shared" si="8"/>
        <v>3391930.6967615229</v>
      </c>
      <c r="E52" s="90">
        <f t="shared" si="8"/>
        <v>8072990</v>
      </c>
      <c r="F52" s="90">
        <f t="shared" si="8"/>
        <v>43011332.643584318</v>
      </c>
      <c r="G52" s="90">
        <f t="shared" si="8"/>
        <v>48044439.725736327</v>
      </c>
      <c r="H52" s="89">
        <f t="shared" si="8"/>
        <v>140265163.43990725</v>
      </c>
      <c r="I52" s="90">
        <f t="shared" si="8"/>
        <v>4015789.93273</v>
      </c>
      <c r="J52" s="90">
        <f t="shared" si="8"/>
        <v>4015789.93273</v>
      </c>
      <c r="K52" s="90">
        <f t="shared" si="8"/>
        <v>5130227</v>
      </c>
      <c r="L52" s="90">
        <f t="shared" si="8"/>
        <v>4584124</v>
      </c>
      <c r="M52" s="113">
        <f t="shared" si="8"/>
        <v>9714351</v>
      </c>
      <c r="N52" s="90">
        <f>(+N29+N35+N41+N43+N51)</f>
        <v>153995304.37263727</v>
      </c>
      <c r="O52" s="64"/>
      <c r="P52" s="419"/>
      <c r="Q52" s="419"/>
      <c r="R52" s="419"/>
      <c r="S52" s="419"/>
      <c r="T52" s="419"/>
      <c r="U52" s="419"/>
      <c r="V52" s="419"/>
      <c r="W52" s="419"/>
      <c r="X52" s="419"/>
      <c r="Y52" s="419"/>
      <c r="Z52" s="419"/>
      <c r="AA52" s="419"/>
      <c r="AB52" s="419"/>
      <c r="AC52" s="419"/>
      <c r="AD52" s="419"/>
      <c r="AE52" s="419"/>
      <c r="AF52" s="419"/>
      <c r="AG52" s="419"/>
      <c r="AH52" s="419"/>
      <c r="AI52" s="419"/>
      <c r="AJ52" s="419"/>
      <c r="AK52" s="419"/>
      <c r="AL52" s="419"/>
    </row>
    <row r="53" spans="1:38">
      <c r="A53" s="419"/>
      <c r="B53" s="65"/>
      <c r="C53" s="65"/>
      <c r="D53" s="64"/>
      <c r="E53" s="65"/>
      <c r="F53" s="64"/>
      <c r="G53" s="64"/>
      <c r="H53" s="64"/>
      <c r="I53" s="64"/>
      <c r="J53" s="566"/>
      <c r="K53" s="64"/>
      <c r="L53" s="65"/>
      <c r="M53" s="64"/>
      <c r="N53" s="64"/>
      <c r="O53" s="64"/>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row>
    <row r="54" spans="1:38">
      <c r="A54" s="419"/>
      <c r="B54" s="65"/>
      <c r="C54" s="65"/>
      <c r="D54" s="64"/>
      <c r="E54" s="65"/>
      <c r="F54" s="64"/>
      <c r="G54" s="64"/>
      <c r="H54" s="64"/>
      <c r="I54" s="64"/>
      <c r="J54" s="566"/>
      <c r="K54" s="64"/>
      <c r="L54" s="65"/>
      <c r="M54" s="64"/>
      <c r="N54" s="64" t="s">
        <v>0</v>
      </c>
      <c r="O54" s="64"/>
      <c r="P54" s="419"/>
      <c r="Q54" s="419"/>
      <c r="R54" s="419"/>
      <c r="S54" s="419"/>
      <c r="T54" s="419"/>
      <c r="U54" s="419"/>
      <c r="V54" s="419"/>
      <c r="W54" s="419"/>
      <c r="X54" s="419"/>
      <c r="Y54" s="419"/>
      <c r="Z54" s="419"/>
      <c r="AA54" s="419"/>
      <c r="AB54" s="419"/>
      <c r="AC54" s="419"/>
      <c r="AD54" s="419"/>
      <c r="AE54" s="419"/>
      <c r="AF54" s="419"/>
      <c r="AG54" s="419"/>
      <c r="AH54" s="419"/>
      <c r="AI54" s="419"/>
      <c r="AJ54" s="419"/>
      <c r="AK54" s="419"/>
      <c r="AL54" s="419"/>
    </row>
    <row r="55" spans="1:38">
      <c r="A55" s="426" t="s">
        <v>283</v>
      </c>
      <c r="B55" s="87" t="s">
        <v>0</v>
      </c>
      <c r="C55" s="418"/>
      <c r="D55" s="418"/>
      <c r="E55" s="418"/>
      <c r="F55" s="418"/>
      <c r="G55" s="418"/>
      <c r="H55" s="418"/>
      <c r="I55" s="418"/>
      <c r="J55" s="567"/>
      <c r="K55" s="87" t="s">
        <v>0</v>
      </c>
      <c r="L55" s="418"/>
      <c r="M55" s="64"/>
      <c r="N55" s="64"/>
      <c r="O55" s="64"/>
      <c r="P55" s="419"/>
      <c r="Q55" s="419"/>
      <c r="R55" s="419"/>
      <c r="S55" s="419"/>
      <c r="T55" s="419"/>
      <c r="U55" s="419"/>
      <c r="V55" s="419"/>
      <c r="W55" s="419"/>
      <c r="X55" s="419"/>
      <c r="Y55" s="419"/>
      <c r="Z55" s="419"/>
      <c r="AA55" s="419"/>
      <c r="AB55" s="419"/>
      <c r="AC55" s="419"/>
      <c r="AD55" s="419"/>
      <c r="AE55" s="419"/>
      <c r="AF55" s="419"/>
      <c r="AG55" s="419"/>
      <c r="AH55" s="419"/>
      <c r="AI55" s="419"/>
      <c r="AJ55" s="419"/>
      <c r="AK55" s="419"/>
      <c r="AL55" s="419"/>
    </row>
    <row r="56" spans="1:38">
      <c r="A56" s="418" t="s">
        <v>358</v>
      </c>
      <c r="B56" s="87">
        <f>+bncvar!P57</f>
        <v>0</v>
      </c>
      <c r="C56" s="87">
        <f>+bphvar!P57</f>
        <v>0</v>
      </c>
      <c r="D56" s="87">
        <f>+buhvar!P57</f>
        <v>0</v>
      </c>
      <c r="E56" s="87">
        <f>+capitalbkvar!P57</f>
        <v>0</v>
      </c>
      <c r="F56" s="87">
        <f>+sogebkvar!P57</f>
        <v>219678.57767999999</v>
      </c>
      <c r="G56" s="87">
        <f>+unibkvar!P57</f>
        <v>145.10341</v>
      </c>
      <c r="H56" s="89">
        <f>SUM(B56:G56)</f>
        <v>219823.68109</v>
      </c>
      <c r="I56" s="87">
        <f>+sgbelvar!P57</f>
        <v>0</v>
      </c>
      <c r="J56" s="113">
        <f>SUM(I56:I56)</f>
        <v>0</v>
      </c>
      <c r="K56" s="87">
        <f>+cbnavar!P57</f>
        <v>0</v>
      </c>
      <c r="L56" s="87">
        <f>+scotiavar!P57</f>
        <v>0</v>
      </c>
      <c r="M56" s="113">
        <f>SUM(K56:L56)</f>
        <v>0</v>
      </c>
      <c r="N56" s="90">
        <f>+H56+J56+M56</f>
        <v>219823.68109</v>
      </c>
      <c r="O56" s="64"/>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row>
    <row r="57" spans="1:38">
      <c r="A57" s="418" t="s">
        <v>359</v>
      </c>
      <c r="B57" s="87">
        <f>+bncvar!P58</f>
        <v>52598.228999999999</v>
      </c>
      <c r="C57" s="87">
        <f>+bphvar!P58</f>
        <v>0</v>
      </c>
      <c r="D57" s="87">
        <f>+buhvar!P58</f>
        <v>0</v>
      </c>
      <c r="E57" s="87">
        <f>+capitalbkvar!P58</f>
        <v>0</v>
      </c>
      <c r="F57" s="87">
        <f>+sogebkvar!P58</f>
        <v>661696.7755499999</v>
      </c>
      <c r="G57" s="87">
        <f>+unibkvar!P58</f>
        <v>694553.33932944015</v>
      </c>
      <c r="H57" s="89">
        <f>SUM(B57:G57)</f>
        <v>1408848.3438794401</v>
      </c>
      <c r="I57" s="87">
        <f>+sgbelvar!P58</f>
        <v>0</v>
      </c>
      <c r="J57" s="113">
        <f>SUM(I57:I57)</f>
        <v>0</v>
      </c>
      <c r="K57" s="87">
        <f>+cbnavar!P58</f>
        <v>28682</v>
      </c>
      <c r="L57" s="87">
        <f>+scotiavar!P58</f>
        <v>4817</v>
      </c>
      <c r="M57" s="113">
        <f>SUM(K57:L57)</f>
        <v>33499</v>
      </c>
      <c r="N57" s="90">
        <f>+H57+J57+M57</f>
        <v>1442347.3438794401</v>
      </c>
      <c r="O57" s="64"/>
      <c r="P57" s="419"/>
      <c r="Q57" s="419"/>
      <c r="R57" s="419"/>
      <c r="S57" s="419"/>
      <c r="T57" s="419"/>
      <c r="U57" s="419"/>
      <c r="V57" s="419"/>
      <c r="W57" s="419"/>
      <c r="X57" s="419"/>
      <c r="Y57" s="419"/>
      <c r="Z57" s="419"/>
      <c r="AA57" s="419"/>
      <c r="AB57" s="419"/>
      <c r="AC57" s="419"/>
      <c r="AD57" s="419"/>
      <c r="AE57" s="419"/>
      <c r="AF57" s="419"/>
      <c r="AG57" s="419"/>
      <c r="AH57" s="419"/>
      <c r="AI57" s="419"/>
      <c r="AJ57" s="419"/>
      <c r="AK57" s="419"/>
      <c r="AL57" s="419"/>
    </row>
    <row r="58" spans="1:38">
      <c r="A58" s="418" t="s">
        <v>360</v>
      </c>
      <c r="B58" s="87">
        <f>+bncvar!P59</f>
        <v>47029.754000000001</v>
      </c>
      <c r="C58" s="87">
        <f>+bphvar!P59</f>
        <v>18741373.979716074</v>
      </c>
      <c r="D58" s="87">
        <f>+buhvar!P59</f>
        <v>0</v>
      </c>
      <c r="E58" s="87">
        <f>+capitalbkvar!P59</f>
        <v>55341</v>
      </c>
      <c r="F58" s="87">
        <f>+sogebkvar!P59</f>
        <v>2030626.4121399997</v>
      </c>
      <c r="G58" s="87">
        <f>+unibkvar!P59</f>
        <v>475139.26518574194</v>
      </c>
      <c r="H58" s="89">
        <f>SUM(B58:G58)</f>
        <v>21349510.411041819</v>
      </c>
      <c r="I58" s="87">
        <f>+sgbelvar!P59</f>
        <v>406029.01094000001</v>
      </c>
      <c r="J58" s="113">
        <f>SUM(I58:I58)</f>
        <v>406029.01094000001</v>
      </c>
      <c r="K58" s="87">
        <f>+cbnavar!P59</f>
        <v>1397646</v>
      </c>
      <c r="L58" s="87">
        <f>+scotiavar!P59</f>
        <v>205630</v>
      </c>
      <c r="M58" s="113">
        <f>SUM(K58:L58)</f>
        <v>1603276</v>
      </c>
      <c r="N58" s="90">
        <f>+H58+J58+M58</f>
        <v>23358815.421981819</v>
      </c>
      <c r="O58" s="64"/>
      <c r="P58" s="419"/>
      <c r="Q58" s="419"/>
      <c r="R58" s="419"/>
      <c r="S58" s="419"/>
      <c r="T58" s="419"/>
      <c r="U58" s="419"/>
      <c r="V58" s="419"/>
      <c r="W58" s="419"/>
      <c r="X58" s="419"/>
      <c r="Y58" s="419"/>
      <c r="Z58" s="419"/>
      <c r="AA58" s="419"/>
      <c r="AB58" s="419"/>
      <c r="AC58" s="419"/>
      <c r="AD58" s="419"/>
      <c r="AE58" s="419"/>
      <c r="AF58" s="419"/>
      <c r="AG58" s="419"/>
      <c r="AH58" s="419"/>
      <c r="AI58" s="419"/>
      <c r="AJ58" s="419"/>
      <c r="AK58" s="419"/>
      <c r="AL58" s="419"/>
    </row>
    <row r="59" spans="1:38">
      <c r="B59" s="87" t="s">
        <v>0</v>
      </c>
      <c r="C59" s="87"/>
      <c r="E59" s="88"/>
      <c r="F59" s="87"/>
      <c r="G59" s="87"/>
      <c r="H59" s="93"/>
      <c r="I59" s="87"/>
      <c r="J59" s="565"/>
      <c r="K59" s="87"/>
      <c r="L59" s="87"/>
      <c r="M59" s="114"/>
      <c r="N59" s="90"/>
      <c r="O59" s="64"/>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row>
    <row r="60" spans="1:38">
      <c r="A60" s="489" t="s">
        <v>361</v>
      </c>
      <c r="B60" s="87">
        <f>+bncvar!P61</f>
        <v>4143937.3332700003</v>
      </c>
      <c r="C60" s="87">
        <f>+bphvar!P61</f>
        <v>688058.56169</v>
      </c>
      <c r="D60" s="87">
        <f>+buhvar!P61</f>
        <v>1209091.2</v>
      </c>
      <c r="E60" s="87">
        <f>+capitalbkvar!P61</f>
        <v>3342503</v>
      </c>
      <c r="F60" s="87">
        <f>+sogebkvar!P61</f>
        <v>11928394.60496</v>
      </c>
      <c r="G60" s="87">
        <f>+unibkvar!P61</f>
        <v>13196317.688519999</v>
      </c>
      <c r="H60" s="89">
        <f>SUM(B60:G60)</f>
        <v>34508302.388439998</v>
      </c>
      <c r="I60" s="87">
        <f>+sgbelvar!P61</f>
        <v>1796790.877043</v>
      </c>
      <c r="J60" s="113">
        <f>SUM(I60:I60)</f>
        <v>1796790.877043</v>
      </c>
      <c r="K60" s="87">
        <f>+cbnavar!P61</f>
        <v>1799066</v>
      </c>
      <c r="L60" s="87">
        <f>+scotiavar!P61</f>
        <v>1971431</v>
      </c>
      <c r="M60" s="113">
        <f>SUM(K60:L60)</f>
        <v>3770497</v>
      </c>
      <c r="N60" s="90">
        <f>+H60+J60+M60</f>
        <v>40075590.265482999</v>
      </c>
      <c r="O60" s="64"/>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row>
    <row r="61" spans="1:38">
      <c r="A61" s="427" t="s">
        <v>362</v>
      </c>
      <c r="B61" s="87">
        <f>+bncvar!P62</f>
        <v>392794.71499999997</v>
      </c>
      <c r="C61" s="87">
        <f>+bphvar!P62</f>
        <v>262261.24430000002</v>
      </c>
      <c r="D61" s="87">
        <f>+buhvar!P62</f>
        <v>85134.2</v>
      </c>
      <c r="E61" s="87">
        <f>+capitalbkvar!P62</f>
        <v>37812</v>
      </c>
      <c r="F61" s="87">
        <f>+sogebkvar!P62</f>
        <v>281215.75761999999</v>
      </c>
      <c r="G61" s="87">
        <f>+unibkvar!P62</f>
        <v>52787.334260000003</v>
      </c>
      <c r="H61" s="89">
        <f>SUM(B61:G61)</f>
        <v>1112005.2511799999</v>
      </c>
      <c r="I61" s="87">
        <f>+sgbelvar!P62</f>
        <v>79586.540659999999</v>
      </c>
      <c r="J61" s="113">
        <f>SUM(I61:I61)</f>
        <v>79586.540659999999</v>
      </c>
      <c r="K61" s="87">
        <f>+cbnavar!P62</f>
        <v>39156</v>
      </c>
      <c r="L61" s="87">
        <f>+scotiavar!P62</f>
        <v>147538</v>
      </c>
      <c r="M61" s="113">
        <f>SUM(K61:L61)</f>
        <v>186694</v>
      </c>
      <c r="N61" s="90">
        <f>+H61+J61+M61</f>
        <v>1378285.7918399998</v>
      </c>
      <c r="O61" s="64" t="s">
        <v>0</v>
      </c>
      <c r="P61" s="419"/>
      <c r="Q61" s="419"/>
      <c r="R61" s="419"/>
      <c r="S61" s="419"/>
      <c r="T61" s="419"/>
      <c r="U61" s="419"/>
      <c r="V61" s="419"/>
      <c r="W61" s="419"/>
      <c r="X61" s="419"/>
      <c r="Y61" s="419"/>
      <c r="Z61" s="419"/>
      <c r="AA61" s="419"/>
      <c r="AB61" s="419"/>
      <c r="AC61" s="419"/>
      <c r="AD61" s="419"/>
      <c r="AE61" s="419"/>
      <c r="AF61" s="419"/>
      <c r="AG61" s="419"/>
      <c r="AH61" s="419"/>
      <c r="AI61" s="419"/>
      <c r="AJ61" s="419"/>
      <c r="AK61" s="419"/>
      <c r="AL61" s="419"/>
    </row>
    <row r="62" spans="1:38">
      <c r="A62" s="489" t="s">
        <v>363</v>
      </c>
      <c r="B62" s="87">
        <f>+bncvar!P63</f>
        <v>392796.28700000001</v>
      </c>
      <c r="C62" s="87">
        <f>+bphvar!P63</f>
        <v>315640.42819000001</v>
      </c>
      <c r="D62" s="87">
        <f>+buhvar!P63</f>
        <v>85511</v>
      </c>
      <c r="E62" s="87">
        <f>+capitalbkvar!P63</f>
        <v>23432</v>
      </c>
      <c r="F62" s="87">
        <f>+sogebkvar!P63</f>
        <v>173346</v>
      </c>
      <c r="G62" s="87">
        <f>+unibkvar!P63</f>
        <v>58416.757410000006</v>
      </c>
      <c r="H62" s="89">
        <f>SUM(B62:G62)</f>
        <v>1049142.4726</v>
      </c>
      <c r="I62" s="87">
        <f>+sgbelvar!P63</f>
        <v>118165.0926667</v>
      </c>
      <c r="J62" s="113">
        <f>SUM(I62:I62)</f>
        <v>118165.0926667</v>
      </c>
      <c r="K62" s="87">
        <f>+cbnavar!P63</f>
        <v>0</v>
      </c>
      <c r="L62" s="87">
        <f>+scotiavar!P63</f>
        <v>313049</v>
      </c>
      <c r="M62" s="113">
        <f>SUM(K62:L62)</f>
        <v>313049</v>
      </c>
      <c r="N62" s="90">
        <f>+H62+J62+M62</f>
        <v>1480356.5652667</v>
      </c>
      <c r="O62" s="64"/>
      <c r="P62" s="419"/>
      <c r="Q62" s="419"/>
      <c r="R62" s="419"/>
      <c r="S62" s="419"/>
      <c r="T62" s="419"/>
      <c r="U62" s="419"/>
      <c r="V62" s="419"/>
      <c r="W62" s="419"/>
      <c r="X62" s="419"/>
      <c r="Y62" s="419"/>
      <c r="Z62" s="419"/>
      <c r="AA62" s="419"/>
      <c r="AB62" s="419"/>
      <c r="AC62" s="419"/>
      <c r="AD62" s="419"/>
      <c r="AE62" s="419"/>
      <c r="AF62" s="419"/>
      <c r="AG62" s="419"/>
      <c r="AH62" s="419"/>
      <c r="AI62" s="419"/>
      <c r="AJ62" s="419"/>
      <c r="AK62" s="419"/>
      <c r="AL62" s="419"/>
    </row>
    <row r="63" spans="1:38">
      <c r="B63" s="418"/>
      <c r="C63" s="418"/>
      <c r="D63" s="418"/>
      <c r="E63" s="418"/>
      <c r="F63" s="418"/>
      <c r="G63" s="418"/>
      <c r="H63" s="418"/>
      <c r="I63" s="418"/>
      <c r="J63" s="418"/>
      <c r="K63" s="418"/>
      <c r="L63" s="418"/>
      <c r="M63" s="64"/>
      <c r="N63" s="64"/>
      <c r="O63" s="64"/>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row>
    <row r="64" spans="1:38">
      <c r="A64" s="421" t="s">
        <v>0</v>
      </c>
      <c r="B64" s="418"/>
      <c r="C64" s="418"/>
      <c r="D64" s="418"/>
      <c r="E64" s="418"/>
      <c r="F64" s="418"/>
      <c r="G64" s="418"/>
      <c r="H64" s="418"/>
      <c r="I64" s="418"/>
      <c r="J64" s="418"/>
      <c r="K64" s="418"/>
      <c r="L64" s="418"/>
      <c r="M64" s="64"/>
      <c r="N64" s="64"/>
      <c r="O64" s="64"/>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row>
    <row r="65" spans="1:38">
      <c r="B65" s="418"/>
      <c r="C65" s="418"/>
      <c r="D65" s="418"/>
      <c r="E65" s="418"/>
      <c r="F65" s="418"/>
      <c r="G65" s="418"/>
      <c r="H65" s="418"/>
      <c r="I65" s="23" t="s">
        <v>0</v>
      </c>
      <c r="J65" s="418"/>
      <c r="K65" s="418"/>
      <c r="L65" s="418"/>
      <c r="M65" s="64"/>
      <c r="N65" s="64"/>
      <c r="O65" s="64"/>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row>
    <row r="66" spans="1:38">
      <c r="B66" s="418"/>
      <c r="C66" s="418"/>
      <c r="D66" s="418"/>
      <c r="E66" s="418"/>
      <c r="F66" s="418"/>
      <c r="G66" s="418"/>
      <c r="H66" s="418"/>
      <c r="I66" s="418"/>
      <c r="J66" s="418"/>
      <c r="K66" s="418"/>
      <c r="L66" s="418"/>
      <c r="M66" s="64"/>
      <c r="N66" s="64"/>
      <c r="O66" s="64"/>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row>
    <row r="67" spans="1:38">
      <c r="B67" s="418"/>
      <c r="C67" s="418"/>
      <c r="D67" s="418"/>
      <c r="E67" s="418"/>
      <c r="F67" s="418"/>
      <c r="G67" s="418"/>
      <c r="H67" s="418"/>
      <c r="I67" s="418"/>
      <c r="J67" s="418"/>
      <c r="K67" s="418"/>
      <c r="L67" s="418"/>
      <c r="M67" s="64"/>
      <c r="N67" s="64"/>
      <c r="O67" s="64"/>
      <c r="P67" s="419"/>
      <c r="Q67" s="419"/>
      <c r="R67" s="419"/>
      <c r="S67" s="419"/>
      <c r="T67" s="419"/>
      <c r="U67" s="419"/>
      <c r="V67" s="419"/>
      <c r="W67" s="419"/>
      <c r="X67" s="419"/>
      <c r="Y67" s="419"/>
      <c r="Z67" s="419"/>
      <c r="AA67" s="419"/>
      <c r="AB67" s="419"/>
      <c r="AC67" s="419"/>
      <c r="AD67" s="419"/>
      <c r="AE67" s="419"/>
      <c r="AF67" s="419"/>
      <c r="AG67" s="419"/>
      <c r="AH67" s="419"/>
      <c r="AI67" s="419"/>
      <c r="AJ67" s="419"/>
      <c r="AK67" s="419"/>
      <c r="AL67" s="419"/>
    </row>
    <row r="68" spans="1:38">
      <c r="A68" s="418" t="s">
        <v>364</v>
      </c>
      <c r="B68" s="20">
        <v>3222281</v>
      </c>
      <c r="C68" s="20">
        <v>352143.8</v>
      </c>
      <c r="D68" s="20">
        <v>1086868</v>
      </c>
      <c r="E68" s="20">
        <v>1974544</v>
      </c>
      <c r="F68" s="20">
        <v>12616073</v>
      </c>
      <c r="G68" s="20">
        <v>11637240.199999999</v>
      </c>
      <c r="H68" s="89">
        <f>SUM(B68:G68)</f>
        <v>30889150</v>
      </c>
      <c r="I68" s="20">
        <v>1460963.3</v>
      </c>
      <c r="J68" s="113">
        <f>+I68</f>
        <v>1460963.3</v>
      </c>
      <c r="K68" s="20">
        <v>1745698</v>
      </c>
      <c r="L68" s="20">
        <v>491675</v>
      </c>
      <c r="M68" s="113">
        <f>SUM(K68:L68)</f>
        <v>2237373</v>
      </c>
      <c r="N68" s="90">
        <f>+H68+J68+M68</f>
        <v>34587486.299999997</v>
      </c>
      <c r="O68" s="64"/>
      <c r="P68" s="419"/>
      <c r="Q68" s="419"/>
      <c r="R68" s="419"/>
      <c r="S68" s="419"/>
      <c r="T68" s="419"/>
      <c r="U68" s="419"/>
      <c r="V68" s="419"/>
      <c r="W68" s="419"/>
      <c r="X68" s="419"/>
      <c r="Y68" s="419"/>
      <c r="Z68" s="419"/>
      <c r="AA68" s="419"/>
      <c r="AB68" s="419"/>
      <c r="AC68" s="419"/>
      <c r="AD68" s="419"/>
      <c r="AE68" s="419"/>
      <c r="AF68" s="419"/>
      <c r="AG68" s="419"/>
      <c r="AH68" s="419"/>
      <c r="AI68" s="419"/>
      <c r="AJ68" s="419"/>
      <c r="AK68" s="419"/>
      <c r="AL68" s="419"/>
    </row>
    <row r="69" spans="1:38">
      <c r="B69" s="418"/>
      <c r="C69" s="418"/>
      <c r="D69" s="418"/>
      <c r="E69" s="418"/>
      <c r="F69" s="418"/>
      <c r="G69" s="418"/>
      <c r="H69" s="418"/>
      <c r="I69" s="418"/>
      <c r="J69" s="418"/>
      <c r="K69" s="418"/>
      <c r="L69" s="418"/>
      <c r="M69" s="64"/>
      <c r="N69" s="64"/>
      <c r="O69" s="64"/>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row>
    <row r="70" spans="1:38">
      <c r="B70" s="418"/>
      <c r="C70" s="418"/>
      <c r="D70" s="418"/>
      <c r="E70" s="418"/>
      <c r="F70" s="418"/>
      <c r="G70" s="418"/>
      <c r="H70" s="418"/>
      <c r="I70" s="418"/>
      <c r="J70" s="418"/>
      <c r="K70" s="418"/>
      <c r="L70" s="418"/>
      <c r="M70" s="64"/>
      <c r="N70" s="64"/>
      <c r="O70" s="64"/>
      <c r="P70" s="419"/>
      <c r="Q70" s="419"/>
      <c r="R70" s="419"/>
      <c r="S70" s="419"/>
      <c r="T70" s="419"/>
      <c r="U70" s="419"/>
      <c r="V70" s="419"/>
      <c r="W70" s="419"/>
      <c r="X70" s="419"/>
      <c r="Y70" s="419"/>
      <c r="Z70" s="419"/>
      <c r="AA70" s="419"/>
      <c r="AB70" s="419"/>
      <c r="AC70" s="419"/>
      <c r="AD70" s="419"/>
      <c r="AE70" s="419"/>
      <c r="AF70" s="419"/>
      <c r="AG70" s="419"/>
      <c r="AH70" s="419"/>
      <c r="AI70" s="419"/>
      <c r="AJ70" s="419"/>
      <c r="AK70" s="419"/>
      <c r="AL70" s="419"/>
    </row>
    <row r="71" spans="1:38">
      <c r="B71" s="418"/>
      <c r="C71" s="418"/>
      <c r="D71" s="418"/>
      <c r="E71" s="418"/>
      <c r="F71" s="418"/>
      <c r="G71" s="418"/>
      <c r="H71" s="418"/>
      <c r="I71" s="418"/>
      <c r="J71" s="418"/>
      <c r="K71" s="418"/>
      <c r="L71" s="418"/>
      <c r="M71" s="64"/>
      <c r="N71" s="64"/>
      <c r="O71" s="64"/>
      <c r="P71" s="419"/>
      <c r="Q71" s="419"/>
      <c r="R71" s="419"/>
      <c r="S71" s="419"/>
      <c r="T71" s="419"/>
      <c r="U71" s="419"/>
      <c r="V71" s="419"/>
      <c r="W71" s="419"/>
      <c r="X71" s="419"/>
      <c r="Y71" s="419"/>
      <c r="Z71" s="419"/>
      <c r="AA71" s="419"/>
      <c r="AB71" s="419"/>
      <c r="AC71" s="419"/>
      <c r="AD71" s="419"/>
      <c r="AE71" s="419"/>
      <c r="AF71" s="419"/>
      <c r="AG71" s="419"/>
      <c r="AH71" s="419"/>
      <c r="AI71" s="419"/>
      <c r="AJ71" s="419"/>
      <c r="AK71" s="419"/>
      <c r="AL71" s="419"/>
    </row>
    <row r="72" spans="1:38">
      <c r="B72" s="418"/>
      <c r="C72" s="418"/>
      <c r="D72" s="418"/>
      <c r="E72" s="418"/>
      <c r="F72" s="418"/>
      <c r="G72" s="418"/>
      <c r="H72" s="418"/>
      <c r="I72" s="418"/>
      <c r="J72" s="418"/>
      <c r="K72" s="418"/>
      <c r="L72" s="418"/>
      <c r="M72" s="64"/>
      <c r="N72" s="64"/>
      <c r="O72" s="64"/>
      <c r="P72" s="419"/>
      <c r="Q72" s="419"/>
      <c r="R72" s="419"/>
      <c r="S72" s="419"/>
      <c r="T72" s="419"/>
      <c r="U72" s="419"/>
      <c r="V72" s="419"/>
      <c r="W72" s="419"/>
      <c r="X72" s="419"/>
      <c r="Y72" s="419"/>
      <c r="Z72" s="419"/>
      <c r="AA72" s="419"/>
      <c r="AB72" s="419"/>
      <c r="AC72" s="419"/>
      <c r="AD72" s="419"/>
      <c r="AE72" s="419"/>
      <c r="AF72" s="419"/>
      <c r="AG72" s="419"/>
      <c r="AH72" s="419"/>
      <c r="AI72" s="419"/>
      <c r="AJ72" s="419"/>
      <c r="AK72" s="419"/>
      <c r="AL72" s="419"/>
    </row>
    <row r="73" spans="1:38">
      <c r="A73" s="417"/>
      <c r="B73" s="429"/>
      <c r="C73" s="592"/>
      <c r="D73" s="592"/>
      <c r="F73" s="417"/>
      <c r="J73" s="418"/>
      <c r="K73" s="418"/>
      <c r="L73" s="417"/>
      <c r="M73" s="418"/>
      <c r="N73" s="64"/>
      <c r="O73" s="64"/>
      <c r="P73" s="419"/>
      <c r="Q73" s="419"/>
      <c r="R73" s="419"/>
      <c r="S73" s="419"/>
      <c r="T73" s="419"/>
      <c r="U73" s="419"/>
      <c r="V73" s="419"/>
      <c r="W73" s="419"/>
      <c r="X73" s="419"/>
      <c r="Y73" s="419"/>
      <c r="Z73" s="419"/>
      <c r="AA73" s="419"/>
      <c r="AB73" s="419"/>
      <c r="AC73" s="419"/>
      <c r="AD73" s="419"/>
      <c r="AE73" s="419"/>
      <c r="AF73" s="419"/>
      <c r="AG73" s="419"/>
      <c r="AH73" s="419"/>
      <c r="AI73" s="419"/>
      <c r="AJ73" s="419"/>
      <c r="AK73" s="419"/>
      <c r="AL73" s="419"/>
    </row>
    <row r="74" spans="1:38">
      <c r="A74" s="417"/>
      <c r="B74" s="418"/>
      <c r="C74" s="418"/>
      <c r="F74" s="418"/>
      <c r="J74" s="418"/>
      <c r="K74" s="418"/>
      <c r="L74" s="418"/>
      <c r="M74" s="418"/>
      <c r="N74" s="64"/>
      <c r="O74" s="64"/>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row>
    <row r="75" spans="1:38">
      <c r="A75" s="670"/>
      <c r="B75" s="591"/>
      <c r="C75" s="670"/>
      <c r="D75" s="672"/>
      <c r="F75" s="671"/>
      <c r="J75" s="418"/>
      <c r="K75" s="418"/>
      <c r="L75" s="670"/>
      <c r="M75" s="671"/>
      <c r="N75" s="64"/>
      <c r="O75" s="64"/>
      <c r="P75" s="419"/>
      <c r="Q75" s="419"/>
      <c r="R75" s="419"/>
      <c r="S75" s="419"/>
      <c r="T75" s="419"/>
      <c r="U75" s="419"/>
      <c r="V75" s="419"/>
      <c r="W75" s="419"/>
      <c r="X75" s="419"/>
      <c r="Y75" s="419"/>
      <c r="Z75" s="419"/>
      <c r="AA75" s="419"/>
      <c r="AB75" s="419"/>
      <c r="AC75" s="419"/>
      <c r="AD75" s="419"/>
      <c r="AE75" s="419"/>
      <c r="AF75" s="419"/>
      <c r="AG75" s="419"/>
      <c r="AH75" s="419"/>
      <c r="AI75" s="419"/>
      <c r="AJ75" s="419"/>
      <c r="AK75" s="419"/>
      <c r="AL75" s="419"/>
    </row>
    <row r="76" spans="1:38">
      <c r="A76" s="670"/>
      <c r="B76" s="591"/>
      <c r="C76" s="670"/>
      <c r="D76" s="672"/>
      <c r="F76" s="671"/>
      <c r="J76" s="418"/>
      <c r="K76" s="418"/>
      <c r="L76" s="670"/>
      <c r="M76" s="671"/>
      <c r="N76" s="64"/>
      <c r="O76" s="64"/>
      <c r="P76" s="419"/>
      <c r="Q76" s="419"/>
      <c r="R76" s="419"/>
      <c r="S76" s="419"/>
      <c r="T76" s="419"/>
      <c r="U76" s="419"/>
      <c r="V76" s="419"/>
      <c r="W76" s="419"/>
      <c r="X76" s="419"/>
      <c r="Y76" s="419"/>
      <c r="Z76" s="419"/>
      <c r="AA76" s="419"/>
      <c r="AB76" s="419"/>
      <c r="AC76" s="419"/>
      <c r="AD76" s="419"/>
      <c r="AE76" s="419"/>
      <c r="AF76" s="419"/>
      <c r="AG76" s="419"/>
      <c r="AH76" s="419"/>
      <c r="AI76" s="419"/>
      <c r="AJ76" s="419"/>
      <c r="AK76" s="419"/>
      <c r="AL76" s="419"/>
    </row>
    <row r="77" spans="1:38">
      <c r="A77" s="670"/>
      <c r="B77" s="591"/>
      <c r="C77" s="670"/>
      <c r="D77" s="672"/>
      <c r="F77" s="671"/>
      <c r="J77" s="418"/>
      <c r="K77" s="418"/>
      <c r="L77" s="670"/>
      <c r="M77" s="671"/>
      <c r="N77" s="64"/>
      <c r="O77" s="64"/>
      <c r="P77" s="419"/>
      <c r="Q77" s="419"/>
      <c r="R77" s="419"/>
      <c r="S77" s="419"/>
      <c r="T77" s="419"/>
      <c r="U77" s="419"/>
      <c r="V77" s="419"/>
      <c r="W77" s="419"/>
      <c r="X77" s="419"/>
      <c r="Y77" s="419"/>
      <c r="Z77" s="419"/>
      <c r="AA77" s="419"/>
      <c r="AB77" s="419"/>
      <c r="AC77" s="419"/>
      <c r="AD77" s="419"/>
      <c r="AE77" s="419"/>
      <c r="AF77" s="419"/>
      <c r="AG77" s="419"/>
      <c r="AH77" s="419"/>
      <c r="AI77" s="419"/>
      <c r="AJ77" s="419"/>
      <c r="AK77" s="419"/>
      <c r="AL77" s="419"/>
    </row>
    <row r="78" spans="1:38">
      <c r="A78" s="670"/>
      <c r="B78" s="591"/>
      <c r="C78" s="670"/>
      <c r="D78" s="672"/>
      <c r="F78" s="671"/>
      <c r="J78" s="418"/>
      <c r="K78" s="418"/>
      <c r="L78" s="670"/>
      <c r="M78" s="671"/>
      <c r="N78" s="64"/>
      <c r="O78" s="64"/>
      <c r="P78" s="419"/>
      <c r="Q78" s="419"/>
      <c r="R78" s="419"/>
      <c r="S78" s="419"/>
      <c r="T78" s="419"/>
      <c r="U78" s="419"/>
      <c r="V78" s="419"/>
      <c r="W78" s="419"/>
      <c r="X78" s="419"/>
      <c r="Y78" s="419"/>
      <c r="Z78" s="419"/>
      <c r="AA78" s="419"/>
      <c r="AB78" s="419"/>
      <c r="AC78" s="419"/>
      <c r="AD78" s="419"/>
      <c r="AE78" s="419"/>
      <c r="AF78" s="419"/>
      <c r="AG78" s="419"/>
      <c r="AH78" s="419"/>
      <c r="AI78" s="419"/>
      <c r="AJ78" s="419"/>
      <c r="AK78" s="419"/>
      <c r="AL78" s="419"/>
    </row>
    <row r="79" spans="1:38">
      <c r="A79" s="670"/>
      <c r="B79" s="591"/>
      <c r="C79" s="670"/>
      <c r="D79" s="672"/>
      <c r="F79" s="671"/>
      <c r="J79" s="418"/>
      <c r="K79" s="418"/>
      <c r="L79" s="670"/>
      <c r="M79" s="671"/>
      <c r="N79" s="64"/>
      <c r="O79" s="64"/>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row>
    <row r="80" spans="1:38">
      <c r="A80" s="670"/>
      <c r="B80" s="591"/>
      <c r="C80" s="670"/>
      <c r="D80" s="672"/>
      <c r="F80" s="671"/>
      <c r="J80" s="418"/>
      <c r="K80" s="418"/>
      <c r="L80" s="670"/>
      <c r="M80" s="671"/>
      <c r="N80" s="64"/>
      <c r="O80" s="64"/>
      <c r="P80" s="419"/>
      <c r="Q80" s="419"/>
      <c r="R80" s="419"/>
      <c r="S80" s="419"/>
      <c r="T80" s="419"/>
      <c r="U80" s="419"/>
      <c r="V80" s="419"/>
      <c r="W80" s="419"/>
      <c r="X80" s="419"/>
      <c r="Y80" s="419"/>
      <c r="Z80" s="419"/>
      <c r="AA80" s="419"/>
      <c r="AB80" s="419"/>
      <c r="AC80" s="419"/>
      <c r="AD80" s="419"/>
      <c r="AE80" s="419"/>
      <c r="AF80" s="419"/>
      <c r="AG80" s="419"/>
      <c r="AH80" s="419"/>
      <c r="AI80" s="419"/>
      <c r="AJ80" s="419"/>
      <c r="AK80" s="419"/>
      <c r="AL80" s="419"/>
    </row>
    <row r="81" spans="1:38">
      <c r="A81" s="670"/>
      <c r="B81" s="591"/>
      <c r="C81" s="670"/>
      <c r="D81" s="672"/>
      <c r="F81" s="671"/>
      <c r="J81" s="418"/>
      <c r="K81" s="418"/>
      <c r="L81" s="670"/>
      <c r="M81" s="671"/>
      <c r="N81" s="64"/>
      <c r="O81" s="64"/>
      <c r="P81" s="419"/>
      <c r="Q81" s="419"/>
      <c r="R81" s="419"/>
      <c r="S81" s="419"/>
      <c r="T81" s="419"/>
      <c r="U81" s="419"/>
      <c r="V81" s="419"/>
      <c r="W81" s="419"/>
      <c r="X81" s="419"/>
      <c r="Y81" s="419"/>
      <c r="Z81" s="419"/>
      <c r="AA81" s="419"/>
      <c r="AB81" s="419"/>
      <c r="AC81" s="419"/>
      <c r="AD81" s="419"/>
      <c r="AE81" s="419"/>
      <c r="AF81" s="419"/>
      <c r="AG81" s="419"/>
      <c r="AH81" s="419"/>
      <c r="AI81" s="419"/>
      <c r="AJ81" s="419"/>
      <c r="AK81" s="419"/>
      <c r="AL81" s="419"/>
    </row>
    <row r="82" spans="1:38">
      <c r="A82" s="670"/>
      <c r="B82" s="591"/>
      <c r="C82" s="670"/>
      <c r="D82" s="672"/>
      <c r="F82" s="671"/>
      <c r="J82" s="418"/>
      <c r="K82" s="418"/>
      <c r="L82" s="670"/>
      <c r="M82" s="671"/>
      <c r="N82" s="64"/>
      <c r="O82" s="64"/>
      <c r="P82" s="419"/>
      <c r="Q82" s="419"/>
      <c r="R82" s="419"/>
      <c r="S82" s="419"/>
      <c r="T82" s="419"/>
      <c r="U82" s="419"/>
      <c r="V82" s="419"/>
      <c r="W82" s="419"/>
      <c r="X82" s="419"/>
      <c r="Y82" s="419"/>
      <c r="Z82" s="419"/>
      <c r="AA82" s="419"/>
      <c r="AB82" s="419"/>
      <c r="AC82" s="419"/>
      <c r="AD82" s="419"/>
      <c r="AE82" s="419"/>
      <c r="AF82" s="419"/>
      <c r="AG82" s="419"/>
      <c r="AH82" s="419"/>
      <c r="AI82" s="419"/>
      <c r="AJ82" s="419"/>
      <c r="AK82" s="419"/>
      <c r="AL82" s="419"/>
    </row>
    <row r="83" spans="1:38">
      <c r="A83" s="670"/>
      <c r="B83" s="591"/>
      <c r="C83" s="670"/>
      <c r="D83" s="672"/>
      <c r="F83" s="671"/>
      <c r="J83" s="418"/>
      <c r="K83" s="418"/>
      <c r="L83" s="670"/>
      <c r="M83" s="671"/>
      <c r="N83" s="64"/>
      <c r="O83" s="64"/>
      <c r="P83" s="419"/>
      <c r="Q83" s="419"/>
      <c r="R83" s="419"/>
      <c r="S83" s="419"/>
      <c r="T83" s="419"/>
      <c r="U83" s="419"/>
      <c r="V83" s="419"/>
      <c r="W83" s="419"/>
      <c r="X83" s="419"/>
      <c r="Y83" s="419"/>
      <c r="Z83" s="419"/>
      <c r="AA83" s="419"/>
      <c r="AB83" s="419"/>
      <c r="AC83" s="419"/>
      <c r="AD83" s="419"/>
      <c r="AE83" s="419"/>
      <c r="AF83" s="419"/>
      <c r="AG83" s="419"/>
      <c r="AH83" s="419"/>
      <c r="AI83" s="419"/>
      <c r="AJ83" s="419"/>
      <c r="AK83" s="419"/>
      <c r="AL83" s="419"/>
    </row>
    <row r="84" spans="1:38">
      <c r="A84" s="670"/>
      <c r="B84" s="591"/>
      <c r="C84" s="670"/>
      <c r="D84" s="672"/>
      <c r="F84" s="671"/>
      <c r="J84" s="418"/>
      <c r="K84" s="418"/>
      <c r="L84" s="982"/>
      <c r="M84" s="671"/>
      <c r="N84" s="64"/>
      <c r="O84" s="64"/>
      <c r="P84" s="419"/>
      <c r="Q84" s="419"/>
      <c r="R84" s="419"/>
      <c r="S84" s="419"/>
      <c r="T84" s="419"/>
      <c r="U84" s="419"/>
      <c r="V84" s="419"/>
      <c r="W84" s="419"/>
      <c r="X84" s="419"/>
      <c r="Y84" s="419"/>
      <c r="Z84" s="419"/>
      <c r="AA84" s="419"/>
      <c r="AB84" s="419"/>
      <c r="AC84" s="419"/>
      <c r="AD84" s="419"/>
      <c r="AE84" s="419"/>
      <c r="AF84" s="419"/>
      <c r="AG84" s="419"/>
      <c r="AH84" s="419"/>
      <c r="AI84" s="419"/>
      <c r="AJ84" s="419"/>
      <c r="AK84" s="419"/>
      <c r="AL84" s="419"/>
    </row>
    <row r="85" spans="1:38">
      <c r="A85" s="670"/>
      <c r="B85" s="591"/>
      <c r="C85" s="670"/>
      <c r="D85" s="672"/>
      <c r="F85" s="671"/>
      <c r="J85" s="418"/>
      <c r="K85" s="418"/>
      <c r="L85" s="670"/>
      <c r="M85" s="671"/>
      <c r="N85" s="64"/>
      <c r="O85" s="64"/>
      <c r="P85" s="419"/>
      <c r="Q85" s="419"/>
      <c r="R85" s="419"/>
      <c r="S85" s="419"/>
      <c r="T85" s="419"/>
      <c r="U85" s="419"/>
      <c r="V85" s="419"/>
      <c r="W85" s="419"/>
      <c r="X85" s="419"/>
      <c r="Y85" s="419"/>
      <c r="Z85" s="419"/>
      <c r="AA85" s="419"/>
      <c r="AB85" s="419"/>
      <c r="AC85" s="419"/>
      <c r="AD85" s="419"/>
      <c r="AE85" s="419"/>
      <c r="AF85" s="419"/>
      <c r="AG85" s="419"/>
      <c r="AH85" s="419"/>
      <c r="AI85" s="419"/>
      <c r="AJ85" s="419"/>
      <c r="AK85" s="419"/>
      <c r="AL85" s="419"/>
    </row>
    <row r="86" spans="1:38">
      <c r="A86" s="670" t="s">
        <v>0</v>
      </c>
      <c r="B86" s="591" t="s">
        <v>0</v>
      </c>
      <c r="F86" s="981" t="s">
        <v>0</v>
      </c>
      <c r="H86" s="670" t="s">
        <v>0</v>
      </c>
      <c r="I86" s="981" t="s">
        <v>0</v>
      </c>
      <c r="J86" s="418"/>
      <c r="K86" s="418"/>
      <c r="L86" s="418"/>
      <c r="M86" s="64"/>
      <c r="N86" s="64"/>
      <c r="O86" s="64"/>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row>
    <row r="87" spans="1:38">
      <c r="B87" s="591" t="s">
        <v>0</v>
      </c>
      <c r="J87" s="418"/>
      <c r="K87" s="418"/>
      <c r="L87" s="418"/>
      <c r="M87" s="64"/>
      <c r="N87" s="64"/>
      <c r="O87" s="64"/>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row>
    <row r="88" spans="1:38">
      <c r="B88" s="591" t="s">
        <v>0</v>
      </c>
      <c r="I88" s="418"/>
      <c r="J88" s="418"/>
      <c r="K88" s="418"/>
      <c r="L88" s="418"/>
      <c r="M88" s="64"/>
      <c r="N88" s="64"/>
      <c r="O88" s="64"/>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row>
    <row r="89" spans="1:38">
      <c r="B89" s="591" t="s">
        <v>0</v>
      </c>
      <c r="C89" s="418"/>
      <c r="H89" s="418"/>
      <c r="I89" s="418"/>
      <c r="J89" s="418"/>
      <c r="K89" s="418"/>
      <c r="L89" s="418"/>
      <c r="M89" s="64"/>
      <c r="N89" s="64"/>
      <c r="O89" s="64"/>
      <c r="P89" s="419"/>
      <c r="Q89" s="419"/>
      <c r="R89" s="419"/>
      <c r="S89" s="419"/>
      <c r="T89" s="419"/>
      <c r="U89" s="419"/>
      <c r="V89" s="419"/>
      <c r="W89" s="419"/>
      <c r="X89" s="419"/>
      <c r="Y89" s="419"/>
      <c r="Z89" s="419"/>
      <c r="AA89" s="419"/>
      <c r="AB89" s="419"/>
      <c r="AC89" s="419"/>
      <c r="AD89" s="419"/>
      <c r="AE89" s="419"/>
      <c r="AF89" s="419"/>
      <c r="AG89" s="419"/>
      <c r="AH89" s="419"/>
      <c r="AI89" s="419"/>
      <c r="AJ89" s="419"/>
      <c r="AK89" s="419"/>
      <c r="AL89" s="419"/>
    </row>
    <row r="90" spans="1:38">
      <c r="B90" s="418"/>
      <c r="C90" s="418"/>
      <c r="D90" s="418"/>
      <c r="E90" s="418"/>
      <c r="F90" s="418"/>
      <c r="G90" s="418"/>
      <c r="H90" s="418"/>
      <c r="I90" s="418"/>
      <c r="J90" s="418"/>
      <c r="K90" s="418"/>
      <c r="L90" s="418"/>
      <c r="M90" s="64"/>
      <c r="N90" s="64"/>
      <c r="O90" s="64"/>
      <c r="P90" s="419"/>
      <c r="Q90" s="419"/>
      <c r="R90" s="419"/>
      <c r="S90" s="419"/>
      <c r="T90" s="419"/>
      <c r="U90" s="419"/>
      <c r="V90" s="419"/>
      <c r="W90" s="419"/>
      <c r="X90" s="419"/>
      <c r="Y90" s="419"/>
      <c r="Z90" s="419"/>
      <c r="AA90" s="419"/>
      <c r="AB90" s="419"/>
      <c r="AC90" s="419"/>
      <c r="AD90" s="419"/>
      <c r="AE90" s="419"/>
      <c r="AF90" s="419"/>
      <c r="AG90" s="419"/>
      <c r="AH90" s="419"/>
      <c r="AI90" s="419"/>
      <c r="AJ90" s="419"/>
      <c r="AK90" s="419"/>
      <c r="AL90" s="419"/>
    </row>
    <row r="91" spans="1:38">
      <c r="B91" s="418"/>
      <c r="C91" s="418"/>
      <c r="D91" s="418"/>
      <c r="E91" s="418"/>
      <c r="F91" s="418"/>
      <c r="G91" s="418"/>
      <c r="H91" s="418"/>
      <c r="I91" s="418"/>
      <c r="J91" s="418"/>
      <c r="K91" s="418"/>
      <c r="L91" s="418"/>
      <c r="M91" s="64"/>
      <c r="N91" s="64"/>
      <c r="O91" s="64"/>
      <c r="P91" s="419"/>
      <c r="Q91" s="419"/>
      <c r="R91" s="419"/>
      <c r="S91" s="419"/>
      <c r="T91" s="419"/>
      <c r="U91" s="419"/>
      <c r="V91" s="419"/>
      <c r="W91" s="419"/>
      <c r="X91" s="419"/>
      <c r="Y91" s="419"/>
      <c r="Z91" s="419"/>
      <c r="AA91" s="419"/>
      <c r="AB91" s="419"/>
      <c r="AC91" s="419"/>
      <c r="AD91" s="419"/>
      <c r="AE91" s="419"/>
      <c r="AF91" s="419"/>
      <c r="AG91" s="419"/>
      <c r="AH91" s="419"/>
      <c r="AI91" s="419"/>
      <c r="AJ91" s="419"/>
      <c r="AK91" s="419"/>
      <c r="AL91" s="419"/>
    </row>
    <row r="92" spans="1:38">
      <c r="B92" s="418"/>
      <c r="C92" s="418"/>
      <c r="D92" s="418"/>
      <c r="E92" s="418"/>
      <c r="F92" s="418"/>
      <c r="G92" s="418"/>
      <c r="H92" s="418"/>
      <c r="I92" s="418"/>
      <c r="J92" s="418"/>
      <c r="K92" s="418"/>
      <c r="L92" s="418"/>
      <c r="M92" s="64"/>
      <c r="N92" s="64"/>
      <c r="O92" s="64"/>
      <c r="P92" s="419"/>
      <c r="Q92" s="419"/>
      <c r="R92" s="419"/>
      <c r="S92" s="419"/>
      <c r="T92" s="419"/>
      <c r="U92" s="419"/>
      <c r="V92" s="419"/>
      <c r="W92" s="419"/>
      <c r="X92" s="419"/>
      <c r="Y92" s="419"/>
      <c r="Z92" s="419"/>
      <c r="AA92" s="419"/>
      <c r="AB92" s="419"/>
      <c r="AC92" s="419"/>
      <c r="AD92" s="419"/>
      <c r="AE92" s="419"/>
      <c r="AF92" s="419"/>
      <c r="AG92" s="419"/>
      <c r="AH92" s="419"/>
      <c r="AI92" s="419"/>
      <c r="AJ92" s="419"/>
      <c r="AK92" s="419"/>
      <c r="AL92" s="419"/>
    </row>
    <row r="93" spans="1:38">
      <c r="B93" s="418"/>
      <c r="C93" s="418"/>
      <c r="D93" s="418"/>
      <c r="E93" s="418"/>
      <c r="F93" s="418"/>
      <c r="G93" s="418"/>
      <c r="H93" s="418"/>
      <c r="I93" s="418"/>
      <c r="J93" s="418"/>
      <c r="K93" s="418"/>
      <c r="L93" s="418"/>
      <c r="M93" s="64"/>
      <c r="N93" s="64"/>
      <c r="O93" s="64"/>
      <c r="P93" s="419"/>
      <c r="Q93" s="419"/>
      <c r="R93" s="419"/>
      <c r="S93" s="419"/>
      <c r="T93" s="419"/>
      <c r="U93" s="419"/>
      <c r="V93" s="419"/>
      <c r="W93" s="419"/>
      <c r="X93" s="419"/>
      <c r="Y93" s="419"/>
      <c r="Z93" s="419"/>
      <c r="AA93" s="419"/>
      <c r="AB93" s="419"/>
      <c r="AC93" s="419"/>
      <c r="AD93" s="419"/>
      <c r="AE93" s="419"/>
      <c r="AF93" s="419"/>
      <c r="AG93" s="419"/>
      <c r="AH93" s="419"/>
      <c r="AI93" s="419"/>
      <c r="AJ93" s="419"/>
      <c r="AK93" s="419"/>
      <c r="AL93" s="419"/>
    </row>
    <row r="94" spans="1:38">
      <c r="B94" s="418"/>
      <c r="C94" s="418"/>
      <c r="D94" s="418"/>
      <c r="E94" s="418"/>
      <c r="F94" s="418"/>
      <c r="G94" s="418"/>
      <c r="H94" s="418"/>
      <c r="I94" s="418"/>
      <c r="J94" s="418"/>
      <c r="K94" s="418"/>
      <c r="L94" s="418"/>
      <c r="M94" s="64"/>
      <c r="N94" s="64"/>
      <c r="O94" s="64"/>
      <c r="P94" s="419"/>
      <c r="Q94" s="419"/>
      <c r="R94" s="419"/>
      <c r="S94" s="419"/>
      <c r="T94" s="419"/>
      <c r="U94" s="419"/>
      <c r="V94" s="419"/>
      <c r="W94" s="419"/>
      <c r="X94" s="419"/>
      <c r="Y94" s="419"/>
      <c r="Z94" s="419"/>
      <c r="AA94" s="419"/>
      <c r="AB94" s="419"/>
      <c r="AC94" s="419"/>
      <c r="AD94" s="419"/>
      <c r="AE94" s="419"/>
      <c r="AF94" s="419"/>
      <c r="AG94" s="419"/>
      <c r="AH94" s="419"/>
      <c r="AI94" s="419"/>
      <c r="AJ94" s="419"/>
      <c r="AK94" s="419"/>
      <c r="AL94" s="419"/>
    </row>
    <row r="95" spans="1:38">
      <c r="B95" s="418"/>
      <c r="C95" s="418"/>
      <c r="D95" s="418"/>
      <c r="E95" s="418"/>
      <c r="F95" s="418"/>
      <c r="G95" s="418"/>
      <c r="H95" s="418"/>
      <c r="I95" s="418"/>
      <c r="J95" s="418"/>
      <c r="K95" s="418"/>
      <c r="L95" s="418"/>
      <c r="M95" s="64"/>
      <c r="N95" s="64"/>
      <c r="O95" s="64"/>
      <c r="P95" s="419"/>
      <c r="Q95" s="419"/>
      <c r="R95" s="419"/>
      <c r="S95" s="419"/>
      <c r="T95" s="419"/>
      <c r="U95" s="419"/>
      <c r="V95" s="419"/>
      <c r="W95" s="419"/>
      <c r="X95" s="419"/>
      <c r="Y95" s="419"/>
      <c r="Z95" s="419"/>
      <c r="AA95" s="419"/>
      <c r="AB95" s="419"/>
      <c r="AC95" s="419"/>
      <c r="AD95" s="419"/>
      <c r="AE95" s="419"/>
      <c r="AF95" s="419"/>
      <c r="AG95" s="419"/>
      <c r="AH95" s="419"/>
      <c r="AI95" s="419"/>
      <c r="AJ95" s="419"/>
      <c r="AK95" s="419"/>
      <c r="AL95" s="419"/>
    </row>
    <row r="96" spans="1:38">
      <c r="B96" s="418"/>
      <c r="C96" s="418"/>
      <c r="D96" s="418"/>
      <c r="E96" s="418"/>
      <c r="F96" s="418"/>
      <c r="G96" s="418"/>
      <c r="H96" s="418"/>
      <c r="I96" s="418"/>
      <c r="J96" s="418"/>
      <c r="K96" s="418"/>
      <c r="L96" s="418"/>
      <c r="M96" s="64"/>
      <c r="N96" s="64"/>
      <c r="O96" s="64"/>
      <c r="P96" s="419"/>
      <c r="Q96" s="419"/>
      <c r="R96" s="419"/>
      <c r="S96" s="419"/>
      <c r="T96" s="419"/>
      <c r="U96" s="419"/>
      <c r="V96" s="419"/>
      <c r="W96" s="419"/>
      <c r="X96" s="419"/>
      <c r="Y96" s="419"/>
      <c r="Z96" s="419"/>
      <c r="AA96" s="419"/>
      <c r="AB96" s="419"/>
      <c r="AC96" s="419"/>
      <c r="AD96" s="419"/>
      <c r="AE96" s="419"/>
      <c r="AF96" s="419"/>
      <c r="AG96" s="419"/>
      <c r="AH96" s="419"/>
      <c r="AI96" s="419"/>
      <c r="AJ96" s="419"/>
      <c r="AK96" s="419"/>
      <c r="AL96" s="419"/>
    </row>
    <row r="97" spans="2:38">
      <c r="B97" s="418"/>
      <c r="C97" s="418"/>
      <c r="D97" s="418"/>
      <c r="E97" s="418"/>
      <c r="F97" s="418"/>
      <c r="G97" s="418"/>
      <c r="H97" s="418"/>
      <c r="I97" s="418"/>
      <c r="J97" s="418"/>
      <c r="K97" s="418"/>
      <c r="L97" s="418"/>
      <c r="M97" s="64"/>
      <c r="N97" s="64"/>
      <c r="O97" s="64"/>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row>
    <row r="98" spans="2:38">
      <c r="B98" s="418"/>
      <c r="C98" s="418"/>
      <c r="D98" s="418"/>
      <c r="E98" s="418"/>
      <c r="F98" s="418"/>
      <c r="G98" s="418"/>
      <c r="H98" s="418"/>
      <c r="I98" s="418"/>
      <c r="J98" s="418"/>
      <c r="K98" s="418"/>
      <c r="L98" s="418"/>
      <c r="M98" s="64"/>
      <c r="N98" s="64"/>
      <c r="O98" s="64"/>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row>
    <row r="99" spans="2:38">
      <c r="B99" s="418"/>
      <c r="C99" s="418"/>
      <c r="D99" s="418"/>
      <c r="E99" s="418"/>
      <c r="F99" s="418"/>
      <c r="G99" s="418"/>
      <c r="H99" s="418"/>
      <c r="I99" s="418"/>
      <c r="J99" s="418"/>
      <c r="K99" s="418"/>
      <c r="L99" s="418"/>
      <c r="M99" s="64"/>
      <c r="N99" s="64"/>
      <c r="O99" s="64"/>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row>
    <row r="100" spans="2:38">
      <c r="B100" s="418"/>
      <c r="C100" s="418"/>
      <c r="D100" s="418"/>
      <c r="E100" s="418"/>
      <c r="F100" s="418"/>
      <c r="G100" s="418"/>
      <c r="H100" s="418"/>
      <c r="I100" s="418"/>
      <c r="J100" s="418"/>
      <c r="K100" s="418"/>
      <c r="L100" s="418"/>
      <c r="M100" s="64"/>
      <c r="N100" s="64"/>
      <c r="O100" s="64"/>
      <c r="P100" s="419"/>
      <c r="Q100" s="419"/>
      <c r="R100" s="419"/>
      <c r="S100" s="419"/>
      <c r="T100" s="419"/>
      <c r="U100" s="419"/>
      <c r="V100" s="419"/>
      <c r="W100" s="419"/>
      <c r="X100" s="419"/>
      <c r="Y100" s="419"/>
      <c r="Z100" s="419"/>
      <c r="AA100" s="419"/>
      <c r="AB100" s="419"/>
      <c r="AC100" s="419"/>
      <c r="AD100" s="419"/>
      <c r="AE100" s="419"/>
      <c r="AF100" s="419"/>
      <c r="AG100" s="419"/>
      <c r="AH100" s="419"/>
      <c r="AI100" s="419"/>
      <c r="AJ100" s="419"/>
      <c r="AK100" s="419"/>
      <c r="AL100" s="419"/>
    </row>
    <row r="101" spans="2:38">
      <c r="B101" s="418"/>
      <c r="C101" s="418"/>
      <c r="D101" s="418"/>
      <c r="E101" s="418"/>
      <c r="F101" s="418"/>
      <c r="G101" s="418"/>
      <c r="H101" s="418"/>
      <c r="I101" s="418"/>
      <c r="J101" s="418"/>
      <c r="K101" s="418"/>
      <c r="L101" s="418"/>
      <c r="M101" s="64"/>
      <c r="N101" s="64"/>
      <c r="O101" s="64"/>
      <c r="P101" s="419"/>
      <c r="Q101" s="419"/>
      <c r="R101" s="419"/>
      <c r="S101" s="419"/>
      <c r="T101" s="419"/>
      <c r="U101" s="419"/>
      <c r="V101" s="419"/>
      <c r="W101" s="419"/>
      <c r="X101" s="419"/>
      <c r="Y101" s="419"/>
      <c r="Z101" s="419"/>
      <c r="AA101" s="419"/>
      <c r="AB101" s="419"/>
      <c r="AC101" s="419"/>
      <c r="AD101" s="419"/>
      <c r="AE101" s="419"/>
      <c r="AF101" s="419"/>
      <c r="AG101" s="419"/>
      <c r="AH101" s="419"/>
      <c r="AI101" s="419"/>
      <c r="AJ101" s="419"/>
      <c r="AK101" s="419"/>
      <c r="AL101" s="419"/>
    </row>
    <row r="102" spans="2:38">
      <c r="B102" s="418"/>
      <c r="C102" s="418"/>
      <c r="D102" s="418"/>
      <c r="E102" s="418"/>
      <c r="F102" s="418"/>
      <c r="G102" s="418"/>
      <c r="H102" s="418"/>
      <c r="I102" s="418"/>
      <c r="J102" s="418"/>
      <c r="K102" s="418"/>
      <c r="L102" s="418"/>
      <c r="M102" s="64"/>
      <c r="N102" s="64"/>
      <c r="O102" s="64"/>
      <c r="P102" s="419"/>
      <c r="Q102" s="419"/>
      <c r="R102" s="419"/>
      <c r="S102" s="419"/>
      <c r="T102" s="419"/>
      <c r="U102" s="419"/>
      <c r="V102" s="419"/>
      <c r="W102" s="419"/>
      <c r="X102" s="419"/>
      <c r="Y102" s="419"/>
      <c r="Z102" s="419"/>
      <c r="AA102" s="419"/>
      <c r="AB102" s="419"/>
      <c r="AC102" s="419"/>
      <c r="AD102" s="419"/>
      <c r="AE102" s="419"/>
      <c r="AF102" s="419"/>
      <c r="AG102" s="419"/>
      <c r="AH102" s="419"/>
      <c r="AI102" s="419"/>
      <c r="AJ102" s="419"/>
      <c r="AK102" s="419"/>
      <c r="AL102" s="419"/>
    </row>
    <row r="103" spans="2:38">
      <c r="B103" s="418"/>
      <c r="C103" s="418"/>
      <c r="D103" s="418"/>
      <c r="E103" s="418"/>
      <c r="F103" s="418"/>
      <c r="G103" s="418"/>
      <c r="H103" s="418"/>
      <c r="I103" s="418"/>
      <c r="J103" s="418"/>
      <c r="K103" s="418"/>
      <c r="L103" s="418"/>
      <c r="M103" s="64"/>
      <c r="N103" s="64"/>
      <c r="O103" s="64"/>
      <c r="P103" s="419"/>
      <c r="Q103" s="419"/>
      <c r="R103" s="419"/>
      <c r="S103" s="419"/>
      <c r="T103" s="419"/>
      <c r="U103" s="419"/>
      <c r="V103" s="419"/>
      <c r="W103" s="419"/>
      <c r="X103" s="419"/>
      <c r="Y103" s="419"/>
      <c r="Z103" s="419"/>
      <c r="AA103" s="419"/>
      <c r="AB103" s="419"/>
      <c r="AC103" s="419"/>
      <c r="AD103" s="419"/>
      <c r="AE103" s="419"/>
      <c r="AF103" s="419"/>
      <c r="AG103" s="419"/>
      <c r="AH103" s="419"/>
      <c r="AI103" s="419"/>
      <c r="AJ103" s="419"/>
      <c r="AK103" s="419"/>
      <c r="AL103" s="419"/>
    </row>
    <row r="104" spans="2:38">
      <c r="B104" s="418"/>
      <c r="C104" s="418"/>
      <c r="D104" s="418"/>
      <c r="E104" s="418"/>
      <c r="F104" s="418"/>
      <c r="G104" s="418"/>
      <c r="H104" s="418"/>
      <c r="I104" s="418"/>
      <c r="J104" s="418"/>
      <c r="K104" s="418"/>
      <c r="L104" s="418"/>
      <c r="M104" s="64"/>
      <c r="N104" s="64"/>
      <c r="O104" s="64"/>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row>
    <row r="105" spans="2:38">
      <c r="B105" s="418"/>
      <c r="C105" s="418"/>
      <c r="D105" s="418"/>
      <c r="E105" s="418"/>
      <c r="F105" s="418"/>
      <c r="G105" s="418"/>
      <c r="H105" s="418"/>
      <c r="I105" s="418"/>
      <c r="J105" s="418"/>
      <c r="K105" s="418"/>
      <c r="L105" s="418"/>
      <c r="M105" s="64"/>
      <c r="N105" s="64"/>
      <c r="O105" s="64"/>
      <c r="P105" s="419"/>
      <c r="Q105" s="419"/>
      <c r="R105" s="419"/>
      <c r="S105" s="419"/>
      <c r="T105" s="419"/>
      <c r="U105" s="419"/>
      <c r="V105" s="419"/>
      <c r="W105" s="419"/>
      <c r="X105" s="419"/>
      <c r="Y105" s="419"/>
      <c r="Z105" s="419"/>
      <c r="AA105" s="419"/>
      <c r="AB105" s="419"/>
      <c r="AC105" s="419"/>
      <c r="AD105" s="419"/>
      <c r="AE105" s="419"/>
      <c r="AF105" s="419"/>
      <c r="AG105" s="419"/>
      <c r="AH105" s="419"/>
      <c r="AI105" s="419"/>
      <c r="AJ105" s="419"/>
      <c r="AK105" s="419"/>
      <c r="AL105" s="419"/>
    </row>
    <row r="106" spans="2:38">
      <c r="B106" s="418"/>
      <c r="C106" s="418"/>
      <c r="D106" s="418"/>
      <c r="E106" s="418"/>
      <c r="F106" s="418"/>
      <c r="G106" s="418"/>
      <c r="H106" s="418"/>
      <c r="I106" s="418"/>
      <c r="J106" s="418"/>
      <c r="K106" s="418"/>
      <c r="L106" s="418"/>
      <c r="M106" s="64"/>
      <c r="N106" s="64"/>
      <c r="O106" s="64"/>
      <c r="P106" s="419"/>
      <c r="Q106" s="419"/>
      <c r="R106" s="419"/>
      <c r="S106" s="419"/>
      <c r="T106" s="419"/>
      <c r="U106" s="419"/>
      <c r="V106" s="419"/>
      <c r="W106" s="419"/>
      <c r="X106" s="419"/>
      <c r="Y106" s="419"/>
      <c r="Z106" s="419"/>
      <c r="AA106" s="419"/>
      <c r="AB106" s="419"/>
      <c r="AC106" s="419"/>
      <c r="AD106" s="419"/>
      <c r="AE106" s="419"/>
      <c r="AF106" s="419"/>
      <c r="AG106" s="419"/>
      <c r="AH106" s="419"/>
      <c r="AI106" s="419"/>
      <c r="AJ106" s="419"/>
      <c r="AK106" s="419"/>
      <c r="AL106" s="419"/>
    </row>
    <row r="107" spans="2:38">
      <c r="B107" s="418"/>
      <c r="C107" s="418"/>
      <c r="D107" s="418"/>
      <c r="E107" s="418"/>
      <c r="F107" s="418"/>
      <c r="G107" s="418"/>
      <c r="H107" s="418"/>
      <c r="I107" s="418"/>
      <c r="J107" s="418"/>
      <c r="K107" s="418"/>
      <c r="L107" s="418"/>
      <c r="M107" s="64"/>
      <c r="N107" s="64"/>
      <c r="O107" s="64"/>
      <c r="P107" s="419"/>
      <c r="Q107" s="419"/>
      <c r="R107" s="419"/>
      <c r="S107" s="419"/>
      <c r="T107" s="419"/>
      <c r="U107" s="419"/>
      <c r="V107" s="419"/>
      <c r="W107" s="419"/>
      <c r="X107" s="419"/>
      <c r="Y107" s="419"/>
      <c r="Z107" s="419"/>
      <c r="AA107" s="419"/>
      <c r="AB107" s="419"/>
      <c r="AC107" s="419"/>
      <c r="AD107" s="419"/>
      <c r="AE107" s="419"/>
      <c r="AF107" s="419"/>
      <c r="AG107" s="419"/>
      <c r="AH107" s="419"/>
      <c r="AI107" s="419"/>
      <c r="AJ107" s="419"/>
      <c r="AK107" s="419"/>
      <c r="AL107" s="419"/>
    </row>
    <row r="108" spans="2:38">
      <c r="B108" s="418"/>
      <c r="C108" s="418"/>
      <c r="D108" s="418"/>
      <c r="E108" s="418"/>
      <c r="F108" s="418"/>
      <c r="G108" s="418"/>
      <c r="H108" s="418"/>
      <c r="I108" s="418"/>
      <c r="J108" s="418"/>
      <c r="K108" s="418"/>
      <c r="L108" s="418"/>
      <c r="M108" s="64"/>
      <c r="N108" s="64"/>
      <c r="O108" s="64"/>
      <c r="P108" s="419"/>
      <c r="Q108" s="419"/>
      <c r="R108" s="419"/>
      <c r="S108" s="419"/>
      <c r="T108" s="419"/>
      <c r="U108" s="419"/>
      <c r="V108" s="419"/>
      <c r="W108" s="419"/>
      <c r="X108" s="419"/>
      <c r="Y108" s="419"/>
      <c r="Z108" s="419"/>
      <c r="AA108" s="419"/>
      <c r="AB108" s="419"/>
      <c r="AC108" s="419"/>
      <c r="AD108" s="419"/>
      <c r="AE108" s="419"/>
      <c r="AF108" s="419"/>
      <c r="AG108" s="419"/>
      <c r="AH108" s="419"/>
      <c r="AI108" s="419"/>
      <c r="AJ108" s="419"/>
      <c r="AK108" s="419"/>
      <c r="AL108" s="419"/>
    </row>
    <row r="109" spans="2:38">
      <c r="B109" s="418"/>
      <c r="C109" s="418"/>
      <c r="D109" s="418"/>
      <c r="E109" s="418"/>
      <c r="F109" s="418"/>
      <c r="G109" s="418"/>
      <c r="H109" s="418"/>
      <c r="I109" s="418"/>
      <c r="J109" s="418"/>
      <c r="K109" s="418"/>
      <c r="L109" s="418"/>
      <c r="M109" s="64"/>
      <c r="N109" s="64"/>
      <c r="O109" s="64"/>
      <c r="P109" s="419"/>
      <c r="Q109" s="419"/>
      <c r="R109" s="419"/>
      <c r="S109" s="419"/>
      <c r="T109" s="419"/>
      <c r="U109" s="419"/>
      <c r="V109" s="419"/>
      <c r="W109" s="419"/>
      <c r="X109" s="419"/>
      <c r="Y109" s="419"/>
      <c r="Z109" s="419"/>
      <c r="AA109" s="419"/>
      <c r="AB109" s="419"/>
      <c r="AC109" s="419"/>
      <c r="AD109" s="419"/>
      <c r="AE109" s="419"/>
      <c r="AF109" s="419"/>
      <c r="AG109" s="419"/>
      <c r="AH109" s="419"/>
      <c r="AI109" s="419"/>
      <c r="AJ109" s="419"/>
      <c r="AK109" s="419"/>
      <c r="AL109" s="419"/>
    </row>
    <row r="110" spans="2:38">
      <c r="B110" s="418"/>
      <c r="C110" s="418"/>
      <c r="D110" s="418"/>
      <c r="E110" s="418"/>
      <c r="F110" s="418"/>
      <c r="G110" s="418"/>
      <c r="H110" s="418"/>
      <c r="I110" s="418"/>
      <c r="J110" s="418"/>
      <c r="K110" s="418"/>
      <c r="L110" s="418"/>
      <c r="M110" s="64"/>
      <c r="N110" s="64"/>
      <c r="O110" s="64"/>
      <c r="P110" s="419"/>
      <c r="Q110" s="419"/>
      <c r="R110" s="419"/>
      <c r="S110" s="419"/>
      <c r="T110" s="419"/>
      <c r="U110" s="419"/>
      <c r="V110" s="419"/>
      <c r="W110" s="419"/>
      <c r="X110" s="419"/>
      <c r="Y110" s="419"/>
      <c r="Z110" s="419"/>
      <c r="AA110" s="419"/>
      <c r="AB110" s="419"/>
      <c r="AC110" s="419"/>
      <c r="AD110" s="419"/>
      <c r="AE110" s="419"/>
      <c r="AF110" s="419"/>
      <c r="AG110" s="419"/>
      <c r="AH110" s="419"/>
      <c r="AI110" s="419"/>
      <c r="AJ110" s="419"/>
      <c r="AK110" s="419"/>
      <c r="AL110" s="419"/>
    </row>
    <row r="111" spans="2:38">
      <c r="B111" s="418"/>
      <c r="C111" s="418"/>
      <c r="D111" s="418"/>
      <c r="E111" s="418"/>
      <c r="F111" s="418"/>
      <c r="G111" s="418"/>
      <c r="H111" s="418"/>
      <c r="I111" s="418"/>
      <c r="J111" s="418"/>
      <c r="K111" s="418"/>
      <c r="L111" s="418"/>
      <c r="M111" s="64"/>
      <c r="N111" s="64"/>
      <c r="O111" s="64"/>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row>
    <row r="112" spans="2:38">
      <c r="B112" s="418"/>
      <c r="C112" s="418"/>
      <c r="D112" s="418"/>
      <c r="E112" s="418"/>
      <c r="F112" s="418"/>
      <c r="G112" s="418"/>
      <c r="H112" s="418"/>
      <c r="I112" s="418"/>
      <c r="J112" s="418"/>
      <c r="K112" s="418"/>
      <c r="L112" s="418"/>
      <c r="M112" s="64"/>
      <c r="N112" s="64"/>
      <c r="O112" s="64"/>
      <c r="P112" s="419"/>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L112" s="419"/>
    </row>
    <row r="113" spans="2:38">
      <c r="B113" s="418"/>
      <c r="C113" s="418"/>
      <c r="D113" s="418"/>
      <c r="E113" s="418"/>
      <c r="F113" s="418"/>
      <c r="G113" s="418"/>
      <c r="H113" s="418"/>
      <c r="I113" s="418"/>
      <c r="J113" s="418"/>
      <c r="K113" s="418"/>
      <c r="L113" s="418"/>
      <c r="M113" s="64"/>
      <c r="N113" s="64"/>
      <c r="O113" s="64"/>
      <c r="P113" s="419"/>
      <c r="Q113" s="419"/>
      <c r="R113" s="419"/>
      <c r="S113" s="419"/>
      <c r="T113" s="419"/>
      <c r="U113" s="419"/>
      <c r="V113" s="419"/>
      <c r="W113" s="419"/>
      <c r="X113" s="419"/>
      <c r="Y113" s="419"/>
      <c r="Z113" s="419"/>
      <c r="AA113" s="419"/>
      <c r="AB113" s="419"/>
      <c r="AC113" s="419"/>
      <c r="AD113" s="419"/>
      <c r="AE113" s="419"/>
      <c r="AF113" s="419"/>
      <c r="AG113" s="419"/>
      <c r="AH113" s="419"/>
      <c r="AI113" s="419"/>
      <c r="AJ113" s="419"/>
      <c r="AK113" s="419"/>
      <c r="AL113" s="419"/>
    </row>
    <row r="114" spans="2:38">
      <c r="B114" s="418"/>
      <c r="C114" s="418"/>
      <c r="D114" s="418"/>
      <c r="E114" s="418"/>
      <c r="F114" s="418"/>
      <c r="G114" s="418"/>
      <c r="H114" s="418"/>
      <c r="I114" s="418"/>
      <c r="J114" s="418"/>
      <c r="K114" s="418"/>
      <c r="L114" s="418"/>
      <c r="M114" s="64"/>
      <c r="N114" s="64"/>
      <c r="O114" s="64"/>
      <c r="P114" s="419"/>
      <c r="Q114" s="419"/>
      <c r="R114" s="419"/>
      <c r="S114" s="419"/>
      <c r="T114" s="419"/>
      <c r="U114" s="419"/>
      <c r="V114" s="419"/>
      <c r="W114" s="419"/>
      <c r="X114" s="419"/>
      <c r="Y114" s="419"/>
      <c r="Z114" s="419"/>
      <c r="AA114" s="419"/>
      <c r="AB114" s="419"/>
      <c r="AC114" s="419"/>
      <c r="AD114" s="419"/>
      <c r="AE114" s="419"/>
      <c r="AF114" s="419"/>
      <c r="AG114" s="419"/>
      <c r="AH114" s="419"/>
      <c r="AI114" s="419"/>
      <c r="AJ114" s="419"/>
      <c r="AK114" s="419"/>
      <c r="AL114" s="419"/>
    </row>
    <row r="115" spans="2:38">
      <c r="B115" s="418"/>
      <c r="C115" s="418"/>
      <c r="D115" s="418"/>
      <c r="E115" s="418"/>
      <c r="F115" s="418"/>
      <c r="G115" s="418"/>
      <c r="H115" s="418"/>
      <c r="I115" s="418"/>
      <c r="J115" s="418"/>
      <c r="K115" s="418"/>
      <c r="L115" s="418"/>
      <c r="M115" s="64"/>
      <c r="N115" s="64"/>
      <c r="O115" s="64"/>
      <c r="P115" s="419"/>
      <c r="Q115" s="419"/>
      <c r="R115" s="419"/>
      <c r="S115" s="419"/>
      <c r="T115" s="419"/>
      <c r="U115" s="419"/>
      <c r="V115" s="419"/>
      <c r="W115" s="419"/>
      <c r="X115" s="419"/>
      <c r="Y115" s="419"/>
      <c r="Z115" s="419"/>
      <c r="AA115" s="419"/>
      <c r="AB115" s="419"/>
      <c r="AC115" s="419"/>
      <c r="AD115" s="419"/>
      <c r="AE115" s="419"/>
      <c r="AF115" s="419"/>
      <c r="AG115" s="419"/>
      <c r="AH115" s="419"/>
      <c r="AI115" s="419"/>
      <c r="AJ115" s="419"/>
      <c r="AK115" s="419"/>
      <c r="AL115" s="419"/>
    </row>
    <row r="116" spans="2:38">
      <c r="B116" s="418"/>
      <c r="C116" s="418"/>
      <c r="D116" s="418"/>
      <c r="E116" s="418"/>
      <c r="F116" s="418"/>
      <c r="G116" s="418"/>
      <c r="H116" s="418"/>
      <c r="I116" s="418"/>
      <c r="J116" s="418"/>
      <c r="K116" s="418"/>
      <c r="L116" s="418"/>
      <c r="M116" s="64"/>
      <c r="N116" s="64"/>
      <c r="O116" s="64"/>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419"/>
    </row>
    <row r="117" spans="2:38">
      <c r="B117" s="418"/>
      <c r="C117" s="418"/>
      <c r="D117" s="418"/>
      <c r="E117" s="418"/>
      <c r="F117" s="418"/>
      <c r="G117" s="418"/>
      <c r="H117" s="418"/>
      <c r="I117" s="418"/>
      <c r="J117" s="418"/>
      <c r="K117" s="418"/>
      <c r="L117" s="418"/>
      <c r="M117" s="64"/>
      <c r="N117" s="64"/>
      <c r="O117" s="64"/>
      <c r="P117" s="419"/>
      <c r="Q117" s="419"/>
      <c r="R117" s="419"/>
      <c r="S117" s="419"/>
      <c r="T117" s="419"/>
      <c r="U117" s="419"/>
      <c r="V117" s="419"/>
      <c r="W117" s="419"/>
      <c r="X117" s="419"/>
      <c r="Y117" s="419"/>
      <c r="Z117" s="419"/>
      <c r="AA117" s="419"/>
      <c r="AB117" s="419"/>
      <c r="AC117" s="419"/>
      <c r="AD117" s="419"/>
      <c r="AE117" s="419"/>
      <c r="AF117" s="419"/>
      <c r="AG117" s="419"/>
      <c r="AH117" s="419"/>
      <c r="AI117" s="419"/>
      <c r="AJ117" s="419"/>
      <c r="AK117" s="419"/>
      <c r="AL117" s="419"/>
    </row>
    <row r="118" spans="2:38">
      <c r="B118" s="418"/>
      <c r="C118" s="418"/>
      <c r="D118" s="418"/>
      <c r="E118" s="418"/>
      <c r="F118" s="418"/>
      <c r="G118" s="418"/>
      <c r="H118" s="418"/>
      <c r="I118" s="418"/>
      <c r="J118" s="418"/>
      <c r="K118" s="418"/>
      <c r="L118" s="418"/>
      <c r="M118" s="64"/>
      <c r="N118" s="64"/>
      <c r="O118" s="64"/>
      <c r="P118" s="419"/>
      <c r="Q118" s="419"/>
      <c r="R118" s="419"/>
      <c r="S118" s="419"/>
      <c r="T118" s="419"/>
      <c r="U118" s="419"/>
      <c r="V118" s="419"/>
      <c r="W118" s="419"/>
      <c r="X118" s="419"/>
      <c r="Y118" s="419"/>
      <c r="Z118" s="419"/>
      <c r="AA118" s="419"/>
      <c r="AB118" s="419"/>
      <c r="AC118" s="419"/>
      <c r="AD118" s="419"/>
      <c r="AE118" s="419"/>
      <c r="AF118" s="419"/>
      <c r="AG118" s="419"/>
      <c r="AH118" s="419"/>
      <c r="AI118" s="419"/>
      <c r="AJ118" s="419"/>
      <c r="AK118" s="419"/>
      <c r="AL118" s="419"/>
    </row>
    <row r="119" spans="2:38">
      <c r="B119" s="418"/>
      <c r="C119" s="418"/>
      <c r="D119" s="418"/>
      <c r="E119" s="418"/>
      <c r="F119" s="418"/>
      <c r="G119" s="418"/>
      <c r="H119" s="418"/>
      <c r="I119" s="418"/>
      <c r="J119" s="418"/>
      <c r="K119" s="418"/>
      <c r="L119" s="418"/>
      <c r="M119" s="64"/>
      <c r="N119" s="64"/>
      <c r="O119" s="64"/>
      <c r="P119" s="419"/>
      <c r="Q119" s="419"/>
      <c r="R119" s="419"/>
      <c r="S119" s="419"/>
      <c r="T119" s="419"/>
      <c r="U119" s="419"/>
      <c r="V119" s="419"/>
      <c r="W119" s="419"/>
      <c r="X119" s="419"/>
      <c r="Y119" s="419"/>
      <c r="Z119" s="419"/>
      <c r="AA119" s="419"/>
      <c r="AB119" s="419"/>
      <c r="AC119" s="419"/>
      <c r="AD119" s="419"/>
      <c r="AE119" s="419"/>
      <c r="AF119" s="419"/>
      <c r="AG119" s="419"/>
      <c r="AH119" s="419"/>
      <c r="AI119" s="419"/>
      <c r="AJ119" s="419"/>
      <c r="AK119" s="419"/>
      <c r="AL119" s="419"/>
    </row>
    <row r="120" spans="2:38">
      <c r="B120" s="418"/>
      <c r="C120" s="418"/>
      <c r="D120" s="418"/>
      <c r="E120" s="418"/>
      <c r="F120" s="418"/>
      <c r="G120" s="418"/>
      <c r="H120" s="418"/>
      <c r="I120" s="418"/>
      <c r="J120" s="418"/>
      <c r="K120" s="418"/>
      <c r="L120" s="418"/>
      <c r="M120" s="64"/>
      <c r="N120" s="64"/>
      <c r="O120" s="64"/>
      <c r="P120" s="419"/>
      <c r="Q120" s="419"/>
      <c r="R120" s="419"/>
      <c r="S120" s="419"/>
      <c r="T120" s="419"/>
      <c r="U120" s="419"/>
      <c r="V120" s="419"/>
      <c r="W120" s="419"/>
      <c r="X120" s="419"/>
      <c r="Y120" s="419"/>
      <c r="Z120" s="419"/>
      <c r="AA120" s="419"/>
      <c r="AB120" s="419"/>
      <c r="AC120" s="419"/>
      <c r="AD120" s="419"/>
      <c r="AE120" s="419"/>
      <c r="AF120" s="419"/>
      <c r="AG120" s="419"/>
      <c r="AH120" s="419"/>
      <c r="AI120" s="419"/>
      <c r="AJ120" s="419"/>
      <c r="AK120" s="419"/>
      <c r="AL120" s="419"/>
    </row>
    <row r="121" spans="2:38">
      <c r="B121" s="418"/>
      <c r="C121" s="418"/>
      <c r="D121" s="418"/>
      <c r="E121" s="418"/>
      <c r="F121" s="418"/>
      <c r="G121" s="418"/>
      <c r="H121" s="418"/>
      <c r="I121" s="418"/>
      <c r="J121" s="418"/>
      <c r="K121" s="418"/>
      <c r="L121" s="418"/>
      <c r="M121" s="64"/>
      <c r="N121" s="64"/>
      <c r="O121" s="64"/>
      <c r="P121" s="419"/>
      <c r="Q121" s="419"/>
      <c r="R121" s="419"/>
      <c r="S121" s="419"/>
      <c r="T121" s="419"/>
      <c r="U121" s="419"/>
      <c r="V121" s="419"/>
      <c r="W121" s="419"/>
      <c r="X121" s="419"/>
      <c r="Y121" s="419"/>
      <c r="Z121" s="419"/>
      <c r="AA121" s="419"/>
      <c r="AB121" s="419"/>
      <c r="AC121" s="419"/>
      <c r="AD121" s="419"/>
      <c r="AE121" s="419"/>
      <c r="AF121" s="419"/>
      <c r="AG121" s="419"/>
      <c r="AH121" s="419"/>
      <c r="AI121" s="419"/>
      <c r="AJ121" s="419"/>
      <c r="AK121" s="419"/>
      <c r="AL121" s="419"/>
    </row>
    <row r="122" spans="2:38">
      <c r="B122" s="418"/>
      <c r="C122" s="418"/>
      <c r="D122" s="418"/>
      <c r="E122" s="418"/>
      <c r="F122" s="418"/>
      <c r="G122" s="418"/>
      <c r="H122" s="418"/>
      <c r="I122" s="418"/>
      <c r="J122" s="418"/>
      <c r="K122" s="418"/>
      <c r="L122" s="418"/>
      <c r="M122" s="64"/>
      <c r="N122" s="64"/>
      <c r="O122" s="64"/>
      <c r="P122" s="419"/>
      <c r="Q122" s="419"/>
      <c r="R122" s="419"/>
      <c r="S122" s="419"/>
      <c r="T122" s="419"/>
      <c r="U122" s="419"/>
      <c r="V122" s="419"/>
      <c r="W122" s="419"/>
      <c r="X122" s="419"/>
      <c r="Y122" s="419"/>
      <c r="Z122" s="419"/>
      <c r="AA122" s="419"/>
      <c r="AB122" s="419"/>
      <c r="AC122" s="419"/>
      <c r="AD122" s="419"/>
      <c r="AE122" s="419"/>
      <c r="AF122" s="419"/>
      <c r="AG122" s="419"/>
      <c r="AH122" s="419"/>
      <c r="AI122" s="419"/>
      <c r="AJ122" s="419"/>
      <c r="AK122" s="419"/>
      <c r="AL122" s="419"/>
    </row>
    <row r="123" spans="2:38">
      <c r="B123" s="418"/>
      <c r="C123" s="418"/>
      <c r="D123" s="418"/>
      <c r="E123" s="418"/>
      <c r="F123" s="418"/>
      <c r="G123" s="418"/>
      <c r="H123" s="418"/>
      <c r="I123" s="418"/>
      <c r="J123" s="418"/>
      <c r="K123" s="418"/>
      <c r="L123" s="418"/>
      <c r="M123" s="64"/>
      <c r="N123" s="64"/>
      <c r="O123" s="64"/>
      <c r="P123" s="419"/>
      <c r="Q123" s="419"/>
      <c r="R123" s="419"/>
      <c r="S123" s="419"/>
      <c r="T123" s="419"/>
      <c r="U123" s="419"/>
      <c r="V123" s="419"/>
      <c r="W123" s="419"/>
      <c r="X123" s="419"/>
      <c r="Y123" s="419"/>
      <c r="Z123" s="419"/>
      <c r="AA123" s="419"/>
      <c r="AB123" s="419"/>
      <c r="AC123" s="419"/>
      <c r="AD123" s="419"/>
      <c r="AE123" s="419"/>
      <c r="AF123" s="419"/>
      <c r="AG123" s="419"/>
      <c r="AH123" s="419"/>
      <c r="AI123" s="419"/>
      <c r="AJ123" s="419"/>
      <c r="AK123" s="419"/>
      <c r="AL123" s="419"/>
    </row>
    <row r="124" spans="2:38">
      <c r="B124" s="418"/>
      <c r="C124" s="418"/>
      <c r="D124" s="418"/>
      <c r="E124" s="418"/>
      <c r="F124" s="418"/>
      <c r="G124" s="418"/>
      <c r="H124" s="418"/>
      <c r="I124" s="418"/>
      <c r="J124" s="418"/>
      <c r="K124" s="418"/>
      <c r="L124" s="418"/>
      <c r="M124" s="64"/>
      <c r="N124" s="64"/>
      <c r="O124" s="64"/>
      <c r="P124" s="419"/>
      <c r="Q124" s="419"/>
      <c r="R124" s="419"/>
      <c r="S124" s="419"/>
      <c r="T124" s="419"/>
      <c r="U124" s="419"/>
      <c r="V124" s="419"/>
      <c r="W124" s="419"/>
      <c r="X124" s="419"/>
      <c r="Y124" s="419"/>
      <c r="Z124" s="419"/>
      <c r="AA124" s="419"/>
      <c r="AB124" s="419"/>
      <c r="AC124" s="419"/>
      <c r="AD124" s="419"/>
      <c r="AE124" s="419"/>
      <c r="AF124" s="419"/>
      <c r="AG124" s="419"/>
      <c r="AH124" s="419"/>
      <c r="AI124" s="419"/>
      <c r="AJ124" s="419"/>
      <c r="AK124" s="419"/>
      <c r="AL124" s="419"/>
    </row>
    <row r="125" spans="2:38">
      <c r="B125" s="418"/>
      <c r="C125" s="418"/>
      <c r="D125" s="418"/>
      <c r="E125" s="418"/>
      <c r="F125" s="418"/>
      <c r="G125" s="418"/>
      <c r="H125" s="418"/>
      <c r="I125" s="418"/>
      <c r="J125" s="418"/>
      <c r="K125" s="418"/>
      <c r="L125" s="418"/>
      <c r="M125" s="64"/>
      <c r="N125" s="64"/>
      <c r="O125" s="64"/>
      <c r="P125" s="419"/>
      <c r="Q125" s="419"/>
      <c r="R125" s="419"/>
      <c r="S125" s="419"/>
      <c r="T125" s="419"/>
      <c r="U125" s="419"/>
      <c r="V125" s="419"/>
      <c r="W125" s="419"/>
      <c r="X125" s="419"/>
      <c r="Y125" s="419"/>
      <c r="Z125" s="419"/>
      <c r="AA125" s="419"/>
      <c r="AB125" s="419"/>
      <c r="AC125" s="419"/>
      <c r="AD125" s="419"/>
      <c r="AE125" s="419"/>
      <c r="AF125" s="419"/>
      <c r="AG125" s="419"/>
      <c r="AH125" s="419"/>
      <c r="AI125" s="419"/>
      <c r="AJ125" s="419"/>
      <c r="AK125" s="419"/>
      <c r="AL125" s="419"/>
    </row>
    <row r="126" spans="2:38">
      <c r="B126" s="418"/>
      <c r="C126" s="418"/>
      <c r="D126" s="418"/>
      <c r="E126" s="418"/>
      <c r="F126" s="418"/>
      <c r="G126" s="418"/>
      <c r="H126" s="418"/>
      <c r="I126" s="418"/>
      <c r="J126" s="418"/>
      <c r="K126" s="418"/>
      <c r="L126" s="418"/>
      <c r="M126" s="64"/>
      <c r="N126" s="64"/>
      <c r="O126" s="64"/>
      <c r="P126" s="419"/>
      <c r="Q126" s="419"/>
      <c r="R126" s="419"/>
      <c r="S126" s="419"/>
      <c r="T126" s="419"/>
      <c r="U126" s="419"/>
      <c r="V126" s="419"/>
      <c r="W126" s="419"/>
      <c r="X126" s="419"/>
      <c r="Y126" s="419"/>
      <c r="Z126" s="419"/>
      <c r="AA126" s="419"/>
      <c r="AB126" s="419"/>
      <c r="AC126" s="419"/>
      <c r="AD126" s="419"/>
      <c r="AE126" s="419"/>
      <c r="AF126" s="419"/>
      <c r="AG126" s="419"/>
      <c r="AH126" s="419"/>
      <c r="AI126" s="419"/>
      <c r="AJ126" s="419"/>
      <c r="AK126" s="419"/>
      <c r="AL126" s="419"/>
    </row>
    <row r="127" spans="2:38">
      <c r="B127" s="418"/>
      <c r="C127" s="418"/>
      <c r="D127" s="418"/>
      <c r="E127" s="418"/>
      <c r="F127" s="418"/>
      <c r="G127" s="418"/>
      <c r="H127" s="418"/>
      <c r="I127" s="418"/>
      <c r="J127" s="418"/>
      <c r="K127" s="418"/>
      <c r="L127" s="418"/>
      <c r="M127" s="64"/>
      <c r="N127" s="64"/>
      <c r="O127" s="64"/>
      <c r="P127" s="419"/>
      <c r="Q127" s="419"/>
      <c r="R127" s="419"/>
      <c r="S127" s="419"/>
      <c r="T127" s="419"/>
      <c r="U127" s="419"/>
      <c r="V127" s="419"/>
      <c r="W127" s="419"/>
      <c r="X127" s="419"/>
      <c r="Y127" s="419"/>
      <c r="Z127" s="419"/>
      <c r="AA127" s="419"/>
      <c r="AB127" s="419"/>
      <c r="AC127" s="419"/>
      <c r="AD127" s="419"/>
      <c r="AE127" s="419"/>
      <c r="AF127" s="419"/>
      <c r="AG127" s="419"/>
      <c r="AH127" s="419"/>
      <c r="AI127" s="419"/>
      <c r="AJ127" s="419"/>
      <c r="AK127" s="419"/>
      <c r="AL127" s="419"/>
    </row>
    <row r="128" spans="2:38">
      <c r="B128" s="418"/>
      <c r="C128" s="418"/>
      <c r="D128" s="418"/>
      <c r="E128" s="418"/>
      <c r="F128" s="418"/>
      <c r="G128" s="418"/>
      <c r="H128" s="418"/>
      <c r="I128" s="418"/>
      <c r="J128" s="418"/>
      <c r="K128" s="418"/>
      <c r="L128" s="418"/>
      <c r="M128" s="64"/>
      <c r="N128" s="64"/>
      <c r="O128" s="64"/>
      <c r="P128" s="419"/>
      <c r="Q128" s="419"/>
      <c r="R128" s="419"/>
      <c r="S128" s="419"/>
      <c r="T128" s="419"/>
      <c r="U128" s="419"/>
      <c r="V128" s="419"/>
      <c r="W128" s="419"/>
      <c r="X128" s="419"/>
      <c r="Y128" s="419"/>
      <c r="Z128" s="419"/>
      <c r="AA128" s="419"/>
      <c r="AB128" s="419"/>
      <c r="AC128" s="419"/>
      <c r="AD128" s="419"/>
      <c r="AE128" s="419"/>
      <c r="AF128" s="419"/>
      <c r="AG128" s="419"/>
      <c r="AH128" s="419"/>
      <c r="AI128" s="419"/>
      <c r="AJ128" s="419"/>
      <c r="AK128" s="419"/>
      <c r="AL128" s="419"/>
    </row>
    <row r="129" spans="1:38">
      <c r="B129" s="418"/>
      <c r="C129" s="418"/>
      <c r="D129" s="418"/>
      <c r="E129" s="418"/>
      <c r="F129" s="418"/>
      <c r="G129" s="418"/>
      <c r="H129" s="418"/>
      <c r="I129" s="418"/>
      <c r="J129" s="418"/>
      <c r="K129" s="418"/>
      <c r="L129" s="418"/>
      <c r="M129" s="64"/>
      <c r="N129" s="64"/>
      <c r="O129" s="64"/>
      <c r="P129" s="419"/>
      <c r="Q129" s="419"/>
      <c r="R129" s="419"/>
      <c r="S129" s="419"/>
      <c r="T129" s="419"/>
      <c r="U129" s="419"/>
      <c r="V129" s="419"/>
      <c r="W129" s="419"/>
      <c r="X129" s="419"/>
      <c r="Y129" s="419"/>
      <c r="Z129" s="419"/>
      <c r="AA129" s="419"/>
      <c r="AB129" s="419"/>
      <c r="AC129" s="419"/>
      <c r="AD129" s="419"/>
      <c r="AE129" s="419"/>
      <c r="AF129" s="419"/>
      <c r="AG129" s="419"/>
      <c r="AH129" s="419"/>
      <c r="AI129" s="419"/>
      <c r="AJ129" s="419"/>
      <c r="AK129" s="419"/>
      <c r="AL129" s="419"/>
    </row>
    <row r="130" spans="1:38">
      <c r="B130" s="418"/>
      <c r="C130" s="418"/>
      <c r="D130" s="418"/>
      <c r="E130" s="418"/>
      <c r="F130" s="418"/>
      <c r="G130" s="418"/>
      <c r="H130" s="418"/>
      <c r="I130" s="418"/>
      <c r="J130" s="418"/>
      <c r="K130" s="418"/>
      <c r="L130" s="418"/>
      <c r="M130" s="64"/>
      <c r="N130" s="64"/>
      <c r="O130" s="64"/>
      <c r="P130" s="419"/>
      <c r="Q130" s="419"/>
      <c r="R130" s="419"/>
      <c r="S130" s="419"/>
      <c r="T130" s="419"/>
      <c r="U130" s="419"/>
      <c r="V130" s="419"/>
      <c r="W130" s="419"/>
      <c r="X130" s="419"/>
      <c r="Y130" s="419"/>
      <c r="Z130" s="419"/>
      <c r="AA130" s="419"/>
      <c r="AB130" s="419"/>
      <c r="AC130" s="419"/>
      <c r="AD130" s="419"/>
      <c r="AE130" s="419"/>
      <c r="AF130" s="419"/>
      <c r="AG130" s="419"/>
      <c r="AH130" s="419"/>
      <c r="AI130" s="419"/>
      <c r="AJ130" s="419"/>
      <c r="AK130" s="419"/>
      <c r="AL130" s="419"/>
    </row>
    <row r="131" spans="1:38">
      <c r="B131" s="418"/>
      <c r="C131" s="418"/>
      <c r="D131" s="418"/>
      <c r="E131" s="418"/>
      <c r="F131" s="418"/>
      <c r="G131" s="418"/>
      <c r="H131" s="418"/>
      <c r="I131" s="418"/>
      <c r="J131" s="418"/>
      <c r="K131" s="418"/>
      <c r="L131" s="418"/>
      <c r="M131" s="64"/>
      <c r="N131" s="64"/>
      <c r="O131" s="64"/>
      <c r="P131" s="419"/>
      <c r="Q131" s="419"/>
      <c r="R131" s="419"/>
      <c r="S131" s="419"/>
      <c r="T131" s="419"/>
      <c r="U131" s="419"/>
      <c r="V131" s="419"/>
      <c r="W131" s="419"/>
      <c r="X131" s="419"/>
      <c r="Y131" s="419"/>
      <c r="Z131" s="419"/>
      <c r="AA131" s="419"/>
      <c r="AB131" s="419"/>
      <c r="AC131" s="419"/>
      <c r="AD131" s="419"/>
      <c r="AE131" s="419"/>
      <c r="AF131" s="419"/>
      <c r="AG131" s="419"/>
      <c r="AH131" s="419"/>
      <c r="AI131" s="419"/>
      <c r="AJ131" s="419"/>
      <c r="AK131" s="419"/>
      <c r="AL131" s="419"/>
    </row>
    <row r="132" spans="1:38">
      <c r="B132" s="418"/>
      <c r="C132" s="418"/>
      <c r="D132" s="418"/>
      <c r="E132" s="418"/>
      <c r="F132" s="418"/>
      <c r="G132" s="418"/>
      <c r="H132" s="418"/>
      <c r="I132" s="418"/>
      <c r="J132" s="418"/>
      <c r="K132" s="418"/>
      <c r="L132" s="418"/>
      <c r="M132" s="64"/>
      <c r="N132" s="64"/>
      <c r="O132" s="64"/>
      <c r="P132" s="419"/>
      <c r="Q132" s="419"/>
      <c r="R132" s="419"/>
      <c r="S132" s="419"/>
      <c r="T132" s="419"/>
      <c r="U132" s="419"/>
      <c r="V132" s="419"/>
      <c r="W132" s="419"/>
      <c r="X132" s="419"/>
      <c r="Y132" s="419"/>
      <c r="Z132" s="419"/>
      <c r="AA132" s="419"/>
      <c r="AB132" s="419"/>
      <c r="AC132" s="419"/>
      <c r="AD132" s="419"/>
      <c r="AE132" s="419"/>
      <c r="AF132" s="419"/>
      <c r="AG132" s="419"/>
      <c r="AH132" s="419"/>
      <c r="AI132" s="419"/>
      <c r="AJ132" s="419"/>
      <c r="AK132" s="419"/>
      <c r="AL132" s="419"/>
    </row>
    <row r="133" spans="1:38">
      <c r="B133" s="418"/>
      <c r="C133" s="418"/>
      <c r="D133" s="418"/>
      <c r="E133" s="418"/>
      <c r="F133" s="418"/>
      <c r="G133" s="418"/>
      <c r="H133" s="418"/>
      <c r="I133" s="418"/>
      <c r="J133" s="418"/>
      <c r="K133" s="418"/>
      <c r="L133" s="418"/>
      <c r="M133" s="64"/>
      <c r="N133" s="64"/>
      <c r="O133" s="64"/>
      <c r="P133" s="419"/>
      <c r="Q133" s="419"/>
      <c r="R133" s="419"/>
      <c r="S133" s="419"/>
      <c r="T133" s="419"/>
      <c r="U133" s="419"/>
      <c r="V133" s="419"/>
      <c r="W133" s="419"/>
      <c r="X133" s="419"/>
      <c r="Y133" s="419"/>
      <c r="Z133" s="419"/>
      <c r="AA133" s="419"/>
      <c r="AB133" s="419"/>
      <c r="AC133" s="419"/>
      <c r="AD133" s="419"/>
      <c r="AE133" s="419"/>
      <c r="AF133" s="419"/>
      <c r="AG133" s="419"/>
      <c r="AH133" s="419"/>
      <c r="AI133" s="419"/>
      <c r="AJ133" s="419"/>
      <c r="AK133" s="419"/>
      <c r="AL133" s="419"/>
    </row>
    <row r="134" spans="1:38">
      <c r="B134" s="418"/>
      <c r="C134" s="418"/>
      <c r="D134" s="418"/>
      <c r="E134" s="418"/>
      <c r="F134" s="418"/>
      <c r="G134" s="418"/>
      <c r="H134" s="418"/>
      <c r="I134" s="418"/>
      <c r="J134" s="418"/>
      <c r="K134" s="418"/>
      <c r="L134" s="418"/>
      <c r="M134" s="64"/>
      <c r="N134" s="64"/>
      <c r="O134" s="64"/>
      <c r="P134" s="419"/>
      <c r="Q134" s="419"/>
      <c r="R134" s="419"/>
      <c r="S134" s="419"/>
      <c r="T134" s="419"/>
      <c r="U134" s="419"/>
      <c r="V134" s="419"/>
      <c r="W134" s="419"/>
      <c r="X134" s="419"/>
      <c r="Y134" s="419"/>
      <c r="Z134" s="419"/>
      <c r="AA134" s="419"/>
      <c r="AB134" s="419"/>
      <c r="AC134" s="419"/>
      <c r="AD134" s="419"/>
      <c r="AE134" s="419"/>
      <c r="AF134" s="419"/>
      <c r="AG134" s="419"/>
      <c r="AH134" s="419"/>
      <c r="AI134" s="419"/>
      <c r="AJ134" s="419"/>
      <c r="AK134" s="419"/>
      <c r="AL134" s="419"/>
    </row>
    <row r="135" spans="1:38">
      <c r="B135" s="418"/>
      <c r="C135" s="418"/>
      <c r="D135" s="418"/>
      <c r="E135" s="418"/>
      <c r="F135" s="418"/>
      <c r="G135" s="418"/>
      <c r="H135" s="418"/>
      <c r="I135" s="418"/>
      <c r="J135" s="418"/>
      <c r="K135" s="418"/>
      <c r="L135" s="418"/>
      <c r="M135" s="64"/>
      <c r="N135" s="64"/>
      <c r="O135" s="64"/>
      <c r="P135" s="419"/>
      <c r="Q135" s="419"/>
      <c r="R135" s="419"/>
      <c r="S135" s="419"/>
      <c r="T135" s="419"/>
      <c r="U135" s="419"/>
      <c r="V135" s="419"/>
      <c r="W135" s="419"/>
      <c r="X135" s="419"/>
      <c r="Y135" s="419"/>
      <c r="Z135" s="419"/>
      <c r="AA135" s="419"/>
      <c r="AB135" s="419"/>
      <c r="AC135" s="419"/>
      <c r="AD135" s="419"/>
      <c r="AE135" s="419"/>
      <c r="AF135" s="419"/>
      <c r="AG135" s="419"/>
      <c r="AH135" s="419"/>
      <c r="AI135" s="419"/>
      <c r="AJ135" s="419"/>
      <c r="AK135" s="419"/>
      <c r="AL135" s="419"/>
    </row>
    <row r="136" spans="1:38">
      <c r="B136" s="418"/>
      <c r="C136" s="418"/>
      <c r="D136" s="418"/>
      <c r="E136" s="418"/>
      <c r="F136" s="418"/>
      <c r="G136" s="418"/>
      <c r="H136" s="418"/>
      <c r="I136" s="418"/>
      <c r="J136" s="418"/>
      <c r="K136" s="418"/>
      <c r="L136" s="418"/>
      <c r="M136" s="64"/>
      <c r="N136" s="64"/>
      <c r="O136" s="64"/>
      <c r="P136" s="419"/>
      <c r="Q136" s="419"/>
      <c r="R136" s="419"/>
      <c r="S136" s="419"/>
      <c r="T136" s="419"/>
      <c r="U136" s="419"/>
      <c r="V136" s="419"/>
      <c r="W136" s="419"/>
      <c r="X136" s="419"/>
      <c r="Y136" s="419"/>
      <c r="Z136" s="419"/>
      <c r="AA136" s="419"/>
      <c r="AB136" s="419"/>
      <c r="AC136" s="419"/>
      <c r="AD136" s="419"/>
      <c r="AE136" s="419"/>
      <c r="AF136" s="419"/>
      <c r="AG136" s="419"/>
      <c r="AH136" s="419"/>
      <c r="AI136" s="419"/>
      <c r="AJ136" s="419"/>
      <c r="AK136" s="419"/>
      <c r="AL136" s="419"/>
    </row>
    <row r="137" spans="1:38">
      <c r="B137" s="418"/>
      <c r="C137" s="418"/>
      <c r="D137" s="418"/>
      <c r="E137" s="418"/>
      <c r="F137" s="418"/>
      <c r="G137" s="418"/>
      <c r="H137" s="418"/>
      <c r="I137" s="418"/>
      <c r="J137" s="418"/>
      <c r="K137" s="418"/>
      <c r="L137" s="418"/>
      <c r="M137" s="64"/>
      <c r="N137" s="64"/>
      <c r="O137" s="64"/>
      <c r="P137" s="419"/>
      <c r="Q137" s="419"/>
      <c r="R137" s="419"/>
      <c r="S137" s="419"/>
      <c r="T137" s="419"/>
      <c r="U137" s="419"/>
      <c r="V137" s="419"/>
      <c r="W137" s="419"/>
      <c r="X137" s="419"/>
      <c r="Y137" s="419"/>
      <c r="Z137" s="419"/>
      <c r="AA137" s="419"/>
      <c r="AB137" s="419"/>
      <c r="AC137" s="419"/>
      <c r="AD137" s="419"/>
      <c r="AE137" s="419"/>
      <c r="AF137" s="419"/>
      <c r="AG137" s="419"/>
      <c r="AH137" s="419"/>
      <c r="AI137" s="419"/>
      <c r="AJ137" s="419"/>
      <c r="AK137" s="419"/>
      <c r="AL137" s="419"/>
    </row>
    <row r="138" spans="1:38">
      <c r="B138" s="418"/>
      <c r="C138" s="418"/>
      <c r="D138" s="418"/>
      <c r="E138" s="418"/>
      <c r="F138" s="418"/>
      <c r="G138" s="418"/>
      <c r="H138" s="418"/>
      <c r="I138" s="418"/>
      <c r="J138" s="418"/>
      <c r="K138" s="418"/>
      <c r="L138" s="418"/>
      <c r="M138" s="64"/>
      <c r="N138" s="64"/>
      <c r="O138" s="64"/>
      <c r="P138" s="419"/>
      <c r="Q138" s="419"/>
      <c r="R138" s="419"/>
      <c r="S138" s="419"/>
      <c r="T138" s="419"/>
      <c r="U138" s="419"/>
      <c r="V138" s="419"/>
      <c r="W138" s="419"/>
      <c r="X138" s="419"/>
      <c r="Y138" s="419"/>
      <c r="Z138" s="419"/>
      <c r="AA138" s="419"/>
      <c r="AB138" s="419"/>
      <c r="AC138" s="419"/>
      <c r="AD138" s="419"/>
      <c r="AE138" s="419"/>
      <c r="AF138" s="419"/>
      <c r="AG138" s="419"/>
      <c r="AH138" s="419"/>
      <c r="AI138" s="419"/>
      <c r="AJ138" s="419"/>
      <c r="AK138" s="419"/>
      <c r="AL138" s="419"/>
    </row>
    <row r="139" spans="1:38">
      <c r="B139" s="418"/>
      <c r="C139" s="418"/>
      <c r="D139" s="418"/>
      <c r="E139" s="418"/>
      <c r="F139" s="418"/>
      <c r="G139" s="418"/>
      <c r="H139" s="418"/>
      <c r="I139" s="418"/>
      <c r="J139" s="418"/>
      <c r="K139" s="418"/>
      <c r="L139" s="418"/>
      <c r="M139" s="64"/>
      <c r="N139" s="64"/>
      <c r="O139" s="64"/>
      <c r="P139" s="419"/>
      <c r="Q139" s="419"/>
      <c r="R139" s="419"/>
      <c r="S139" s="419"/>
      <c r="T139" s="419"/>
      <c r="U139" s="419"/>
      <c r="V139" s="419"/>
      <c r="W139" s="419"/>
      <c r="X139" s="419"/>
      <c r="Y139" s="419"/>
      <c r="Z139" s="419"/>
      <c r="AA139" s="419"/>
      <c r="AB139" s="419"/>
      <c r="AC139" s="419"/>
      <c r="AD139" s="419"/>
      <c r="AE139" s="419"/>
      <c r="AF139" s="419"/>
      <c r="AG139" s="419"/>
      <c r="AH139" s="419"/>
      <c r="AI139" s="419"/>
      <c r="AJ139" s="419"/>
      <c r="AK139" s="419"/>
      <c r="AL139" s="419"/>
    </row>
    <row r="140" spans="1:38">
      <c r="A140" s="419"/>
      <c r="B140" s="64"/>
      <c r="C140" s="65"/>
      <c r="D140" s="64"/>
      <c r="E140" s="64"/>
      <c r="F140" s="64"/>
      <c r="G140" s="64"/>
      <c r="H140" s="64"/>
      <c r="I140" s="64"/>
      <c r="J140" s="64"/>
      <c r="K140" s="64"/>
      <c r="L140" s="65"/>
      <c r="M140" s="64"/>
      <c r="N140" s="64"/>
      <c r="O140" s="64"/>
      <c r="P140" s="419"/>
      <c r="Q140" s="419"/>
      <c r="R140" s="419"/>
      <c r="S140" s="419"/>
      <c r="T140" s="419"/>
      <c r="U140" s="419"/>
      <c r="V140" s="419"/>
      <c r="W140" s="419"/>
      <c r="X140" s="419"/>
      <c r="Y140" s="419"/>
      <c r="Z140" s="419"/>
      <c r="AA140" s="419"/>
      <c r="AB140" s="419"/>
      <c r="AC140" s="419"/>
      <c r="AD140" s="419"/>
      <c r="AE140" s="419"/>
      <c r="AF140" s="419"/>
      <c r="AG140" s="419"/>
      <c r="AH140" s="419"/>
      <c r="AI140" s="419"/>
      <c r="AJ140" s="419"/>
      <c r="AK140" s="419"/>
      <c r="AL140" s="419"/>
    </row>
    <row r="141" spans="1:38">
      <c r="A141" s="419" t="s">
        <v>0</v>
      </c>
      <c r="B141" s="69"/>
      <c r="C141" s="71"/>
      <c r="D141" s="69"/>
      <c r="E141" s="69"/>
      <c r="F141" s="69"/>
      <c r="G141" s="69"/>
      <c r="H141" s="69"/>
      <c r="I141" s="69"/>
      <c r="J141" s="69"/>
      <c r="K141" s="64"/>
      <c r="L141" s="71"/>
      <c r="M141" s="64"/>
      <c r="N141" s="64"/>
      <c r="O141" s="64"/>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row>
    <row r="142" spans="1:38">
      <c r="A142" s="419" t="s">
        <v>0</v>
      </c>
      <c r="B142" s="64"/>
      <c r="C142" s="65"/>
      <c r="D142" s="64"/>
      <c r="E142" s="64"/>
      <c r="F142" s="64"/>
      <c r="G142" s="64"/>
      <c r="H142" s="64"/>
      <c r="I142" s="64"/>
      <c r="J142" s="64"/>
      <c r="K142" s="64"/>
      <c r="L142" s="65"/>
      <c r="M142" s="64"/>
      <c r="N142" s="64"/>
      <c r="O142" s="64"/>
      <c r="P142" s="419"/>
      <c r="Q142" s="419"/>
      <c r="R142" s="419"/>
      <c r="S142" s="419"/>
      <c r="T142" s="419"/>
      <c r="U142" s="419"/>
      <c r="V142" s="419"/>
      <c r="W142" s="419"/>
      <c r="X142" s="419"/>
      <c r="Y142" s="419"/>
      <c r="Z142" s="419"/>
      <c r="AA142" s="419"/>
      <c r="AB142" s="419"/>
      <c r="AC142" s="419"/>
      <c r="AD142" s="419"/>
      <c r="AE142" s="419"/>
      <c r="AF142" s="419"/>
      <c r="AG142" s="419"/>
      <c r="AH142" s="419"/>
      <c r="AI142" s="419"/>
      <c r="AJ142" s="419"/>
      <c r="AK142" s="419"/>
      <c r="AL142" s="419"/>
    </row>
    <row r="143" spans="1:38">
      <c r="A143" s="419" t="s">
        <v>0</v>
      </c>
      <c r="B143" s="69"/>
      <c r="C143" s="71"/>
      <c r="D143" s="69"/>
      <c r="E143" s="69"/>
      <c r="F143" s="69"/>
      <c r="G143" s="69"/>
      <c r="H143" s="69"/>
      <c r="I143" s="69"/>
      <c r="J143" s="69"/>
      <c r="K143" s="64"/>
      <c r="L143" s="71"/>
      <c r="M143" s="64"/>
      <c r="N143" s="64"/>
      <c r="O143" s="64"/>
      <c r="P143" s="419"/>
      <c r="Q143" s="419"/>
      <c r="R143" s="419"/>
      <c r="S143" s="419"/>
      <c r="T143" s="419"/>
      <c r="U143" s="419"/>
      <c r="V143" s="419"/>
      <c r="W143" s="419"/>
      <c r="X143" s="419"/>
      <c r="Y143" s="419"/>
      <c r="Z143" s="419"/>
      <c r="AA143" s="419"/>
      <c r="AB143" s="419"/>
      <c r="AC143" s="419"/>
      <c r="AD143" s="419"/>
      <c r="AE143" s="419"/>
      <c r="AF143" s="419"/>
      <c r="AG143" s="419"/>
      <c r="AH143" s="419"/>
      <c r="AI143" s="419"/>
      <c r="AJ143" s="419"/>
      <c r="AK143" s="419"/>
      <c r="AL143" s="419"/>
    </row>
    <row r="144" spans="1:38">
      <c r="A144" s="419" t="s">
        <v>0</v>
      </c>
      <c r="B144" s="64"/>
      <c r="C144" s="65"/>
      <c r="D144" s="64"/>
      <c r="E144" s="64"/>
      <c r="F144" s="64"/>
      <c r="G144" s="64"/>
      <c r="H144" s="64"/>
      <c r="I144" s="64"/>
      <c r="J144" s="64"/>
      <c r="K144" s="64"/>
      <c r="L144" s="65"/>
      <c r="M144" s="64"/>
      <c r="N144" s="64"/>
      <c r="O144" s="64"/>
      <c r="P144" s="419"/>
      <c r="Q144" s="419"/>
      <c r="R144" s="419"/>
      <c r="S144" s="419"/>
      <c r="T144" s="419"/>
      <c r="U144" s="419"/>
      <c r="V144" s="419"/>
      <c r="W144" s="419"/>
      <c r="X144" s="419"/>
      <c r="Y144" s="419"/>
      <c r="Z144" s="419"/>
      <c r="AA144" s="419"/>
      <c r="AB144" s="419"/>
      <c r="AC144" s="419"/>
      <c r="AD144" s="419"/>
      <c r="AE144" s="419"/>
      <c r="AF144" s="419"/>
      <c r="AG144" s="419"/>
      <c r="AH144" s="419"/>
      <c r="AI144" s="419"/>
      <c r="AJ144" s="419"/>
      <c r="AK144" s="419"/>
      <c r="AL144" s="419"/>
    </row>
    <row r="145" spans="1:38">
      <c r="A145" s="419" t="s">
        <v>0</v>
      </c>
      <c r="B145" s="69"/>
      <c r="C145" s="71"/>
      <c r="D145" s="69"/>
      <c r="E145" s="69"/>
      <c r="F145" s="69"/>
      <c r="G145" s="69"/>
      <c r="H145" s="69"/>
      <c r="I145" s="69"/>
      <c r="J145" s="69"/>
      <c r="K145" s="64"/>
      <c r="L145" s="71"/>
      <c r="M145" s="64"/>
      <c r="N145" s="64"/>
      <c r="O145" s="64"/>
      <c r="P145" s="419"/>
      <c r="Q145" s="419"/>
      <c r="R145" s="419"/>
      <c r="S145" s="419"/>
      <c r="T145" s="419"/>
      <c r="U145" s="419"/>
      <c r="V145" s="419"/>
      <c r="W145" s="419"/>
      <c r="X145" s="419"/>
      <c r="Y145" s="419"/>
      <c r="Z145" s="419"/>
      <c r="AA145" s="419"/>
      <c r="AB145" s="419"/>
      <c r="AC145" s="419"/>
      <c r="AD145" s="419"/>
      <c r="AE145" s="419"/>
      <c r="AF145" s="419"/>
      <c r="AG145" s="419"/>
      <c r="AH145" s="419"/>
      <c r="AI145" s="419"/>
      <c r="AJ145" s="419"/>
      <c r="AK145" s="419"/>
      <c r="AL145" s="419"/>
    </row>
    <row r="146" spans="1:38">
      <c r="A146" s="419" t="s">
        <v>0</v>
      </c>
      <c r="B146" s="64"/>
      <c r="C146" s="65"/>
      <c r="D146" s="64"/>
      <c r="E146" s="64"/>
      <c r="F146" s="64"/>
      <c r="G146" s="64"/>
      <c r="H146" s="64"/>
      <c r="I146" s="64"/>
      <c r="J146" s="64"/>
      <c r="K146" s="64"/>
      <c r="L146" s="65"/>
      <c r="M146" s="64"/>
      <c r="N146" s="64"/>
      <c r="O146" s="64"/>
      <c r="P146" s="419"/>
      <c r="Q146" s="419"/>
      <c r="R146" s="419"/>
      <c r="S146" s="419"/>
      <c r="T146" s="419"/>
      <c r="U146" s="419"/>
      <c r="V146" s="419"/>
      <c r="W146" s="419"/>
      <c r="X146" s="419"/>
      <c r="Y146" s="419"/>
      <c r="Z146" s="419"/>
      <c r="AA146" s="419"/>
      <c r="AB146" s="419"/>
      <c r="AC146" s="419"/>
      <c r="AD146" s="419"/>
      <c r="AE146" s="419"/>
      <c r="AF146" s="419"/>
      <c r="AG146" s="419"/>
      <c r="AH146" s="419"/>
      <c r="AI146" s="419"/>
      <c r="AJ146" s="419"/>
      <c r="AK146" s="419"/>
      <c r="AL146" s="419"/>
    </row>
    <row r="147" spans="1:38">
      <c r="A147" s="419" t="s">
        <v>0</v>
      </c>
      <c r="B147" s="64"/>
      <c r="C147" s="65"/>
      <c r="D147" s="64"/>
      <c r="E147" s="64"/>
      <c r="F147" s="64"/>
      <c r="G147" s="64"/>
      <c r="H147" s="64"/>
      <c r="I147" s="64"/>
      <c r="J147" s="64"/>
      <c r="K147" s="64"/>
      <c r="L147" s="65"/>
      <c r="M147" s="64"/>
      <c r="N147" s="64"/>
      <c r="O147" s="64"/>
      <c r="P147" s="419"/>
      <c r="Q147" s="419"/>
      <c r="R147" s="419"/>
      <c r="S147" s="419"/>
      <c r="T147" s="419"/>
      <c r="U147" s="419"/>
      <c r="V147" s="419"/>
      <c r="W147" s="419"/>
      <c r="X147" s="419"/>
      <c r="Y147" s="419"/>
      <c r="Z147" s="419"/>
      <c r="AA147" s="419"/>
      <c r="AB147" s="419"/>
      <c r="AC147" s="419"/>
      <c r="AD147" s="419"/>
      <c r="AE147" s="419"/>
      <c r="AF147" s="419"/>
      <c r="AG147" s="419"/>
      <c r="AH147" s="419"/>
      <c r="AI147" s="419"/>
      <c r="AJ147" s="419"/>
      <c r="AK147" s="419"/>
      <c r="AL147" s="419"/>
    </row>
    <row r="148" spans="1:38">
      <c r="A148" s="419" t="s">
        <v>0</v>
      </c>
      <c r="B148" s="64"/>
      <c r="C148" s="65"/>
      <c r="D148" s="64"/>
      <c r="E148" s="64"/>
      <c r="F148" s="64"/>
      <c r="G148" s="64"/>
      <c r="H148" s="64"/>
      <c r="I148" s="64"/>
      <c r="J148" s="64"/>
      <c r="K148" s="64"/>
      <c r="L148" s="65"/>
      <c r="M148" s="64"/>
      <c r="N148" s="64"/>
      <c r="O148" s="64"/>
      <c r="P148" s="419"/>
      <c r="Q148" s="419"/>
      <c r="R148" s="419"/>
      <c r="S148" s="419"/>
      <c r="T148" s="419"/>
      <c r="U148" s="419"/>
      <c r="V148" s="419"/>
      <c r="W148" s="419"/>
      <c r="X148" s="419"/>
      <c r="Y148" s="419"/>
      <c r="Z148" s="419"/>
      <c r="AA148" s="419"/>
      <c r="AB148" s="419"/>
      <c r="AC148" s="419"/>
      <c r="AD148" s="419"/>
      <c r="AE148" s="419"/>
      <c r="AF148" s="419"/>
      <c r="AG148" s="419"/>
      <c r="AH148" s="419"/>
      <c r="AI148" s="419"/>
      <c r="AJ148" s="419"/>
      <c r="AK148" s="419"/>
      <c r="AL148" s="419"/>
    </row>
    <row r="149" spans="1:38">
      <c r="A149" s="419" t="s">
        <v>0</v>
      </c>
      <c r="B149" s="64"/>
      <c r="C149" s="65"/>
      <c r="D149" s="64"/>
      <c r="E149" s="64"/>
      <c r="F149" s="64"/>
      <c r="G149" s="64"/>
      <c r="H149" s="64"/>
      <c r="I149" s="64"/>
      <c r="J149" s="64"/>
      <c r="K149" s="64"/>
      <c r="L149" s="65"/>
      <c r="M149" s="64"/>
      <c r="N149" s="64"/>
      <c r="O149" s="64"/>
      <c r="P149" s="419"/>
      <c r="Q149" s="419"/>
      <c r="R149" s="419"/>
      <c r="S149" s="419"/>
      <c r="T149" s="419"/>
      <c r="U149" s="419"/>
      <c r="V149" s="419"/>
      <c r="W149" s="419"/>
      <c r="X149" s="419"/>
      <c r="Y149" s="419"/>
      <c r="Z149" s="419"/>
      <c r="AA149" s="419"/>
      <c r="AB149" s="419"/>
      <c r="AC149" s="419"/>
      <c r="AD149" s="419"/>
      <c r="AE149" s="419"/>
      <c r="AF149" s="419"/>
      <c r="AG149" s="419"/>
      <c r="AH149" s="419"/>
      <c r="AI149" s="419"/>
      <c r="AJ149" s="419"/>
      <c r="AK149" s="419"/>
      <c r="AL149" s="419"/>
    </row>
    <row r="150" spans="1:38">
      <c r="A150" s="419" t="s">
        <v>0</v>
      </c>
      <c r="B150" s="64"/>
      <c r="C150" s="65"/>
      <c r="D150" s="64"/>
      <c r="E150" s="64"/>
      <c r="F150" s="64"/>
      <c r="G150" s="64"/>
      <c r="H150" s="64"/>
      <c r="I150" s="64"/>
      <c r="J150" s="64"/>
      <c r="K150" s="64"/>
      <c r="L150" s="65"/>
      <c r="M150" s="64"/>
      <c r="N150" s="64"/>
      <c r="O150" s="64"/>
      <c r="P150" s="419"/>
      <c r="Q150" s="419"/>
      <c r="R150" s="419"/>
      <c r="S150" s="419"/>
      <c r="T150" s="419"/>
      <c r="U150" s="419"/>
      <c r="V150" s="419"/>
      <c r="W150" s="419"/>
      <c r="X150" s="419"/>
      <c r="Y150" s="419"/>
      <c r="Z150" s="419"/>
      <c r="AA150" s="419"/>
      <c r="AB150" s="419"/>
      <c r="AC150" s="419"/>
      <c r="AD150" s="419"/>
      <c r="AE150" s="419"/>
      <c r="AF150" s="419"/>
      <c r="AG150" s="419"/>
      <c r="AH150" s="419"/>
      <c r="AI150" s="419"/>
      <c r="AJ150" s="419"/>
      <c r="AK150" s="419"/>
      <c r="AL150" s="419"/>
    </row>
    <row r="151" spans="1:38">
      <c r="A151" s="419" t="s">
        <v>0</v>
      </c>
      <c r="B151" s="64"/>
      <c r="C151" s="65"/>
      <c r="D151" s="64"/>
      <c r="E151" s="64"/>
      <c r="F151" s="64"/>
      <c r="G151" s="64"/>
      <c r="H151" s="64"/>
      <c r="I151" s="64"/>
      <c r="J151" s="64"/>
      <c r="K151" s="64"/>
      <c r="L151" s="65"/>
      <c r="M151" s="64"/>
      <c r="N151" s="64"/>
      <c r="O151" s="64"/>
      <c r="P151" s="419"/>
      <c r="Q151" s="419"/>
      <c r="R151" s="419"/>
      <c r="S151" s="419"/>
      <c r="T151" s="419"/>
      <c r="U151" s="419"/>
      <c r="V151" s="419"/>
      <c r="W151" s="419"/>
      <c r="X151" s="419"/>
      <c r="Y151" s="419"/>
      <c r="Z151" s="419"/>
      <c r="AA151" s="419"/>
      <c r="AB151" s="419"/>
      <c r="AC151" s="419"/>
      <c r="AD151" s="419"/>
      <c r="AE151" s="419"/>
      <c r="AF151" s="419"/>
      <c r="AG151" s="419"/>
      <c r="AH151" s="419"/>
      <c r="AI151" s="419"/>
      <c r="AJ151" s="419"/>
      <c r="AK151" s="419"/>
      <c r="AL151" s="419"/>
    </row>
    <row r="152" spans="1:38">
      <c r="A152" s="419" t="s">
        <v>0</v>
      </c>
      <c r="B152" s="69"/>
      <c r="C152" s="71"/>
      <c r="D152" s="69"/>
      <c r="E152" s="69"/>
      <c r="F152" s="69"/>
      <c r="G152" s="69"/>
      <c r="H152" s="69"/>
      <c r="I152" s="69"/>
      <c r="J152" s="69"/>
      <c r="K152" s="64"/>
      <c r="L152" s="71"/>
      <c r="M152" s="64"/>
      <c r="N152" s="64"/>
      <c r="O152" s="64"/>
      <c r="P152" s="419"/>
      <c r="Q152" s="419"/>
      <c r="R152" s="419"/>
      <c r="S152" s="419"/>
      <c r="T152" s="419"/>
      <c r="U152" s="419"/>
      <c r="V152" s="419"/>
      <c r="W152" s="419"/>
      <c r="X152" s="419"/>
      <c r="Y152" s="419"/>
      <c r="Z152" s="419"/>
      <c r="AA152" s="419"/>
      <c r="AB152" s="419"/>
      <c r="AC152" s="419"/>
      <c r="AD152" s="419"/>
      <c r="AE152" s="419"/>
      <c r="AF152" s="419"/>
      <c r="AG152" s="419"/>
      <c r="AH152" s="419"/>
      <c r="AI152" s="419"/>
      <c r="AJ152" s="419"/>
      <c r="AK152" s="419"/>
      <c r="AL152" s="419"/>
    </row>
    <row r="153" spans="1:38">
      <c r="A153" s="419" t="s">
        <v>0</v>
      </c>
      <c r="B153" s="64"/>
      <c r="C153" s="65"/>
      <c r="D153" s="64"/>
      <c r="E153" s="64"/>
      <c r="F153" s="64"/>
      <c r="G153" s="64"/>
      <c r="H153" s="64"/>
      <c r="I153" s="64"/>
      <c r="J153" s="64"/>
      <c r="K153" s="64"/>
      <c r="L153" s="65"/>
      <c r="M153" s="64"/>
      <c r="N153" s="64"/>
      <c r="O153" s="64"/>
      <c r="P153" s="419"/>
      <c r="Q153" s="419"/>
      <c r="R153" s="419"/>
      <c r="S153" s="419"/>
      <c r="T153" s="419"/>
      <c r="U153" s="419"/>
      <c r="V153" s="419"/>
      <c r="W153" s="419"/>
      <c r="X153" s="419"/>
      <c r="Y153" s="419"/>
      <c r="Z153" s="419"/>
      <c r="AA153" s="419"/>
      <c r="AB153" s="419"/>
      <c r="AC153" s="419"/>
      <c r="AD153" s="419"/>
      <c r="AE153" s="419"/>
      <c r="AF153" s="419"/>
      <c r="AG153" s="419"/>
      <c r="AH153" s="419"/>
      <c r="AI153" s="419"/>
      <c r="AJ153" s="419"/>
      <c r="AK153" s="419"/>
      <c r="AL153" s="419"/>
    </row>
    <row r="154" spans="1:38">
      <c r="A154" s="419" t="s">
        <v>0</v>
      </c>
      <c r="B154" s="64"/>
      <c r="C154" s="65"/>
      <c r="D154" s="64"/>
      <c r="E154" s="64"/>
      <c r="F154" s="64"/>
      <c r="G154" s="64"/>
      <c r="H154" s="64"/>
      <c r="I154" s="64"/>
      <c r="J154" s="64"/>
      <c r="K154" s="64"/>
      <c r="L154" s="65"/>
      <c r="M154" s="64"/>
      <c r="N154" s="64"/>
      <c r="O154" s="64"/>
      <c r="P154" s="419"/>
      <c r="Q154" s="419"/>
      <c r="R154" s="419"/>
      <c r="S154" s="419"/>
      <c r="T154" s="419"/>
      <c r="U154" s="419"/>
      <c r="V154" s="419"/>
      <c r="W154" s="419"/>
      <c r="X154" s="419"/>
      <c r="Y154" s="419"/>
      <c r="Z154" s="419"/>
      <c r="AA154" s="419"/>
      <c r="AB154" s="419"/>
      <c r="AC154" s="419"/>
      <c r="AD154" s="419"/>
      <c r="AE154" s="419"/>
      <c r="AF154" s="419"/>
      <c r="AG154" s="419"/>
      <c r="AH154" s="419"/>
      <c r="AI154" s="419"/>
      <c r="AJ154" s="419"/>
      <c r="AK154" s="419"/>
      <c r="AL154" s="419"/>
    </row>
    <row r="155" spans="1:38">
      <c r="A155" s="419" t="s">
        <v>0</v>
      </c>
      <c r="B155" s="64"/>
      <c r="C155" s="65"/>
      <c r="D155" s="64"/>
      <c r="E155" s="64"/>
      <c r="F155" s="64"/>
      <c r="G155" s="64"/>
      <c r="H155" s="64"/>
      <c r="I155" s="64"/>
      <c r="J155" s="64"/>
      <c r="K155" s="64"/>
      <c r="L155" s="65"/>
      <c r="M155" s="64"/>
      <c r="N155" s="64"/>
      <c r="O155" s="64"/>
      <c r="P155" s="419"/>
      <c r="Q155" s="419"/>
      <c r="R155" s="419"/>
      <c r="S155" s="419"/>
      <c r="T155" s="419"/>
      <c r="U155" s="419"/>
      <c r="V155" s="419"/>
      <c r="W155" s="419"/>
      <c r="X155" s="419"/>
      <c r="Y155" s="419"/>
      <c r="Z155" s="419"/>
      <c r="AA155" s="419"/>
      <c r="AB155" s="419"/>
      <c r="AC155" s="419"/>
      <c r="AD155" s="419"/>
      <c r="AE155" s="419"/>
      <c r="AF155" s="419"/>
      <c r="AG155" s="419"/>
      <c r="AH155" s="419"/>
      <c r="AI155" s="419"/>
      <c r="AJ155" s="419"/>
      <c r="AK155" s="419"/>
      <c r="AL155" s="419"/>
    </row>
    <row r="156" spans="1:38">
      <c r="A156" s="419" t="s">
        <v>0</v>
      </c>
      <c r="B156" s="69" t="s">
        <v>0</v>
      </c>
      <c r="C156" s="71" t="s">
        <v>0</v>
      </c>
      <c r="D156" s="69" t="s">
        <v>0</v>
      </c>
      <c r="E156" s="69" t="s">
        <v>0</v>
      </c>
      <c r="F156" s="69" t="s">
        <v>0</v>
      </c>
      <c r="G156" s="69" t="s">
        <v>0</v>
      </c>
      <c r="H156" s="69" t="s">
        <v>0</v>
      </c>
      <c r="I156" s="69" t="s">
        <v>0</v>
      </c>
      <c r="J156" s="69" t="s">
        <v>0</v>
      </c>
      <c r="K156" s="64" t="s">
        <v>0</v>
      </c>
      <c r="L156" s="71" t="s">
        <v>0</v>
      </c>
      <c r="M156" s="64" t="s">
        <v>0</v>
      </c>
      <c r="N156" s="64" t="s">
        <v>0</v>
      </c>
      <c r="O156" s="64" t="s">
        <v>0</v>
      </c>
      <c r="P156" s="419" t="s">
        <v>0</v>
      </c>
      <c r="Q156" s="419" t="s">
        <v>0</v>
      </c>
      <c r="R156" s="419"/>
      <c r="S156" s="419"/>
      <c r="T156" s="419"/>
      <c r="U156" s="419"/>
      <c r="V156" s="419"/>
      <c r="W156" s="419"/>
      <c r="X156" s="419"/>
      <c r="Y156" s="419"/>
      <c r="Z156" s="419"/>
      <c r="AA156" s="419"/>
      <c r="AB156" s="419"/>
      <c r="AC156" s="419"/>
      <c r="AD156" s="419"/>
      <c r="AE156" s="419"/>
      <c r="AF156" s="419"/>
      <c r="AG156" s="419"/>
      <c r="AH156" s="419"/>
      <c r="AI156" s="419"/>
      <c r="AJ156" s="419"/>
      <c r="AK156" s="419"/>
      <c r="AL156" s="419"/>
    </row>
    <row r="157" spans="1:38">
      <c r="A157" s="419"/>
      <c r="B157" s="64"/>
      <c r="C157" s="65"/>
      <c r="D157" s="64"/>
      <c r="E157" s="64"/>
      <c r="F157" s="64"/>
      <c r="G157" s="64"/>
      <c r="H157" s="64"/>
      <c r="I157" s="64"/>
      <c r="J157" s="64"/>
      <c r="K157" s="64"/>
      <c r="L157" s="65"/>
      <c r="M157" s="64"/>
      <c r="N157" s="64"/>
      <c r="O157" s="64"/>
      <c r="P157" s="419"/>
      <c r="Q157" s="419"/>
      <c r="R157" s="419"/>
      <c r="S157" s="419"/>
      <c r="T157" s="419"/>
      <c r="U157" s="419"/>
      <c r="V157" s="419"/>
      <c r="W157" s="419"/>
      <c r="X157" s="419"/>
      <c r="Y157" s="419"/>
      <c r="Z157" s="419"/>
      <c r="AA157" s="419"/>
      <c r="AB157" s="419"/>
      <c r="AC157" s="419"/>
      <c r="AD157" s="419"/>
      <c r="AE157" s="419"/>
      <c r="AF157" s="419"/>
      <c r="AG157" s="419"/>
      <c r="AH157" s="419"/>
      <c r="AI157" s="419"/>
      <c r="AJ157" s="419"/>
      <c r="AK157" s="419"/>
      <c r="AL157" s="419"/>
    </row>
    <row r="158" spans="1:38">
      <c r="A158" s="419"/>
      <c r="B158" s="64"/>
      <c r="C158" s="65"/>
      <c r="D158" s="64"/>
      <c r="E158" s="64"/>
      <c r="F158" s="64"/>
      <c r="G158" s="64"/>
      <c r="H158" s="64"/>
      <c r="I158" s="64"/>
      <c r="J158" s="64"/>
      <c r="K158" s="64"/>
      <c r="L158" s="65"/>
      <c r="M158" s="64"/>
      <c r="N158" s="64"/>
      <c r="O158" s="64"/>
      <c r="P158" s="419"/>
      <c r="Q158" s="419"/>
      <c r="R158" s="419"/>
      <c r="S158" s="419"/>
      <c r="T158" s="419"/>
      <c r="U158" s="419"/>
      <c r="V158" s="419"/>
      <c r="W158" s="419"/>
      <c r="X158" s="419"/>
      <c r="Y158" s="419"/>
      <c r="Z158" s="419"/>
      <c r="AA158" s="419"/>
      <c r="AB158" s="419"/>
      <c r="AC158" s="419"/>
      <c r="AD158" s="419"/>
      <c r="AE158" s="419"/>
      <c r="AF158" s="419"/>
      <c r="AG158" s="419"/>
      <c r="AH158" s="419"/>
      <c r="AI158" s="419"/>
      <c r="AJ158" s="419"/>
      <c r="AK158" s="419"/>
      <c r="AL158" s="419"/>
    </row>
    <row r="159" spans="1:38">
      <c r="A159" s="419"/>
      <c r="B159" s="64"/>
      <c r="C159" s="65"/>
      <c r="D159" s="64"/>
      <c r="E159" s="64"/>
      <c r="F159" s="64"/>
      <c r="G159" s="64"/>
      <c r="H159" s="64"/>
      <c r="I159" s="64"/>
      <c r="J159" s="64"/>
      <c r="K159" s="64"/>
      <c r="L159" s="65"/>
      <c r="M159" s="64"/>
      <c r="N159" s="64"/>
      <c r="O159" s="64"/>
      <c r="P159" s="419"/>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L159" s="419"/>
    </row>
    <row r="160" spans="1:38">
      <c r="A160" s="419"/>
      <c r="B160" s="64"/>
      <c r="C160" s="65"/>
      <c r="D160" s="64"/>
      <c r="E160" s="64"/>
      <c r="F160" s="64"/>
      <c r="G160" s="64"/>
      <c r="H160" s="64"/>
      <c r="I160" s="64"/>
      <c r="J160" s="64"/>
      <c r="K160" s="64"/>
      <c r="L160" s="65"/>
      <c r="M160" s="64"/>
      <c r="N160" s="64"/>
      <c r="O160" s="64"/>
      <c r="P160" s="419"/>
      <c r="Q160" s="419"/>
      <c r="R160" s="419"/>
      <c r="S160" s="419"/>
      <c r="T160" s="419"/>
      <c r="U160" s="419"/>
      <c r="V160" s="419"/>
      <c r="W160" s="419"/>
      <c r="X160" s="419"/>
      <c r="Y160" s="419"/>
      <c r="Z160" s="419"/>
      <c r="AA160" s="419"/>
      <c r="AB160" s="419"/>
      <c r="AC160" s="419"/>
      <c r="AD160" s="419"/>
      <c r="AE160" s="419"/>
      <c r="AF160" s="419"/>
      <c r="AG160" s="419"/>
      <c r="AH160" s="419"/>
      <c r="AI160" s="419"/>
      <c r="AJ160" s="419"/>
      <c r="AK160" s="419"/>
      <c r="AL160" s="419"/>
    </row>
    <row r="161" spans="1:38">
      <c r="A161" s="419"/>
      <c r="B161" s="64"/>
      <c r="C161" s="65"/>
      <c r="D161" s="64"/>
      <c r="E161" s="64"/>
      <c r="F161" s="64"/>
      <c r="G161" s="64"/>
      <c r="H161" s="64"/>
      <c r="I161" s="64"/>
      <c r="J161" s="64"/>
      <c r="K161" s="64"/>
      <c r="L161" s="65"/>
      <c r="M161" s="64"/>
      <c r="N161" s="64"/>
      <c r="O161" s="64"/>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row>
    <row r="162" spans="1:38">
      <c r="A162" s="419"/>
      <c r="B162" s="64"/>
      <c r="C162" s="65"/>
      <c r="D162" s="64"/>
      <c r="E162" s="64"/>
      <c r="F162" s="64"/>
      <c r="G162" s="64"/>
      <c r="H162" s="64"/>
      <c r="I162" s="64"/>
      <c r="J162" s="64"/>
      <c r="K162" s="64"/>
      <c r="L162" s="65"/>
      <c r="M162" s="64"/>
      <c r="N162" s="64"/>
      <c r="O162" s="64"/>
      <c r="P162" s="419"/>
      <c r="Q162" s="419"/>
      <c r="R162" s="419"/>
      <c r="S162" s="419"/>
      <c r="T162" s="419"/>
      <c r="U162" s="419"/>
      <c r="V162" s="419"/>
      <c r="W162" s="419"/>
      <c r="X162" s="419"/>
      <c r="Y162" s="419"/>
      <c r="Z162" s="419"/>
      <c r="AA162" s="419"/>
      <c r="AB162" s="419"/>
      <c r="AC162" s="419"/>
      <c r="AD162" s="419"/>
      <c r="AE162" s="419"/>
      <c r="AF162" s="419"/>
      <c r="AG162" s="419"/>
      <c r="AH162" s="419"/>
      <c r="AI162" s="419"/>
      <c r="AJ162" s="419"/>
      <c r="AK162" s="419"/>
      <c r="AL162" s="419"/>
    </row>
    <row r="163" spans="1:38">
      <c r="A163" s="419"/>
      <c r="B163" s="64"/>
      <c r="C163" s="65"/>
      <c r="D163" s="64"/>
      <c r="E163" s="64"/>
      <c r="F163" s="64"/>
      <c r="G163" s="64"/>
      <c r="H163" s="64"/>
      <c r="I163" s="64"/>
      <c r="J163" s="64"/>
      <c r="K163" s="64"/>
      <c r="L163" s="65"/>
      <c r="M163" s="64"/>
      <c r="N163" s="64"/>
      <c r="O163" s="64"/>
      <c r="P163" s="419"/>
      <c r="Q163" s="419"/>
      <c r="R163" s="419"/>
      <c r="S163" s="419"/>
      <c r="T163" s="419"/>
      <c r="U163" s="419"/>
      <c r="V163" s="419"/>
      <c r="W163" s="419"/>
      <c r="X163" s="419"/>
      <c r="Y163" s="419"/>
      <c r="Z163" s="419"/>
      <c r="AA163" s="419"/>
      <c r="AB163" s="419"/>
      <c r="AC163" s="419"/>
      <c r="AD163" s="419"/>
      <c r="AE163" s="419"/>
      <c r="AF163" s="419"/>
      <c r="AG163" s="419"/>
      <c r="AH163" s="419"/>
      <c r="AI163" s="419"/>
      <c r="AJ163" s="419"/>
      <c r="AK163" s="419"/>
      <c r="AL163" s="419"/>
    </row>
    <row r="164" spans="1:38">
      <c r="A164" s="419"/>
      <c r="B164" s="64"/>
      <c r="C164" s="65"/>
      <c r="D164" s="64"/>
      <c r="E164" s="64"/>
      <c r="F164" s="64"/>
      <c r="G164" s="64"/>
      <c r="H164" s="64"/>
      <c r="I164" s="64"/>
      <c r="J164" s="64"/>
      <c r="K164" s="64"/>
      <c r="L164" s="65"/>
      <c r="M164" s="64"/>
      <c r="N164" s="64"/>
      <c r="O164" s="64"/>
      <c r="P164" s="419"/>
      <c r="Q164" s="419"/>
      <c r="R164" s="419"/>
      <c r="S164" s="419"/>
      <c r="T164" s="419"/>
      <c r="U164" s="419"/>
      <c r="V164" s="419"/>
      <c r="W164" s="419"/>
      <c r="X164" s="419"/>
      <c r="Y164" s="419"/>
      <c r="Z164" s="419"/>
      <c r="AA164" s="419"/>
      <c r="AB164" s="419"/>
      <c r="AC164" s="419"/>
      <c r="AD164" s="419"/>
      <c r="AE164" s="419"/>
      <c r="AF164" s="419"/>
      <c r="AG164" s="419"/>
      <c r="AH164" s="419"/>
      <c r="AI164" s="419"/>
      <c r="AJ164" s="419"/>
      <c r="AK164" s="419"/>
      <c r="AL164" s="419"/>
    </row>
    <row r="165" spans="1:38">
      <c r="A165" s="419"/>
      <c r="B165" s="64"/>
      <c r="C165" s="65"/>
      <c r="D165" s="64"/>
      <c r="E165" s="64"/>
      <c r="F165" s="64"/>
      <c r="G165" s="64"/>
      <c r="H165" s="64"/>
      <c r="I165" s="64"/>
      <c r="J165" s="64"/>
      <c r="K165" s="64"/>
      <c r="L165" s="65"/>
      <c r="M165" s="64"/>
      <c r="N165" s="64"/>
      <c r="O165" s="64"/>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row>
    <row r="166" spans="1:38">
      <c r="A166" s="419"/>
      <c r="B166" s="64"/>
      <c r="C166" s="65"/>
      <c r="D166" s="64"/>
      <c r="E166" s="64"/>
      <c r="F166" s="64"/>
      <c r="G166" s="64"/>
      <c r="H166" s="64"/>
      <c r="I166" s="64"/>
      <c r="J166" s="64"/>
      <c r="K166" s="64"/>
      <c r="L166" s="65"/>
      <c r="M166" s="64"/>
      <c r="N166" s="64"/>
      <c r="O166" s="64"/>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row>
    <row r="167" spans="1:38">
      <c r="A167" s="419"/>
      <c r="B167" s="64"/>
      <c r="C167" s="65"/>
      <c r="D167" s="64"/>
      <c r="E167" s="64"/>
      <c r="F167" s="64"/>
      <c r="G167" s="64"/>
      <c r="H167" s="64"/>
      <c r="I167" s="64"/>
      <c r="J167" s="64"/>
      <c r="K167" s="64"/>
      <c r="L167" s="65"/>
      <c r="M167" s="64"/>
      <c r="N167" s="64"/>
      <c r="O167" s="64"/>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row>
    <row r="168" spans="1:38">
      <c r="A168" s="419"/>
      <c r="B168" s="64"/>
      <c r="C168" s="65"/>
      <c r="D168" s="64"/>
      <c r="E168" s="64"/>
      <c r="F168" s="64"/>
      <c r="G168" s="64"/>
      <c r="H168" s="64"/>
      <c r="I168" s="64"/>
      <c r="J168" s="64"/>
      <c r="K168" s="64"/>
      <c r="L168" s="65"/>
      <c r="M168" s="64"/>
      <c r="N168" s="64"/>
      <c r="O168" s="64"/>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row>
    <row r="169" spans="1:38">
      <c r="A169" s="419"/>
      <c r="B169" s="64"/>
      <c r="C169" s="65"/>
      <c r="D169" s="64"/>
      <c r="E169" s="64"/>
      <c r="F169" s="64"/>
      <c r="G169" s="64"/>
      <c r="H169" s="64"/>
      <c r="I169" s="64"/>
      <c r="J169" s="64"/>
      <c r="K169" s="64"/>
      <c r="L169" s="65"/>
      <c r="M169" s="64"/>
      <c r="N169" s="64"/>
      <c r="O169" s="64"/>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row>
    <row r="170" spans="1:38">
      <c r="A170" s="419"/>
      <c r="B170" s="64"/>
      <c r="C170" s="65"/>
      <c r="D170" s="64"/>
      <c r="E170" s="64"/>
      <c r="F170" s="64"/>
      <c r="G170" s="64"/>
      <c r="H170" s="64"/>
      <c r="I170" s="64"/>
      <c r="J170" s="64"/>
      <c r="K170" s="64"/>
      <c r="L170" s="65"/>
      <c r="M170" s="64"/>
      <c r="N170" s="64"/>
      <c r="O170" s="64"/>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row>
    <row r="171" spans="1:38">
      <c r="A171" s="419"/>
      <c r="B171" s="64"/>
      <c r="C171" s="65"/>
      <c r="D171" s="64"/>
      <c r="E171" s="64"/>
      <c r="F171" s="64"/>
      <c r="G171" s="64"/>
      <c r="H171" s="64"/>
      <c r="I171" s="64"/>
      <c r="J171" s="64"/>
      <c r="K171" s="64"/>
      <c r="L171" s="65"/>
      <c r="M171" s="64"/>
      <c r="N171" s="64"/>
      <c r="O171" s="64"/>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row>
    <row r="172" spans="1:38">
      <c r="A172" s="419"/>
      <c r="B172" s="64"/>
      <c r="C172" s="65"/>
      <c r="D172" s="64"/>
      <c r="E172" s="64"/>
      <c r="F172" s="64"/>
      <c r="G172" s="64"/>
      <c r="H172" s="64"/>
      <c r="I172" s="64"/>
      <c r="J172" s="64"/>
      <c r="K172" s="64"/>
      <c r="L172" s="65"/>
      <c r="M172" s="64"/>
      <c r="N172" s="64"/>
      <c r="O172" s="64"/>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row>
    <row r="173" spans="1:38">
      <c r="A173" s="419"/>
      <c r="B173" s="64"/>
      <c r="C173" s="65"/>
      <c r="D173" s="64"/>
      <c r="E173" s="64"/>
      <c r="F173" s="64"/>
      <c r="G173" s="64"/>
      <c r="H173" s="64"/>
      <c r="I173" s="64"/>
      <c r="J173" s="64"/>
      <c r="K173" s="64"/>
      <c r="L173" s="65"/>
      <c r="M173" s="64"/>
      <c r="N173" s="64"/>
      <c r="O173" s="64"/>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row>
    <row r="174" spans="1:38">
      <c r="A174" s="419"/>
      <c r="B174" s="64"/>
      <c r="C174" s="65"/>
      <c r="D174" s="64"/>
      <c r="E174" s="64"/>
      <c r="F174" s="64"/>
      <c r="G174" s="64"/>
      <c r="H174" s="64"/>
      <c r="I174" s="64"/>
      <c r="J174" s="64"/>
      <c r="K174" s="64"/>
      <c r="L174" s="65"/>
      <c r="M174" s="64"/>
      <c r="N174" s="64"/>
      <c r="O174" s="64"/>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row>
    <row r="175" spans="1:38">
      <c r="A175" s="419"/>
      <c r="B175" s="64"/>
      <c r="C175" s="65"/>
      <c r="D175" s="64"/>
      <c r="E175" s="64"/>
      <c r="F175" s="64"/>
      <c r="G175" s="64"/>
      <c r="H175" s="64"/>
      <c r="I175" s="64"/>
      <c r="J175" s="64"/>
      <c r="K175" s="64"/>
      <c r="L175" s="65"/>
      <c r="M175" s="64"/>
      <c r="N175" s="64"/>
      <c r="O175" s="64"/>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row>
    <row r="176" spans="1:38">
      <c r="A176" s="419"/>
      <c r="B176" s="64"/>
      <c r="C176" s="65"/>
      <c r="D176" s="64"/>
      <c r="E176" s="64"/>
      <c r="F176" s="64"/>
      <c r="G176" s="64"/>
      <c r="H176" s="64"/>
      <c r="I176" s="64"/>
      <c r="J176" s="64"/>
      <c r="K176" s="64"/>
      <c r="L176" s="65"/>
      <c r="M176" s="64"/>
      <c r="N176" s="64"/>
      <c r="O176" s="64"/>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row>
    <row r="177" spans="1:38">
      <c r="A177" s="419"/>
      <c r="B177" s="64"/>
      <c r="C177" s="65"/>
      <c r="D177" s="64"/>
      <c r="E177" s="64"/>
      <c r="F177" s="64"/>
      <c r="G177" s="64"/>
      <c r="H177" s="64"/>
      <c r="I177" s="64"/>
      <c r="J177" s="64"/>
      <c r="K177" s="64"/>
      <c r="L177" s="65"/>
      <c r="M177" s="64"/>
      <c r="N177" s="64"/>
      <c r="O177" s="64"/>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row>
    <row r="178" spans="1:38">
      <c r="A178" s="419"/>
      <c r="B178" s="64"/>
      <c r="C178" s="65"/>
      <c r="D178" s="64"/>
      <c r="E178" s="64"/>
      <c r="F178" s="64"/>
      <c r="G178" s="64"/>
      <c r="H178" s="64"/>
      <c r="I178" s="64"/>
      <c r="J178" s="64"/>
      <c r="K178" s="64"/>
      <c r="L178" s="65"/>
      <c r="M178" s="64"/>
      <c r="N178" s="64"/>
      <c r="O178" s="64"/>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row>
    <row r="179" spans="1:38">
      <c r="A179" s="419"/>
      <c r="B179" s="64"/>
      <c r="C179" s="65"/>
      <c r="D179" s="64"/>
      <c r="E179" s="64"/>
      <c r="F179" s="64"/>
      <c r="G179" s="64"/>
      <c r="H179" s="64"/>
      <c r="I179" s="64"/>
      <c r="J179" s="64"/>
      <c r="K179" s="64"/>
      <c r="L179" s="65"/>
      <c r="M179" s="64"/>
      <c r="N179" s="64"/>
      <c r="O179" s="64"/>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row>
    <row r="180" spans="1:38">
      <c r="A180" s="419"/>
      <c r="B180" s="64"/>
      <c r="C180" s="65"/>
      <c r="D180" s="64"/>
      <c r="E180" s="64"/>
      <c r="F180" s="64"/>
      <c r="G180" s="64"/>
      <c r="H180" s="64"/>
      <c r="I180" s="64"/>
      <c r="J180" s="64"/>
      <c r="K180" s="64"/>
      <c r="L180" s="65"/>
      <c r="M180" s="64"/>
      <c r="N180" s="64"/>
      <c r="O180" s="64"/>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row>
    <row r="181" spans="1:38">
      <c r="A181" s="419"/>
      <c r="B181" s="64"/>
      <c r="C181" s="65"/>
      <c r="D181" s="64"/>
      <c r="E181" s="64"/>
      <c r="F181" s="64"/>
      <c r="G181" s="64"/>
      <c r="H181" s="64"/>
      <c r="I181" s="64"/>
      <c r="J181" s="64"/>
      <c r="K181" s="64"/>
      <c r="L181" s="65"/>
      <c r="M181" s="64"/>
      <c r="N181" s="64"/>
      <c r="O181" s="64"/>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row>
    <row r="182" spans="1:38">
      <c r="A182" s="419"/>
      <c r="B182" s="64"/>
      <c r="C182" s="65"/>
      <c r="D182" s="64"/>
      <c r="E182" s="64"/>
      <c r="F182" s="64"/>
      <c r="G182" s="64"/>
      <c r="H182" s="64"/>
      <c r="I182" s="64"/>
      <c r="J182" s="64"/>
      <c r="K182" s="64"/>
      <c r="L182" s="65"/>
      <c r="M182" s="64"/>
      <c r="N182" s="64"/>
      <c r="O182" s="64"/>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row>
    <row r="183" spans="1:38">
      <c r="A183" s="419"/>
      <c r="B183" s="64"/>
      <c r="C183" s="65"/>
      <c r="D183" s="64"/>
      <c r="E183" s="64"/>
      <c r="F183" s="64"/>
      <c r="G183" s="64"/>
      <c r="H183" s="64"/>
      <c r="I183" s="64"/>
      <c r="J183" s="64"/>
      <c r="K183" s="64"/>
      <c r="L183" s="65"/>
      <c r="M183" s="64"/>
      <c r="N183" s="64"/>
      <c r="O183" s="64"/>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row>
    <row r="184" spans="1:38">
      <c r="A184" s="419"/>
      <c r="B184" s="64"/>
      <c r="C184" s="65"/>
      <c r="D184" s="64"/>
      <c r="E184" s="64"/>
      <c r="F184" s="64"/>
      <c r="G184" s="64"/>
      <c r="H184" s="64"/>
      <c r="I184" s="64"/>
      <c r="J184" s="64"/>
      <c r="K184" s="64"/>
      <c r="L184" s="65"/>
      <c r="M184" s="64"/>
      <c r="N184" s="64"/>
      <c r="O184" s="64"/>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row>
    <row r="185" spans="1:38">
      <c r="A185" s="419"/>
      <c r="B185" s="64"/>
      <c r="C185" s="65"/>
      <c r="D185" s="64"/>
      <c r="E185" s="64"/>
      <c r="F185" s="64"/>
      <c r="G185" s="64"/>
      <c r="H185" s="64"/>
      <c r="I185" s="64"/>
      <c r="J185" s="64"/>
      <c r="K185" s="64"/>
      <c r="L185" s="65"/>
      <c r="M185" s="64"/>
      <c r="N185" s="64"/>
      <c r="O185" s="64"/>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row>
    <row r="186" spans="1:38">
      <c r="A186" s="419"/>
      <c r="B186" s="64"/>
      <c r="C186" s="65"/>
      <c r="D186" s="64"/>
      <c r="E186" s="64"/>
      <c r="F186" s="64"/>
      <c r="G186" s="64"/>
      <c r="H186" s="64"/>
      <c r="I186" s="64"/>
      <c r="J186" s="64"/>
      <c r="K186" s="64"/>
      <c r="L186" s="65"/>
      <c r="M186" s="64"/>
      <c r="N186" s="64"/>
      <c r="O186" s="64"/>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row>
    <row r="187" spans="1:38">
      <c r="A187" s="419"/>
      <c r="B187" s="64"/>
      <c r="C187" s="65"/>
      <c r="D187" s="64"/>
      <c r="E187" s="64"/>
      <c r="F187" s="64"/>
      <c r="G187" s="64"/>
      <c r="H187" s="64"/>
      <c r="I187" s="64"/>
      <c r="J187" s="64"/>
      <c r="K187" s="64"/>
      <c r="L187" s="65"/>
      <c r="M187" s="64"/>
      <c r="N187" s="64"/>
      <c r="O187" s="64"/>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row>
    <row r="188" spans="1:38">
      <c r="A188" s="419"/>
      <c r="B188" s="64"/>
      <c r="C188" s="65"/>
      <c r="D188" s="64"/>
      <c r="E188" s="64"/>
      <c r="F188" s="64"/>
      <c r="G188" s="64"/>
      <c r="H188" s="64"/>
      <c r="I188" s="64"/>
      <c r="J188" s="64"/>
      <c r="K188" s="64"/>
      <c r="L188" s="65"/>
      <c r="M188" s="64"/>
      <c r="N188" s="64"/>
      <c r="O188" s="64"/>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row>
  </sheetData>
  <phoneticPr fontId="0" type="noConversion"/>
  <pageMargins left="0.2" right="0.21" top="0.68" bottom="0.45" header="0.5" footer="0.23"/>
  <pageSetup scale="55" orientation="landscape" r:id="rId1"/>
  <headerFooter alignWithMargins="0">
    <oddFooter>&amp;R&amp;16&amp;P</oddFooter>
  </headerFooter>
</worksheet>
</file>

<file path=xl/worksheets/sheet63.xml><?xml version="1.0" encoding="utf-8"?>
<worksheet xmlns="http://schemas.openxmlformats.org/spreadsheetml/2006/main" xmlns:r="http://schemas.openxmlformats.org/officeDocument/2006/relationships">
  <sheetPr>
    <pageSetUpPr fitToPage="1"/>
  </sheetPr>
  <dimension ref="A1:X128"/>
  <sheetViews>
    <sheetView topLeftCell="A6" workbookViewId="0">
      <pane xSplit="1" ySplit="1" topLeftCell="B7" activePane="bottomRight" state="frozen"/>
      <selection activeCell="B6" sqref="B6"/>
      <selection pane="topRight" activeCell="B6" sqref="B6"/>
      <selection pane="bottomLeft" activeCell="B6" sqref="B6"/>
      <selection pane="bottomRight" activeCell="B9" sqref="B9"/>
    </sheetView>
  </sheetViews>
  <sheetFormatPr baseColWidth="10" defaultColWidth="9" defaultRowHeight="15.75"/>
  <cols>
    <col min="1" max="1" width="56.375" customWidth="1"/>
    <col min="2" max="7" width="13.625" style="33" customWidth="1"/>
    <col min="8" max="8" width="15.25" style="33" customWidth="1"/>
    <col min="9" max="9" width="15.875" style="33" customWidth="1"/>
    <col min="10" max="10" width="13.625" style="33" customWidth="1"/>
    <col min="11" max="11" width="15.125" style="33" customWidth="1"/>
    <col min="12" max="13" width="13.625" style="33" customWidth="1"/>
    <col min="14" max="14" width="14.625" style="33" customWidth="1"/>
    <col min="15" max="15" width="15.625" style="33" customWidth="1"/>
    <col min="16" max="16" width="13.625" style="33" customWidth="1"/>
    <col min="17" max="17" width="15.375" style="33" customWidth="1"/>
    <col min="18" max="18" width="16.25" style="33" customWidth="1"/>
    <col min="19" max="21" width="13.625" style="33" customWidth="1"/>
    <col min="22" max="22" width="13.75" style="33" customWidth="1"/>
    <col min="23" max="23" width="9" style="33"/>
  </cols>
  <sheetData>
    <row r="1" spans="1:24">
      <c r="A1" s="111" t="s">
        <v>192</v>
      </c>
      <c r="B1" s="45"/>
      <c r="C1" s="45"/>
      <c r="D1" s="45"/>
      <c r="E1" s="45"/>
      <c r="F1" s="45"/>
      <c r="G1" s="45"/>
      <c r="H1" s="45"/>
      <c r="I1" s="45"/>
      <c r="J1" s="45"/>
      <c r="K1" s="45"/>
      <c r="L1" s="45"/>
      <c r="M1" s="45"/>
      <c r="N1" s="45"/>
      <c r="O1" s="45"/>
      <c r="P1" s="45"/>
      <c r="Q1" s="45"/>
      <c r="R1" s="45"/>
      <c r="S1" s="45"/>
      <c r="T1" s="45"/>
      <c r="U1" s="45"/>
      <c r="V1" s="286"/>
    </row>
    <row r="2" spans="1:24">
      <c r="A2" s="111" t="s">
        <v>327</v>
      </c>
      <c r="B2" s="45"/>
      <c r="C2" s="45"/>
      <c r="D2" s="45"/>
      <c r="E2" s="45"/>
      <c r="F2" s="45"/>
      <c r="G2" s="45"/>
      <c r="H2" s="45"/>
      <c r="I2" s="45"/>
      <c r="J2" s="45"/>
      <c r="K2" s="45"/>
      <c r="L2" s="45"/>
      <c r="M2" s="45"/>
      <c r="N2" s="45"/>
      <c r="O2" s="45"/>
      <c r="P2" s="45"/>
      <c r="Q2" s="45"/>
      <c r="R2" s="45"/>
      <c r="S2" s="45"/>
      <c r="T2" s="45"/>
      <c r="U2" s="45"/>
      <c r="V2" s="286"/>
    </row>
    <row r="3" spans="1:24">
      <c r="A3" s="111" t="s">
        <v>371</v>
      </c>
      <c r="B3" s="45"/>
      <c r="C3" s="45"/>
      <c r="D3" s="45"/>
      <c r="E3" s="45"/>
      <c r="F3" s="45"/>
      <c r="G3" s="45"/>
      <c r="H3" s="45"/>
      <c r="I3" s="45"/>
      <c r="J3" s="45"/>
      <c r="K3" s="45"/>
      <c r="L3" s="45"/>
      <c r="M3" s="45"/>
      <c r="N3" s="45"/>
      <c r="O3" s="45"/>
      <c r="P3" s="45"/>
      <c r="Q3" s="45"/>
      <c r="R3" s="45"/>
      <c r="S3" s="45"/>
      <c r="T3" s="45"/>
      <c r="U3" s="45"/>
      <c r="V3" s="286"/>
    </row>
    <row r="4" spans="1:24">
      <c r="A4" s="111" t="s">
        <v>198</v>
      </c>
      <c r="B4" s="45"/>
      <c r="C4" s="45"/>
      <c r="D4" s="45"/>
      <c r="E4" s="45"/>
      <c r="F4" s="45"/>
      <c r="G4" s="45"/>
      <c r="H4" s="45"/>
      <c r="I4" s="45"/>
      <c r="J4" s="45"/>
      <c r="K4" s="45"/>
      <c r="L4" s="45"/>
      <c r="M4" s="45"/>
      <c r="N4" s="45"/>
      <c r="O4" s="45"/>
      <c r="P4" s="45"/>
      <c r="Q4" s="45"/>
      <c r="R4" s="45"/>
      <c r="S4" s="45"/>
      <c r="T4" s="45"/>
      <c r="U4" s="45"/>
    </row>
    <row r="5" spans="1:24">
      <c r="B5" s="406" t="s">
        <v>0</v>
      </c>
      <c r="C5" s="406"/>
      <c r="D5" s="73"/>
      <c r="E5" s="73"/>
      <c r="F5" s="73"/>
      <c r="G5" s="73"/>
      <c r="H5" s="73"/>
      <c r="I5" s="73"/>
      <c r="J5" s="73"/>
      <c r="K5" s="73"/>
      <c r="L5" s="73"/>
      <c r="M5" s="73"/>
      <c r="N5" s="73"/>
      <c r="O5" s="73"/>
      <c r="P5" s="73"/>
      <c r="Q5" s="73"/>
      <c r="R5" s="73"/>
      <c r="S5" s="73"/>
      <c r="T5" s="73"/>
      <c r="U5" s="73"/>
    </row>
    <row r="6" spans="1:24" ht="16.5" thickBot="1">
      <c r="A6" s="10"/>
      <c r="B6" s="206" t="s">
        <v>59</v>
      </c>
      <c r="C6" s="206" t="s">
        <v>60</v>
      </c>
      <c r="D6" s="293" t="s">
        <v>61</v>
      </c>
      <c r="E6" s="206" t="s">
        <v>66</v>
      </c>
      <c r="F6" s="293" t="s">
        <v>64</v>
      </c>
      <c r="G6" s="293" t="s">
        <v>328</v>
      </c>
      <c r="H6" s="312" t="s">
        <v>329</v>
      </c>
      <c r="I6" s="293" t="s">
        <v>67</v>
      </c>
      <c r="J6" s="312" t="s">
        <v>329</v>
      </c>
      <c r="K6" s="293" t="s">
        <v>68</v>
      </c>
      <c r="L6" s="206" t="s">
        <v>69</v>
      </c>
      <c r="M6" s="312" t="s">
        <v>329</v>
      </c>
      <c r="N6" s="312" t="s">
        <v>621</v>
      </c>
      <c r="T6"/>
      <c r="U6"/>
      <c r="V6" s="34"/>
      <c r="W6" s="34"/>
      <c r="X6" s="17"/>
    </row>
    <row r="7" spans="1:24">
      <c r="A7" s="11" t="str">
        <f>+'somfindétfsfin '!A31</f>
        <v>TRIM 1 2015 (octobre - décembre 14)</v>
      </c>
      <c r="B7" s="281"/>
      <c r="C7" s="281"/>
      <c r="D7" s="282"/>
      <c r="E7" s="282"/>
      <c r="F7" s="281"/>
      <c r="G7" s="281"/>
      <c r="H7" s="283"/>
      <c r="I7" s="281"/>
      <c r="J7" s="284"/>
      <c r="K7" s="281"/>
      <c r="L7" s="282"/>
      <c r="M7" s="283"/>
      <c r="N7" s="283"/>
      <c r="T7"/>
      <c r="U7"/>
      <c r="V7" s="34"/>
      <c r="W7" s="34"/>
      <c r="X7" s="17"/>
    </row>
    <row r="8" spans="1:24">
      <c r="A8" s="11"/>
      <c r="B8" s="281"/>
      <c r="C8" s="281"/>
      <c r="D8" s="282"/>
      <c r="E8" s="282"/>
      <c r="F8" s="281"/>
      <c r="G8" s="281"/>
      <c r="H8" s="283"/>
      <c r="I8" s="281"/>
      <c r="J8" s="284"/>
      <c r="K8" s="281"/>
      <c r="L8" s="282"/>
      <c r="M8" s="283"/>
      <c r="N8" s="283"/>
      <c r="T8"/>
      <c r="U8"/>
      <c r="V8" s="34"/>
      <c r="W8" s="34"/>
      <c r="X8" s="17"/>
    </row>
    <row r="9" spans="1:24">
      <c r="A9" s="100" t="s">
        <v>300</v>
      </c>
      <c r="B9" s="73"/>
      <c r="C9" s="73"/>
      <c r="D9" s="73"/>
      <c r="E9" s="73"/>
      <c r="F9" s="73"/>
      <c r="G9" s="73"/>
      <c r="H9" s="184"/>
      <c r="I9" s="73"/>
      <c r="J9" s="632" t="s">
        <v>0</v>
      </c>
      <c r="K9" s="73"/>
      <c r="L9" s="73"/>
      <c r="M9" s="184"/>
      <c r="N9" s="185"/>
      <c r="T9"/>
      <c r="U9"/>
    </row>
    <row r="10" spans="1:24">
      <c r="A10" s="100" t="s">
        <v>301</v>
      </c>
      <c r="B10" s="87" t="s">
        <v>0</v>
      </c>
      <c r="C10" s="87"/>
      <c r="D10" s="87" t="s">
        <v>0</v>
      </c>
      <c r="E10" s="87" t="s">
        <v>0</v>
      </c>
      <c r="F10" s="87" t="s">
        <v>0</v>
      </c>
      <c r="G10" s="87" t="s">
        <v>0</v>
      </c>
      <c r="H10" s="178" t="s">
        <v>0</v>
      </c>
      <c r="I10" s="87" t="s">
        <v>0</v>
      </c>
      <c r="J10" s="178" t="s">
        <v>0</v>
      </c>
      <c r="K10" s="87" t="s">
        <v>0</v>
      </c>
      <c r="L10" s="87" t="s">
        <v>0</v>
      </c>
      <c r="M10" s="181" t="s">
        <v>0</v>
      </c>
      <c r="N10" s="172" t="s">
        <v>0</v>
      </c>
      <c r="T10"/>
      <c r="U10"/>
    </row>
    <row r="11" spans="1:24" ht="18.75">
      <c r="A11" s="100" t="s">
        <v>302</v>
      </c>
      <c r="B11" s="304">
        <f>+'bncrésult '!B10</f>
        <v>218076.92975999997</v>
      </c>
      <c r="C11" s="304">
        <f>+'BPHRÉSULT  '!B10</f>
        <v>25934.645479999999</v>
      </c>
      <c r="D11" s="304">
        <f>+buhrésult!B10</f>
        <v>72251.401149999991</v>
      </c>
      <c r="E11" s="304">
        <f>+'CAPITALBKRÉSULT      '!B10</f>
        <v>180436</v>
      </c>
      <c r="F11" s="304">
        <f>+SOGEBKRÉSULT!B10</f>
        <v>359857.13196999999</v>
      </c>
      <c r="G11" s="304">
        <f>+'UNIBKRÉSULT   '!B10</f>
        <v>471376.64861999999</v>
      </c>
      <c r="H11" s="305">
        <f>SUM(B11:G11)</f>
        <v>1327932.7569800001</v>
      </c>
      <c r="I11" s="304">
        <f>+'SGBELRÉSULT       '!B10</f>
        <v>69161.952090000006</v>
      </c>
      <c r="J11" s="305">
        <f>SUM(I11:I11)</f>
        <v>69161.952090000006</v>
      </c>
      <c r="K11" s="304">
        <f>+'CBNARÉSULT         '!B10</f>
        <v>33688</v>
      </c>
      <c r="L11" s="304">
        <f>+'SCOTIARÉSULT         '!B10</f>
        <v>46737</v>
      </c>
      <c r="M11" s="305">
        <f>SUM(K11:L11)</f>
        <v>80425</v>
      </c>
      <c r="N11" s="305">
        <f>+H11+J11+M11</f>
        <v>1477519.7090700001</v>
      </c>
      <c r="T11" t="s">
        <v>0</v>
      </c>
      <c r="U11"/>
    </row>
    <row r="12" spans="1:24" ht="18.75">
      <c r="A12" s="100" t="s">
        <v>322</v>
      </c>
      <c r="B12" s="304">
        <f>+'bncrésult '!B11</f>
        <v>45895.919750000001</v>
      </c>
      <c r="C12" s="304">
        <f>+'BPHRÉSULT  '!B11</f>
        <v>2340.82177</v>
      </c>
      <c r="D12" s="304">
        <f>+buhrésult!B11</f>
        <v>2800.0285699999999</v>
      </c>
      <c r="E12" s="304">
        <f>+'CAPITALBKRÉSULT      '!B11</f>
        <v>6974</v>
      </c>
      <c r="F12" s="304">
        <f>+SOGEBKRÉSULT!B11</f>
        <v>24916.868690000003</v>
      </c>
      <c r="G12" s="304">
        <f>+'UNIBKRÉSULT   '!B11</f>
        <v>1902</v>
      </c>
      <c r="H12" s="305">
        <f>SUM(B12:G12)</f>
        <v>84829.638780000008</v>
      </c>
      <c r="I12" s="304">
        <f>+'SGBELRÉSULT       '!B11</f>
        <v>0</v>
      </c>
      <c r="J12" s="305">
        <f>SUM(I12:I12)</f>
        <v>0</v>
      </c>
      <c r="K12" s="304">
        <f>+'CBNARÉSULT         '!B11</f>
        <v>7508</v>
      </c>
      <c r="L12" s="304">
        <f>+'SCOTIARÉSULT         '!B11</f>
        <v>0</v>
      </c>
      <c r="M12" s="305">
        <f>SUM(K12:L12)</f>
        <v>7508</v>
      </c>
      <c r="N12" s="305">
        <f>+H12+J12+M12</f>
        <v>92337.638780000008</v>
      </c>
      <c r="T12"/>
      <c r="U12"/>
    </row>
    <row r="13" spans="1:24" ht="18.75">
      <c r="A13" s="100" t="s">
        <v>304</v>
      </c>
      <c r="B13" s="306">
        <f>+'bncrésult '!B12</f>
        <v>85732.536760000003</v>
      </c>
      <c r="C13" s="306">
        <f>+'BPHRÉSULT  '!B12</f>
        <v>805.66978999999992</v>
      </c>
      <c r="D13" s="306">
        <f>+buhrésult!B12</f>
        <v>117.14523543200001</v>
      </c>
      <c r="E13" s="306">
        <f>+'CAPITALBKRÉSULT      '!B12</f>
        <v>5085</v>
      </c>
      <c r="F13" s="306">
        <f>+SOGEBKRÉSULT!B12</f>
        <v>63264.273480000003</v>
      </c>
      <c r="G13" s="730">
        <f>+'UNIBKRÉSULT   '!B12</f>
        <v>26487.898229999999</v>
      </c>
      <c r="H13" s="307">
        <f>SUM(B13:G13)</f>
        <v>181492.52349543199</v>
      </c>
      <c r="I13" s="995">
        <f>+'SGBELRÉSULT       '!B12</f>
        <v>10129.65929</v>
      </c>
      <c r="J13" s="307">
        <f>SUM(I13:I13)</f>
        <v>10129.65929</v>
      </c>
      <c r="K13" s="604">
        <f>+'CBNARÉSULT         '!B12</f>
        <v>84</v>
      </c>
      <c r="L13" s="730">
        <f>+'SCOTIARÉSULT         '!B12</f>
        <v>465</v>
      </c>
      <c r="M13" s="307">
        <f>SUM(K13:L13)</f>
        <v>549</v>
      </c>
      <c r="N13" s="307">
        <f>+H13+J13+M13</f>
        <v>192171.182785432</v>
      </c>
      <c r="T13"/>
      <c r="U13"/>
    </row>
    <row r="14" spans="1:24" ht="18.75">
      <c r="A14" s="100"/>
      <c r="B14" s="304">
        <f t="shared" ref="B14:N14" si="0">SUM(B11:B13)</f>
        <v>349705.38626999996</v>
      </c>
      <c r="C14" s="304">
        <f t="shared" si="0"/>
        <v>29081.137039999998</v>
      </c>
      <c r="D14" s="304">
        <f t="shared" si="0"/>
        <v>75168.574955431992</v>
      </c>
      <c r="E14" s="304">
        <f t="shared" si="0"/>
        <v>192495</v>
      </c>
      <c r="F14" s="304">
        <f t="shared" si="0"/>
        <v>448038.27413999999</v>
      </c>
      <c r="G14" s="304">
        <f t="shared" si="0"/>
        <v>499766.54684999998</v>
      </c>
      <c r="H14" s="305">
        <f t="shared" si="0"/>
        <v>1594254.919255432</v>
      </c>
      <c r="I14" s="304">
        <f t="shared" si="0"/>
        <v>79291.611380000002</v>
      </c>
      <c r="J14" s="305">
        <f t="shared" si="0"/>
        <v>79291.611380000002</v>
      </c>
      <c r="K14" s="304">
        <f t="shared" si="0"/>
        <v>41280</v>
      </c>
      <c r="L14" s="304">
        <f t="shared" si="0"/>
        <v>47202</v>
      </c>
      <c r="M14" s="305">
        <f t="shared" si="0"/>
        <v>88482</v>
      </c>
      <c r="N14" s="305">
        <f t="shared" si="0"/>
        <v>1762028.5306354321</v>
      </c>
      <c r="T14"/>
      <c r="U14"/>
    </row>
    <row r="15" spans="1:24" ht="18.75">
      <c r="A15" s="100" t="s">
        <v>305</v>
      </c>
      <c r="B15" s="306">
        <f>+'bncrésult '!B14</f>
        <v>22417.47796</v>
      </c>
      <c r="C15" s="306">
        <f>+'BPHRÉSULT  '!B14</f>
        <v>3843.9422300000001</v>
      </c>
      <c r="D15" s="306">
        <f>+buhrésult!B14</f>
        <v>9257.7749499999991</v>
      </c>
      <c r="E15" s="306">
        <f>+'CAPITALBKRÉSULT      '!B14</f>
        <v>18451</v>
      </c>
      <c r="F15" s="306">
        <f>+SOGEBKRÉSULT!B14</f>
        <v>70347.607310000007</v>
      </c>
      <c r="G15" s="730">
        <f>+'UNIBKRÉSULT   '!B14</f>
        <v>60857.864279999994</v>
      </c>
      <c r="H15" s="307">
        <f>SUM(B15:G15)</f>
        <v>185175.66673</v>
      </c>
      <c r="I15" s="995">
        <f>+'SGBELRÉSULT       '!B14</f>
        <v>27124.075669999998</v>
      </c>
      <c r="J15" s="307">
        <f>SUM(I15:I15)</f>
        <v>27124.075669999998</v>
      </c>
      <c r="K15" s="604">
        <f>+'CBNARÉSULT         '!B14</f>
        <v>5470</v>
      </c>
      <c r="L15" s="730">
        <f>+'SCOTIARÉSULT         '!B14</f>
        <v>310</v>
      </c>
      <c r="M15" s="307">
        <f>SUM(K15:L15)</f>
        <v>5780</v>
      </c>
      <c r="N15" s="307">
        <f>+H15+J15+M15</f>
        <v>218079.74239999999</v>
      </c>
      <c r="T15"/>
      <c r="U15"/>
    </row>
    <row r="16" spans="1:24" ht="18.75">
      <c r="A16" s="100"/>
      <c r="B16" s="304">
        <f t="shared" ref="B16:N16" si="1">+B14-B15</f>
        <v>327287.90830999997</v>
      </c>
      <c r="C16" s="304">
        <f t="shared" si="1"/>
        <v>25237.194809999997</v>
      </c>
      <c r="D16" s="304">
        <f t="shared" si="1"/>
        <v>65910.800005431985</v>
      </c>
      <c r="E16" s="304">
        <f t="shared" si="1"/>
        <v>174044</v>
      </c>
      <c r="F16" s="304">
        <f t="shared" si="1"/>
        <v>377690.66683</v>
      </c>
      <c r="G16" s="304">
        <f t="shared" si="1"/>
        <v>438908.68257</v>
      </c>
      <c r="H16" s="305">
        <f t="shared" si="1"/>
        <v>1409079.252525432</v>
      </c>
      <c r="I16" s="304">
        <f t="shared" si="1"/>
        <v>52167.535710000004</v>
      </c>
      <c r="J16" s="305">
        <f t="shared" si="1"/>
        <v>52167.535710000004</v>
      </c>
      <c r="K16" s="304">
        <f t="shared" si="1"/>
        <v>35810</v>
      </c>
      <c r="L16" s="304">
        <f t="shared" si="1"/>
        <v>46892</v>
      </c>
      <c r="M16" s="305">
        <f t="shared" si="1"/>
        <v>82702</v>
      </c>
      <c r="N16" s="365">
        <f t="shared" si="1"/>
        <v>1543948.788235432</v>
      </c>
      <c r="T16"/>
      <c r="U16"/>
    </row>
    <row r="17" spans="1:21" ht="9" customHeight="1">
      <c r="A17" s="100"/>
      <c r="B17" s="304"/>
      <c r="C17" s="304"/>
      <c r="D17" s="304" t="s">
        <v>0</v>
      </c>
      <c r="E17" s="304"/>
      <c r="F17" s="304"/>
      <c r="G17" s="304"/>
      <c r="H17" s="305"/>
      <c r="I17" s="304"/>
      <c r="J17" s="305" t="s">
        <v>0</v>
      </c>
      <c r="K17" s="304"/>
      <c r="L17" s="304"/>
      <c r="M17" s="305"/>
      <c r="N17" s="305"/>
      <c r="T17"/>
      <c r="U17"/>
    </row>
    <row r="18" spans="1:21" ht="18.75">
      <c r="A18" s="100" t="s">
        <v>306</v>
      </c>
      <c r="B18" s="304"/>
      <c r="C18" s="304"/>
      <c r="D18" s="304" t="s">
        <v>0</v>
      </c>
      <c r="E18" s="304"/>
      <c r="F18" s="304"/>
      <c r="G18" s="304"/>
      <c r="H18" s="305"/>
      <c r="I18" s="304"/>
      <c r="J18" s="305" t="s">
        <v>0</v>
      </c>
      <c r="K18" s="304"/>
      <c r="L18" s="304"/>
      <c r="M18" s="305"/>
      <c r="N18" s="305"/>
      <c r="T18"/>
      <c r="U18"/>
    </row>
    <row r="19" spans="1:21" ht="18.75">
      <c r="A19" s="100" t="s">
        <v>307</v>
      </c>
      <c r="B19" s="304">
        <f>+'bncrésult '!B18</f>
        <v>83769.663910000003</v>
      </c>
      <c r="C19" s="304">
        <f>+'BPHRÉSULT  '!B18</f>
        <v>7978.2310900000002</v>
      </c>
      <c r="D19" s="304">
        <f>+buhrésult!B18</f>
        <v>25371.921430000002</v>
      </c>
      <c r="E19" s="304">
        <f>+'CAPITALBKRÉSULT      '!B18</f>
        <v>100544</v>
      </c>
      <c r="F19" s="304">
        <f>+SOGEBKRÉSULT!B18</f>
        <v>228653.86205999998</v>
      </c>
      <c r="G19" s="304">
        <f>+'UNIBKRÉSULT   '!B18</f>
        <v>212621.04478</v>
      </c>
      <c r="H19" s="305">
        <f>SUM(B19:G19)</f>
        <v>658938.72326999996</v>
      </c>
      <c r="I19" s="304">
        <f>+'SGBELRÉSULT       '!B18</f>
        <v>7273.8762999999999</v>
      </c>
      <c r="J19" s="305">
        <f>SUM(I19:I19)</f>
        <v>7273.8762999999999</v>
      </c>
      <c r="K19" s="304">
        <f>+'CBNARÉSULT         '!B18</f>
        <v>12705</v>
      </c>
      <c r="L19" s="304">
        <f>+'SCOTIARÉSULT         '!B18</f>
        <v>18096</v>
      </c>
      <c r="M19" s="305">
        <f>SUM(K19:L19)</f>
        <v>30801</v>
      </c>
      <c r="N19" s="305">
        <f>+H19+J19+M19</f>
        <v>697013.59956999996</v>
      </c>
      <c r="T19"/>
      <c r="U19"/>
    </row>
    <row r="20" spans="1:21" ht="18.75">
      <c r="A20" s="100" t="s">
        <v>308</v>
      </c>
      <c r="B20" s="304">
        <f>+'bncrésult '!B19</f>
        <v>16188.303319999999</v>
      </c>
      <c r="C20" s="304">
        <f>+'BPHRÉSULT  '!B19</f>
        <v>9436.2305199999992</v>
      </c>
      <c r="D20" s="304">
        <f>+buhrésult!B19</f>
        <v>8947.7318400000004</v>
      </c>
      <c r="E20" s="304">
        <f>+'CAPITALBKRÉSULT      '!B19</f>
        <v>24105</v>
      </c>
      <c r="F20" s="304">
        <f>+SOGEBKRÉSULT!B19</f>
        <v>63506.640929999994</v>
      </c>
      <c r="G20" s="304">
        <f>+'UNIBKRÉSULT   '!B19</f>
        <v>73268.277910000004</v>
      </c>
      <c r="H20" s="305">
        <f>SUM(B20:G20)</f>
        <v>195452.18452000001</v>
      </c>
      <c r="I20" s="304">
        <f>+'SGBELRÉSULT       '!B19</f>
        <v>5225.3338100000001</v>
      </c>
      <c r="J20" s="305">
        <f>SUM(I20:I20)</f>
        <v>5225.3338100000001</v>
      </c>
      <c r="K20" s="304">
        <f>+'CBNARÉSULT         '!B19</f>
        <v>40214</v>
      </c>
      <c r="L20" s="304">
        <f>+'SCOTIARÉSULT         '!B19</f>
        <v>8252</v>
      </c>
      <c r="M20" s="305">
        <f>SUM(K20:L20)</f>
        <v>48466</v>
      </c>
      <c r="N20" s="305">
        <f>+H20+J20+M20</f>
        <v>249143.51833000002</v>
      </c>
      <c r="T20"/>
      <c r="U20"/>
    </row>
    <row r="21" spans="1:21" ht="18.75">
      <c r="A21" s="100" t="s">
        <v>274</v>
      </c>
      <c r="B21" s="306">
        <f>+'bncrésult '!B20</f>
        <v>15537.174139999999</v>
      </c>
      <c r="C21" s="306">
        <f>+'BPHRÉSULT  '!B20</f>
        <v>1193.67922</v>
      </c>
      <c r="D21" s="306">
        <f>+buhrésult!B20</f>
        <v>8097.0782099999997</v>
      </c>
      <c r="E21" s="306">
        <f>+'CAPITALBKRÉSULT      '!B20</f>
        <v>3141</v>
      </c>
      <c r="F21" s="306">
        <f>+SOGEBKRÉSULT!B20</f>
        <v>85196.713079999987</v>
      </c>
      <c r="G21" s="730">
        <f>+'UNIBKRÉSULT   '!B20</f>
        <v>205909.57328000001</v>
      </c>
      <c r="H21" s="307">
        <f>SUM(B21:G21)</f>
        <v>319075.21792999998</v>
      </c>
      <c r="I21" s="995">
        <f>+'SGBELRÉSULT       '!B20</f>
        <v>489.48128999999994</v>
      </c>
      <c r="J21" s="307">
        <f>SUM(I21:I21)</f>
        <v>489.48128999999994</v>
      </c>
      <c r="K21" s="604">
        <f>+'CBNARÉSULT         '!B20</f>
        <v>22</v>
      </c>
      <c r="L21" s="730">
        <f>+'SCOTIARÉSULT         '!B20</f>
        <v>592</v>
      </c>
      <c r="M21" s="307">
        <f>SUM(K21:L21)</f>
        <v>614</v>
      </c>
      <c r="N21" s="307">
        <f>+H21+J21+M21</f>
        <v>320178.69922000001</v>
      </c>
      <c r="T21"/>
      <c r="U21"/>
    </row>
    <row r="22" spans="1:21" ht="18.75">
      <c r="A22" s="100"/>
      <c r="B22" s="304">
        <f t="shared" ref="B22:N22" si="2">SUM(B19:B21)</f>
        <v>115495.14137000001</v>
      </c>
      <c r="C22" s="304">
        <f t="shared" si="2"/>
        <v>18608.140829999997</v>
      </c>
      <c r="D22" s="304">
        <f t="shared" si="2"/>
        <v>42416.731480000002</v>
      </c>
      <c r="E22" s="304">
        <f t="shared" si="2"/>
        <v>127790</v>
      </c>
      <c r="F22" s="304">
        <f t="shared" si="2"/>
        <v>377357.21606999997</v>
      </c>
      <c r="G22" s="304">
        <f t="shared" si="2"/>
        <v>491798.89597000001</v>
      </c>
      <c r="H22" s="305">
        <f t="shared" si="2"/>
        <v>1173466.1257199999</v>
      </c>
      <c r="I22" s="304">
        <f t="shared" si="2"/>
        <v>12988.6914</v>
      </c>
      <c r="J22" s="305">
        <f t="shared" si="2"/>
        <v>12988.6914</v>
      </c>
      <c r="K22" s="304">
        <f t="shared" si="2"/>
        <v>52941</v>
      </c>
      <c r="L22" s="304">
        <f t="shared" si="2"/>
        <v>26940</v>
      </c>
      <c r="M22" s="305">
        <f t="shared" si="2"/>
        <v>79881</v>
      </c>
      <c r="N22" s="365">
        <f t="shared" si="2"/>
        <v>1266335.81712</v>
      </c>
      <c r="T22"/>
      <c r="U22"/>
    </row>
    <row r="23" spans="1:21" ht="9" customHeight="1">
      <c r="A23" s="100"/>
      <c r="B23" s="306"/>
      <c r="C23" s="306"/>
      <c r="D23" s="306" t="s">
        <v>0</v>
      </c>
      <c r="E23" s="306"/>
      <c r="F23" s="306"/>
      <c r="G23" s="306"/>
      <c r="H23" s="307"/>
      <c r="I23" s="306"/>
      <c r="J23" s="307" t="s">
        <v>0</v>
      </c>
      <c r="K23" s="306"/>
      <c r="L23" s="306"/>
      <c r="M23" s="307"/>
      <c r="N23" s="307"/>
      <c r="T23"/>
      <c r="U23"/>
    </row>
    <row r="24" spans="1:21" ht="18.75">
      <c r="A24" s="100" t="s">
        <v>309</v>
      </c>
      <c r="B24" s="304">
        <f t="shared" ref="B24:I24" si="3">+B16+B22</f>
        <v>442783.04968</v>
      </c>
      <c r="C24" s="304">
        <f t="shared" si="3"/>
        <v>43845.33563999999</v>
      </c>
      <c r="D24" s="304">
        <f t="shared" si="3"/>
        <v>108327.53148543199</v>
      </c>
      <c r="E24" s="304">
        <f t="shared" si="3"/>
        <v>301834</v>
      </c>
      <c r="F24" s="304">
        <f t="shared" si="3"/>
        <v>755047.88289999997</v>
      </c>
      <c r="G24" s="304">
        <f t="shared" si="3"/>
        <v>930707.57854000002</v>
      </c>
      <c r="H24" s="305">
        <f t="shared" si="3"/>
        <v>2582545.3782454319</v>
      </c>
      <c r="I24" s="304">
        <f t="shared" si="3"/>
        <v>65156.227110000007</v>
      </c>
      <c r="J24" s="305">
        <f>SUM(I24:I24)</f>
        <v>65156.227110000007</v>
      </c>
      <c r="K24" s="304">
        <f>+K16+K22</f>
        <v>88751</v>
      </c>
      <c r="L24" s="304">
        <f>+L16+L22</f>
        <v>73832</v>
      </c>
      <c r="M24" s="305">
        <f>+M16+M22</f>
        <v>162583</v>
      </c>
      <c r="N24" s="365">
        <f>+N16+N22</f>
        <v>2810284.6053554323</v>
      </c>
      <c r="P24" s="139"/>
      <c r="T24"/>
      <c r="U24"/>
    </row>
    <row r="25" spans="1:21" ht="9.6" customHeight="1">
      <c r="A25" s="100"/>
      <c r="B25" s="304"/>
      <c r="C25" s="304"/>
      <c r="D25" s="304" t="s">
        <v>0</v>
      </c>
      <c r="E25" s="304"/>
      <c r="F25" s="304"/>
      <c r="G25" s="304"/>
      <c r="H25" s="305"/>
      <c r="I25" s="304"/>
      <c r="J25" s="305"/>
      <c r="K25" s="304"/>
      <c r="L25" s="304"/>
      <c r="M25" s="305"/>
      <c r="N25" s="305"/>
      <c r="T25"/>
      <c r="U25"/>
    </row>
    <row r="26" spans="1:21" ht="18.75">
      <c r="A26" s="100" t="s">
        <v>310</v>
      </c>
      <c r="B26" s="304">
        <f>+'bncrésult '!B25</f>
        <v>0</v>
      </c>
      <c r="C26" s="304">
        <f>+'BPHRÉSULT  '!B25</f>
        <v>11500.414280000001</v>
      </c>
      <c r="D26" s="304">
        <f>+buhrésult!B25</f>
        <v>3811.9420599999999</v>
      </c>
      <c r="E26" s="304">
        <f>+'CAPITALBKRÉSULT      '!B25</f>
        <v>11425</v>
      </c>
      <c r="F26" s="304">
        <f>+SOGEBKRÉSULT!B25</f>
        <v>102622.75981</v>
      </c>
      <c r="G26" s="304">
        <f>+'UNIBKRÉSULT   '!B25</f>
        <v>18007.300999999999</v>
      </c>
      <c r="H26" s="305">
        <f>SUM(B26:G26)</f>
        <v>147367.41714999999</v>
      </c>
      <c r="I26" s="304">
        <f>+'SGBELRÉSULT       '!B25</f>
        <v>2700</v>
      </c>
      <c r="J26" s="305">
        <f>SUM(I26:I26)</f>
        <v>2700</v>
      </c>
      <c r="K26" s="304">
        <f>+'CBNARÉSULT         '!B25</f>
        <v>101</v>
      </c>
      <c r="L26" s="304">
        <f>+'SCOTIARÉSULT         '!B25</f>
        <v>-5602</v>
      </c>
      <c r="M26" s="305">
        <f>SUM(K26:L26)</f>
        <v>-5501</v>
      </c>
      <c r="N26" s="305">
        <f>+H26+J26+M26</f>
        <v>144566.41714999999</v>
      </c>
      <c r="T26"/>
      <c r="U26"/>
    </row>
    <row r="27" spans="1:21" ht="9.6" customHeight="1">
      <c r="A27" s="100"/>
      <c r="B27" s="304" t="s">
        <v>0</v>
      </c>
      <c r="C27" s="304"/>
      <c r="D27" s="304" t="s">
        <v>0</v>
      </c>
      <c r="E27" s="304"/>
      <c r="F27" s="304"/>
      <c r="G27" s="304"/>
      <c r="H27" s="305"/>
      <c r="I27" s="304"/>
      <c r="J27" s="305"/>
      <c r="K27" s="304"/>
      <c r="L27" s="304"/>
      <c r="M27" s="305"/>
      <c r="N27" s="305"/>
      <c r="T27"/>
      <c r="U27"/>
    </row>
    <row r="28" spans="1:21" ht="18.75">
      <c r="A28" s="100" t="s">
        <v>311</v>
      </c>
      <c r="B28" s="306"/>
      <c r="C28" s="306"/>
      <c r="D28" s="306" t="s">
        <v>0</v>
      </c>
      <c r="E28" s="306"/>
      <c r="F28" s="306"/>
      <c r="G28" s="306"/>
      <c r="H28" s="307"/>
      <c r="I28" s="306"/>
      <c r="J28" s="307"/>
      <c r="K28" s="306"/>
      <c r="L28" s="306"/>
      <c r="M28" s="307"/>
      <c r="N28" s="307"/>
      <c r="T28"/>
      <c r="U28"/>
    </row>
    <row r="29" spans="1:21" ht="18.75">
      <c r="A29" s="100" t="s">
        <v>312</v>
      </c>
      <c r="B29" s="304">
        <f t="shared" ref="B29:I29" si="4">+B24-B26</f>
        <v>442783.04968</v>
      </c>
      <c r="C29" s="304">
        <f t="shared" si="4"/>
        <v>32344.921359999989</v>
      </c>
      <c r="D29" s="304">
        <f t="shared" si="4"/>
        <v>104515.58942543199</v>
      </c>
      <c r="E29" s="304">
        <f t="shared" si="4"/>
        <v>290409</v>
      </c>
      <c r="F29" s="304">
        <f t="shared" si="4"/>
        <v>652425.12309000001</v>
      </c>
      <c r="G29" s="304">
        <f t="shared" si="4"/>
        <v>912700.27754000004</v>
      </c>
      <c r="H29" s="305">
        <f t="shared" si="4"/>
        <v>2435177.9610954318</v>
      </c>
      <c r="I29" s="304">
        <f t="shared" si="4"/>
        <v>62456.227110000007</v>
      </c>
      <c r="J29" s="305">
        <f>SUM(I29:I29)</f>
        <v>62456.227110000007</v>
      </c>
      <c r="K29" s="304">
        <f>+K24-K26</f>
        <v>88650</v>
      </c>
      <c r="L29" s="304">
        <f>+L24-L26</f>
        <v>79434</v>
      </c>
      <c r="M29" s="305">
        <f>+M24-M26</f>
        <v>168084</v>
      </c>
      <c r="N29" s="365">
        <f>+N24-N26</f>
        <v>2665718.1882054321</v>
      </c>
      <c r="T29"/>
      <c r="U29"/>
    </row>
    <row r="30" spans="1:21" ht="9" customHeight="1">
      <c r="A30" s="100"/>
      <c r="B30" s="304"/>
      <c r="C30" s="304"/>
      <c r="D30" s="304" t="s">
        <v>0</v>
      </c>
      <c r="E30" s="304"/>
      <c r="F30" s="304"/>
      <c r="G30" s="304"/>
      <c r="H30" s="305"/>
      <c r="I30" s="304"/>
      <c r="J30" s="305"/>
      <c r="K30" s="304"/>
      <c r="L30" s="304"/>
      <c r="M30" s="305"/>
      <c r="N30" s="305"/>
      <c r="T30"/>
      <c r="U30"/>
    </row>
    <row r="31" spans="1:21" ht="18.75">
      <c r="A31" s="100" t="s">
        <v>313</v>
      </c>
      <c r="B31" s="304"/>
      <c r="C31" s="304"/>
      <c r="D31" s="304" t="s">
        <v>0</v>
      </c>
      <c r="E31" s="304"/>
      <c r="F31" s="304"/>
      <c r="G31" s="304"/>
      <c r="H31" s="305"/>
      <c r="I31" s="304" t="s">
        <v>0</v>
      </c>
      <c r="J31" s="305"/>
      <c r="K31" s="304"/>
      <c r="L31" s="304"/>
      <c r="M31" s="305"/>
      <c r="N31" s="305"/>
      <c r="T31"/>
      <c r="U31"/>
    </row>
    <row r="32" spans="1:21" ht="18.75">
      <c r="A32" s="100" t="s">
        <v>314</v>
      </c>
      <c r="B32" s="304">
        <f>+'bncrésult '!B31</f>
        <v>145709.69511</v>
      </c>
      <c r="C32" s="304">
        <f>+'BPHRÉSULT  '!B31</f>
        <v>19056.09821</v>
      </c>
      <c r="D32" s="304">
        <f>+buhrésult!B31</f>
        <v>43286.630740000001</v>
      </c>
      <c r="E32" s="304">
        <f>+'CAPITALBKRÉSULT      '!B31</f>
        <v>72682</v>
      </c>
      <c r="F32" s="304">
        <f>+SOGEBKRÉSULT!B31</f>
        <v>232265.14973999996</v>
      </c>
      <c r="G32" s="304">
        <f>+'UNIBKRÉSULT   '!B31</f>
        <v>214622.43433000002</v>
      </c>
      <c r="H32" s="305">
        <f>SUM(B32:G32)</f>
        <v>727622.00812999997</v>
      </c>
      <c r="I32" s="304">
        <f>+'SGBELRÉSULT       '!B31</f>
        <v>13550.577140000001</v>
      </c>
      <c r="J32" s="305">
        <f>SUM(I32:I32)</f>
        <v>13550.577140000001</v>
      </c>
      <c r="K32" s="304">
        <f>+'CBNARÉSULT         '!B31</f>
        <v>22095</v>
      </c>
      <c r="L32" s="304">
        <f>+'SCOTIARÉSULT         '!B31</f>
        <v>18420</v>
      </c>
      <c r="M32" s="305">
        <f>SUM(K32:L32)</f>
        <v>40515</v>
      </c>
      <c r="N32" s="305">
        <f>+H32+J32+M32</f>
        <v>781687.58526999992</v>
      </c>
      <c r="T32"/>
      <c r="U32"/>
    </row>
    <row r="33" spans="1:22" ht="18.75">
      <c r="A33" s="100" t="s">
        <v>315</v>
      </c>
      <c r="B33" s="304">
        <f>+'bncrésult '!B32</f>
        <v>23555.664809999998</v>
      </c>
      <c r="C33" s="304">
        <f>+'BPHRÉSULT  '!B32</f>
        <v>1528.02721</v>
      </c>
      <c r="D33" s="304">
        <f>+buhrésult!B32</f>
        <v>20123.974719999998</v>
      </c>
      <c r="E33" s="304">
        <f>+'CAPITALBKRÉSULT      '!B32</f>
        <v>20991</v>
      </c>
      <c r="F33" s="304">
        <f>+SOGEBKRÉSULT!B32</f>
        <v>21766.02389</v>
      </c>
      <c r="G33" s="304">
        <f>+'UNIBKRÉSULT   '!B32</f>
        <v>23162.942890000002</v>
      </c>
      <c r="H33" s="305">
        <f>SUM(B33:G33)</f>
        <v>111127.63352</v>
      </c>
      <c r="I33" s="304">
        <f>+'SGBELRÉSULT       '!B32</f>
        <v>6274.8201499999996</v>
      </c>
      <c r="J33" s="305">
        <f>SUM(I33:I33)</f>
        <v>6274.8201499999996</v>
      </c>
      <c r="K33" s="304">
        <f>+'CBNARÉSULT         '!B32</f>
        <v>2683</v>
      </c>
      <c r="L33" s="304">
        <f>+'SCOTIARÉSULT         '!B32</f>
        <v>5296</v>
      </c>
      <c r="M33" s="305">
        <f>SUM(K33:L33)</f>
        <v>7979</v>
      </c>
      <c r="N33" s="305">
        <f>+H33+J33+M33</f>
        <v>125381.45367</v>
      </c>
      <c r="T33"/>
      <c r="U33"/>
    </row>
    <row r="34" spans="1:22" ht="18.75">
      <c r="A34" s="100" t="s">
        <v>316</v>
      </c>
      <c r="B34" s="304">
        <f>+'bncrésult '!B33</f>
        <v>18150.975989999999</v>
      </c>
      <c r="C34" s="304">
        <f>+'BPHRÉSULT  '!B33</f>
        <v>1765.36456</v>
      </c>
      <c r="D34" s="304">
        <f>+buhrésult!B33</f>
        <v>5796.6174000000001</v>
      </c>
      <c r="E34" s="304">
        <f>+'CAPITALBKRÉSULT      '!B33</f>
        <v>12415</v>
      </c>
      <c r="F34" s="304">
        <f>+SOGEBKRÉSULT!B33</f>
        <v>49783.789779999992</v>
      </c>
      <c r="G34" s="304">
        <f>+'UNIBKRÉSULT   '!B33</f>
        <v>47770.355230000001</v>
      </c>
      <c r="H34" s="305">
        <f>SUM(B34:G34)</f>
        <v>135682.10295999999</v>
      </c>
      <c r="I34" s="304">
        <f>+'SGBELRÉSULT       '!B33</f>
        <v>2505.9178499999998</v>
      </c>
      <c r="J34" s="305">
        <f>SUM(I34:I34)</f>
        <v>2505.9178499999998</v>
      </c>
      <c r="K34" s="304">
        <f>+'CBNARÉSULT         '!B33</f>
        <v>5831</v>
      </c>
      <c r="L34" s="304">
        <f>+'SCOTIARÉSULT         '!B33</f>
        <v>1295</v>
      </c>
      <c r="M34" s="305">
        <f>SUM(K34:L34)</f>
        <v>7126</v>
      </c>
      <c r="N34" s="305">
        <f>+H34+J34+M34</f>
        <v>145314.02080999999</v>
      </c>
      <c r="T34"/>
      <c r="U34"/>
    </row>
    <row r="35" spans="1:22" ht="18.75">
      <c r="A35" s="100" t="s">
        <v>317</v>
      </c>
      <c r="B35" s="306">
        <f>+'bncrésult '!B34</f>
        <v>75081.059910000011</v>
      </c>
      <c r="C35" s="306">
        <f>+'BPHRÉSULT  '!B34</f>
        <v>11523.518199999999</v>
      </c>
      <c r="D35" s="306">
        <f>+buhrésult!B34</f>
        <v>21907.940689999999</v>
      </c>
      <c r="E35" s="306">
        <f>+'CAPITALBKRÉSULT      '!B34</f>
        <v>92882</v>
      </c>
      <c r="F35" s="306">
        <f>+SOGEBKRÉSULT!B34</f>
        <v>250803.66557999997</v>
      </c>
      <c r="G35" s="730">
        <f>+'UNIBKRÉSULT   '!B34</f>
        <v>232672.22993</v>
      </c>
      <c r="H35" s="307">
        <f>SUM(B35:G35)</f>
        <v>684870.41431000002</v>
      </c>
      <c r="I35" s="995">
        <f>+'SGBELRÉSULT       '!B34</f>
        <v>12654.64602</v>
      </c>
      <c r="J35" s="307">
        <f>SUM(I35:I35)</f>
        <v>12654.64602</v>
      </c>
      <c r="K35" s="604">
        <f>+'CBNARÉSULT         '!B34</f>
        <v>29087</v>
      </c>
      <c r="L35" s="730">
        <f>+'SCOTIARÉSULT         '!B34</f>
        <v>21372</v>
      </c>
      <c r="M35" s="307">
        <f>SUM(K35:L35)</f>
        <v>50459</v>
      </c>
      <c r="N35" s="307">
        <f>+H35+J35+M35</f>
        <v>747984.06033000001</v>
      </c>
      <c r="T35"/>
      <c r="U35"/>
    </row>
    <row r="36" spans="1:22" ht="18.75">
      <c r="A36" s="100"/>
      <c r="B36" s="304">
        <f t="shared" ref="B36:N36" si="5">SUM(B32:B35)</f>
        <v>262497.39581999998</v>
      </c>
      <c r="C36" s="304">
        <f t="shared" si="5"/>
        <v>33873.008179999997</v>
      </c>
      <c r="D36" s="304">
        <f t="shared" si="5"/>
        <v>91115.163549999997</v>
      </c>
      <c r="E36" s="304">
        <f t="shared" si="5"/>
        <v>198970</v>
      </c>
      <c r="F36" s="304">
        <f t="shared" si="5"/>
        <v>554618.62898999988</v>
      </c>
      <c r="G36" s="304">
        <f t="shared" si="5"/>
        <v>518227.96238000004</v>
      </c>
      <c r="H36" s="305">
        <f t="shared" si="5"/>
        <v>1659302.1589199998</v>
      </c>
      <c r="I36" s="304">
        <f t="shared" si="5"/>
        <v>34985.961159999999</v>
      </c>
      <c r="J36" s="305">
        <f t="shared" si="5"/>
        <v>34985.961159999999</v>
      </c>
      <c r="K36" s="304">
        <f t="shared" si="5"/>
        <v>59696</v>
      </c>
      <c r="L36" s="304">
        <f t="shared" si="5"/>
        <v>46383</v>
      </c>
      <c r="M36" s="305">
        <f t="shared" si="5"/>
        <v>106079</v>
      </c>
      <c r="N36" s="305">
        <f t="shared" si="5"/>
        <v>1800367.1200799998</v>
      </c>
      <c r="T36"/>
      <c r="U36"/>
    </row>
    <row r="37" spans="1:22" ht="8.4499999999999993" customHeight="1">
      <c r="A37" s="100"/>
      <c r="B37" s="306"/>
      <c r="C37" s="306"/>
      <c r="D37" s="306"/>
      <c r="E37" s="306"/>
      <c r="F37" s="306"/>
      <c r="G37" s="306"/>
      <c r="H37" s="307"/>
      <c r="I37" s="306"/>
      <c r="J37" s="307"/>
      <c r="K37" s="306"/>
      <c r="L37" s="306"/>
      <c r="M37" s="307"/>
      <c r="N37" s="307"/>
      <c r="T37"/>
      <c r="U37"/>
    </row>
    <row r="38" spans="1:22" ht="18.75">
      <c r="A38" s="100" t="s">
        <v>318</v>
      </c>
      <c r="B38" s="304">
        <f t="shared" ref="B38:I38" si="6">+B29-B36</f>
        <v>180285.65386000002</v>
      </c>
      <c r="C38" s="304">
        <f t="shared" si="6"/>
        <v>-1528.0868200000077</v>
      </c>
      <c r="D38" s="304">
        <f t="shared" si="6"/>
        <v>13400.425875431989</v>
      </c>
      <c r="E38" s="304">
        <f t="shared" si="6"/>
        <v>91439</v>
      </c>
      <c r="F38" s="405">
        <f t="shared" si="6"/>
        <v>97806.494100000127</v>
      </c>
      <c r="G38" s="405">
        <f t="shared" si="6"/>
        <v>394472.31516</v>
      </c>
      <c r="H38" s="305">
        <f t="shared" si="6"/>
        <v>775875.80217543198</v>
      </c>
      <c r="I38" s="304">
        <f t="shared" si="6"/>
        <v>27470.265950000008</v>
      </c>
      <c r="J38" s="305">
        <f>SUM(I38:I38)</f>
        <v>27470.265950000008</v>
      </c>
      <c r="K38" s="304">
        <f>+K29-K36</f>
        <v>28954</v>
      </c>
      <c r="L38" s="304">
        <f>+L29-L36</f>
        <v>33051</v>
      </c>
      <c r="M38" s="305">
        <f>+M29-M36</f>
        <v>62005</v>
      </c>
      <c r="N38" s="305">
        <f>+N29-N36</f>
        <v>865351.06812543236</v>
      </c>
      <c r="T38"/>
      <c r="U38"/>
    </row>
    <row r="39" spans="1:22" ht="10.15" customHeight="1">
      <c r="A39" s="100"/>
      <c r="B39" s="304"/>
      <c r="C39" s="304"/>
      <c r="D39" s="304" t="s">
        <v>0</v>
      </c>
      <c r="E39" s="304"/>
      <c r="F39" s="304"/>
      <c r="G39" s="304" t="s">
        <v>0</v>
      </c>
      <c r="H39" s="305"/>
      <c r="I39" s="304"/>
      <c r="J39" s="305"/>
      <c r="K39" s="304" t="s">
        <v>0</v>
      </c>
      <c r="L39" s="304"/>
      <c r="M39" s="305"/>
      <c r="N39" s="305"/>
      <c r="T39"/>
      <c r="U39"/>
    </row>
    <row r="40" spans="1:22" ht="18.75">
      <c r="A40" s="100" t="s">
        <v>319</v>
      </c>
      <c r="B40" s="304">
        <f>+'bncrésult '!B39</f>
        <v>0</v>
      </c>
      <c r="C40" s="304">
        <f>+'BPHRÉSULT  '!B39</f>
        <v>0</v>
      </c>
      <c r="D40" s="304">
        <f>+buhrésult!B39</f>
        <v>0</v>
      </c>
      <c r="E40" s="304">
        <f>+'CAPITALBKRÉSULT      '!B39</f>
        <v>18288</v>
      </c>
      <c r="F40" s="304">
        <f>+SOGEBKRÉSULT!B39</f>
        <v>15170</v>
      </c>
      <c r="G40" s="304">
        <f>+'UNIBKRÉSULT   '!B39</f>
        <v>52748.721839999998</v>
      </c>
      <c r="H40" s="305">
        <f>SUM(B40:G40)</f>
        <v>86206.721839999998</v>
      </c>
      <c r="I40" s="304">
        <f>+'SGBELRÉSULT       '!B39</f>
        <v>7416.97181</v>
      </c>
      <c r="J40" s="305">
        <f>SUM(I40:I40)</f>
        <v>7416.97181</v>
      </c>
      <c r="K40" s="304">
        <f>+'CBNARÉSULT         '!B39</f>
        <v>9285</v>
      </c>
      <c r="L40" s="304">
        <f>+'SCOTIARÉSULT         '!B39</f>
        <v>9915.2999999999993</v>
      </c>
      <c r="M40" s="305">
        <f>SUM(K40:L40)</f>
        <v>19200.3</v>
      </c>
      <c r="N40" s="305">
        <f>+H40+J40+M40</f>
        <v>112823.99365</v>
      </c>
      <c r="T40"/>
      <c r="U40"/>
    </row>
    <row r="41" spans="1:22" ht="17.45" customHeight="1" thickBot="1">
      <c r="A41" s="100" t="s">
        <v>0</v>
      </c>
      <c r="B41" s="310" t="s">
        <v>0</v>
      </c>
      <c r="C41" s="310"/>
      <c r="D41" s="310" t="s">
        <v>0</v>
      </c>
      <c r="E41" s="310"/>
      <c r="F41" s="310" t="s">
        <v>0</v>
      </c>
      <c r="G41" s="310" t="s">
        <v>0</v>
      </c>
      <c r="H41" s="311" t="s">
        <v>0</v>
      </c>
      <c r="I41" s="310"/>
      <c r="J41" s="311"/>
      <c r="K41" s="310"/>
      <c r="L41" s="310"/>
      <c r="M41" s="311"/>
      <c r="N41" s="311" t="str">
        <f>+H41</f>
        <v xml:space="preserve"> </v>
      </c>
      <c r="T41" t="s">
        <v>0</v>
      </c>
      <c r="U41"/>
    </row>
    <row r="42" spans="1:22" ht="18.75">
      <c r="A42" s="164" t="s">
        <v>372</v>
      </c>
      <c r="B42" s="308">
        <f t="shared" ref="B42:I42" si="7">+B38-B40</f>
        <v>180285.65386000002</v>
      </c>
      <c r="C42" s="308">
        <f t="shared" si="7"/>
        <v>-1528.0868200000077</v>
      </c>
      <c r="D42" s="308">
        <f t="shared" si="7"/>
        <v>13400.425875431989</v>
      </c>
      <c r="E42" s="308">
        <f t="shared" si="7"/>
        <v>73151</v>
      </c>
      <c r="F42" s="308">
        <f t="shared" si="7"/>
        <v>82636.494100000127</v>
      </c>
      <c r="G42" s="308">
        <f t="shared" si="7"/>
        <v>341723.59331999999</v>
      </c>
      <c r="H42" s="305">
        <f t="shared" si="7"/>
        <v>689669.08033543197</v>
      </c>
      <c r="I42" s="308">
        <f t="shared" si="7"/>
        <v>20053.294140000009</v>
      </c>
      <c r="J42" s="305">
        <f>SUM(I42:I42)</f>
        <v>20053.294140000009</v>
      </c>
      <c r="K42" s="308">
        <f>+K38-K40</f>
        <v>19669</v>
      </c>
      <c r="L42" s="308">
        <f>+L38-L40</f>
        <v>23135.7</v>
      </c>
      <c r="M42" s="305">
        <f>+M38-M40</f>
        <v>42804.7</v>
      </c>
      <c r="N42" s="305">
        <f>+N38-N40</f>
        <v>752527.0744754324</v>
      </c>
      <c r="T42"/>
      <c r="U42"/>
    </row>
    <row r="43" spans="1:22">
      <c r="A43" s="10"/>
      <c r="B43" s="64"/>
      <c r="C43" s="64"/>
      <c r="D43" s="64"/>
      <c r="E43" s="64"/>
      <c r="F43" s="64"/>
      <c r="G43" s="64"/>
      <c r="H43" s="64"/>
      <c r="I43" s="64"/>
      <c r="J43" s="64"/>
      <c r="K43" s="64"/>
      <c r="L43" s="85"/>
      <c r="M43" s="64"/>
      <c r="N43" s="64"/>
      <c r="P43" s="85"/>
      <c r="Q43" s="64"/>
      <c r="R43" s="64"/>
      <c r="T43" s="85"/>
      <c r="U43" s="69"/>
    </row>
    <row r="44" spans="1:22" ht="7.9" customHeight="1" thickBot="1">
      <c r="A44" s="74"/>
      <c r="B44" s="75"/>
      <c r="C44" s="75"/>
      <c r="D44" s="78" t="s">
        <v>0</v>
      </c>
      <c r="E44" s="75"/>
      <c r="F44" s="75"/>
      <c r="G44" s="75"/>
      <c r="H44" s="75"/>
      <c r="I44" s="75"/>
      <c r="J44" s="75"/>
      <c r="K44" s="75"/>
      <c r="L44" s="75"/>
      <c r="M44" s="75"/>
      <c r="N44" s="75"/>
      <c r="O44" s="75"/>
      <c r="P44" s="75"/>
      <c r="Q44" s="75"/>
      <c r="R44" s="75"/>
      <c r="S44" s="75"/>
      <c r="T44" s="75"/>
      <c r="U44" s="75"/>
      <c r="V44" s="36"/>
    </row>
    <row r="45" spans="1:22" ht="7.9" customHeight="1">
      <c r="A45" s="76"/>
      <c r="B45" s="77"/>
      <c r="C45" s="77"/>
      <c r="D45" s="64" t="s">
        <v>0</v>
      </c>
      <c r="E45" s="77"/>
      <c r="F45" s="77"/>
      <c r="G45" s="77"/>
      <c r="H45" s="77"/>
      <c r="I45" s="77"/>
      <c r="J45" s="77"/>
      <c r="K45" s="77"/>
      <c r="L45" s="77"/>
      <c r="M45" s="77"/>
      <c r="N45" s="77"/>
      <c r="O45" s="77"/>
      <c r="P45" s="77"/>
      <c r="Q45" s="77"/>
      <c r="R45" s="73"/>
      <c r="S45" s="73"/>
      <c r="T45" s="73"/>
      <c r="U45" s="73"/>
    </row>
    <row r="46" spans="1:22" ht="7.9" customHeight="1">
      <c r="A46" s="76"/>
      <c r="B46" s="77"/>
      <c r="C46" s="77"/>
      <c r="D46" s="64"/>
      <c r="E46" s="77"/>
      <c r="F46" s="77"/>
      <c r="G46" s="77"/>
      <c r="H46" s="77"/>
      <c r="I46" s="77"/>
      <c r="J46" s="77"/>
      <c r="K46" s="77"/>
      <c r="L46" s="77"/>
      <c r="M46" s="77"/>
      <c r="N46" s="77"/>
      <c r="O46" s="77"/>
      <c r="P46" s="77"/>
      <c r="Q46" s="77"/>
      <c r="R46" s="73"/>
      <c r="S46" s="73"/>
      <c r="T46" s="73"/>
      <c r="U46" s="73"/>
    </row>
    <row r="47" spans="1:22" ht="7.9" customHeight="1">
      <c r="A47" s="76"/>
      <c r="B47" s="77"/>
      <c r="C47" s="77"/>
      <c r="D47" s="64"/>
      <c r="E47" s="77"/>
      <c r="F47" s="77"/>
      <c r="G47" s="77"/>
      <c r="H47" s="77"/>
      <c r="I47" s="77"/>
      <c r="J47" s="77"/>
      <c r="K47" s="77"/>
      <c r="L47" s="77"/>
      <c r="M47" s="77"/>
      <c r="N47" s="77"/>
      <c r="O47" s="77"/>
      <c r="P47" s="77"/>
      <c r="Q47" s="77"/>
      <c r="R47" s="73"/>
      <c r="S47" s="73"/>
      <c r="T47" s="73"/>
      <c r="U47" s="73"/>
    </row>
    <row r="48" spans="1:22" ht="16.5" thickBot="1">
      <c r="A48" s="10"/>
      <c r="B48" s="206" t="s">
        <v>59</v>
      </c>
      <c r="C48" s="206" t="s">
        <v>60</v>
      </c>
      <c r="D48" s="293" t="s">
        <v>61</v>
      </c>
      <c r="E48" s="206" t="s">
        <v>66</v>
      </c>
      <c r="F48" s="293" t="s">
        <v>64</v>
      </c>
      <c r="G48" s="293" t="s">
        <v>328</v>
      </c>
      <c r="H48" s="312" t="s">
        <v>329</v>
      </c>
      <c r="I48" s="293" t="s">
        <v>67</v>
      </c>
      <c r="J48" s="313" t="s">
        <v>329</v>
      </c>
      <c r="K48" s="293" t="s">
        <v>68</v>
      </c>
      <c r="L48" s="206" t="s">
        <v>69</v>
      </c>
      <c r="M48" s="312" t="s">
        <v>329</v>
      </c>
      <c r="N48" s="312" t="s">
        <v>622</v>
      </c>
    </row>
    <row r="49" spans="1:14">
      <c r="A49" s="11" t="str">
        <f>+'somfindétfsfin '!A38</f>
        <v>TRIM 1 2014 (octobre - décembre 13)</v>
      </c>
      <c r="B49" s="282"/>
      <c r="C49" s="282"/>
      <c r="D49" s="281"/>
      <c r="E49" s="282"/>
      <c r="F49" s="281"/>
      <c r="G49" s="281"/>
      <c r="H49" s="283"/>
      <c r="I49" s="281"/>
      <c r="J49" s="284"/>
      <c r="K49" s="281"/>
      <c r="L49" s="282"/>
      <c r="M49" s="283"/>
      <c r="N49" s="283"/>
    </row>
    <row r="50" spans="1:14">
      <c r="A50" s="11"/>
      <c r="B50" s="282"/>
      <c r="C50" s="282"/>
      <c r="D50" s="281"/>
      <c r="E50" s="282"/>
      <c r="F50" s="281"/>
      <c r="G50" s="281"/>
      <c r="H50" s="283"/>
      <c r="I50" s="281"/>
      <c r="J50" s="284"/>
      <c r="K50" s="281"/>
      <c r="L50" s="282"/>
      <c r="M50" s="283"/>
      <c r="N50" s="283"/>
    </row>
    <row r="51" spans="1:14">
      <c r="A51" s="100" t="s">
        <v>300</v>
      </c>
      <c r="B51" s="73"/>
      <c r="C51" s="73"/>
      <c r="D51" s="73" t="s">
        <v>0</v>
      </c>
      <c r="E51" s="73"/>
      <c r="F51" s="73"/>
      <c r="G51" s="73"/>
      <c r="H51" s="184"/>
      <c r="I51" s="73"/>
      <c r="J51" s="184"/>
      <c r="K51" s="73"/>
      <c r="L51" s="73"/>
      <c r="M51" s="184"/>
      <c r="N51" s="185"/>
    </row>
    <row r="52" spans="1:14">
      <c r="A52" s="100" t="s">
        <v>301</v>
      </c>
      <c r="B52" s="87" t="s">
        <v>0</v>
      </c>
      <c r="C52" s="87" t="s">
        <v>0</v>
      </c>
      <c r="D52" s="87" t="s">
        <v>0</v>
      </c>
      <c r="E52" s="87" t="s">
        <v>0</v>
      </c>
      <c r="F52" s="87" t="s">
        <v>0</v>
      </c>
      <c r="G52" s="87" t="s">
        <v>0</v>
      </c>
      <c r="H52" s="181" t="s">
        <v>0</v>
      </c>
      <c r="I52" s="87" t="s">
        <v>0</v>
      </c>
      <c r="J52" s="181" t="s">
        <v>54</v>
      </c>
      <c r="K52" s="87" t="s">
        <v>0</v>
      </c>
      <c r="L52" s="87" t="s">
        <v>0</v>
      </c>
      <c r="M52" s="181" t="s">
        <v>0</v>
      </c>
      <c r="N52" s="172" t="s">
        <v>0</v>
      </c>
    </row>
    <row r="53" spans="1:14" ht="18.75">
      <c r="A53" s="100" t="s">
        <v>302</v>
      </c>
      <c r="B53" s="304">
        <f>+'bncrésult '!J10</f>
        <v>195519.02844999998</v>
      </c>
      <c r="C53" s="304">
        <f>+'BPHRÉSULT  '!J10</f>
        <v>34952.16605</v>
      </c>
      <c r="D53" s="304">
        <f>+buhrésult!J10</f>
        <v>59163.600659999996</v>
      </c>
      <c r="E53" s="304">
        <f>+'CAPITALBKRÉSULT      '!J10</f>
        <v>146250</v>
      </c>
      <c r="F53" s="304">
        <f>+SOGEBKRÉSULT!J10</f>
        <v>326951.32666999992</v>
      </c>
      <c r="G53" s="304">
        <f>+'UNIBKRÉSULT   '!J10</f>
        <v>344731.78703999997</v>
      </c>
      <c r="H53" s="305">
        <f>SUM(B53:G53)</f>
        <v>1107567.9088699999</v>
      </c>
      <c r="I53" s="304">
        <f>+'SGBELRÉSULT       '!J10</f>
        <v>50478.079109999991</v>
      </c>
      <c r="J53" s="305">
        <f>SUM(I53:I53)</f>
        <v>50478.079109999991</v>
      </c>
      <c r="K53" s="304">
        <f>+'CBNARÉSULT         '!J10</f>
        <v>34865</v>
      </c>
      <c r="L53" s="304">
        <f>+'SCOTIARÉSULT         '!J10</f>
        <v>46748</v>
      </c>
      <c r="M53" s="305">
        <f>SUM(K53:L53)</f>
        <v>81613</v>
      </c>
      <c r="N53" s="305">
        <f>+H53+J53+M53</f>
        <v>1239658.98798</v>
      </c>
    </row>
    <row r="54" spans="1:14" ht="18.75">
      <c r="A54" s="100" t="s">
        <v>322</v>
      </c>
      <c r="B54" s="304">
        <f>+'bncrésult '!J11</f>
        <v>43480.816910000001</v>
      </c>
      <c r="C54" s="304">
        <f>+'BPHRÉSULT  '!J11</f>
        <v>0</v>
      </c>
      <c r="D54" s="304">
        <f>+buhrésult!J11</f>
        <v>80.75</v>
      </c>
      <c r="E54" s="304">
        <f>+'CAPITALBKRÉSULT      '!J11</f>
        <v>1920</v>
      </c>
      <c r="F54" s="304">
        <f>+SOGEBKRÉSULT!J11</f>
        <v>3670.6570300000003</v>
      </c>
      <c r="G54" s="304">
        <f>+'UNIBKRÉSULT   '!J11</f>
        <v>0</v>
      </c>
      <c r="H54" s="305">
        <f>SUM(B54:G54)</f>
        <v>49152.223940000003</v>
      </c>
      <c r="I54" s="304">
        <f>+'SGBELRÉSULT       '!J11</f>
        <v>0</v>
      </c>
      <c r="J54" s="305">
        <f>SUM(I54:I54)</f>
        <v>0</v>
      </c>
      <c r="K54" s="304">
        <f>+'CBNARÉSULT         '!J11</f>
        <v>117</v>
      </c>
      <c r="L54" s="304">
        <f>+'SCOTIARÉSULT         '!J11</f>
        <v>0</v>
      </c>
      <c r="M54" s="305">
        <f>SUM(K54:L54)</f>
        <v>117</v>
      </c>
      <c r="N54" s="305">
        <f>+H54+J54+M54</f>
        <v>49269.223940000003</v>
      </c>
    </row>
    <row r="55" spans="1:14" ht="18.75">
      <c r="A55" s="100" t="s">
        <v>304</v>
      </c>
      <c r="B55" s="306">
        <f>+'bncrésult '!J12</f>
        <v>51188.886929999993</v>
      </c>
      <c r="C55" s="306">
        <f>+'BPHRÉSULT  '!J12</f>
        <v>100.10611999999999</v>
      </c>
      <c r="D55" s="306">
        <f>+buhrésult!J12</f>
        <v>81.962103400000004</v>
      </c>
      <c r="E55" s="306">
        <f>+'CAPITALBKRÉSULT      '!J12</f>
        <v>948</v>
      </c>
      <c r="F55" s="306">
        <f>+SOGEBKRÉSULT!J12</f>
        <v>54380.206310000001</v>
      </c>
      <c r="G55" s="730">
        <f>+'UNIBKRÉSULT   '!J12</f>
        <v>13325.921040000001</v>
      </c>
      <c r="H55" s="307">
        <f>SUM(B55:G55)</f>
        <v>120025.0825034</v>
      </c>
      <c r="I55" s="995">
        <f>+'SGBELRÉSULT       '!J12</f>
        <v>7570.9460999999992</v>
      </c>
      <c r="J55" s="307">
        <f>SUM(I55:I55)</f>
        <v>7570.9460999999992</v>
      </c>
      <c r="K55" s="604">
        <f>+'CBNARÉSULT         '!J12</f>
        <v>161</v>
      </c>
      <c r="L55" s="730">
        <f>+'SCOTIARÉSULT         '!J12</f>
        <v>758</v>
      </c>
      <c r="M55" s="307">
        <f>SUM(K55:L55)</f>
        <v>919</v>
      </c>
      <c r="N55" s="307">
        <f>+H55+J55+M55</f>
        <v>128515.0286034</v>
      </c>
    </row>
    <row r="56" spans="1:14" ht="18.75">
      <c r="A56" s="100"/>
      <c r="B56" s="304">
        <f>SUM(B53:B55)</f>
        <v>290188.73228999996</v>
      </c>
      <c r="C56" s="304">
        <f>SUM(C53:C55)</f>
        <v>35052.272169999997</v>
      </c>
      <c r="D56" s="304">
        <f>SUM(D53:D55)</f>
        <v>59326.312763399997</v>
      </c>
      <c r="E56" s="304">
        <f>SUM(E53:E55)</f>
        <v>149118</v>
      </c>
      <c r="F56" s="304">
        <f t="shared" ref="F56:N56" si="8">SUM(F53:F55)</f>
        <v>385002.1900099999</v>
      </c>
      <c r="G56" s="304">
        <f t="shared" si="8"/>
        <v>358057.70807999995</v>
      </c>
      <c r="H56" s="305">
        <f t="shared" si="8"/>
        <v>1276745.2153133999</v>
      </c>
      <c r="I56" s="304">
        <f t="shared" si="8"/>
        <v>58049.025209999993</v>
      </c>
      <c r="J56" s="305">
        <f t="shared" si="8"/>
        <v>58049.025209999993</v>
      </c>
      <c r="K56" s="309">
        <f t="shared" si="8"/>
        <v>35143</v>
      </c>
      <c r="L56" s="309">
        <f t="shared" si="8"/>
        <v>47506</v>
      </c>
      <c r="M56" s="305">
        <f t="shared" si="8"/>
        <v>82649</v>
      </c>
      <c r="N56" s="305">
        <f t="shared" si="8"/>
        <v>1417443.2405234</v>
      </c>
    </row>
    <row r="57" spans="1:14" ht="18.75">
      <c r="A57" s="100" t="s">
        <v>305</v>
      </c>
      <c r="B57" s="306">
        <f>+'bncrésult '!J14</f>
        <v>19727.20205</v>
      </c>
      <c r="C57" s="306">
        <f>+'BPHRÉSULT  '!J14</f>
        <v>2178.4949700000002</v>
      </c>
      <c r="D57" s="306">
        <f>+buhrésult!J14</f>
        <v>2494.3072000000002</v>
      </c>
      <c r="E57" s="306">
        <f>+'CAPITALBKRÉSULT      '!J14</f>
        <v>10644</v>
      </c>
      <c r="F57" s="306">
        <f>+SOGEBKRÉSULT!J14</f>
        <v>36334.196889999999</v>
      </c>
      <c r="G57" s="730">
        <f>+'UNIBKRÉSULT   '!J14</f>
        <v>29207.841850000001</v>
      </c>
      <c r="H57" s="307">
        <f>SUM(B57:G57)</f>
        <v>100586.04295999999</v>
      </c>
      <c r="I57" s="995">
        <f>+'SGBELRÉSULT       '!J14</f>
        <v>18492.111929999999</v>
      </c>
      <c r="J57" s="307">
        <f>SUM(I57:I57)</f>
        <v>18492.111929999999</v>
      </c>
      <c r="K57" s="604">
        <f>+'CBNARÉSULT         '!J14</f>
        <v>2930</v>
      </c>
      <c r="L57" s="730">
        <f>+'SCOTIARÉSULT         '!J14</f>
        <v>841</v>
      </c>
      <c r="M57" s="307">
        <f>SUM(K57:L57)</f>
        <v>3771</v>
      </c>
      <c r="N57" s="307">
        <f>+H57+J57+M57</f>
        <v>122849.15488999999</v>
      </c>
    </row>
    <row r="58" spans="1:14" ht="18.75">
      <c r="A58" s="100"/>
      <c r="B58" s="304">
        <f>+B56-B57</f>
        <v>270461.53023999993</v>
      </c>
      <c r="C58" s="304">
        <f>+C56-C57</f>
        <v>32873.777199999997</v>
      </c>
      <c r="D58" s="304">
        <f>+D56-D57</f>
        <v>56832.005563399995</v>
      </c>
      <c r="E58" s="304">
        <f>+E56-E57</f>
        <v>138474</v>
      </c>
      <c r="F58" s="304">
        <f t="shared" ref="F58:N58" si="9">+F56-F57</f>
        <v>348667.99311999988</v>
      </c>
      <c r="G58" s="304">
        <f t="shared" si="9"/>
        <v>328849.86622999993</v>
      </c>
      <c r="H58" s="305">
        <f t="shared" si="9"/>
        <v>1176159.1723533999</v>
      </c>
      <c r="I58" s="304">
        <f t="shared" si="9"/>
        <v>39556.913279999993</v>
      </c>
      <c r="J58" s="305">
        <f t="shared" si="9"/>
        <v>39556.913279999993</v>
      </c>
      <c r="K58" s="304">
        <f t="shared" si="9"/>
        <v>32213</v>
      </c>
      <c r="L58" s="304">
        <f t="shared" si="9"/>
        <v>46665</v>
      </c>
      <c r="M58" s="305">
        <f t="shared" si="9"/>
        <v>78878</v>
      </c>
      <c r="N58" s="305">
        <f t="shared" si="9"/>
        <v>1294594.0856334001</v>
      </c>
    </row>
    <row r="59" spans="1:14" ht="18.75">
      <c r="A59" s="100"/>
      <c r="B59" s="304"/>
      <c r="C59" s="304"/>
      <c r="D59" s="304"/>
      <c r="E59" s="304"/>
      <c r="F59" s="304"/>
      <c r="G59" s="304"/>
      <c r="H59" s="305"/>
      <c r="I59" s="304"/>
      <c r="J59" s="305"/>
      <c r="K59" s="304"/>
      <c r="L59" s="304"/>
      <c r="M59" s="305"/>
      <c r="N59" s="305"/>
    </row>
    <row r="60" spans="1:14" ht="18.75">
      <c r="A60" s="100" t="s">
        <v>306</v>
      </c>
      <c r="B60" s="304"/>
      <c r="C60" s="304"/>
      <c r="D60" s="304"/>
      <c r="E60" s="304"/>
      <c r="F60" s="304"/>
      <c r="G60" s="304"/>
      <c r="H60" s="305"/>
      <c r="I60" s="304"/>
      <c r="J60" s="305" t="s">
        <v>0</v>
      </c>
      <c r="K60" s="304"/>
      <c r="L60" s="304"/>
      <c r="M60" s="305"/>
      <c r="N60" s="305"/>
    </row>
    <row r="61" spans="1:14" ht="18.75">
      <c r="A61" s="100" t="s">
        <v>307</v>
      </c>
      <c r="B61" s="304">
        <f>+'bncrésult '!J18</f>
        <v>87336.13321</v>
      </c>
      <c r="C61" s="304">
        <f>+'BPHRÉSULT  '!J18</f>
        <v>5268.5281599999998</v>
      </c>
      <c r="D61" s="304">
        <f>+buhrésult!J18</f>
        <v>22713.380980000002</v>
      </c>
      <c r="E61" s="304">
        <f>+'CAPITALBKRÉSULT      '!J18</f>
        <v>87484</v>
      </c>
      <c r="F61" s="304">
        <f>+SOGEBKRÉSULT!J18</f>
        <v>194845.97616000002</v>
      </c>
      <c r="G61" s="304">
        <f>+'UNIBKRÉSULT   '!J18</f>
        <v>173822.44110999999</v>
      </c>
      <c r="H61" s="305">
        <f>SUM(B61:G61)</f>
        <v>571470.45961999998</v>
      </c>
      <c r="I61" s="304">
        <f>+'SGBELRÉSULT       '!J18</f>
        <v>5678.4520499999999</v>
      </c>
      <c r="J61" s="305">
        <f>SUM(I61:I61)</f>
        <v>5678.4520499999999</v>
      </c>
      <c r="K61" s="304">
        <f>+'CBNARÉSULT         '!J18</f>
        <v>16148</v>
      </c>
      <c r="L61" s="304">
        <f>+'SCOTIARÉSULT         '!J18</f>
        <v>18481</v>
      </c>
      <c r="M61" s="305">
        <f>SUM(K61:L61)</f>
        <v>34629</v>
      </c>
      <c r="N61" s="305">
        <f>+H61+J61+M61</f>
        <v>611777.91166999994</v>
      </c>
    </row>
    <row r="62" spans="1:14" ht="18.75">
      <c r="A62" s="100" t="s">
        <v>308</v>
      </c>
      <c r="B62" s="304">
        <f>+'bncrésult '!J19</f>
        <v>22498.85338</v>
      </c>
      <c r="C62" s="304">
        <f>+'BPHRÉSULT  '!J19</f>
        <v>5165.5143200000002</v>
      </c>
      <c r="D62" s="304">
        <f>+buhrésult!J19</f>
        <v>4504.1293299999998</v>
      </c>
      <c r="E62" s="304">
        <f>+'CAPITALBKRÉSULT      '!J19</f>
        <v>18296</v>
      </c>
      <c r="F62" s="304">
        <f>+SOGEBKRÉSULT!J19</f>
        <v>38325.857050000006</v>
      </c>
      <c r="G62" s="304">
        <f>+'UNIBKRÉSULT   '!J19</f>
        <v>80667.806080000009</v>
      </c>
      <c r="H62" s="305">
        <f>SUM(B62:G62)</f>
        <v>169458.16016000003</v>
      </c>
      <c r="I62" s="304">
        <f>+'SGBELRÉSULT       '!J19</f>
        <v>2664.2930900000001</v>
      </c>
      <c r="J62" s="305">
        <f>SUM(I62:I62)</f>
        <v>2664.2930900000001</v>
      </c>
      <c r="K62" s="304">
        <f>+'CBNARÉSULT         '!J19</f>
        <v>31494</v>
      </c>
      <c r="L62" s="304">
        <f>+'SCOTIARÉSULT         '!J19</f>
        <v>9612</v>
      </c>
      <c r="M62" s="305">
        <f>SUM(K62:L62)</f>
        <v>41106</v>
      </c>
      <c r="N62" s="305">
        <f>+H62+J62+M62</f>
        <v>213228.45325000002</v>
      </c>
    </row>
    <row r="63" spans="1:14" ht="18.75">
      <c r="A63" s="100" t="s">
        <v>274</v>
      </c>
      <c r="B63" s="306">
        <f>+'bncrésult '!J20</f>
        <v>13762.081559999999</v>
      </c>
      <c r="C63" s="306">
        <f>+'BPHRÉSULT  '!J20</f>
        <v>568.15408000000002</v>
      </c>
      <c r="D63" s="306">
        <f>+buhrésult!J20</f>
        <v>11595.589214144002</v>
      </c>
      <c r="E63" s="306">
        <f>+'CAPITALBKRÉSULT      '!J20</f>
        <v>1357</v>
      </c>
      <c r="F63" s="306">
        <f>+SOGEBKRÉSULT!J20</f>
        <v>80433.7549</v>
      </c>
      <c r="G63" s="730">
        <f>+'UNIBKRÉSULT   '!J20</f>
        <v>163547.70473999999</v>
      </c>
      <c r="H63" s="307">
        <f>SUM(B63:G63)</f>
        <v>271264.28449414397</v>
      </c>
      <c r="I63" s="995">
        <f>+'SGBELRÉSULT       '!J20</f>
        <v>1684.4329600000001</v>
      </c>
      <c r="J63" s="307">
        <f>SUM(I63:I63)</f>
        <v>1684.4329600000001</v>
      </c>
      <c r="K63" s="604">
        <f>+'CBNARÉSULT         '!J20</f>
        <v>34</v>
      </c>
      <c r="L63" s="730">
        <f>+'SCOTIARÉSULT         '!J20</f>
        <v>-5767</v>
      </c>
      <c r="M63" s="307">
        <f>SUM(K63:L63)</f>
        <v>-5733</v>
      </c>
      <c r="N63" s="307">
        <f>+H63+J63+M63</f>
        <v>267215.71745414397</v>
      </c>
    </row>
    <row r="64" spans="1:14" ht="18.75">
      <c r="A64" s="100"/>
      <c r="B64" s="304">
        <f>SUM(B61:B63)</f>
        <v>123597.06815000001</v>
      </c>
      <c r="C64" s="304">
        <f>SUM(C61:C63)</f>
        <v>11002.19656</v>
      </c>
      <c r="D64" s="304">
        <f>SUM(D61:D63)</f>
        <v>38813.099524144003</v>
      </c>
      <c r="E64" s="304">
        <f>SUM(E61:E63)</f>
        <v>107137</v>
      </c>
      <c r="F64" s="304">
        <f t="shared" ref="F64:N64" si="10">SUM(F61:F63)</f>
        <v>313605.58811000001</v>
      </c>
      <c r="G64" s="304">
        <f t="shared" si="10"/>
        <v>418037.95192999998</v>
      </c>
      <c r="H64" s="305">
        <f t="shared" si="10"/>
        <v>1012192.904274144</v>
      </c>
      <c r="I64" s="304">
        <f t="shared" si="10"/>
        <v>10027.178099999999</v>
      </c>
      <c r="J64" s="305">
        <f t="shared" si="10"/>
        <v>10027.178099999999</v>
      </c>
      <c r="K64" s="304">
        <f t="shared" si="10"/>
        <v>47676</v>
      </c>
      <c r="L64" s="304">
        <f t="shared" si="10"/>
        <v>22326</v>
      </c>
      <c r="M64" s="305">
        <f t="shared" si="10"/>
        <v>70002</v>
      </c>
      <c r="N64" s="305">
        <f t="shared" si="10"/>
        <v>1092222.0823741439</v>
      </c>
    </row>
    <row r="65" spans="1:14" ht="18.75">
      <c r="A65" s="100"/>
      <c r="B65" s="306"/>
      <c r="C65" s="306"/>
      <c r="D65" s="306"/>
      <c r="E65" s="306"/>
      <c r="F65" s="306"/>
      <c r="G65" s="306"/>
      <c r="H65" s="307"/>
      <c r="I65" s="306"/>
      <c r="J65" s="307"/>
      <c r="K65" s="306"/>
      <c r="L65" s="306"/>
      <c r="M65" s="307"/>
      <c r="N65" s="307"/>
    </row>
    <row r="66" spans="1:14" ht="18.75">
      <c r="A66" s="100" t="s">
        <v>309</v>
      </c>
      <c r="B66" s="304">
        <f>+B58+B64</f>
        <v>394058.59838999994</v>
      </c>
      <c r="C66" s="304">
        <f>+C58+C64</f>
        <v>43875.973759999993</v>
      </c>
      <c r="D66" s="304">
        <f>+D58+D64</f>
        <v>95645.105087543998</v>
      </c>
      <c r="E66" s="304">
        <f>+E58+E64</f>
        <v>245611</v>
      </c>
      <c r="F66" s="304">
        <f t="shared" ref="F66:N66" si="11">+F58+F64</f>
        <v>662273.58122999989</v>
      </c>
      <c r="G66" s="304">
        <f t="shared" si="11"/>
        <v>746887.81815999991</v>
      </c>
      <c r="H66" s="305">
        <f t="shared" si="11"/>
        <v>2188352.0766275441</v>
      </c>
      <c r="I66" s="304">
        <f t="shared" si="11"/>
        <v>49584.091379999991</v>
      </c>
      <c r="J66" s="305">
        <f t="shared" si="11"/>
        <v>49584.091379999991</v>
      </c>
      <c r="K66" s="304">
        <f t="shared" si="11"/>
        <v>79889</v>
      </c>
      <c r="L66" s="304">
        <f t="shared" si="11"/>
        <v>68991</v>
      </c>
      <c r="M66" s="305">
        <f t="shared" si="11"/>
        <v>148880</v>
      </c>
      <c r="N66" s="305">
        <f t="shared" si="11"/>
        <v>2386816.1680075442</v>
      </c>
    </row>
    <row r="67" spans="1:14" ht="18.75">
      <c r="A67" s="100"/>
      <c r="B67" s="304"/>
      <c r="C67" s="304"/>
      <c r="D67" s="304"/>
      <c r="E67" s="304"/>
      <c r="F67" s="304"/>
      <c r="G67" s="304"/>
      <c r="H67" s="305"/>
      <c r="I67" s="304"/>
      <c r="J67" s="305"/>
      <c r="K67" s="304"/>
      <c r="L67" s="304"/>
      <c r="M67" s="305"/>
      <c r="N67" s="305"/>
    </row>
    <row r="68" spans="1:14" ht="18.75">
      <c r="A68" s="100" t="s">
        <v>310</v>
      </c>
      <c r="B68" s="304">
        <f>+'bncrésult '!J25</f>
        <v>25263.932779999999</v>
      </c>
      <c r="C68" s="304">
        <f>+'BPHRÉSULT  '!J25</f>
        <v>4124.0786399999997</v>
      </c>
      <c r="D68" s="304">
        <f>+buhrésult!J25</f>
        <v>7042.1881800000001</v>
      </c>
      <c r="E68" s="304">
        <f>+'CAPITALBKRÉSULT      '!J25</f>
        <v>4936</v>
      </c>
      <c r="F68" s="304">
        <f>+SOGEBKRÉSULT!J25</f>
        <v>77676.665720000005</v>
      </c>
      <c r="G68" s="304">
        <f>+'UNIBKRÉSULT   '!J25</f>
        <v>12028.613389999999</v>
      </c>
      <c r="H68" s="305">
        <f>SUM(B68:G68)</f>
        <v>131071.47871000001</v>
      </c>
      <c r="I68" s="304">
        <f>+'SGBELRÉSULT       '!J25</f>
        <v>2250</v>
      </c>
      <c r="J68" s="305">
        <f>SUM(I68:I68)</f>
        <v>2250</v>
      </c>
      <c r="K68" s="304">
        <f>+'CBNARÉSULT         '!J25</f>
        <v>-16831</v>
      </c>
      <c r="L68" s="304">
        <f>+'SCOTIARÉSULT         '!J25</f>
        <v>3699.7</v>
      </c>
      <c r="M68" s="305">
        <f>SUM(K68:L68)</f>
        <v>-13131.3</v>
      </c>
      <c r="N68" s="305">
        <f>+H68+J68+M68</f>
        <v>120190.17870999999</v>
      </c>
    </row>
    <row r="69" spans="1:14" ht="18.75">
      <c r="A69" s="100"/>
      <c r="B69" s="304"/>
      <c r="C69" s="304"/>
      <c r="D69" s="304"/>
      <c r="E69" s="304" t="s">
        <v>0</v>
      </c>
      <c r="F69" s="304"/>
      <c r="G69" s="304"/>
      <c r="H69" s="305"/>
      <c r="I69" s="304"/>
      <c r="J69" s="305"/>
      <c r="K69" s="304"/>
      <c r="L69" s="304"/>
      <c r="M69" s="305"/>
      <c r="N69" s="305"/>
    </row>
    <row r="70" spans="1:14" ht="18.75">
      <c r="A70" s="100" t="s">
        <v>311</v>
      </c>
      <c r="B70" s="306"/>
      <c r="C70" s="306"/>
      <c r="D70" s="306"/>
      <c r="E70" s="306"/>
      <c r="F70" s="306"/>
      <c r="G70" s="306"/>
      <c r="H70" s="307"/>
      <c r="I70" s="306"/>
      <c r="J70" s="307"/>
      <c r="K70" s="306"/>
      <c r="L70" s="306"/>
      <c r="M70" s="307"/>
      <c r="N70" s="307"/>
    </row>
    <row r="71" spans="1:14" ht="18.75">
      <c r="A71" s="100" t="s">
        <v>312</v>
      </c>
      <c r="B71" s="304">
        <f>+B66-B68</f>
        <v>368794.66560999997</v>
      </c>
      <c r="C71" s="304">
        <f>+C66-C68</f>
        <v>39751.895119999994</v>
      </c>
      <c r="D71" s="304">
        <f>+D66-D68</f>
        <v>88602.916907544</v>
      </c>
      <c r="E71" s="304">
        <f>+E66-E68</f>
        <v>240675</v>
      </c>
      <c r="F71" s="304">
        <f t="shared" ref="F71:N71" si="12">+F66-F68</f>
        <v>584596.91550999985</v>
      </c>
      <c r="G71" s="304">
        <f t="shared" si="12"/>
        <v>734859.20476999995</v>
      </c>
      <c r="H71" s="305">
        <f t="shared" si="12"/>
        <v>2057280.5979175442</v>
      </c>
      <c r="I71" s="304">
        <f t="shared" si="12"/>
        <v>47334.091379999991</v>
      </c>
      <c r="J71" s="305">
        <f t="shared" si="12"/>
        <v>47334.091379999991</v>
      </c>
      <c r="K71" s="304">
        <f t="shared" si="12"/>
        <v>96720</v>
      </c>
      <c r="L71" s="304">
        <f t="shared" si="12"/>
        <v>65291.3</v>
      </c>
      <c r="M71" s="305">
        <f t="shared" si="12"/>
        <v>162011.29999999999</v>
      </c>
      <c r="N71" s="305">
        <f t="shared" si="12"/>
        <v>2266625.9892975441</v>
      </c>
    </row>
    <row r="72" spans="1:14" ht="18.75">
      <c r="A72" s="100"/>
      <c r="B72" s="304"/>
      <c r="C72" s="304"/>
      <c r="D72" s="304"/>
      <c r="E72" s="304"/>
      <c r="F72" s="304"/>
      <c r="G72" s="304"/>
      <c r="H72" s="305"/>
      <c r="I72" s="304"/>
      <c r="J72" s="305"/>
      <c r="K72" s="304"/>
      <c r="L72" s="304"/>
      <c r="M72" s="305"/>
      <c r="N72" s="305"/>
    </row>
    <row r="73" spans="1:14" ht="18.75">
      <c r="A73" s="100" t="s">
        <v>313</v>
      </c>
      <c r="B73" s="304"/>
      <c r="C73" s="304"/>
      <c r="D73" s="304"/>
      <c r="E73" s="304"/>
      <c r="F73" s="304"/>
      <c r="G73" s="304"/>
      <c r="H73" s="305"/>
      <c r="I73" s="304"/>
      <c r="J73" s="305"/>
      <c r="K73" s="304"/>
      <c r="L73" s="304"/>
      <c r="M73" s="305"/>
      <c r="N73" s="305"/>
    </row>
    <row r="74" spans="1:14" ht="18.75">
      <c r="A74" s="100" t="s">
        <v>314</v>
      </c>
      <c r="B74" s="304">
        <f>+'bncrésult '!J31</f>
        <v>136252.80087000001</v>
      </c>
      <c r="C74" s="304">
        <f>+'BPHRÉSULT  '!J31</f>
        <v>19221.124169999999</v>
      </c>
      <c r="D74" s="304">
        <f>+buhrésult!J31</f>
        <v>38672.523289999997</v>
      </c>
      <c r="E74" s="304">
        <f>+'CAPITALBKRÉSULT      '!J31</f>
        <v>64399</v>
      </c>
      <c r="F74" s="304">
        <f>+SOGEBKRÉSULT!J31</f>
        <v>207720.91162999999</v>
      </c>
      <c r="G74" s="304">
        <f>+'UNIBKRÉSULT   '!J31</f>
        <v>183418.09772999998</v>
      </c>
      <c r="H74" s="305">
        <f>SUM(B74:G74)</f>
        <v>649684.45768999995</v>
      </c>
      <c r="I74" s="304">
        <f>+'SGBELRÉSULT       '!J31</f>
        <v>12709.22114</v>
      </c>
      <c r="J74" s="305">
        <f>SUM(I74:I74)</f>
        <v>12709.22114</v>
      </c>
      <c r="K74" s="304">
        <f>+'CBNARÉSULT         '!J31</f>
        <v>22623</v>
      </c>
      <c r="L74" s="304">
        <f>+'SCOTIARÉSULT         '!J31</f>
        <v>23848</v>
      </c>
      <c r="M74" s="305">
        <f>SUM(K74:L74)</f>
        <v>46471</v>
      </c>
      <c r="N74" s="305">
        <f>+H74+J74+M74</f>
        <v>708864.67882999999</v>
      </c>
    </row>
    <row r="75" spans="1:14" ht="18.75">
      <c r="A75" s="100" t="s">
        <v>315</v>
      </c>
      <c r="B75" s="304">
        <f>+'bncrésult '!J32</f>
        <v>14419.970590000001</v>
      </c>
      <c r="C75" s="304">
        <f>+'BPHRÉSULT  '!J32</f>
        <v>1531.6084900000001</v>
      </c>
      <c r="D75" s="304">
        <f>+buhrésult!J32</f>
        <v>12829.7541</v>
      </c>
      <c r="E75" s="304">
        <f>+'CAPITALBKRÉSULT      '!J32</f>
        <v>19651</v>
      </c>
      <c r="F75" s="304">
        <f>+SOGEBKRÉSULT!J32</f>
        <v>21317.774729999997</v>
      </c>
      <c r="G75" s="304">
        <f>+'UNIBKRÉSULT   '!J32</f>
        <v>20593.86666</v>
      </c>
      <c r="H75" s="305">
        <f>SUM(B75:G75)</f>
        <v>90343.974569999991</v>
      </c>
      <c r="I75" s="304">
        <f>+'SGBELRÉSULT       '!J32</f>
        <v>5353.0717000000004</v>
      </c>
      <c r="J75" s="305">
        <f>SUM(I75:I75)</f>
        <v>5353.0717000000004</v>
      </c>
      <c r="K75" s="304">
        <f>+'CBNARÉSULT         '!J32</f>
        <v>13874</v>
      </c>
      <c r="L75" s="304">
        <f>+'SCOTIARÉSULT         '!J32</f>
        <v>5321</v>
      </c>
      <c r="M75" s="305">
        <f>SUM(K75:L75)</f>
        <v>19195</v>
      </c>
      <c r="N75" s="305">
        <f>+H75+J75+M75</f>
        <v>114892.04626999999</v>
      </c>
    </row>
    <row r="76" spans="1:14" ht="18.75">
      <c r="A76" s="100" t="s">
        <v>316</v>
      </c>
      <c r="B76" s="304">
        <f>+'bncrésult '!J33</f>
        <v>16278.631590000001</v>
      </c>
      <c r="C76" s="304">
        <f>+'BPHRÉSULT  '!J33</f>
        <v>1564.3435399999998</v>
      </c>
      <c r="D76" s="304">
        <f>+buhrésult!J33</f>
        <v>6751.5914099999991</v>
      </c>
      <c r="E76" s="304">
        <f>+'CAPITALBKRÉSULT      '!J33</f>
        <v>10801</v>
      </c>
      <c r="F76" s="304">
        <f>+SOGEBKRÉSULT!J33</f>
        <v>31251.081989999999</v>
      </c>
      <c r="G76" s="304">
        <f>+'UNIBKRÉSULT   '!J33</f>
        <v>42312.188980000006</v>
      </c>
      <c r="H76" s="305">
        <f>SUM(B76:G76)</f>
        <v>108958.83751000001</v>
      </c>
      <c r="I76" s="304">
        <f>+'SGBELRÉSULT       '!J33</f>
        <v>2746.85682</v>
      </c>
      <c r="J76" s="305">
        <f>SUM(I76:I76)</f>
        <v>2746.85682</v>
      </c>
      <c r="K76" s="304">
        <f>+'CBNARÉSULT         '!J33</f>
        <v>5973</v>
      </c>
      <c r="L76" s="304">
        <f>+'SCOTIARÉSULT         '!J33</f>
        <v>1254</v>
      </c>
      <c r="M76" s="305">
        <f>SUM(K76:L76)</f>
        <v>7227</v>
      </c>
      <c r="N76" s="305">
        <f>+H76+J76+M76</f>
        <v>118932.69433000001</v>
      </c>
    </row>
    <row r="77" spans="1:14" ht="18.75">
      <c r="A77" s="100" t="s">
        <v>317</v>
      </c>
      <c r="B77" s="306">
        <f>+'bncrésult '!J34</f>
        <v>81980.856159999996</v>
      </c>
      <c r="C77" s="306">
        <f>+'BPHRÉSULT  '!J34</f>
        <v>10632.44399</v>
      </c>
      <c r="D77" s="306">
        <f>+buhrésult!J34</f>
        <v>22547.11765</v>
      </c>
      <c r="E77" s="306">
        <f>+'CAPITALBKRÉSULT      '!J34</f>
        <v>74820</v>
      </c>
      <c r="F77" s="306">
        <f>+SOGEBKRÉSULT!J34</f>
        <v>200786.69228999998</v>
      </c>
      <c r="G77" s="730">
        <f>+'UNIBKRÉSULT   '!J34</f>
        <v>201511.10470000003</v>
      </c>
      <c r="H77" s="307">
        <f>SUM(B77:G77)</f>
        <v>592278.21479</v>
      </c>
      <c r="I77" s="995">
        <f>+'SGBELRÉSULT       '!J34</f>
        <v>10959.85124</v>
      </c>
      <c r="J77" s="307">
        <f>SUM(I77:I77)</f>
        <v>10959.85124</v>
      </c>
      <c r="K77" s="604">
        <f>+'CBNARÉSULT         '!J34</f>
        <v>23599</v>
      </c>
      <c r="L77" s="730">
        <f>+'SCOTIARÉSULT         '!J34</f>
        <v>28944</v>
      </c>
      <c r="M77" s="307">
        <f>SUM(K77:L77)</f>
        <v>52543</v>
      </c>
      <c r="N77" s="307">
        <f>+H77+J77+M77</f>
        <v>655781.06602999999</v>
      </c>
    </row>
    <row r="78" spans="1:14" ht="18.75">
      <c r="A78" s="100"/>
      <c r="B78" s="304">
        <f>SUM(B74:B77)</f>
        <v>248932.25921000002</v>
      </c>
      <c r="C78" s="304">
        <f>SUM(C74:C77)</f>
        <v>32949.520189999996</v>
      </c>
      <c r="D78" s="304">
        <f>SUM(D74:D77)</f>
        <v>80800.986449999997</v>
      </c>
      <c r="E78" s="304">
        <f>SUM(E74:E77)</f>
        <v>169671</v>
      </c>
      <c r="F78" s="304">
        <f t="shared" ref="F78:N78" si="13">SUM(F74:F77)</f>
        <v>461076.46063999995</v>
      </c>
      <c r="G78" s="304">
        <f t="shared" si="13"/>
        <v>447835.25806999998</v>
      </c>
      <c r="H78" s="305">
        <f t="shared" si="13"/>
        <v>1441265.4845599998</v>
      </c>
      <c r="I78" s="304">
        <f t="shared" si="13"/>
        <v>31769.000900000003</v>
      </c>
      <c r="J78" s="305">
        <f t="shared" si="13"/>
        <v>31769.000900000003</v>
      </c>
      <c r="K78" s="304">
        <f t="shared" si="13"/>
        <v>66069</v>
      </c>
      <c r="L78" s="304">
        <f t="shared" si="13"/>
        <v>59367</v>
      </c>
      <c r="M78" s="305">
        <f t="shared" si="13"/>
        <v>125436</v>
      </c>
      <c r="N78" s="305">
        <f t="shared" si="13"/>
        <v>1598470.4854599999</v>
      </c>
    </row>
    <row r="79" spans="1:14" ht="18.75">
      <c r="A79" s="100"/>
      <c r="B79" s="306"/>
      <c r="C79" s="306"/>
      <c r="D79" s="306"/>
      <c r="E79" s="306"/>
      <c r="F79" s="306"/>
      <c r="G79" s="306"/>
      <c r="H79" s="307"/>
      <c r="I79" s="306"/>
      <c r="J79" s="307"/>
      <c r="K79" s="306"/>
      <c r="L79" s="306"/>
      <c r="M79" s="307"/>
      <c r="N79" s="307"/>
    </row>
    <row r="80" spans="1:14" ht="18.75">
      <c r="A80" s="100" t="s">
        <v>318</v>
      </c>
      <c r="B80" s="304">
        <f>+B71-B78</f>
        <v>119862.40639999995</v>
      </c>
      <c r="C80" s="304">
        <f>+C71-C78</f>
        <v>6802.3749299999981</v>
      </c>
      <c r="D80" s="304">
        <f>+D71-D78</f>
        <v>7801.9304575440037</v>
      </c>
      <c r="E80" s="304">
        <f>+E71-E78</f>
        <v>71004</v>
      </c>
      <c r="F80" s="304">
        <f t="shared" ref="F80:N80" si="14">+F71-F78</f>
        <v>123520.4548699999</v>
      </c>
      <c r="G80" s="304">
        <f t="shared" si="14"/>
        <v>287023.94669999997</v>
      </c>
      <c r="H80" s="305">
        <f t="shared" si="14"/>
        <v>616015.11335754441</v>
      </c>
      <c r="I80" s="304">
        <f t="shared" si="14"/>
        <v>15565.090479999988</v>
      </c>
      <c r="J80" s="305">
        <f t="shared" si="14"/>
        <v>15565.090479999988</v>
      </c>
      <c r="K80" s="304">
        <f t="shared" si="14"/>
        <v>30651</v>
      </c>
      <c r="L80" s="304">
        <f t="shared" si="14"/>
        <v>5924.3000000000029</v>
      </c>
      <c r="M80" s="305">
        <f t="shared" si="14"/>
        <v>36575.299999999988</v>
      </c>
      <c r="N80" s="305">
        <f t="shared" si="14"/>
        <v>668155.50383754424</v>
      </c>
    </row>
    <row r="81" spans="1:21" ht="18.75">
      <c r="A81" s="100"/>
      <c r="B81" s="304"/>
      <c r="C81" s="304"/>
      <c r="D81" s="304"/>
      <c r="E81" s="304"/>
      <c r="F81" s="304"/>
      <c r="G81" s="304"/>
      <c r="H81" s="305"/>
      <c r="I81" s="304"/>
      <c r="J81" s="305"/>
      <c r="K81" s="304"/>
      <c r="L81" s="304"/>
      <c r="M81" s="305"/>
      <c r="N81" s="305"/>
    </row>
    <row r="82" spans="1:21" ht="18.75">
      <c r="A82" s="100" t="s">
        <v>319</v>
      </c>
      <c r="B82" s="304">
        <f>+'bncrésult '!J39</f>
        <v>0</v>
      </c>
      <c r="C82" s="304">
        <f>+'BPHRÉSULT  '!J39</f>
        <v>0</v>
      </c>
      <c r="D82" s="304">
        <f>+buhrésult!J39</f>
        <v>0</v>
      </c>
      <c r="E82" s="304">
        <f>+'CAPITALBKRÉSULT      '!J39</f>
        <v>14201</v>
      </c>
      <c r="F82" s="304">
        <f>+SOGEBKRÉSULT!J39</f>
        <v>22855</v>
      </c>
      <c r="G82" s="304">
        <f>+'UNIBKRÉSULT   '!J39</f>
        <v>32654.618780000004</v>
      </c>
      <c r="H82" s="305">
        <f>SUM(B82:G82)</f>
        <v>69710.618780000004</v>
      </c>
      <c r="I82" s="304">
        <f>+'SGBELRÉSULT       '!J39</f>
        <v>4202.5744299999997</v>
      </c>
      <c r="J82" s="305">
        <f>SUM(I82:I82)</f>
        <v>4202.5744299999997</v>
      </c>
      <c r="K82" s="304">
        <f>+'CBNARÉSULT         '!J39</f>
        <v>8681</v>
      </c>
      <c r="L82" s="304">
        <f>+'SCOTIARÉSULT         '!J39</f>
        <v>1973.1899999999998</v>
      </c>
      <c r="M82" s="305">
        <f>SUM(K82:L82)</f>
        <v>10654.19</v>
      </c>
      <c r="N82" s="305">
        <f>+H82+J82+M82</f>
        <v>84567.38321</v>
      </c>
    </row>
    <row r="83" spans="1:21" ht="18.75">
      <c r="A83" s="100"/>
      <c r="B83" s="306"/>
      <c r="C83" s="306"/>
      <c r="D83" s="306"/>
      <c r="E83" s="306"/>
      <c r="F83" s="306"/>
      <c r="G83" s="306"/>
      <c r="H83" s="307"/>
      <c r="I83" s="306"/>
      <c r="J83" s="307"/>
      <c r="K83" s="604" t="s">
        <v>0</v>
      </c>
      <c r="L83" s="306"/>
      <c r="M83" s="307"/>
      <c r="N83" s="307"/>
    </row>
    <row r="84" spans="1:21" ht="18.75">
      <c r="A84" s="164" t="s">
        <v>372</v>
      </c>
      <c r="B84" s="308">
        <f>+B80-B82</f>
        <v>119862.40639999995</v>
      </c>
      <c r="C84" s="308">
        <f>+C80-C82</f>
        <v>6802.3749299999981</v>
      </c>
      <c r="D84" s="308">
        <f>+D80-D82</f>
        <v>7801.9304575440037</v>
      </c>
      <c r="E84" s="308">
        <f>+E80-E82</f>
        <v>56803</v>
      </c>
      <c r="F84" s="308">
        <f t="shared" ref="F84:N84" si="15">+F80-F82</f>
        <v>100665.4548699999</v>
      </c>
      <c r="G84" s="308">
        <f t="shared" si="15"/>
        <v>254369.32791999995</v>
      </c>
      <c r="H84" s="305">
        <f t="shared" si="15"/>
        <v>546304.49457754439</v>
      </c>
      <c r="I84" s="308">
        <f t="shared" si="15"/>
        <v>11362.516049999987</v>
      </c>
      <c r="J84" s="305">
        <f t="shared" si="15"/>
        <v>11362.516049999987</v>
      </c>
      <c r="K84" s="308">
        <f t="shared" si="15"/>
        <v>21970</v>
      </c>
      <c r="L84" s="308">
        <f t="shared" si="15"/>
        <v>3951.1100000000033</v>
      </c>
      <c r="M84" s="305">
        <f t="shared" si="15"/>
        <v>25921.109999999986</v>
      </c>
      <c r="N84" s="305">
        <f t="shared" si="15"/>
        <v>583588.12062754424</v>
      </c>
    </row>
    <row r="85" spans="1:21">
      <c r="A85" s="10"/>
      <c r="B85" s="64"/>
      <c r="C85" s="64"/>
      <c r="D85" s="64"/>
      <c r="E85" s="85"/>
      <c r="F85" s="64"/>
      <c r="G85" s="64"/>
      <c r="H85" s="64"/>
      <c r="J85" s="64"/>
      <c r="K85" s="64"/>
      <c r="L85" s="85"/>
      <c r="M85" s="64"/>
      <c r="N85" s="64"/>
      <c r="U85" s="69"/>
    </row>
    <row r="86" spans="1:21">
      <c r="A86" s="11" t="s">
        <v>0</v>
      </c>
      <c r="D86" s="32"/>
      <c r="G86" s="32"/>
      <c r="H86" s="32"/>
      <c r="O86" s="35"/>
    </row>
    <row r="87" spans="1:21">
      <c r="D87" s="35"/>
      <c r="G87" s="35"/>
      <c r="H87" s="35"/>
      <c r="O87" s="35"/>
    </row>
    <row r="88" spans="1:21">
      <c r="D88" s="35"/>
      <c r="G88" s="35"/>
      <c r="H88" s="35"/>
      <c r="O88" s="35"/>
    </row>
    <row r="89" spans="1:21">
      <c r="D89" s="35"/>
      <c r="G89" s="35"/>
      <c r="H89" s="35"/>
      <c r="J89" s="727" t="s">
        <v>0</v>
      </c>
      <c r="O89" s="35"/>
    </row>
    <row r="90" spans="1:21">
      <c r="D90" s="35"/>
      <c r="G90" s="35"/>
      <c r="H90" s="35"/>
      <c r="O90" s="35"/>
    </row>
    <row r="91" spans="1:21">
      <c r="D91" s="35"/>
      <c r="G91" s="35"/>
      <c r="H91" s="35"/>
      <c r="O91" s="35"/>
    </row>
    <row r="92" spans="1:21">
      <c r="D92" s="35"/>
      <c r="G92" s="35"/>
      <c r="H92" s="35"/>
      <c r="O92" s="35"/>
    </row>
    <row r="93" spans="1:21">
      <c r="D93" s="35"/>
      <c r="G93" s="35"/>
      <c r="H93" s="35"/>
      <c r="O93" s="35"/>
    </row>
    <row r="94" spans="1:21">
      <c r="A94" t="s">
        <v>373</v>
      </c>
      <c r="B94" s="139">
        <f>+B16/B14</f>
        <v>0.93589610329109452</v>
      </c>
      <c r="C94" s="139">
        <f t="shared" ref="C94:N94" si="16">+C16/C14</f>
        <v>0.86782008472664585</v>
      </c>
      <c r="D94" s="139">
        <f t="shared" si="16"/>
        <v>0.87683982361659762</v>
      </c>
      <c r="E94" s="139">
        <f t="shared" si="16"/>
        <v>0.90414815969245954</v>
      </c>
      <c r="F94" s="139">
        <f t="shared" si="16"/>
        <v>0.84298750492905827</v>
      </c>
      <c r="G94" s="139">
        <f t="shared" si="16"/>
        <v>0.87822741505292101</v>
      </c>
      <c r="H94" s="139">
        <f t="shared" si="16"/>
        <v>0.88384814467658479</v>
      </c>
      <c r="I94" s="139">
        <f t="shared" si="16"/>
        <v>0.65791998424638398</v>
      </c>
      <c r="J94" s="139">
        <f t="shared" si="16"/>
        <v>0.65791998424638398</v>
      </c>
      <c r="K94" s="139">
        <f t="shared" si="16"/>
        <v>0.86749031007751942</v>
      </c>
      <c r="L94" s="139">
        <f t="shared" si="16"/>
        <v>0.99343248167450526</v>
      </c>
      <c r="M94" s="139">
        <f t="shared" si="16"/>
        <v>0.93467597929522384</v>
      </c>
      <c r="N94" s="139">
        <f t="shared" si="16"/>
        <v>0.87623370529570543</v>
      </c>
      <c r="O94" s="23" t="s">
        <v>0</v>
      </c>
      <c r="P94" s="23" t="s">
        <v>0</v>
      </c>
      <c r="Q94" s="23" t="s">
        <v>0</v>
      </c>
      <c r="R94" s="23" t="s">
        <v>0</v>
      </c>
      <c r="S94" s="23" t="s">
        <v>0</v>
      </c>
    </row>
    <row r="96" spans="1:21">
      <c r="A96" t="s">
        <v>374</v>
      </c>
      <c r="B96" s="139">
        <f>+B36/B24</f>
        <v>0.59283524066629756</v>
      </c>
      <c r="C96" s="139">
        <f t="shared" ref="C96:N96" si="17">+C36/C24</f>
        <v>0.77255670838331403</v>
      </c>
      <c r="D96" s="139">
        <f t="shared" si="17"/>
        <v>0.84110809413443777</v>
      </c>
      <c r="E96" s="139">
        <f t="shared" si="17"/>
        <v>0.65920340319513371</v>
      </c>
      <c r="F96" s="139">
        <f t="shared" si="17"/>
        <v>0.73454762479408831</v>
      </c>
      <c r="G96" s="139">
        <f t="shared" si="17"/>
        <v>0.55681072587046476</v>
      </c>
      <c r="H96" s="139">
        <f t="shared" si="17"/>
        <v>0.64250648716473713</v>
      </c>
      <c r="I96" s="139">
        <f t="shared" si="17"/>
        <v>0.53695498821524679</v>
      </c>
      <c r="J96" s="139">
        <f t="shared" si="17"/>
        <v>0.53695498821524679</v>
      </c>
      <c r="K96" s="139">
        <f t="shared" si="17"/>
        <v>0.67262340706020218</v>
      </c>
      <c r="L96" s="139">
        <f t="shared" si="17"/>
        <v>0.62822353451078128</v>
      </c>
      <c r="M96" s="139">
        <f t="shared" si="17"/>
        <v>0.65246058936051121</v>
      </c>
      <c r="N96" s="139">
        <f t="shared" si="17"/>
        <v>0.64063515725386733</v>
      </c>
      <c r="O96" s="23" t="s">
        <v>0</v>
      </c>
      <c r="P96" s="23" t="s">
        <v>0</v>
      </c>
      <c r="Q96" s="23" t="s">
        <v>0</v>
      </c>
      <c r="R96" s="23" t="s">
        <v>0</v>
      </c>
      <c r="S96" s="23" t="s">
        <v>0</v>
      </c>
    </row>
    <row r="98" spans="2:20">
      <c r="R98"/>
      <c r="S98"/>
    </row>
    <row r="99" spans="2:20">
      <c r="B99" s="430" t="s">
        <v>375</v>
      </c>
      <c r="C99" s="45"/>
      <c r="E99" s="430" t="s">
        <v>376</v>
      </c>
      <c r="F99" s="45"/>
      <c r="H99" s="430" t="s">
        <v>306</v>
      </c>
      <c r="I99" s="45"/>
      <c r="K99" s="430" t="s">
        <v>377</v>
      </c>
      <c r="L99" s="430"/>
      <c r="M99" s="430"/>
      <c r="N99" s="45"/>
      <c r="P99" s="430" t="s">
        <v>378</v>
      </c>
      <c r="Q99" s="45"/>
      <c r="S99" s="430" t="s">
        <v>379</v>
      </c>
      <c r="T99" s="45"/>
    </row>
    <row r="101" spans="2:20">
      <c r="B101" s="673" t="s">
        <v>65</v>
      </c>
      <c r="C101" s="672">
        <f>+'UNIBKRÉSULT   '!B13</f>
        <v>499766.54684999998</v>
      </c>
      <c r="E101" s="673" t="s">
        <v>69</v>
      </c>
      <c r="F101" s="674">
        <f>+'SCOTIARÉSULT         '!B15/'SCOTIARÉSULT         '!B13</f>
        <v>0.99343248167450526</v>
      </c>
      <c r="G101" s="23" t="s">
        <v>0</v>
      </c>
      <c r="H101" s="673" t="s">
        <v>65</v>
      </c>
      <c r="I101" s="134">
        <f>+'UNIBKRÉSULT   '!B21</f>
        <v>491798.89597000001</v>
      </c>
      <c r="K101" s="673" t="s">
        <v>67</v>
      </c>
      <c r="L101" s="674">
        <f>+'SGBELRÉSULT       '!B35/'SGBELRÉSULT       '!B23</f>
        <v>0.53695498821524679</v>
      </c>
      <c r="M101" s="133"/>
      <c r="P101" s="673" t="s">
        <v>64</v>
      </c>
      <c r="Q101" s="672">
        <f>+SOGEBKRÉSULT!B35</f>
        <v>554618.62898999988</v>
      </c>
      <c r="S101" s="673" t="s">
        <v>65</v>
      </c>
      <c r="T101" s="672">
        <f>+'UNIBKRÉSULT   '!B41</f>
        <v>341723.59331999999</v>
      </c>
    </row>
    <row r="102" spans="2:20">
      <c r="B102" s="673" t="s">
        <v>64</v>
      </c>
      <c r="C102" s="672">
        <f>+SOGEBKRÉSULT!B13</f>
        <v>448038.27413999999</v>
      </c>
      <c r="E102" s="673" t="s">
        <v>59</v>
      </c>
      <c r="F102" s="674">
        <f>+'bncrésult '!B15/'bncrésult '!B13</f>
        <v>0.93589610329109452</v>
      </c>
      <c r="G102" s="23" t="s">
        <v>0</v>
      </c>
      <c r="H102" s="673" t="s">
        <v>64</v>
      </c>
      <c r="I102" s="134">
        <f>+SOGEBKRÉSULT!B21</f>
        <v>377357.21606999997</v>
      </c>
      <c r="K102" s="673" t="s">
        <v>65</v>
      </c>
      <c r="L102" s="674">
        <f>+'UNIBKRÉSULT   '!B35/'UNIBKRÉSULT   '!B23</f>
        <v>0.55681072587046476</v>
      </c>
      <c r="M102" s="139"/>
      <c r="P102" s="673" t="s">
        <v>65</v>
      </c>
      <c r="Q102" s="672">
        <f>+'UNIBKRÉSULT   '!B35</f>
        <v>518227.96238000004</v>
      </c>
      <c r="S102" s="675" t="s">
        <v>59</v>
      </c>
      <c r="T102" s="672">
        <f>+'bncrésult '!B41</f>
        <v>180285.65386000002</v>
      </c>
    </row>
    <row r="103" spans="2:20">
      <c r="B103" s="673" t="s">
        <v>59</v>
      </c>
      <c r="C103" s="672">
        <f>+'bncrésult '!B13</f>
        <v>349705.38626999996</v>
      </c>
      <c r="E103" s="673" t="s">
        <v>66</v>
      </c>
      <c r="F103" s="674">
        <f>+'CAPITALBKRÉSULT      '!B15/'CAPITALBKRÉSULT      '!B13</f>
        <v>0.90414815969245954</v>
      </c>
      <c r="G103" s="23" t="s">
        <v>0</v>
      </c>
      <c r="H103" s="673" t="s">
        <v>66</v>
      </c>
      <c r="I103" s="134">
        <f>+'CAPITALBKRÉSULT      '!B21</f>
        <v>127790</v>
      </c>
      <c r="K103" s="673" t="s">
        <v>59</v>
      </c>
      <c r="L103" s="674">
        <f>+'bncrésult '!B35/'bncrésult '!B23</f>
        <v>0.59283524066629756</v>
      </c>
      <c r="M103" s="139"/>
      <c r="P103" s="673" t="s">
        <v>59</v>
      </c>
      <c r="Q103" s="672">
        <f>+'bncrésult '!B35</f>
        <v>262497.39581999998</v>
      </c>
      <c r="S103" s="673" t="s">
        <v>64</v>
      </c>
      <c r="T103" s="672">
        <f>+SOGEBKRÉSULT!B41</f>
        <v>82636.494100000127</v>
      </c>
    </row>
    <row r="104" spans="2:20">
      <c r="B104" s="673" t="s">
        <v>66</v>
      </c>
      <c r="C104" s="672">
        <f>+'CAPITALBKRÉSULT      '!B13</f>
        <v>192495</v>
      </c>
      <c r="E104" s="673" t="s">
        <v>65</v>
      </c>
      <c r="F104" s="674">
        <f>+'UNIBKRÉSULT   '!B15/'UNIBKRÉSULT   '!B13</f>
        <v>0.87822741505292101</v>
      </c>
      <c r="G104" s="23" t="s">
        <v>0</v>
      </c>
      <c r="H104" s="673" t="s">
        <v>59</v>
      </c>
      <c r="I104" s="134">
        <f>+'bncrésult '!B21</f>
        <v>115495.14137000001</v>
      </c>
      <c r="K104" s="673" t="s">
        <v>69</v>
      </c>
      <c r="L104" s="674">
        <f>+'SCOTIARÉSULT         '!B35/'SCOTIARÉSULT         '!B23</f>
        <v>0.62822353451078128</v>
      </c>
      <c r="M104" s="139"/>
      <c r="P104" s="673" t="s">
        <v>66</v>
      </c>
      <c r="Q104" s="672">
        <f>+'CAPITALBKRÉSULT      '!B35</f>
        <v>198970</v>
      </c>
      <c r="S104" s="673" t="s">
        <v>66</v>
      </c>
      <c r="T104" s="672">
        <f>+'CAPITALBKRÉSULT      '!B41</f>
        <v>73151</v>
      </c>
    </row>
    <row r="105" spans="2:20">
      <c r="B105" s="673" t="s">
        <v>67</v>
      </c>
      <c r="C105" s="672">
        <f>+'SGBELRÉSULT       '!B13</f>
        <v>79291.611380000002</v>
      </c>
      <c r="E105" s="673" t="s">
        <v>61</v>
      </c>
      <c r="F105" s="674">
        <f>+buhrésult!B15/buhrésult!B13</f>
        <v>0.87683982361659762</v>
      </c>
      <c r="G105" s="23" t="s">
        <v>0</v>
      </c>
      <c r="H105" s="673" t="s">
        <v>68</v>
      </c>
      <c r="I105" s="134">
        <f>+'CBNARÉSULT         '!B21</f>
        <v>52941</v>
      </c>
      <c r="K105" s="673" t="s">
        <v>66</v>
      </c>
      <c r="L105" s="674">
        <f>+'CAPITALBKRÉSULT      '!B35/'CAPITALBKRÉSULT      '!B23</f>
        <v>0.65920340319513371</v>
      </c>
      <c r="M105" s="139"/>
      <c r="P105" s="673" t="s">
        <v>61</v>
      </c>
      <c r="Q105" s="672">
        <f>+buhrésult!B35</f>
        <v>91115.163549999997</v>
      </c>
      <c r="S105" s="673" t="s">
        <v>69</v>
      </c>
      <c r="T105" s="672">
        <f>+'SCOTIARÉSULT         '!B41</f>
        <v>23135.7</v>
      </c>
    </row>
    <row r="106" spans="2:20">
      <c r="B106" s="673" t="s">
        <v>61</v>
      </c>
      <c r="C106" s="672">
        <f>+buhrésult!B13</f>
        <v>75168.574955431992</v>
      </c>
      <c r="E106" s="673" t="s">
        <v>60</v>
      </c>
      <c r="F106" s="674">
        <f>+'BPHRÉSULT  '!B15/'BPHRÉSULT  '!B13</f>
        <v>0.86782008472664585</v>
      </c>
      <c r="G106" s="23" t="s">
        <v>0</v>
      </c>
      <c r="H106" s="673" t="s">
        <v>61</v>
      </c>
      <c r="I106" s="134">
        <f>+buhrésult!B21</f>
        <v>42416.731480000002</v>
      </c>
      <c r="K106" s="673" t="s">
        <v>68</v>
      </c>
      <c r="L106" s="674">
        <f>+'CBNARÉSULT         '!B35/'CBNARÉSULT         '!B23</f>
        <v>0.67262340706020218</v>
      </c>
      <c r="M106" s="139"/>
      <c r="P106" s="673" t="s">
        <v>68</v>
      </c>
      <c r="Q106" s="672">
        <f>+'CBNARÉSULT         '!B35</f>
        <v>59696</v>
      </c>
      <c r="S106" s="673" t="s">
        <v>67</v>
      </c>
      <c r="T106" s="672">
        <f>+'SGBELRÉSULT       '!B41</f>
        <v>20053.294140000009</v>
      </c>
    </row>
    <row r="107" spans="2:20">
      <c r="B107" s="673" t="s">
        <v>69</v>
      </c>
      <c r="C107" s="672">
        <f>+'SCOTIARÉSULT         '!B13</f>
        <v>47202</v>
      </c>
      <c r="E107" s="673" t="s">
        <v>68</v>
      </c>
      <c r="F107" s="674">
        <f>+'CBNARÉSULT         '!B15/'CBNARÉSULT         '!B13</f>
        <v>0.86749031007751942</v>
      </c>
      <c r="G107" s="23" t="s">
        <v>0</v>
      </c>
      <c r="H107" s="673" t="s">
        <v>69</v>
      </c>
      <c r="I107" s="134">
        <f>+'SCOTIARÉSULT         '!B21</f>
        <v>26940</v>
      </c>
      <c r="K107" s="673" t="s">
        <v>64</v>
      </c>
      <c r="L107" s="674">
        <f>+SOGEBKRÉSULT!B35/SOGEBKRÉSULT!B23</f>
        <v>0.73454762479408831</v>
      </c>
      <c r="M107" s="139"/>
      <c r="P107" s="673" t="s">
        <v>69</v>
      </c>
      <c r="Q107" s="672">
        <f>+'SCOTIARÉSULT         '!B35</f>
        <v>46383</v>
      </c>
      <c r="S107" s="673" t="s">
        <v>68</v>
      </c>
      <c r="T107" s="672">
        <f>+'CBNARÉSULT         '!B41</f>
        <v>19669</v>
      </c>
    </row>
    <row r="108" spans="2:20">
      <c r="B108" s="667" t="s">
        <v>68</v>
      </c>
      <c r="C108" s="668">
        <f>+'CBNARÉSULT         '!B13</f>
        <v>41280</v>
      </c>
      <c r="E108" s="673" t="s">
        <v>64</v>
      </c>
      <c r="F108" s="674">
        <f>+SOGEBKRÉSULT!B15/SOGEBKRÉSULT!B13</f>
        <v>0.84298750492905827</v>
      </c>
      <c r="G108" s="23" t="s">
        <v>0</v>
      </c>
      <c r="H108" s="673" t="s">
        <v>60</v>
      </c>
      <c r="I108" s="134">
        <f>+'BPHRÉSULT  '!B21</f>
        <v>18608.140829999997</v>
      </c>
      <c r="K108" s="673" t="s">
        <v>60</v>
      </c>
      <c r="L108" s="674">
        <f>+'BPHRÉSULT  '!B35/'BPHRÉSULT  '!B23</f>
        <v>0.77255670838331403</v>
      </c>
      <c r="M108" s="139"/>
      <c r="P108" s="673" t="s">
        <v>67</v>
      </c>
      <c r="Q108" s="672">
        <f>+'SGBELRÉSULT       '!B35</f>
        <v>34985.961159999999</v>
      </c>
      <c r="S108" s="673" t="s">
        <v>61</v>
      </c>
      <c r="T108" s="672">
        <f>+buhrésult!B41</f>
        <v>13400.425875431989</v>
      </c>
    </row>
    <row r="109" spans="2:20">
      <c r="B109" s="667" t="s">
        <v>60</v>
      </c>
      <c r="C109" s="668">
        <f>+'BPHRÉSULT  '!B13</f>
        <v>29081.137039999998</v>
      </c>
      <c r="E109" s="673" t="s">
        <v>67</v>
      </c>
      <c r="F109" s="674">
        <f>+'SGBELRÉSULT       '!B15/'SGBELRÉSULT       '!B13</f>
        <v>0.65791998424638398</v>
      </c>
      <c r="G109" s="23" t="s">
        <v>0</v>
      </c>
      <c r="H109" s="673" t="s">
        <v>67</v>
      </c>
      <c r="I109" s="134">
        <f>+'SGBELRÉSULT       '!B21</f>
        <v>12988.6914</v>
      </c>
      <c r="K109" s="673" t="s">
        <v>61</v>
      </c>
      <c r="L109" s="674">
        <f>+buhrésult!B35/buhrésult!B23</f>
        <v>0.84110809413443777</v>
      </c>
      <c r="M109" s="139"/>
      <c r="P109" s="673" t="s">
        <v>60</v>
      </c>
      <c r="Q109" s="672">
        <f>+'BPHRÉSULT  '!B35</f>
        <v>33873.008179999997</v>
      </c>
      <c r="S109" s="673" t="s">
        <v>60</v>
      </c>
      <c r="T109" s="672">
        <f>+'BPHRÉSULT  '!B41</f>
        <v>-1528.0868200000077</v>
      </c>
    </row>
    <row r="110" spans="2:20">
      <c r="G110" s="23" t="s">
        <v>0</v>
      </c>
      <c r="M110" s="139"/>
    </row>
    <row r="111" spans="2:20">
      <c r="G111" s="23" t="s">
        <v>0</v>
      </c>
      <c r="H111" s="673" t="s">
        <v>0</v>
      </c>
      <c r="I111" s="134" t="s">
        <v>0</v>
      </c>
      <c r="M111" s="139"/>
      <c r="P111" s="673" t="s">
        <v>0</v>
      </c>
      <c r="Q111" s="134" t="s">
        <v>0</v>
      </c>
      <c r="S111" s="673" t="s">
        <v>0</v>
      </c>
      <c r="T111" s="134" t="s">
        <v>0</v>
      </c>
    </row>
    <row r="112" spans="2:20">
      <c r="B112" s="134" t="s">
        <v>0</v>
      </c>
      <c r="G112" s="23" t="s">
        <v>0</v>
      </c>
      <c r="M112" s="139"/>
    </row>
    <row r="113" spans="2:17">
      <c r="H113"/>
      <c r="I113"/>
      <c r="N113"/>
      <c r="P113"/>
      <c r="Q113"/>
    </row>
    <row r="114" spans="2:17">
      <c r="B114"/>
      <c r="D114" s="35"/>
      <c r="K114"/>
      <c r="L114"/>
      <c r="M114"/>
      <c r="N114"/>
    </row>
    <row r="115" spans="2:17">
      <c r="B115"/>
      <c r="K115"/>
      <c r="L115"/>
      <c r="M115"/>
      <c r="N115"/>
    </row>
    <row r="116" spans="2:17">
      <c r="B116"/>
      <c r="D116"/>
      <c r="E116"/>
      <c r="F116"/>
    </row>
    <row r="117" spans="2:17">
      <c r="B117"/>
      <c r="D117"/>
      <c r="E117"/>
      <c r="F117"/>
    </row>
    <row r="118" spans="2:17">
      <c r="D118"/>
      <c r="E118"/>
      <c r="F118"/>
    </row>
    <row r="119" spans="2:17">
      <c r="D119"/>
      <c r="E119"/>
      <c r="F119"/>
    </row>
    <row r="120" spans="2:17">
      <c r="D120"/>
      <c r="E120"/>
      <c r="F120"/>
    </row>
    <row r="121" spans="2:17">
      <c r="D121"/>
      <c r="E121"/>
      <c r="F121"/>
    </row>
    <row r="122" spans="2:17">
      <c r="D122"/>
      <c r="E122"/>
      <c r="F122"/>
    </row>
    <row r="123" spans="2:17">
      <c r="D123"/>
      <c r="E123"/>
      <c r="F123"/>
    </row>
    <row r="124" spans="2:17">
      <c r="D124"/>
      <c r="E124"/>
      <c r="F124"/>
    </row>
    <row r="125" spans="2:17">
      <c r="D125"/>
      <c r="E125"/>
      <c r="F125"/>
    </row>
    <row r="126" spans="2:17">
      <c r="D126"/>
      <c r="E126"/>
      <c r="F126"/>
    </row>
    <row r="127" spans="2:17">
      <c r="D127"/>
      <c r="E127"/>
      <c r="F127"/>
    </row>
    <row r="128" spans="2:17">
      <c r="D128"/>
      <c r="E128"/>
      <c r="F128"/>
    </row>
  </sheetData>
  <sortState ref="S101:T109">
    <sortCondition descending="1" ref="T101:T109"/>
  </sortState>
  <phoneticPr fontId="0" type="noConversion"/>
  <pageMargins left="0.2" right="0.45" top="0.22" bottom="0.34" header="0.23" footer="0.22"/>
  <pageSetup scale="39" orientation="landscape" r:id="rId1"/>
  <headerFooter alignWithMargins="0">
    <oddFooter>&amp;L &amp;R&amp;16&amp;P</oddFooter>
  </headerFooter>
</worksheet>
</file>

<file path=xl/worksheets/sheet64.xml><?xml version="1.0" encoding="utf-8"?>
<worksheet xmlns="http://schemas.openxmlformats.org/spreadsheetml/2006/main" xmlns:r="http://schemas.openxmlformats.org/officeDocument/2006/relationships">
  <sheetPr>
    <pageSetUpPr fitToPage="1"/>
  </sheetPr>
  <dimension ref="A1:X108"/>
  <sheetViews>
    <sheetView topLeftCell="A6" workbookViewId="0">
      <pane xSplit="1" ySplit="1" topLeftCell="B7" activePane="bottomRight" state="frozen"/>
      <selection activeCell="B6" sqref="B6"/>
      <selection pane="topRight" activeCell="B6" sqref="B6"/>
      <selection pane="bottomLeft" activeCell="B6" sqref="B6"/>
      <selection pane="bottomRight" activeCell="B6" sqref="B6"/>
    </sheetView>
  </sheetViews>
  <sheetFormatPr baseColWidth="10" defaultColWidth="9" defaultRowHeight="15.75"/>
  <cols>
    <col min="1" max="1" width="64.375" customWidth="1"/>
    <col min="2" max="5" width="13.625" style="33" customWidth="1"/>
    <col min="6" max="6" width="15.875" style="33" customWidth="1"/>
    <col min="7" max="7" width="15.375" style="33" customWidth="1"/>
    <col min="8" max="9" width="16.125" style="33" customWidth="1"/>
    <col min="10" max="10" width="16.5" style="33" customWidth="1"/>
    <col min="11" max="12" width="14.625" style="33" customWidth="1"/>
    <col min="13" max="13" width="15" style="33" customWidth="1"/>
    <col min="14" max="14" width="14.625" style="33" customWidth="1"/>
    <col min="15" max="15" width="15.75" style="33" customWidth="1"/>
    <col min="16" max="16" width="15.375" style="33" customWidth="1"/>
    <col min="17" max="18" width="16" style="33" customWidth="1"/>
    <col min="19" max="19" width="19.25" style="33" customWidth="1"/>
    <col min="20" max="20" width="16.75" style="33" customWidth="1"/>
    <col min="21" max="21" width="15" style="33" customWidth="1"/>
    <col min="22" max="22" width="13.75" style="33" customWidth="1"/>
    <col min="23" max="23" width="9" style="33"/>
  </cols>
  <sheetData>
    <row r="1" spans="1:24">
      <c r="A1" s="111" t="s">
        <v>192</v>
      </c>
      <c r="B1" s="45"/>
      <c r="C1" s="45"/>
      <c r="D1" s="45"/>
      <c r="E1" s="45"/>
      <c r="F1" s="45"/>
      <c r="G1" s="45"/>
      <c r="H1" s="45"/>
      <c r="I1" s="45"/>
      <c r="J1" s="45"/>
      <c r="K1" s="45"/>
      <c r="L1" s="45"/>
      <c r="M1" s="45"/>
      <c r="N1" s="45"/>
      <c r="O1" s="45"/>
      <c r="P1" s="45"/>
      <c r="Q1" s="45"/>
      <c r="R1" s="45"/>
      <c r="S1" s="45"/>
      <c r="T1" s="45"/>
      <c r="U1" s="45"/>
      <c r="V1" s="286"/>
    </row>
    <row r="2" spans="1:24">
      <c r="A2" s="111" t="s">
        <v>327</v>
      </c>
      <c r="B2" s="45"/>
      <c r="C2" s="45"/>
      <c r="D2" s="45"/>
      <c r="E2" s="45"/>
      <c r="F2" s="45"/>
      <c r="G2" s="45"/>
      <c r="H2" s="45"/>
      <c r="I2" s="45"/>
      <c r="J2" s="45"/>
      <c r="K2" s="45"/>
      <c r="L2" s="45"/>
      <c r="M2" s="45"/>
      <c r="N2" s="45"/>
      <c r="O2" s="45"/>
      <c r="P2" s="45"/>
      <c r="Q2" s="45"/>
      <c r="R2" s="45"/>
      <c r="S2" s="45"/>
      <c r="T2" s="45"/>
      <c r="U2" s="45"/>
      <c r="V2" s="286"/>
    </row>
    <row r="3" spans="1:24">
      <c r="A3" s="111" t="s">
        <v>380</v>
      </c>
      <c r="B3" s="45"/>
      <c r="C3" s="45"/>
      <c r="D3" s="45"/>
      <c r="E3" s="45"/>
      <c r="F3" s="45"/>
      <c r="G3" s="45"/>
      <c r="H3" s="45"/>
      <c r="I3" s="45"/>
      <c r="J3" s="45"/>
      <c r="K3" s="45"/>
      <c r="L3" s="45"/>
      <c r="M3" s="45"/>
      <c r="N3" s="45"/>
      <c r="O3" s="45"/>
      <c r="P3" s="45"/>
      <c r="Q3" s="45"/>
      <c r="R3" s="45"/>
      <c r="S3" s="45"/>
      <c r="T3" s="45"/>
      <c r="U3" s="45"/>
      <c r="V3" s="286"/>
    </row>
    <row r="4" spans="1:24">
      <c r="A4" s="111" t="s">
        <v>198</v>
      </c>
      <c r="B4" s="45"/>
      <c r="C4" s="45"/>
      <c r="D4" s="45"/>
      <c r="E4" s="45"/>
      <c r="F4" s="45"/>
      <c r="G4" s="45"/>
      <c r="H4" s="45"/>
      <c r="I4" s="45"/>
      <c r="J4" s="45"/>
      <c r="K4" s="45"/>
      <c r="L4" s="45"/>
      <c r="M4" s="45"/>
      <c r="N4" s="45"/>
      <c r="O4" s="45"/>
      <c r="P4" s="45"/>
      <c r="Q4" s="45"/>
      <c r="R4" s="45"/>
      <c r="S4" s="45"/>
      <c r="T4" s="45"/>
      <c r="U4" s="45"/>
    </row>
    <row r="5" spans="1:24">
      <c r="B5" s="73"/>
      <c r="C5" s="73"/>
      <c r="D5" s="73"/>
      <c r="E5" s="73"/>
      <c r="F5" s="73"/>
      <c r="G5" s="73"/>
      <c r="H5" s="73"/>
      <c r="I5" s="73"/>
      <c r="J5" s="73"/>
      <c r="K5" s="73"/>
      <c r="L5" s="73"/>
      <c r="M5" s="73"/>
      <c r="N5" s="73"/>
      <c r="O5" s="73"/>
      <c r="P5" s="73"/>
      <c r="Q5" s="73"/>
      <c r="R5" s="73"/>
      <c r="S5" s="73"/>
      <c r="T5" s="73"/>
      <c r="U5" s="73"/>
    </row>
    <row r="6" spans="1:24" ht="16.5" thickBot="1">
      <c r="A6" s="10"/>
      <c r="B6" s="206" t="s">
        <v>59</v>
      </c>
      <c r="C6" s="206" t="s">
        <v>60</v>
      </c>
      <c r="D6" s="293" t="s">
        <v>61</v>
      </c>
      <c r="E6" s="206" t="s">
        <v>66</v>
      </c>
      <c r="F6" s="293" t="s">
        <v>64</v>
      </c>
      <c r="G6" s="293" t="s">
        <v>328</v>
      </c>
      <c r="H6" s="312" t="s">
        <v>329</v>
      </c>
      <c r="I6" s="580" t="s">
        <v>67</v>
      </c>
      <c r="J6" s="312" t="s">
        <v>329</v>
      </c>
      <c r="K6" s="580" t="s">
        <v>68</v>
      </c>
      <c r="L6" s="676" t="s">
        <v>69</v>
      </c>
      <c r="M6" s="312" t="s">
        <v>329</v>
      </c>
      <c r="N6" s="312" t="s">
        <v>621</v>
      </c>
      <c r="U6"/>
      <c r="V6" s="34"/>
      <c r="W6" s="34"/>
      <c r="X6" s="17"/>
    </row>
    <row r="7" spans="1:24">
      <c r="A7" s="11" t="str">
        <f>+'somfindétfsfin '!A53</f>
        <v>CUMUL 2015 (octobre   - décembre 14)</v>
      </c>
      <c r="B7" s="282"/>
      <c r="C7" s="282"/>
      <c r="D7" s="281"/>
      <c r="E7" s="282"/>
      <c r="F7" s="281"/>
      <c r="G7" s="281"/>
      <c r="H7" s="283"/>
      <c r="I7" s="581"/>
      <c r="J7" s="284"/>
      <c r="K7" s="581"/>
      <c r="L7" s="677"/>
      <c r="M7" s="283"/>
      <c r="N7" s="283"/>
      <c r="U7"/>
      <c r="V7" s="34"/>
      <c r="W7" s="34"/>
      <c r="X7" s="17"/>
    </row>
    <row r="8" spans="1:24">
      <c r="A8" s="11"/>
      <c r="B8" s="282"/>
      <c r="C8" s="976" t="s">
        <v>0</v>
      </c>
      <c r="D8" s="281"/>
      <c r="E8" s="282"/>
      <c r="F8" s="281"/>
      <c r="G8" s="281"/>
      <c r="H8" s="283"/>
      <c r="I8" s="581"/>
      <c r="J8" s="284"/>
      <c r="K8" s="581"/>
      <c r="L8" s="677"/>
      <c r="M8" s="283"/>
      <c r="N8" s="283"/>
      <c r="U8"/>
      <c r="V8" s="34"/>
      <c r="W8" s="34"/>
      <c r="X8" s="17"/>
    </row>
    <row r="9" spans="1:24">
      <c r="A9" s="100" t="s">
        <v>300</v>
      </c>
      <c r="B9" s="73"/>
      <c r="C9" s="73"/>
      <c r="D9" s="73" t="s">
        <v>0</v>
      </c>
      <c r="E9" s="73"/>
      <c r="F9" s="73"/>
      <c r="G9" s="73"/>
      <c r="H9" s="184"/>
      <c r="I9" s="678"/>
      <c r="J9" s="184"/>
      <c r="K9" s="678"/>
      <c r="L9" s="678"/>
      <c r="M9" s="184"/>
      <c r="N9" s="185"/>
      <c r="U9"/>
    </row>
    <row r="10" spans="1:24">
      <c r="A10" s="100" t="s">
        <v>301</v>
      </c>
      <c r="B10" s="64" t="s">
        <v>0</v>
      </c>
      <c r="C10" s="64" t="s">
        <v>0</v>
      </c>
      <c r="D10" s="64" t="s">
        <v>0</v>
      </c>
      <c r="E10" s="64" t="s">
        <v>0</v>
      </c>
      <c r="F10" s="64" t="s">
        <v>0</v>
      </c>
      <c r="G10" s="64" t="s">
        <v>0</v>
      </c>
      <c r="H10" s="171" t="s">
        <v>0</v>
      </c>
      <c r="I10" s="679" t="s">
        <v>0</v>
      </c>
      <c r="J10" s="171" t="s">
        <v>0</v>
      </c>
      <c r="K10" s="679" t="s">
        <v>0</v>
      </c>
      <c r="L10" s="679" t="s">
        <v>0</v>
      </c>
      <c r="M10" s="171" t="s">
        <v>0</v>
      </c>
      <c r="N10" s="687" t="s">
        <v>0</v>
      </c>
      <c r="U10"/>
    </row>
    <row r="11" spans="1:24" ht="18.75">
      <c r="A11" s="100" t="s">
        <v>302</v>
      </c>
      <c r="B11" s="304">
        <f>+'bncrésult '!R50</f>
        <v>218076.92975999997</v>
      </c>
      <c r="C11" s="304">
        <f>+'BPHRÉSULT  '!R50</f>
        <v>25934.645479999999</v>
      </c>
      <c r="D11" s="304">
        <f>+buhrésult!R50</f>
        <v>72251.401149999991</v>
      </c>
      <c r="E11" s="304">
        <f>+'CAPITALBKRÉSULT      '!R50</f>
        <v>180436</v>
      </c>
      <c r="F11" s="304">
        <f>+SOGEBKRÉSULT!R50</f>
        <v>359857.13196999999</v>
      </c>
      <c r="G11" s="304">
        <f>+'UNIBKRÉSULT   '!R50</f>
        <v>471376.64861999999</v>
      </c>
      <c r="H11" s="305">
        <f>SUM(B11:G11)</f>
        <v>1327932.7569800001</v>
      </c>
      <c r="I11" s="680">
        <f>+'SGBELRÉSULT       '!R50</f>
        <v>69161.952090000006</v>
      </c>
      <c r="J11" s="305">
        <f>+I11</f>
        <v>69161.952090000006</v>
      </c>
      <c r="K11" s="680">
        <f>+'CBNARÉSULT         '!R50</f>
        <v>33688</v>
      </c>
      <c r="L11" s="680">
        <f>+'SCOTIARÉSULT         '!R50</f>
        <v>46737</v>
      </c>
      <c r="M11" s="305">
        <f>SUM(K11:L11)</f>
        <v>80425</v>
      </c>
      <c r="N11" s="305">
        <f>+H11+J11+M11</f>
        <v>1477519.7090700001</v>
      </c>
      <c r="U11"/>
    </row>
    <row r="12" spans="1:24" ht="18.75">
      <c r="A12" s="100" t="s">
        <v>322</v>
      </c>
      <c r="B12" s="304">
        <f>+'bncrésult '!R51</f>
        <v>45895.919750000001</v>
      </c>
      <c r="C12" s="304">
        <f>+'BPHRÉSULT  '!R51</f>
        <v>2340.82177</v>
      </c>
      <c r="D12" s="304">
        <f>+buhrésult!R51</f>
        <v>2800.0285699999999</v>
      </c>
      <c r="E12" s="304">
        <f>+'CAPITALBKRÉSULT      '!R51</f>
        <v>6974</v>
      </c>
      <c r="F12" s="304">
        <f>+SOGEBKRÉSULT!R51</f>
        <v>24916.868690000003</v>
      </c>
      <c r="G12" s="304">
        <f>+'UNIBKRÉSULT   '!R51</f>
        <v>1902</v>
      </c>
      <c r="H12" s="305">
        <f>SUM(B12:G12)</f>
        <v>84829.638780000008</v>
      </c>
      <c r="I12" s="680">
        <f>+'SGBELRÉSULT       '!R51</f>
        <v>0</v>
      </c>
      <c r="J12" s="305">
        <f>+I12</f>
        <v>0</v>
      </c>
      <c r="K12" s="680">
        <f>+'CBNARÉSULT         '!R51</f>
        <v>7508</v>
      </c>
      <c r="L12" s="680">
        <f>+'SCOTIARÉSULT         '!R51</f>
        <v>0</v>
      </c>
      <c r="M12" s="305">
        <f>SUM(K12:L12)</f>
        <v>7508</v>
      </c>
      <c r="N12" s="305">
        <f>+H12+J12+M12</f>
        <v>92337.638780000008</v>
      </c>
      <c r="U12"/>
    </row>
    <row r="13" spans="1:24" ht="18.75">
      <c r="A13" s="100" t="s">
        <v>304</v>
      </c>
      <c r="B13" s="306">
        <f>+'bncrésult '!R52</f>
        <v>85732.536760000003</v>
      </c>
      <c r="C13" s="306">
        <f>+'BPHRÉSULT  '!R52</f>
        <v>805.66978999999992</v>
      </c>
      <c r="D13" s="306">
        <f>+buhrésult!R52</f>
        <v>117.14523543200001</v>
      </c>
      <c r="E13" s="306">
        <f>+'CAPITALBKRÉSULT      '!R52</f>
        <v>5085</v>
      </c>
      <c r="F13" s="306">
        <f>+SOGEBKRÉSULT!R52</f>
        <v>63264.273480000003</v>
      </c>
      <c r="G13" s="730">
        <f>+'UNIBKRÉSULT   '!R52</f>
        <v>26487.898229999999</v>
      </c>
      <c r="H13" s="307">
        <f>SUM(B13:G13)</f>
        <v>181492.52349543199</v>
      </c>
      <c r="I13" s="1015">
        <f>+'SGBELRÉSULT       '!R52</f>
        <v>10129.65929</v>
      </c>
      <c r="J13" s="307">
        <f>+I13</f>
        <v>10129.65929</v>
      </c>
      <c r="K13" s="1016">
        <f>+'CBNARÉSULT         '!R52</f>
        <v>84</v>
      </c>
      <c r="L13" s="1017">
        <f>+'SCOTIARÉSULT         '!R52</f>
        <v>465</v>
      </c>
      <c r="M13" s="307">
        <f>SUM(K13:L13)</f>
        <v>549</v>
      </c>
      <c r="N13" s="307">
        <f>+H13+J13+M13</f>
        <v>192171.182785432</v>
      </c>
      <c r="U13"/>
    </row>
    <row r="14" spans="1:24" ht="18.75">
      <c r="A14" s="100"/>
      <c r="B14" s="304">
        <f t="shared" ref="B14:N14" si="0">SUM(B11:B13)</f>
        <v>349705.38626999996</v>
      </c>
      <c r="C14" s="304">
        <f t="shared" si="0"/>
        <v>29081.137039999998</v>
      </c>
      <c r="D14" s="304">
        <f t="shared" si="0"/>
        <v>75168.574955431992</v>
      </c>
      <c r="E14" s="304">
        <f t="shared" si="0"/>
        <v>192495</v>
      </c>
      <c r="F14" s="304">
        <f t="shared" si="0"/>
        <v>448038.27413999999</v>
      </c>
      <c r="G14" s="304">
        <f t="shared" si="0"/>
        <v>499766.54684999998</v>
      </c>
      <c r="H14" s="305">
        <f t="shared" si="0"/>
        <v>1594254.919255432</v>
      </c>
      <c r="I14" s="680">
        <f t="shared" si="0"/>
        <v>79291.611380000002</v>
      </c>
      <c r="J14" s="305">
        <f t="shared" si="0"/>
        <v>79291.611380000002</v>
      </c>
      <c r="K14" s="680">
        <f t="shared" si="0"/>
        <v>41280</v>
      </c>
      <c r="L14" s="680">
        <f t="shared" si="0"/>
        <v>47202</v>
      </c>
      <c r="M14" s="305">
        <f t="shared" si="0"/>
        <v>88482</v>
      </c>
      <c r="N14" s="305">
        <f t="shared" si="0"/>
        <v>1762028.5306354321</v>
      </c>
      <c r="U14"/>
    </row>
    <row r="15" spans="1:24" ht="18.75">
      <c r="A15" s="100" t="s">
        <v>305</v>
      </c>
      <c r="B15" s="306">
        <f>+'bncrésult '!R54</f>
        <v>22417.47796</v>
      </c>
      <c r="C15" s="306">
        <f>+'BPHRÉSULT  '!R54</f>
        <v>3843.9422300000001</v>
      </c>
      <c r="D15" s="306">
        <f>+buhrésult!R54</f>
        <v>9257.7749499999991</v>
      </c>
      <c r="E15" s="306">
        <f>+'CAPITALBKRÉSULT      '!R54</f>
        <v>18451</v>
      </c>
      <c r="F15" s="306">
        <f>+SOGEBKRÉSULT!R54</f>
        <v>70347.607310000007</v>
      </c>
      <c r="G15" s="730">
        <f>+'UNIBKRÉSULT   '!R54</f>
        <v>60857.864279999994</v>
      </c>
      <c r="H15" s="307">
        <f>SUM(B15:G15)</f>
        <v>185175.66673</v>
      </c>
      <c r="I15" s="1015">
        <f>+'SGBELRÉSULT       '!R54</f>
        <v>27124.075669999998</v>
      </c>
      <c r="J15" s="307">
        <f>+I15</f>
        <v>27124.075669999998</v>
      </c>
      <c r="K15" s="1016">
        <f>+'CBNARÉSULT         '!R54</f>
        <v>5470</v>
      </c>
      <c r="L15" s="1017">
        <f>+'SCOTIARÉSULT         '!R54</f>
        <v>310</v>
      </c>
      <c r="M15" s="307">
        <f>SUM(K15:L15)</f>
        <v>5780</v>
      </c>
      <c r="N15" s="307">
        <f>+H15+J15+M15</f>
        <v>218079.74239999999</v>
      </c>
      <c r="U15"/>
    </row>
    <row r="16" spans="1:24" ht="18.75">
      <c r="A16" s="100"/>
      <c r="B16" s="304">
        <f t="shared" ref="B16:N16" si="1">+B14-B15</f>
        <v>327287.90830999997</v>
      </c>
      <c r="C16" s="304">
        <f t="shared" si="1"/>
        <v>25237.194809999997</v>
      </c>
      <c r="D16" s="304">
        <f t="shared" si="1"/>
        <v>65910.800005431985</v>
      </c>
      <c r="E16" s="304">
        <f t="shared" si="1"/>
        <v>174044</v>
      </c>
      <c r="F16" s="304">
        <f t="shared" si="1"/>
        <v>377690.66683</v>
      </c>
      <c r="G16" s="304">
        <f t="shared" si="1"/>
        <v>438908.68257</v>
      </c>
      <c r="H16" s="305">
        <f t="shared" si="1"/>
        <v>1409079.252525432</v>
      </c>
      <c r="I16" s="680">
        <f t="shared" si="1"/>
        <v>52167.535710000004</v>
      </c>
      <c r="J16" s="305">
        <f t="shared" si="1"/>
        <v>52167.535710000004</v>
      </c>
      <c r="K16" s="680">
        <f t="shared" si="1"/>
        <v>35810</v>
      </c>
      <c r="L16" s="680">
        <f t="shared" si="1"/>
        <v>46892</v>
      </c>
      <c r="M16" s="305">
        <f t="shared" si="1"/>
        <v>82702</v>
      </c>
      <c r="N16" s="305">
        <f t="shared" si="1"/>
        <v>1543948.788235432</v>
      </c>
      <c r="U16"/>
    </row>
    <row r="17" spans="1:21" ht="9" customHeight="1">
      <c r="A17" s="100"/>
      <c r="B17" s="304" t="s">
        <v>0</v>
      </c>
      <c r="C17" s="304"/>
      <c r="D17" s="304"/>
      <c r="E17" s="304"/>
      <c r="F17" s="304"/>
      <c r="G17" s="304"/>
      <c r="H17" s="305"/>
      <c r="I17" s="680"/>
      <c r="J17" s="305" t="s">
        <v>0</v>
      </c>
      <c r="K17" s="680"/>
      <c r="L17" s="680"/>
      <c r="M17" s="305"/>
      <c r="N17" s="305"/>
      <c r="U17"/>
    </row>
    <row r="18" spans="1:21" ht="18.75">
      <c r="A18" s="100" t="s">
        <v>306</v>
      </c>
      <c r="B18" s="304" t="s">
        <v>0</v>
      </c>
      <c r="C18" s="304"/>
      <c r="D18" s="304"/>
      <c r="E18" s="304"/>
      <c r="F18" s="304"/>
      <c r="G18" s="304"/>
      <c r="H18" s="305"/>
      <c r="I18" s="680"/>
      <c r="J18" s="305" t="s">
        <v>0</v>
      </c>
      <c r="K18" s="680"/>
      <c r="L18" s="680"/>
      <c r="M18" s="305"/>
      <c r="N18" s="305"/>
      <c r="U18"/>
    </row>
    <row r="19" spans="1:21" ht="18.75">
      <c r="A19" s="100" t="s">
        <v>307</v>
      </c>
      <c r="B19" s="304">
        <f>+'bncrésult '!R58</f>
        <v>83769.663910000003</v>
      </c>
      <c r="C19" s="304">
        <f>+'BPHRÉSULT  '!R58</f>
        <v>7978.2310900000002</v>
      </c>
      <c r="D19" s="304">
        <f>+buhrésult!R58</f>
        <v>25371.921430000002</v>
      </c>
      <c r="E19" s="304">
        <f>+'CAPITALBKRÉSULT      '!R58</f>
        <v>100544</v>
      </c>
      <c r="F19" s="304">
        <f>+SOGEBKRÉSULT!R58</f>
        <v>228653.86205999998</v>
      </c>
      <c r="G19" s="304">
        <f>+'UNIBKRÉSULT   '!R58</f>
        <v>212621.04478</v>
      </c>
      <c r="H19" s="305">
        <f>SUM(B19:G19)</f>
        <v>658938.72326999996</v>
      </c>
      <c r="I19" s="680">
        <f>+'SGBELRÉSULT       '!R58</f>
        <v>7273.8762999999999</v>
      </c>
      <c r="J19" s="305">
        <f>+I19</f>
        <v>7273.8762999999999</v>
      </c>
      <c r="K19" s="680">
        <f>+'CBNARÉSULT         '!R58</f>
        <v>12705</v>
      </c>
      <c r="L19" s="680">
        <f>+'SCOTIARÉSULT         '!R58</f>
        <v>18096</v>
      </c>
      <c r="M19" s="305">
        <f>SUM(K19:L19)</f>
        <v>30801</v>
      </c>
      <c r="N19" s="305">
        <f>+H19+J19+M19</f>
        <v>697013.59956999996</v>
      </c>
      <c r="U19"/>
    </row>
    <row r="20" spans="1:21" ht="18.75">
      <c r="A20" s="100" t="s">
        <v>308</v>
      </c>
      <c r="B20" s="304">
        <f>+'bncrésult '!R59</f>
        <v>16188.303319999999</v>
      </c>
      <c r="C20" s="304">
        <f>+'BPHRÉSULT  '!R59</f>
        <v>9436.2305199999992</v>
      </c>
      <c r="D20" s="304">
        <f>+buhrésult!R59</f>
        <v>8947.7318400000004</v>
      </c>
      <c r="E20" s="304">
        <f>+'CAPITALBKRÉSULT      '!R59</f>
        <v>24105</v>
      </c>
      <c r="F20" s="304">
        <f>+SOGEBKRÉSULT!R59</f>
        <v>63506.640929999994</v>
      </c>
      <c r="G20" s="304">
        <f>+'UNIBKRÉSULT   '!R59</f>
        <v>73268.277910000004</v>
      </c>
      <c r="H20" s="305">
        <f>SUM(B20:G20)</f>
        <v>195452.18452000001</v>
      </c>
      <c r="I20" s="680">
        <f>+'SGBELRÉSULT       '!R59</f>
        <v>5225.3338100000001</v>
      </c>
      <c r="J20" s="305">
        <f>+I20</f>
        <v>5225.3338100000001</v>
      </c>
      <c r="K20" s="680">
        <f>+'CBNARÉSULT         '!R59</f>
        <v>40214</v>
      </c>
      <c r="L20" s="680">
        <f>+'SCOTIARÉSULT         '!R59</f>
        <v>8252</v>
      </c>
      <c r="M20" s="305">
        <f>SUM(K20:L20)</f>
        <v>48466</v>
      </c>
      <c r="N20" s="305">
        <f>+H20+J20+M20</f>
        <v>249143.51833000002</v>
      </c>
      <c r="U20"/>
    </row>
    <row r="21" spans="1:21" ht="18.75">
      <c r="A21" s="100" t="s">
        <v>274</v>
      </c>
      <c r="B21" s="306">
        <f>+'bncrésult '!R60</f>
        <v>15537.174139999999</v>
      </c>
      <c r="C21" s="306">
        <f>+'BPHRÉSULT  '!R60</f>
        <v>1193.67922</v>
      </c>
      <c r="D21" s="306">
        <f>+buhrésult!R60</f>
        <v>8097.0782099999997</v>
      </c>
      <c r="E21" s="306">
        <f>+'CAPITALBKRÉSULT      '!R60</f>
        <v>3141</v>
      </c>
      <c r="F21" s="306">
        <f>+SOGEBKRÉSULT!R60</f>
        <v>85196.713079999987</v>
      </c>
      <c r="G21" s="730">
        <f>+'UNIBKRÉSULT   '!R60</f>
        <v>205909.57328000001</v>
      </c>
      <c r="H21" s="307">
        <f>SUM(B21:G21)</f>
        <v>319075.21792999998</v>
      </c>
      <c r="I21" s="1015">
        <f>+'SGBELRÉSULT       '!R60</f>
        <v>489.48128999999994</v>
      </c>
      <c r="J21" s="307">
        <f>+I21</f>
        <v>489.48128999999994</v>
      </c>
      <c r="K21" s="1016">
        <f>+'CBNARÉSULT         '!R60</f>
        <v>22</v>
      </c>
      <c r="L21" s="1017">
        <f>+'SCOTIARÉSULT         '!R60</f>
        <v>592</v>
      </c>
      <c r="M21" s="307">
        <f>SUM(K21:L21)</f>
        <v>614</v>
      </c>
      <c r="N21" s="307">
        <f>+H21+J21+M21</f>
        <v>320178.69922000001</v>
      </c>
      <c r="U21"/>
    </row>
    <row r="22" spans="1:21" ht="18.75">
      <c r="A22" s="100"/>
      <c r="B22" s="304">
        <f t="shared" ref="B22:N22" si="2">SUM(B19:B21)</f>
        <v>115495.14137000001</v>
      </c>
      <c r="C22" s="304">
        <f t="shared" si="2"/>
        <v>18608.140829999997</v>
      </c>
      <c r="D22" s="304">
        <f t="shared" si="2"/>
        <v>42416.731480000002</v>
      </c>
      <c r="E22" s="304">
        <f t="shared" si="2"/>
        <v>127790</v>
      </c>
      <c r="F22" s="304">
        <f t="shared" si="2"/>
        <v>377357.21606999997</v>
      </c>
      <c r="G22" s="304">
        <f t="shared" si="2"/>
        <v>491798.89597000001</v>
      </c>
      <c r="H22" s="305">
        <f t="shared" si="2"/>
        <v>1173466.1257199999</v>
      </c>
      <c r="I22" s="680">
        <f t="shared" si="2"/>
        <v>12988.6914</v>
      </c>
      <c r="J22" s="305">
        <f t="shared" si="2"/>
        <v>12988.6914</v>
      </c>
      <c r="K22" s="680">
        <f t="shared" si="2"/>
        <v>52941</v>
      </c>
      <c r="L22" s="680">
        <f t="shared" si="2"/>
        <v>26940</v>
      </c>
      <c r="M22" s="305">
        <f t="shared" si="2"/>
        <v>79881</v>
      </c>
      <c r="N22" s="305">
        <f t="shared" si="2"/>
        <v>1266335.81712</v>
      </c>
      <c r="U22"/>
    </row>
    <row r="23" spans="1:21" ht="9" customHeight="1">
      <c r="A23" s="100"/>
      <c r="B23" s="306" t="s">
        <v>0</v>
      </c>
      <c r="C23" s="306"/>
      <c r="D23" s="306"/>
      <c r="E23" s="306"/>
      <c r="F23" s="306"/>
      <c r="G23" s="306"/>
      <c r="H23" s="307"/>
      <c r="I23" s="645"/>
      <c r="J23" s="307" t="s">
        <v>0</v>
      </c>
      <c r="K23" s="645"/>
      <c r="L23" s="645"/>
      <c r="M23" s="307"/>
      <c r="N23" s="307"/>
      <c r="U23"/>
    </row>
    <row r="24" spans="1:21" ht="18.75">
      <c r="A24" s="100" t="s">
        <v>309</v>
      </c>
      <c r="B24" s="304">
        <f t="shared" ref="B24:N24" si="3">+B16+B22</f>
        <v>442783.04968</v>
      </c>
      <c r="C24" s="304">
        <f t="shared" si="3"/>
        <v>43845.33563999999</v>
      </c>
      <c r="D24" s="304">
        <f t="shared" si="3"/>
        <v>108327.53148543199</v>
      </c>
      <c r="E24" s="304">
        <f t="shared" si="3"/>
        <v>301834</v>
      </c>
      <c r="F24" s="304">
        <f t="shared" si="3"/>
        <v>755047.88289999997</v>
      </c>
      <c r="G24" s="304">
        <f t="shared" si="3"/>
        <v>930707.57854000002</v>
      </c>
      <c r="H24" s="305">
        <f t="shared" si="3"/>
        <v>2582545.3782454319</v>
      </c>
      <c r="I24" s="680">
        <f t="shared" si="3"/>
        <v>65156.227110000007</v>
      </c>
      <c r="J24" s="305">
        <f t="shared" si="3"/>
        <v>65156.227110000007</v>
      </c>
      <c r="K24" s="680">
        <f t="shared" si="3"/>
        <v>88751</v>
      </c>
      <c r="L24" s="680">
        <f t="shared" si="3"/>
        <v>73832</v>
      </c>
      <c r="M24" s="305">
        <f t="shared" si="3"/>
        <v>162583</v>
      </c>
      <c r="N24" s="305">
        <f t="shared" si="3"/>
        <v>2810284.6053554323</v>
      </c>
      <c r="U24"/>
    </row>
    <row r="25" spans="1:21" ht="9.6" customHeight="1">
      <c r="A25" s="100"/>
      <c r="B25" s="304" t="s">
        <v>0</v>
      </c>
      <c r="C25" s="304"/>
      <c r="D25" s="304"/>
      <c r="E25" s="304"/>
      <c r="F25" s="304"/>
      <c r="G25" s="304"/>
      <c r="H25" s="305"/>
      <c r="I25" s="680"/>
      <c r="J25" s="305" t="s">
        <v>0</v>
      </c>
      <c r="K25" s="680"/>
      <c r="L25" s="680"/>
      <c r="M25" s="305"/>
      <c r="N25" s="305"/>
      <c r="U25"/>
    </row>
    <row r="26" spans="1:21" ht="18.75">
      <c r="A26" s="100" t="s">
        <v>310</v>
      </c>
      <c r="B26" s="304">
        <f>+'bncrésult '!R65</f>
        <v>0</v>
      </c>
      <c r="C26" s="304">
        <f>+'BPHRÉSULT  '!R65</f>
        <v>11500.414280000001</v>
      </c>
      <c r="D26" s="304">
        <f>+buhrésult!R65</f>
        <v>3811.9420599999999</v>
      </c>
      <c r="E26" s="304">
        <f>+'CAPITALBKRÉSULT      '!R65</f>
        <v>11425</v>
      </c>
      <c r="F26" s="304">
        <f>+SOGEBKRÉSULT!R65</f>
        <v>102622.75981</v>
      </c>
      <c r="G26" s="304">
        <f>+'UNIBKRÉSULT   '!R65</f>
        <v>18007.300999999999</v>
      </c>
      <c r="H26" s="305">
        <f>SUM(B26:G26)</f>
        <v>147367.41714999999</v>
      </c>
      <c r="I26" s="680">
        <f>+'SGBELRÉSULT       '!R65</f>
        <v>2700</v>
      </c>
      <c r="J26" s="305">
        <f>+I26</f>
        <v>2700</v>
      </c>
      <c r="K26" s="680">
        <f>+'CBNARÉSULT         '!R65</f>
        <v>101</v>
      </c>
      <c r="L26" s="680">
        <f>+'SCOTIARÉSULT         '!R65</f>
        <v>-5602</v>
      </c>
      <c r="M26" s="305">
        <f>SUM(K26:L26)</f>
        <v>-5501</v>
      </c>
      <c r="N26" s="305">
        <f>+H26+J26+M26</f>
        <v>144566.41714999999</v>
      </c>
      <c r="U26"/>
    </row>
    <row r="27" spans="1:21" ht="9.6" customHeight="1">
      <c r="A27" s="100"/>
      <c r="B27" s="304" t="s">
        <v>0</v>
      </c>
      <c r="C27" s="304"/>
      <c r="D27" s="304"/>
      <c r="E27" s="304"/>
      <c r="F27" s="304"/>
      <c r="G27" s="304"/>
      <c r="H27" s="305"/>
      <c r="I27" s="680"/>
      <c r="J27" s="305" t="s">
        <v>0</v>
      </c>
      <c r="K27" s="680"/>
      <c r="L27" s="680"/>
      <c r="M27" s="305"/>
      <c r="N27" s="305"/>
      <c r="U27"/>
    </row>
    <row r="28" spans="1:21" ht="18.75">
      <c r="A28" s="100" t="s">
        <v>311</v>
      </c>
      <c r="B28" s="306" t="s">
        <v>0</v>
      </c>
      <c r="C28" s="306"/>
      <c r="D28" s="306"/>
      <c r="E28" s="306"/>
      <c r="F28" s="306"/>
      <c r="G28" s="306"/>
      <c r="H28" s="307"/>
      <c r="I28" s="645"/>
      <c r="J28" s="307" t="s">
        <v>0</v>
      </c>
      <c r="K28" s="645"/>
      <c r="L28" s="645"/>
      <c r="M28" s="307"/>
      <c r="N28" s="307"/>
      <c r="U28"/>
    </row>
    <row r="29" spans="1:21" ht="18.75">
      <c r="A29" s="100" t="s">
        <v>312</v>
      </c>
      <c r="B29" s="304">
        <f t="shared" ref="B29:N29" si="4">+B24-B26</f>
        <v>442783.04968</v>
      </c>
      <c r="C29" s="304">
        <f t="shared" si="4"/>
        <v>32344.921359999989</v>
      </c>
      <c r="D29" s="304">
        <f t="shared" si="4"/>
        <v>104515.58942543199</v>
      </c>
      <c r="E29" s="304">
        <f t="shared" si="4"/>
        <v>290409</v>
      </c>
      <c r="F29" s="304">
        <f t="shared" si="4"/>
        <v>652425.12309000001</v>
      </c>
      <c r="G29" s="304">
        <f t="shared" si="4"/>
        <v>912700.27754000004</v>
      </c>
      <c r="H29" s="305">
        <f t="shared" si="4"/>
        <v>2435177.9610954318</v>
      </c>
      <c r="I29" s="680">
        <f t="shared" si="4"/>
        <v>62456.227110000007</v>
      </c>
      <c r="J29" s="305">
        <f t="shared" si="4"/>
        <v>62456.227110000007</v>
      </c>
      <c r="K29" s="680">
        <f t="shared" si="4"/>
        <v>88650</v>
      </c>
      <c r="L29" s="680">
        <f t="shared" si="4"/>
        <v>79434</v>
      </c>
      <c r="M29" s="305">
        <f t="shared" si="4"/>
        <v>168084</v>
      </c>
      <c r="N29" s="305">
        <f t="shared" si="4"/>
        <v>2665718.1882054321</v>
      </c>
      <c r="U29"/>
    </row>
    <row r="30" spans="1:21" ht="9" customHeight="1">
      <c r="A30" s="100"/>
      <c r="B30" s="304" t="s">
        <v>0</v>
      </c>
      <c r="C30" s="304"/>
      <c r="D30" s="304"/>
      <c r="E30" s="304"/>
      <c r="F30" s="304"/>
      <c r="G30" s="304"/>
      <c r="H30" s="305"/>
      <c r="I30" s="680"/>
      <c r="J30" s="305" t="s">
        <v>0</v>
      </c>
      <c r="K30" s="680"/>
      <c r="L30" s="680"/>
      <c r="M30" s="305"/>
      <c r="N30" s="305"/>
      <c r="U30"/>
    </row>
    <row r="31" spans="1:21" ht="18.75">
      <c r="A31" s="100" t="s">
        <v>313</v>
      </c>
      <c r="B31" s="304" t="s">
        <v>0</v>
      </c>
      <c r="C31" s="304"/>
      <c r="D31" s="304"/>
      <c r="E31" s="304"/>
      <c r="F31" s="304"/>
      <c r="G31" s="304"/>
      <c r="H31" s="305"/>
      <c r="I31" s="680"/>
      <c r="J31" s="305" t="s">
        <v>0</v>
      </c>
      <c r="K31" s="680"/>
      <c r="L31" s="680"/>
      <c r="M31" s="305"/>
      <c r="N31" s="305"/>
      <c r="U31"/>
    </row>
    <row r="32" spans="1:21" ht="18.75">
      <c r="A32" s="100" t="s">
        <v>314</v>
      </c>
      <c r="B32" s="304">
        <f>+'bncrésult '!R71</f>
        <v>145709.69511</v>
      </c>
      <c r="C32" s="304">
        <f>+'BPHRÉSULT  '!R71</f>
        <v>19056.09821</v>
      </c>
      <c r="D32" s="304">
        <f>+buhrésult!R71</f>
        <v>43286.630740000001</v>
      </c>
      <c r="E32" s="304">
        <f>+'CAPITALBKRÉSULT      '!R71</f>
        <v>72682</v>
      </c>
      <c r="F32" s="304">
        <f>+SOGEBKRÉSULT!R71</f>
        <v>232265.14973999996</v>
      </c>
      <c r="G32" s="304">
        <f>+'UNIBKRÉSULT   '!R71</f>
        <v>214622.43433000002</v>
      </c>
      <c r="H32" s="305">
        <f>SUM(B32:G32)</f>
        <v>727622.00812999997</v>
      </c>
      <c r="I32" s="680">
        <f>+'SGBELRÉSULT       '!R71</f>
        <v>13550.577140000001</v>
      </c>
      <c r="J32" s="305">
        <f>+I32</f>
        <v>13550.577140000001</v>
      </c>
      <c r="K32" s="680">
        <f>+'CBNARÉSULT         '!R71</f>
        <v>22095</v>
      </c>
      <c r="L32" s="680">
        <f>+'SCOTIARÉSULT         '!R71</f>
        <v>18420</v>
      </c>
      <c r="M32" s="305">
        <f>SUM(K32:L32)</f>
        <v>40515</v>
      </c>
      <c r="N32" s="305">
        <f>+H32+J32+M32</f>
        <v>781687.58526999992</v>
      </c>
      <c r="U32"/>
    </row>
    <row r="33" spans="1:22" ht="18.75">
      <c r="A33" s="100" t="s">
        <v>315</v>
      </c>
      <c r="B33" s="304">
        <f>+'bncrésult '!R72</f>
        <v>23555.664809999998</v>
      </c>
      <c r="C33" s="304">
        <f>+'BPHRÉSULT  '!R72</f>
        <v>1528.02721</v>
      </c>
      <c r="D33" s="304">
        <f>+buhrésult!R72</f>
        <v>20123.974719999998</v>
      </c>
      <c r="E33" s="304">
        <f>+'CAPITALBKRÉSULT      '!R72</f>
        <v>20991</v>
      </c>
      <c r="F33" s="304">
        <f>+SOGEBKRÉSULT!R72</f>
        <v>21766.02389</v>
      </c>
      <c r="G33" s="304">
        <f>+'UNIBKRÉSULT   '!R72</f>
        <v>23162.942890000002</v>
      </c>
      <c r="H33" s="305">
        <f>SUM(B33:G33)</f>
        <v>111127.63352</v>
      </c>
      <c r="I33" s="680">
        <f>+'SGBELRÉSULT       '!R72</f>
        <v>6274.8201499999996</v>
      </c>
      <c r="J33" s="305">
        <f>+I33</f>
        <v>6274.8201499999996</v>
      </c>
      <c r="K33" s="680">
        <f>+'CBNARÉSULT         '!R72</f>
        <v>2683</v>
      </c>
      <c r="L33" s="680">
        <f>+'SCOTIARÉSULT         '!R72</f>
        <v>5296</v>
      </c>
      <c r="M33" s="305">
        <f>SUM(K33:L33)</f>
        <v>7979</v>
      </c>
      <c r="N33" s="305">
        <f>+H33+J33+M33</f>
        <v>125381.45367</v>
      </c>
      <c r="U33"/>
    </row>
    <row r="34" spans="1:22" ht="18.75">
      <c r="A34" s="100" t="s">
        <v>316</v>
      </c>
      <c r="B34" s="304">
        <f>+'bncrésult '!R73</f>
        <v>18150.975989999999</v>
      </c>
      <c r="C34" s="304">
        <f>+'BPHRÉSULT  '!R73</f>
        <v>1765.36456</v>
      </c>
      <c r="D34" s="304">
        <f>+buhrésult!R73</f>
        <v>5796.6174000000001</v>
      </c>
      <c r="E34" s="304">
        <f>+'CAPITALBKRÉSULT      '!R73</f>
        <v>12415</v>
      </c>
      <c r="F34" s="304">
        <f>+SOGEBKRÉSULT!R73</f>
        <v>49783.789779999992</v>
      </c>
      <c r="G34" s="304">
        <f>+'UNIBKRÉSULT   '!R73</f>
        <v>47770.355230000001</v>
      </c>
      <c r="H34" s="305">
        <f>SUM(B34:G34)</f>
        <v>135682.10295999999</v>
      </c>
      <c r="I34" s="680">
        <f>+'SGBELRÉSULT       '!R73</f>
        <v>2505.9178499999998</v>
      </c>
      <c r="J34" s="305">
        <f>+I34</f>
        <v>2505.9178499999998</v>
      </c>
      <c r="K34" s="680">
        <f>+'CBNARÉSULT         '!R73</f>
        <v>5831</v>
      </c>
      <c r="L34" s="680">
        <f>+'SCOTIARÉSULT         '!R73</f>
        <v>1295</v>
      </c>
      <c r="M34" s="305">
        <f>SUM(K34:L34)</f>
        <v>7126</v>
      </c>
      <c r="N34" s="305">
        <f>+H34+J34+M34</f>
        <v>145314.02080999999</v>
      </c>
      <c r="U34"/>
    </row>
    <row r="35" spans="1:22" ht="18.75">
      <c r="A35" s="100" t="s">
        <v>317</v>
      </c>
      <c r="B35" s="306">
        <f>+'bncrésult '!R74</f>
        <v>75081.059910000011</v>
      </c>
      <c r="C35" s="306">
        <f>+'BPHRÉSULT  '!R74</f>
        <v>11523.518199999999</v>
      </c>
      <c r="D35" s="306">
        <f>+buhrésult!R74</f>
        <v>21907.940689999999</v>
      </c>
      <c r="E35" s="306">
        <f>+'CAPITALBKRÉSULT      '!R74</f>
        <v>92882</v>
      </c>
      <c r="F35" s="306">
        <f>+SOGEBKRÉSULT!R74</f>
        <v>250803.66557999997</v>
      </c>
      <c r="G35" s="730">
        <f>+'UNIBKRÉSULT   '!R74</f>
        <v>232672.22993</v>
      </c>
      <c r="H35" s="307">
        <f>SUM(B35:G35)</f>
        <v>684870.41431000002</v>
      </c>
      <c r="I35" s="1015">
        <f>+'SGBELRÉSULT       '!R74</f>
        <v>12654.64602</v>
      </c>
      <c r="J35" s="307">
        <f>+I35</f>
        <v>12654.64602</v>
      </c>
      <c r="K35" s="1016">
        <f>+'CBNARÉSULT         '!R74</f>
        <v>29087</v>
      </c>
      <c r="L35" s="1017">
        <f>+'SCOTIARÉSULT         '!R74</f>
        <v>21372</v>
      </c>
      <c r="M35" s="307">
        <f>SUM(K35:L35)</f>
        <v>50459</v>
      </c>
      <c r="N35" s="307">
        <f>+H35+J35+M35</f>
        <v>747984.06033000001</v>
      </c>
      <c r="U35"/>
    </row>
    <row r="36" spans="1:22" ht="18.75">
      <c r="A36" s="100"/>
      <c r="B36" s="304">
        <f t="shared" ref="B36:N36" si="5">SUM(B32:B35)</f>
        <v>262497.39581999998</v>
      </c>
      <c r="C36" s="304">
        <f t="shared" si="5"/>
        <v>33873.008179999997</v>
      </c>
      <c r="D36" s="304">
        <f t="shared" si="5"/>
        <v>91115.163549999997</v>
      </c>
      <c r="E36" s="304">
        <f t="shared" si="5"/>
        <v>198970</v>
      </c>
      <c r="F36" s="304">
        <f t="shared" si="5"/>
        <v>554618.62898999988</v>
      </c>
      <c r="G36" s="304">
        <f t="shared" si="5"/>
        <v>518227.96238000004</v>
      </c>
      <c r="H36" s="305">
        <f t="shared" si="5"/>
        <v>1659302.1589199998</v>
      </c>
      <c r="I36" s="680">
        <f t="shared" si="5"/>
        <v>34985.961159999999</v>
      </c>
      <c r="J36" s="305">
        <f t="shared" si="5"/>
        <v>34985.961159999999</v>
      </c>
      <c r="K36" s="680">
        <f t="shared" si="5"/>
        <v>59696</v>
      </c>
      <c r="L36" s="680">
        <f t="shared" si="5"/>
        <v>46383</v>
      </c>
      <c r="M36" s="305">
        <f t="shared" si="5"/>
        <v>106079</v>
      </c>
      <c r="N36" s="305">
        <f t="shared" si="5"/>
        <v>1800367.1200799998</v>
      </c>
      <c r="U36"/>
    </row>
    <row r="37" spans="1:22" ht="8.4499999999999993" customHeight="1">
      <c r="A37" s="100"/>
      <c r="B37" s="306"/>
      <c r="C37" s="306"/>
      <c r="D37" s="306"/>
      <c r="E37" s="306"/>
      <c r="F37" s="306"/>
      <c r="G37" s="306"/>
      <c r="H37" s="307"/>
      <c r="I37" s="645"/>
      <c r="J37" s="307"/>
      <c r="K37" s="645"/>
      <c r="L37" s="645"/>
      <c r="M37" s="307"/>
      <c r="N37" s="307"/>
      <c r="U37"/>
    </row>
    <row r="38" spans="1:22" ht="18.75">
      <c r="A38" s="100" t="s">
        <v>318</v>
      </c>
      <c r="B38" s="304">
        <f t="shared" ref="B38:N38" si="6">+B29-B36</f>
        <v>180285.65386000002</v>
      </c>
      <c r="C38" s="304">
        <f t="shared" si="6"/>
        <v>-1528.0868200000077</v>
      </c>
      <c r="D38" s="304">
        <f t="shared" si="6"/>
        <v>13400.425875431989</v>
      </c>
      <c r="E38" s="304">
        <f t="shared" si="6"/>
        <v>91439</v>
      </c>
      <c r="F38" s="304">
        <f t="shared" si="6"/>
        <v>97806.494100000127</v>
      </c>
      <c r="G38" s="304">
        <f t="shared" si="6"/>
        <v>394472.31516</v>
      </c>
      <c r="H38" s="305">
        <f t="shared" si="6"/>
        <v>775875.80217543198</v>
      </c>
      <c r="I38" s="680">
        <f t="shared" si="6"/>
        <v>27470.265950000008</v>
      </c>
      <c r="J38" s="305">
        <f t="shared" si="6"/>
        <v>27470.265950000008</v>
      </c>
      <c r="K38" s="680">
        <f t="shared" si="6"/>
        <v>28954</v>
      </c>
      <c r="L38" s="680">
        <f t="shared" si="6"/>
        <v>33051</v>
      </c>
      <c r="M38" s="305">
        <f t="shared" si="6"/>
        <v>62005</v>
      </c>
      <c r="N38" s="305">
        <f t="shared" si="6"/>
        <v>865351.06812543236</v>
      </c>
      <c r="U38"/>
    </row>
    <row r="39" spans="1:22" ht="10.15" customHeight="1">
      <c r="A39" s="100"/>
      <c r="B39" s="304" t="s">
        <v>0</v>
      </c>
      <c r="C39" s="304"/>
      <c r="D39" s="304"/>
      <c r="E39" s="304"/>
      <c r="F39" s="304"/>
      <c r="G39" s="304"/>
      <c r="H39" s="305"/>
      <c r="I39" s="680"/>
      <c r="J39" s="305"/>
      <c r="K39" s="680"/>
      <c r="L39" s="680"/>
      <c r="M39" s="305"/>
      <c r="N39" s="305"/>
      <c r="U39"/>
    </row>
    <row r="40" spans="1:22" ht="18.75">
      <c r="A40" s="100" t="s">
        <v>319</v>
      </c>
      <c r="B40" s="304">
        <f>+'bncrésult '!R79</f>
        <v>0</v>
      </c>
      <c r="C40" s="304">
        <f>+'BPHRÉSULT  '!R79</f>
        <v>0</v>
      </c>
      <c r="D40" s="304">
        <f>+buhrésult!R79</f>
        <v>0</v>
      </c>
      <c r="E40" s="304">
        <f>+'CAPITALBKRÉSULT      '!R79</f>
        <v>18288</v>
      </c>
      <c r="F40" s="304">
        <f>+SOGEBKRÉSULT!R79</f>
        <v>15170</v>
      </c>
      <c r="G40" s="304">
        <f>+'UNIBKRÉSULT   '!R79</f>
        <v>52748.721839999998</v>
      </c>
      <c r="H40" s="305">
        <f>SUM(B40:G40)</f>
        <v>86206.721839999998</v>
      </c>
      <c r="I40" s="680">
        <f>+'SGBELRÉSULT       '!R79</f>
        <v>7416.97181</v>
      </c>
      <c r="J40" s="305">
        <f>+I40</f>
        <v>7416.97181</v>
      </c>
      <c r="K40" s="680">
        <f>+'CBNARÉSULT         '!R79</f>
        <v>9285</v>
      </c>
      <c r="L40" s="680">
        <f>+'SCOTIARÉSULT         '!R79</f>
        <v>9915.2999999999993</v>
      </c>
      <c r="M40" s="305">
        <f>SUM(K40:L40)</f>
        <v>19200.3</v>
      </c>
      <c r="N40" s="305">
        <f>+H40+J40+M40</f>
        <v>112823.99365</v>
      </c>
      <c r="U40"/>
    </row>
    <row r="41" spans="1:22" ht="19.149999999999999" customHeight="1" thickBot="1">
      <c r="A41" s="100" t="s">
        <v>0</v>
      </c>
      <c r="B41" s="310" t="s">
        <v>0</v>
      </c>
      <c r="C41" s="310" t="s">
        <v>0</v>
      </c>
      <c r="D41" s="310" t="s">
        <v>0</v>
      </c>
      <c r="E41" s="310" t="s">
        <v>0</v>
      </c>
      <c r="F41" s="310" t="s">
        <v>0</v>
      </c>
      <c r="G41" s="310" t="s">
        <v>0</v>
      </c>
      <c r="H41" s="311" t="s">
        <v>0</v>
      </c>
      <c r="I41" s="681" t="s">
        <v>0</v>
      </c>
      <c r="J41" s="311" t="s">
        <v>0</v>
      </c>
      <c r="K41" s="681" t="s">
        <v>0</v>
      </c>
      <c r="L41" s="681" t="s">
        <v>0</v>
      </c>
      <c r="M41" s="311" t="s">
        <v>0</v>
      </c>
      <c r="N41" s="311" t="s">
        <v>0</v>
      </c>
      <c r="U41"/>
    </row>
    <row r="42" spans="1:22" ht="18.75">
      <c r="A42" s="164" t="s">
        <v>372</v>
      </c>
      <c r="B42" s="308">
        <f t="shared" ref="B42:N42" si="7">+B38-B40</f>
        <v>180285.65386000002</v>
      </c>
      <c r="C42" s="308">
        <f t="shared" si="7"/>
        <v>-1528.0868200000077</v>
      </c>
      <c r="D42" s="308">
        <f t="shared" si="7"/>
        <v>13400.425875431989</v>
      </c>
      <c r="E42" s="308">
        <f t="shared" si="7"/>
        <v>73151</v>
      </c>
      <c r="F42" s="308">
        <f t="shared" si="7"/>
        <v>82636.494100000127</v>
      </c>
      <c r="G42" s="308">
        <f t="shared" si="7"/>
        <v>341723.59331999999</v>
      </c>
      <c r="H42" s="305">
        <f t="shared" si="7"/>
        <v>689669.08033543197</v>
      </c>
      <c r="I42" s="682">
        <f t="shared" si="7"/>
        <v>20053.294140000009</v>
      </c>
      <c r="J42" s="683">
        <f t="shared" si="7"/>
        <v>20053.294140000009</v>
      </c>
      <c r="K42" s="682">
        <f t="shared" si="7"/>
        <v>19669</v>
      </c>
      <c r="L42" s="682">
        <f t="shared" si="7"/>
        <v>23135.7</v>
      </c>
      <c r="M42" s="305">
        <f t="shared" si="7"/>
        <v>42804.7</v>
      </c>
      <c r="N42" s="305">
        <f t="shared" si="7"/>
        <v>752527.0744754324</v>
      </c>
      <c r="U42"/>
    </row>
    <row r="43" spans="1:22">
      <c r="A43" s="10"/>
      <c r="B43" s="64"/>
      <c r="C43" s="64"/>
      <c r="D43" s="64"/>
      <c r="E43" s="64"/>
      <c r="F43" s="728"/>
      <c r="G43" s="728"/>
      <c r="H43" s="64"/>
      <c r="I43" s="85"/>
      <c r="J43" s="85"/>
      <c r="K43" s="679"/>
      <c r="L43" s="679"/>
      <c r="M43" s="85"/>
      <c r="N43" s="679"/>
      <c r="P43" s="679"/>
      <c r="Q43" s="85"/>
      <c r="U43" s="69"/>
    </row>
    <row r="44" spans="1:22" ht="7.9" customHeight="1" thickBot="1">
      <c r="A44" s="74"/>
      <c r="B44" s="75"/>
      <c r="C44" s="75"/>
      <c r="D44" s="78" t="s">
        <v>0</v>
      </c>
      <c r="E44" s="75"/>
      <c r="F44" s="75"/>
      <c r="G44" s="75"/>
      <c r="H44" s="75"/>
      <c r="I44" s="75"/>
      <c r="J44" s="75"/>
      <c r="K44" s="75"/>
      <c r="L44" s="75"/>
      <c r="M44" s="75"/>
      <c r="N44" s="75"/>
      <c r="O44" s="75"/>
      <c r="P44" s="75"/>
      <c r="Q44" s="75"/>
      <c r="R44" s="75"/>
      <c r="S44" s="75"/>
      <c r="T44" s="75"/>
      <c r="U44" s="75"/>
      <c r="V44" s="38"/>
    </row>
    <row r="45" spans="1:22" ht="7.9" customHeight="1">
      <c r="A45" s="76"/>
      <c r="B45" s="77"/>
      <c r="C45" s="77"/>
      <c r="D45" s="64" t="s">
        <v>0</v>
      </c>
      <c r="E45" s="77"/>
      <c r="F45" s="77"/>
      <c r="G45" s="77"/>
      <c r="H45" s="77"/>
      <c r="I45" s="77"/>
      <c r="J45" s="77"/>
      <c r="K45" s="77"/>
      <c r="L45" s="77"/>
      <c r="M45" s="77"/>
      <c r="N45" s="77"/>
      <c r="O45" s="77"/>
      <c r="P45" s="77"/>
      <c r="Q45" s="77"/>
      <c r="R45" s="73"/>
      <c r="S45" s="73"/>
      <c r="T45" s="73"/>
      <c r="U45" s="73"/>
    </row>
    <row r="46" spans="1:22" ht="7.9" customHeight="1">
      <c r="A46" s="76"/>
      <c r="B46" s="77"/>
      <c r="C46" s="77"/>
      <c r="D46" s="64"/>
      <c r="E46" s="77"/>
      <c r="F46" s="77"/>
      <c r="G46" s="77"/>
      <c r="H46" s="77"/>
      <c r="I46" s="77"/>
      <c r="J46" s="77"/>
      <c r="K46" s="77"/>
      <c r="L46" s="77"/>
      <c r="M46" s="77"/>
      <c r="N46" s="77"/>
      <c r="O46" s="77"/>
      <c r="P46" s="77"/>
      <c r="Q46" s="77"/>
      <c r="R46" s="73"/>
      <c r="S46" s="73"/>
      <c r="T46" s="73"/>
      <c r="U46" s="73"/>
    </row>
    <row r="47" spans="1:22" ht="16.5" thickBot="1">
      <c r="A47" s="10"/>
      <c r="B47" s="206" t="s">
        <v>59</v>
      </c>
      <c r="C47" s="206" t="s">
        <v>60</v>
      </c>
      <c r="D47" s="293" t="s">
        <v>61</v>
      </c>
      <c r="E47" s="206" t="s">
        <v>66</v>
      </c>
      <c r="F47" s="293" t="s">
        <v>64</v>
      </c>
      <c r="G47" s="293" t="s">
        <v>328</v>
      </c>
      <c r="H47" s="312" t="s">
        <v>329</v>
      </c>
      <c r="I47" s="293" t="s">
        <v>67</v>
      </c>
      <c r="J47" s="313" t="s">
        <v>329</v>
      </c>
      <c r="K47" s="293" t="s">
        <v>68</v>
      </c>
      <c r="L47" s="206" t="s">
        <v>69</v>
      </c>
      <c r="M47" s="312" t="s">
        <v>329</v>
      </c>
      <c r="N47" s="312" t="s">
        <v>621</v>
      </c>
      <c r="U47"/>
    </row>
    <row r="48" spans="1:22">
      <c r="A48" s="164" t="str">
        <f>+'somfindétfsfin '!A60</f>
        <v>CUMUL 2014 (octobre   - décembre 13)</v>
      </c>
      <c r="B48" s="282"/>
      <c r="C48" s="282"/>
      <c r="D48" s="281"/>
      <c r="E48" s="282"/>
      <c r="F48" s="281"/>
      <c r="G48" s="281"/>
      <c r="H48" s="283"/>
      <c r="I48" s="281"/>
      <c r="J48" s="284"/>
      <c r="K48" s="281"/>
      <c r="L48" s="282"/>
      <c r="M48" s="283"/>
      <c r="N48" s="283"/>
      <c r="U48"/>
    </row>
    <row r="49" spans="1:21">
      <c r="A49" s="86"/>
      <c r="B49" s="282"/>
      <c r="C49" s="282"/>
      <c r="D49" s="281"/>
      <c r="E49" s="282"/>
      <c r="F49" s="281"/>
      <c r="G49" s="281"/>
      <c r="H49" s="283"/>
      <c r="I49" s="281"/>
      <c r="J49" s="284"/>
      <c r="K49" s="281"/>
      <c r="L49" s="282"/>
      <c r="M49" s="283"/>
      <c r="N49" s="283"/>
      <c r="U49"/>
    </row>
    <row r="50" spans="1:21">
      <c r="A50" s="100" t="s">
        <v>300</v>
      </c>
      <c r="B50" s="73"/>
      <c r="C50" s="73"/>
      <c r="D50" s="73" t="s">
        <v>0</v>
      </c>
      <c r="E50" s="73"/>
      <c r="F50" s="73"/>
      <c r="G50" s="73"/>
      <c r="H50" s="184"/>
      <c r="I50" s="73"/>
      <c r="J50" s="184"/>
      <c r="K50" s="73"/>
      <c r="L50" s="73"/>
      <c r="M50" s="184"/>
      <c r="N50" s="185"/>
      <c r="U50"/>
    </row>
    <row r="51" spans="1:21">
      <c r="A51" s="100" t="s">
        <v>301</v>
      </c>
      <c r="B51" s="64" t="s">
        <v>0</v>
      </c>
      <c r="C51" s="64" t="s">
        <v>0</v>
      </c>
      <c r="D51" s="64" t="s">
        <v>0</v>
      </c>
      <c r="E51" s="64" t="s">
        <v>0</v>
      </c>
      <c r="F51" s="64" t="s">
        <v>0</v>
      </c>
      <c r="G51" s="64" t="s">
        <v>0</v>
      </c>
      <c r="H51" s="171" t="s">
        <v>0</v>
      </c>
      <c r="I51" s="64" t="s">
        <v>0</v>
      </c>
      <c r="J51" s="171" t="s">
        <v>0</v>
      </c>
      <c r="K51" s="64" t="s">
        <v>0</v>
      </c>
      <c r="L51" s="64" t="s">
        <v>0</v>
      </c>
      <c r="M51" s="171" t="s">
        <v>0</v>
      </c>
      <c r="N51" s="687" t="s">
        <v>0</v>
      </c>
      <c r="U51"/>
    </row>
    <row r="52" spans="1:21" ht="18.75">
      <c r="A52" s="100" t="s">
        <v>302</v>
      </c>
      <c r="B52" s="304">
        <f>+'bncrésult '!T50</f>
        <v>195519.02844999998</v>
      </c>
      <c r="C52" s="304">
        <f>+'BPHRÉSULT  '!T50</f>
        <v>34952.16605</v>
      </c>
      <c r="D52" s="304">
        <f>+buhrésult!T50</f>
        <v>59163.600659999996</v>
      </c>
      <c r="E52" s="304">
        <f>+'CAPITALBKRÉSULT      '!T50</f>
        <v>146250</v>
      </c>
      <c r="F52" s="304">
        <f>+SOGEBKRÉSULT!T50</f>
        <v>326951.32666999992</v>
      </c>
      <c r="G52" s="304">
        <f>+'UNIBKRÉSULT   '!T50</f>
        <v>344731.78703999997</v>
      </c>
      <c r="H52" s="305">
        <f>SUM(B52:G52)</f>
        <v>1107567.9088699999</v>
      </c>
      <c r="I52" s="304">
        <f>+'SGBELRÉSULT       '!T50</f>
        <v>50478.079109999991</v>
      </c>
      <c r="J52" s="305">
        <f>SUM(I52:I52)</f>
        <v>50478.079109999991</v>
      </c>
      <c r="K52" s="304">
        <f>+'CBNARÉSULT         '!T50</f>
        <v>34865</v>
      </c>
      <c r="L52" s="304">
        <f>+'SCOTIARÉSULT         '!T50</f>
        <v>46748</v>
      </c>
      <c r="M52" s="305">
        <f>SUM(K52:L52)</f>
        <v>81613</v>
      </c>
      <c r="N52" s="305">
        <f>+H52+J52+M52</f>
        <v>1239658.98798</v>
      </c>
      <c r="U52"/>
    </row>
    <row r="53" spans="1:21" ht="18.75">
      <c r="A53" s="100" t="s">
        <v>322</v>
      </c>
      <c r="B53" s="304">
        <f>+'bncrésult '!T51</f>
        <v>43480.816910000001</v>
      </c>
      <c r="C53" s="304">
        <f>+'BPHRÉSULT  '!T51</f>
        <v>0</v>
      </c>
      <c r="D53" s="304">
        <f>+buhrésult!T51</f>
        <v>80.75</v>
      </c>
      <c r="E53" s="304">
        <f>+'CAPITALBKRÉSULT      '!T51</f>
        <v>1920</v>
      </c>
      <c r="F53" s="304">
        <f>+SOGEBKRÉSULT!T51</f>
        <v>3670.6570300000003</v>
      </c>
      <c r="G53" s="304">
        <f>+'UNIBKRÉSULT   '!T51</f>
        <v>0</v>
      </c>
      <c r="H53" s="305">
        <f>SUM(B53:G53)</f>
        <v>49152.223940000003</v>
      </c>
      <c r="I53" s="304">
        <f>+'SGBELRÉSULT       '!T51</f>
        <v>0</v>
      </c>
      <c r="J53" s="305">
        <f>SUM(I53:I53)</f>
        <v>0</v>
      </c>
      <c r="K53" s="304">
        <f>+'CBNARÉSULT         '!T51</f>
        <v>117</v>
      </c>
      <c r="L53" s="304">
        <f>+'SCOTIARÉSULT         '!T51</f>
        <v>0</v>
      </c>
      <c r="M53" s="305">
        <f>SUM(K53:L53)</f>
        <v>117</v>
      </c>
      <c r="N53" s="305">
        <f>+H53+J53+M53</f>
        <v>49269.223940000003</v>
      </c>
      <c r="U53"/>
    </row>
    <row r="54" spans="1:21" ht="18.75">
      <c r="A54" s="100" t="s">
        <v>304</v>
      </c>
      <c r="B54" s="306">
        <f>+'bncrésult '!T52</f>
        <v>51188.886929999993</v>
      </c>
      <c r="C54" s="306">
        <f>+'BPHRÉSULT  '!T52</f>
        <v>100.10611999999999</v>
      </c>
      <c r="D54" s="306">
        <f>+buhrésult!T52</f>
        <v>81.962103400000004</v>
      </c>
      <c r="E54" s="306">
        <f>+'CAPITALBKRÉSULT      '!T52</f>
        <v>948</v>
      </c>
      <c r="F54" s="306">
        <f>+SOGEBKRÉSULT!T52</f>
        <v>54380.206310000001</v>
      </c>
      <c r="G54" s="306">
        <f>+'UNIBKRÉSULT   '!T52</f>
        <v>13325.921040000001</v>
      </c>
      <c r="H54" s="307">
        <f>SUM(B54:G54)</f>
        <v>120025.0825034</v>
      </c>
      <c r="I54" s="306">
        <f>+'SGBELRÉSULT       '!T52</f>
        <v>7570.9460999999992</v>
      </c>
      <c r="J54" s="307">
        <f>SUM(I54:I54)</f>
        <v>7570.9460999999992</v>
      </c>
      <c r="K54" s="306">
        <f>+'CBNARÉSULT         '!T52</f>
        <v>161</v>
      </c>
      <c r="L54" s="306">
        <f>+'SCOTIARÉSULT         '!T52</f>
        <v>758</v>
      </c>
      <c r="M54" s="307">
        <f>SUM(K54:L54)</f>
        <v>919</v>
      </c>
      <c r="N54" s="307">
        <f>+H54+J54+M54</f>
        <v>128515.0286034</v>
      </c>
      <c r="U54"/>
    </row>
    <row r="55" spans="1:21" ht="18.75">
      <c r="A55" s="100"/>
      <c r="B55" s="304">
        <f t="shared" ref="B55:N55" si="8">SUM(B52:B54)</f>
        <v>290188.73228999996</v>
      </c>
      <c r="C55" s="304">
        <f t="shared" si="8"/>
        <v>35052.272169999997</v>
      </c>
      <c r="D55" s="304">
        <f t="shared" si="8"/>
        <v>59326.312763399997</v>
      </c>
      <c r="E55" s="304">
        <f t="shared" si="8"/>
        <v>149118</v>
      </c>
      <c r="F55" s="304">
        <f t="shared" si="8"/>
        <v>385002.1900099999</v>
      </c>
      <c r="G55" s="304">
        <f t="shared" si="8"/>
        <v>358057.70807999995</v>
      </c>
      <c r="H55" s="305">
        <f t="shared" si="8"/>
        <v>1276745.2153133999</v>
      </c>
      <c r="I55" s="304">
        <f t="shared" si="8"/>
        <v>58049.025209999993</v>
      </c>
      <c r="J55" s="305">
        <f t="shared" si="8"/>
        <v>58049.025209999993</v>
      </c>
      <c r="K55" s="304">
        <f t="shared" si="8"/>
        <v>35143</v>
      </c>
      <c r="L55" s="304">
        <f t="shared" si="8"/>
        <v>47506</v>
      </c>
      <c r="M55" s="305">
        <f t="shared" si="8"/>
        <v>82649</v>
      </c>
      <c r="N55" s="305">
        <f t="shared" si="8"/>
        <v>1417443.2405234</v>
      </c>
      <c r="U55"/>
    </row>
    <row r="56" spans="1:21" ht="18.75">
      <c r="A56" s="100" t="s">
        <v>305</v>
      </c>
      <c r="B56" s="306">
        <f>+'bncrésult '!T54</f>
        <v>19727.20205</v>
      </c>
      <c r="C56" s="306">
        <f>+'BPHRÉSULT  '!T54</f>
        <v>2178.4949700000002</v>
      </c>
      <c r="D56" s="306">
        <f>+buhrésult!T54</f>
        <v>2494.3072000000002</v>
      </c>
      <c r="E56" s="306">
        <f>+'CAPITALBKRÉSULT      '!T54</f>
        <v>10644</v>
      </c>
      <c r="F56" s="306">
        <f>+SOGEBKRÉSULT!T54</f>
        <v>36334.196889999999</v>
      </c>
      <c r="G56" s="306">
        <f>+'UNIBKRÉSULT   '!T54</f>
        <v>29207.841850000001</v>
      </c>
      <c r="H56" s="307">
        <f>SUM(B56:G56)</f>
        <v>100586.04295999999</v>
      </c>
      <c r="I56" s="306">
        <f>+'SGBELRÉSULT       '!T54</f>
        <v>18492.111929999999</v>
      </c>
      <c r="J56" s="307">
        <f>SUM(I56:I56)</f>
        <v>18492.111929999999</v>
      </c>
      <c r="K56" s="306">
        <f>+'CBNARÉSULT         '!T54</f>
        <v>2930</v>
      </c>
      <c r="L56" s="306">
        <f>+'SCOTIARÉSULT         '!T54</f>
        <v>841</v>
      </c>
      <c r="M56" s="307">
        <f>SUM(K56:L56)</f>
        <v>3771</v>
      </c>
      <c r="N56" s="307">
        <f>+H56+J56+M56</f>
        <v>122849.15488999999</v>
      </c>
      <c r="U56"/>
    </row>
    <row r="57" spans="1:21" ht="18.75">
      <c r="A57" s="100"/>
      <c r="B57" s="304">
        <f t="shared" ref="B57:N57" si="9">+B55-B56</f>
        <v>270461.53023999993</v>
      </c>
      <c r="C57" s="304">
        <f t="shared" si="9"/>
        <v>32873.777199999997</v>
      </c>
      <c r="D57" s="304">
        <f t="shared" si="9"/>
        <v>56832.005563399995</v>
      </c>
      <c r="E57" s="304">
        <f t="shared" si="9"/>
        <v>138474</v>
      </c>
      <c r="F57" s="304">
        <f t="shared" si="9"/>
        <v>348667.99311999988</v>
      </c>
      <c r="G57" s="304">
        <f t="shared" si="9"/>
        <v>328849.86622999993</v>
      </c>
      <c r="H57" s="305">
        <f t="shared" si="9"/>
        <v>1176159.1723533999</v>
      </c>
      <c r="I57" s="304">
        <f t="shared" si="9"/>
        <v>39556.913279999993</v>
      </c>
      <c r="J57" s="305">
        <f t="shared" si="9"/>
        <v>39556.913279999993</v>
      </c>
      <c r="K57" s="304">
        <f t="shared" si="9"/>
        <v>32213</v>
      </c>
      <c r="L57" s="304">
        <f t="shared" si="9"/>
        <v>46665</v>
      </c>
      <c r="M57" s="305">
        <f t="shared" si="9"/>
        <v>78878</v>
      </c>
      <c r="N57" s="305">
        <f t="shared" si="9"/>
        <v>1294594.0856334001</v>
      </c>
      <c r="U57"/>
    </row>
    <row r="58" spans="1:21" ht="18.75">
      <c r="A58" s="100"/>
      <c r="B58" s="304" t="s">
        <v>0</v>
      </c>
      <c r="C58" s="304"/>
      <c r="D58" s="304"/>
      <c r="E58" s="304"/>
      <c r="F58" s="304"/>
      <c r="G58" s="304"/>
      <c r="H58" s="305"/>
      <c r="I58" s="304"/>
      <c r="J58" s="305"/>
      <c r="K58" s="304"/>
      <c r="L58" s="304"/>
      <c r="M58" s="305"/>
      <c r="N58" s="305"/>
      <c r="U58"/>
    </row>
    <row r="59" spans="1:21" ht="18.75">
      <c r="A59" s="100" t="s">
        <v>306</v>
      </c>
      <c r="B59" s="304" t="s">
        <v>0</v>
      </c>
      <c r="C59" s="304"/>
      <c r="D59" s="304"/>
      <c r="E59" s="304"/>
      <c r="F59" s="304"/>
      <c r="G59" s="304"/>
      <c r="H59" s="305"/>
      <c r="I59" s="304"/>
      <c r="J59" s="305" t="s">
        <v>0</v>
      </c>
      <c r="K59" s="304"/>
      <c r="L59" s="304"/>
      <c r="M59" s="305"/>
      <c r="N59" s="305"/>
      <c r="U59"/>
    </row>
    <row r="60" spans="1:21" ht="18.75">
      <c r="A60" s="100" t="s">
        <v>307</v>
      </c>
      <c r="B60" s="304">
        <f>+'bncrésult '!T58</f>
        <v>87336.13321</v>
      </c>
      <c r="C60" s="304">
        <f>+'BPHRÉSULT  '!T58</f>
        <v>5268.5281599999998</v>
      </c>
      <c r="D60" s="304">
        <f>+buhrésult!T58</f>
        <v>22713.380980000002</v>
      </c>
      <c r="E60" s="304">
        <f>+'CAPITALBKRÉSULT      '!T58</f>
        <v>87484</v>
      </c>
      <c r="F60" s="304">
        <f>+SOGEBKRÉSULT!T58</f>
        <v>194845.97616000002</v>
      </c>
      <c r="G60" s="304">
        <f>+'UNIBKRÉSULT   '!T58</f>
        <v>173822.44110999999</v>
      </c>
      <c r="H60" s="305">
        <f>SUM(B60:G60)</f>
        <v>571470.45961999998</v>
      </c>
      <c r="I60" s="304">
        <f>+'SGBELRÉSULT       '!T58</f>
        <v>5678.4520499999999</v>
      </c>
      <c r="J60" s="305">
        <f>SUM(I60:I60)</f>
        <v>5678.4520499999999</v>
      </c>
      <c r="K60" s="304">
        <f>+'CBNARÉSULT         '!T58</f>
        <v>16148</v>
      </c>
      <c r="L60" s="304">
        <f>+'SCOTIARÉSULT         '!T58</f>
        <v>18481</v>
      </c>
      <c r="M60" s="305">
        <f>SUM(K60:L60)</f>
        <v>34629</v>
      </c>
      <c r="N60" s="305">
        <f>+H60+J60+M60</f>
        <v>611777.91166999994</v>
      </c>
      <c r="U60"/>
    </row>
    <row r="61" spans="1:21" ht="18.75">
      <c r="A61" s="100" t="s">
        <v>308</v>
      </c>
      <c r="B61" s="304">
        <f>+'bncrésult '!T59</f>
        <v>22498.85338</v>
      </c>
      <c r="C61" s="304">
        <f>+'BPHRÉSULT  '!T59</f>
        <v>5165.5143200000002</v>
      </c>
      <c r="D61" s="304">
        <f>+buhrésult!T59</f>
        <v>4504.1293299999998</v>
      </c>
      <c r="E61" s="304">
        <f>+'CAPITALBKRÉSULT      '!T59</f>
        <v>18296</v>
      </c>
      <c r="F61" s="304">
        <f>+SOGEBKRÉSULT!T59</f>
        <v>38325.857050000006</v>
      </c>
      <c r="G61" s="304">
        <f>+'UNIBKRÉSULT   '!T59</f>
        <v>80667.806080000009</v>
      </c>
      <c r="H61" s="305">
        <f>SUM(B61:G61)</f>
        <v>169458.16016000003</v>
      </c>
      <c r="I61" s="304">
        <f>+'SGBELRÉSULT       '!T59</f>
        <v>2664.2930900000001</v>
      </c>
      <c r="J61" s="305">
        <f>SUM(I61:I61)</f>
        <v>2664.2930900000001</v>
      </c>
      <c r="K61" s="304">
        <f>+'CBNARÉSULT         '!T59</f>
        <v>31494</v>
      </c>
      <c r="L61" s="304">
        <f>+'SCOTIARÉSULT         '!T59</f>
        <v>9612</v>
      </c>
      <c r="M61" s="305">
        <f>SUM(K61:L61)</f>
        <v>41106</v>
      </c>
      <c r="N61" s="305">
        <f>+H61+J61+M61</f>
        <v>213228.45325000002</v>
      </c>
      <c r="U61"/>
    </row>
    <row r="62" spans="1:21" ht="18.75">
      <c r="A62" s="100" t="s">
        <v>274</v>
      </c>
      <c r="B62" s="306">
        <f>+'bncrésult '!T60</f>
        <v>13762.081559999999</v>
      </c>
      <c r="C62" s="306">
        <f>+'BPHRÉSULT  '!T60</f>
        <v>568.15408000000002</v>
      </c>
      <c r="D62" s="306">
        <f>+buhrésult!T60</f>
        <v>11595.589214144002</v>
      </c>
      <c r="E62" s="306">
        <f>+'CAPITALBKRÉSULT      '!T60</f>
        <v>1357</v>
      </c>
      <c r="F62" s="306">
        <f>+SOGEBKRÉSULT!T60</f>
        <v>80433.7549</v>
      </c>
      <c r="G62" s="306">
        <f>+'UNIBKRÉSULT   '!T60</f>
        <v>163547.70473999999</v>
      </c>
      <c r="H62" s="307">
        <f>SUM(B62:G62)</f>
        <v>271264.28449414397</v>
      </c>
      <c r="I62" s="306">
        <f>+'SGBELRÉSULT       '!T60</f>
        <v>1684.4329600000001</v>
      </c>
      <c r="J62" s="307">
        <f>SUM(I62:I62)</f>
        <v>1684.4329600000001</v>
      </c>
      <c r="K62" s="306">
        <f>+'CBNARÉSULT         '!T60</f>
        <v>34</v>
      </c>
      <c r="L62" s="306">
        <f>+'SCOTIARÉSULT         '!T60</f>
        <v>-5767</v>
      </c>
      <c r="M62" s="307">
        <f>SUM(K62:L62)</f>
        <v>-5733</v>
      </c>
      <c r="N62" s="307">
        <f>+H62+J62+M62</f>
        <v>267215.71745414397</v>
      </c>
      <c r="U62"/>
    </row>
    <row r="63" spans="1:21" ht="18.75">
      <c r="A63" s="100"/>
      <c r="B63" s="304">
        <f t="shared" ref="B63:N63" si="10">SUM(B60:B62)</f>
        <v>123597.06815000001</v>
      </c>
      <c r="C63" s="304">
        <f t="shared" si="10"/>
        <v>11002.19656</v>
      </c>
      <c r="D63" s="304">
        <f t="shared" si="10"/>
        <v>38813.099524144003</v>
      </c>
      <c r="E63" s="304">
        <f t="shared" si="10"/>
        <v>107137</v>
      </c>
      <c r="F63" s="304">
        <f t="shared" si="10"/>
        <v>313605.58811000001</v>
      </c>
      <c r="G63" s="304">
        <f t="shared" si="10"/>
        <v>418037.95192999998</v>
      </c>
      <c r="H63" s="305">
        <f t="shared" si="10"/>
        <v>1012192.904274144</v>
      </c>
      <c r="I63" s="304">
        <f t="shared" si="10"/>
        <v>10027.178099999999</v>
      </c>
      <c r="J63" s="305">
        <f t="shared" si="10"/>
        <v>10027.178099999999</v>
      </c>
      <c r="K63" s="304">
        <f t="shared" si="10"/>
        <v>47676</v>
      </c>
      <c r="L63" s="304">
        <f t="shared" si="10"/>
        <v>22326</v>
      </c>
      <c r="M63" s="305">
        <f t="shared" si="10"/>
        <v>70002</v>
      </c>
      <c r="N63" s="305">
        <f t="shared" si="10"/>
        <v>1092222.0823741439</v>
      </c>
      <c r="U63"/>
    </row>
    <row r="64" spans="1:21" ht="18.75">
      <c r="A64" s="100"/>
      <c r="B64" s="306" t="s">
        <v>0</v>
      </c>
      <c r="C64" s="306"/>
      <c r="D64" s="306"/>
      <c r="E64" s="306"/>
      <c r="F64" s="306"/>
      <c r="G64" s="306"/>
      <c r="H64" s="307"/>
      <c r="I64" s="306"/>
      <c r="J64" s="307"/>
      <c r="K64" s="306"/>
      <c r="L64" s="306"/>
      <c r="M64" s="307"/>
      <c r="N64" s="307"/>
      <c r="U64"/>
    </row>
    <row r="65" spans="1:21" ht="18.75">
      <c r="A65" s="100" t="s">
        <v>309</v>
      </c>
      <c r="B65" s="304">
        <f t="shared" ref="B65:N65" si="11">+B57+B63</f>
        <v>394058.59838999994</v>
      </c>
      <c r="C65" s="304">
        <f t="shared" si="11"/>
        <v>43875.973759999993</v>
      </c>
      <c r="D65" s="304">
        <f t="shared" si="11"/>
        <v>95645.105087543998</v>
      </c>
      <c r="E65" s="304">
        <f t="shared" si="11"/>
        <v>245611</v>
      </c>
      <c r="F65" s="304">
        <f t="shared" si="11"/>
        <v>662273.58122999989</v>
      </c>
      <c r="G65" s="304">
        <f t="shared" si="11"/>
        <v>746887.81815999991</v>
      </c>
      <c r="H65" s="305">
        <f t="shared" si="11"/>
        <v>2188352.0766275441</v>
      </c>
      <c r="I65" s="304">
        <f t="shared" si="11"/>
        <v>49584.091379999991</v>
      </c>
      <c r="J65" s="305">
        <f t="shared" si="11"/>
        <v>49584.091379999991</v>
      </c>
      <c r="K65" s="304">
        <f t="shared" si="11"/>
        <v>79889</v>
      </c>
      <c r="L65" s="304">
        <f t="shared" si="11"/>
        <v>68991</v>
      </c>
      <c r="M65" s="305">
        <f t="shared" si="11"/>
        <v>148880</v>
      </c>
      <c r="N65" s="305">
        <f t="shared" si="11"/>
        <v>2386816.1680075442</v>
      </c>
      <c r="U65"/>
    </row>
    <row r="66" spans="1:21" ht="18.75">
      <c r="A66" s="100"/>
      <c r="B66" s="304" t="s">
        <v>0</v>
      </c>
      <c r="C66" s="304"/>
      <c r="D66" s="304"/>
      <c r="E66" s="304"/>
      <c r="F66" s="304"/>
      <c r="G66" s="304"/>
      <c r="H66" s="305"/>
      <c r="I66" s="304"/>
      <c r="J66" s="305"/>
      <c r="K66" s="304"/>
      <c r="L66" s="304"/>
      <c r="M66" s="305"/>
      <c r="N66" s="305"/>
      <c r="U66"/>
    </row>
    <row r="67" spans="1:21" ht="18.75">
      <c r="A67" s="100" t="s">
        <v>310</v>
      </c>
      <c r="B67" s="304">
        <f>+'bncrésult '!T65</f>
        <v>25263.932779999999</v>
      </c>
      <c r="C67" s="304">
        <f>+'BPHRÉSULT  '!T65</f>
        <v>4124.0786399999997</v>
      </c>
      <c r="D67" s="304">
        <f>+buhrésult!T65</f>
        <v>7042.1881800000001</v>
      </c>
      <c r="E67" s="304">
        <f>+'CAPITALBKRÉSULT      '!T65</f>
        <v>4936</v>
      </c>
      <c r="F67" s="304">
        <f>+SOGEBKRÉSULT!T65</f>
        <v>77676.665720000005</v>
      </c>
      <c r="G67" s="304">
        <f>+'UNIBKRÉSULT   '!T65</f>
        <v>12028.613389999999</v>
      </c>
      <c r="H67" s="305">
        <f>SUM(B67:G67)</f>
        <v>131071.47871000001</v>
      </c>
      <c r="I67" s="304">
        <f>+'SGBELRÉSULT       '!T65</f>
        <v>2250</v>
      </c>
      <c r="J67" s="305">
        <f>SUM(I67:I67)</f>
        <v>2250</v>
      </c>
      <c r="K67" s="304">
        <f>+'CBNARÉSULT         '!T65</f>
        <v>-16831</v>
      </c>
      <c r="L67" s="304">
        <f>+'SCOTIARÉSULT         '!T65</f>
        <v>3699.7</v>
      </c>
      <c r="M67" s="305">
        <f>SUM(K67:L67)</f>
        <v>-13131.3</v>
      </c>
      <c r="N67" s="305">
        <f>+H67+J67+M67</f>
        <v>120190.17870999999</v>
      </c>
      <c r="U67"/>
    </row>
    <row r="68" spans="1:21" ht="18.75">
      <c r="A68" s="100"/>
      <c r="B68" s="309" t="s">
        <v>0</v>
      </c>
      <c r="C68" s="309"/>
      <c r="D68" s="309"/>
      <c r="E68" s="309"/>
      <c r="F68" s="309"/>
      <c r="G68" s="309"/>
      <c r="H68" s="305"/>
      <c r="I68" s="309"/>
      <c r="J68" s="305"/>
      <c r="K68" s="309"/>
      <c r="L68" s="309"/>
      <c r="M68" s="305"/>
      <c r="N68" s="305"/>
      <c r="U68"/>
    </row>
    <row r="69" spans="1:21" ht="18.75">
      <c r="A69" s="100" t="s">
        <v>311</v>
      </c>
      <c r="B69" s="306" t="s">
        <v>0</v>
      </c>
      <c r="C69" s="306"/>
      <c r="D69" s="306"/>
      <c r="E69" s="306"/>
      <c r="F69" s="306"/>
      <c r="G69" s="306"/>
      <c r="H69" s="307"/>
      <c r="I69" s="306"/>
      <c r="J69" s="307"/>
      <c r="K69" s="306"/>
      <c r="L69" s="306"/>
      <c r="M69" s="307"/>
      <c r="N69" s="307"/>
      <c r="U69"/>
    </row>
    <row r="70" spans="1:21" ht="18.75">
      <c r="A70" s="100" t="s">
        <v>312</v>
      </c>
      <c r="B70" s="304">
        <f t="shared" ref="B70:N70" si="12">+B65-B67</f>
        <v>368794.66560999997</v>
      </c>
      <c r="C70" s="304">
        <f t="shared" si="12"/>
        <v>39751.895119999994</v>
      </c>
      <c r="D70" s="304">
        <f t="shared" si="12"/>
        <v>88602.916907544</v>
      </c>
      <c r="E70" s="304">
        <f t="shared" si="12"/>
        <v>240675</v>
      </c>
      <c r="F70" s="304">
        <f t="shared" si="12"/>
        <v>584596.91550999985</v>
      </c>
      <c r="G70" s="304">
        <f t="shared" si="12"/>
        <v>734859.20476999995</v>
      </c>
      <c r="H70" s="305">
        <f t="shared" si="12"/>
        <v>2057280.5979175442</v>
      </c>
      <c r="I70" s="304">
        <f t="shared" si="12"/>
        <v>47334.091379999991</v>
      </c>
      <c r="J70" s="305">
        <f t="shared" si="12"/>
        <v>47334.091379999991</v>
      </c>
      <c r="K70" s="304">
        <f t="shared" si="12"/>
        <v>96720</v>
      </c>
      <c r="L70" s="304">
        <f t="shared" si="12"/>
        <v>65291.3</v>
      </c>
      <c r="M70" s="305">
        <f t="shared" si="12"/>
        <v>162011.29999999999</v>
      </c>
      <c r="N70" s="305">
        <f t="shared" si="12"/>
        <v>2266625.9892975441</v>
      </c>
      <c r="U70"/>
    </row>
    <row r="71" spans="1:21" ht="18.75">
      <c r="A71" s="100"/>
      <c r="B71" s="304" t="s">
        <v>0</v>
      </c>
      <c r="C71" s="304"/>
      <c r="D71" s="304"/>
      <c r="E71" s="304"/>
      <c r="F71" s="304"/>
      <c r="G71" s="304"/>
      <c r="H71" s="305"/>
      <c r="I71" s="304"/>
      <c r="J71" s="305"/>
      <c r="K71" s="304"/>
      <c r="L71" s="304"/>
      <c r="M71" s="305"/>
      <c r="N71" s="305"/>
      <c r="U71"/>
    </row>
    <row r="72" spans="1:21" ht="18.75">
      <c r="A72" s="100" t="s">
        <v>313</v>
      </c>
      <c r="B72" s="304" t="s">
        <v>0</v>
      </c>
      <c r="C72" s="304"/>
      <c r="D72" s="304"/>
      <c r="E72" s="304"/>
      <c r="F72" s="304"/>
      <c r="G72" s="304"/>
      <c r="H72" s="305"/>
      <c r="I72" s="304"/>
      <c r="J72" s="305"/>
      <c r="K72" s="304"/>
      <c r="L72" s="304"/>
      <c r="M72" s="305"/>
      <c r="N72" s="305"/>
      <c r="U72"/>
    </row>
    <row r="73" spans="1:21" ht="18.75">
      <c r="A73" s="100" t="s">
        <v>314</v>
      </c>
      <c r="B73" s="304">
        <f>+'bncrésult '!T71</f>
        <v>136252.80087000001</v>
      </c>
      <c r="C73" s="304">
        <f>+'BPHRÉSULT  '!T71</f>
        <v>19221.124169999999</v>
      </c>
      <c r="D73" s="304">
        <f>+buhrésult!T71</f>
        <v>38672.523289999997</v>
      </c>
      <c r="E73" s="304">
        <f>+'CAPITALBKRÉSULT      '!T71</f>
        <v>64399</v>
      </c>
      <c r="F73" s="304">
        <f>+SOGEBKRÉSULT!T71</f>
        <v>207720.91162999999</v>
      </c>
      <c r="G73" s="304">
        <f>+'UNIBKRÉSULT   '!T71</f>
        <v>183418.09772999998</v>
      </c>
      <c r="H73" s="305">
        <f>SUM(B73:G73)</f>
        <v>649684.45768999995</v>
      </c>
      <c r="I73" s="304">
        <f>+'SGBELRÉSULT       '!T71</f>
        <v>12709.22114</v>
      </c>
      <c r="J73" s="305">
        <f>SUM(I73:I73)</f>
        <v>12709.22114</v>
      </c>
      <c r="K73" s="304">
        <f>+'CBNARÉSULT         '!T71</f>
        <v>22623</v>
      </c>
      <c r="L73" s="304">
        <f>+'SCOTIARÉSULT         '!T71</f>
        <v>23848</v>
      </c>
      <c r="M73" s="305">
        <f>SUM(K73:L73)</f>
        <v>46471</v>
      </c>
      <c r="N73" s="305">
        <f>+H73+J73+M73</f>
        <v>708864.67882999999</v>
      </c>
      <c r="U73"/>
    </row>
    <row r="74" spans="1:21" ht="18.75">
      <c r="A74" s="100" t="s">
        <v>315</v>
      </c>
      <c r="B74" s="304">
        <f>+'bncrésult '!T72</f>
        <v>14419.970590000001</v>
      </c>
      <c r="C74" s="304">
        <f>+'BPHRÉSULT  '!T72</f>
        <v>1531.6084900000001</v>
      </c>
      <c r="D74" s="304">
        <f>+buhrésult!T72</f>
        <v>12829.7541</v>
      </c>
      <c r="E74" s="304">
        <f>+'CAPITALBKRÉSULT      '!T72</f>
        <v>19651</v>
      </c>
      <c r="F74" s="304">
        <f>+SOGEBKRÉSULT!T72</f>
        <v>21317.774729999997</v>
      </c>
      <c r="G74" s="304">
        <f>+'UNIBKRÉSULT   '!T72</f>
        <v>20593.86666</v>
      </c>
      <c r="H74" s="305">
        <f>SUM(B74:G74)</f>
        <v>90343.974569999991</v>
      </c>
      <c r="I74" s="304">
        <f>+'SGBELRÉSULT       '!T72</f>
        <v>5353.0717000000004</v>
      </c>
      <c r="J74" s="305">
        <f>SUM(I74:I74)</f>
        <v>5353.0717000000004</v>
      </c>
      <c r="K74" s="304">
        <f>+'CBNARÉSULT         '!T72</f>
        <v>13874</v>
      </c>
      <c r="L74" s="304">
        <f>+'SCOTIARÉSULT         '!T72</f>
        <v>5321</v>
      </c>
      <c r="M74" s="305">
        <f>SUM(K74:L74)</f>
        <v>19195</v>
      </c>
      <c r="N74" s="305">
        <f>+H74+J74+M74</f>
        <v>114892.04626999999</v>
      </c>
      <c r="U74"/>
    </row>
    <row r="75" spans="1:21" ht="18.75">
      <c r="A75" s="100" t="s">
        <v>316</v>
      </c>
      <c r="B75" s="304">
        <f>+'bncrésult '!T73</f>
        <v>16278.631590000001</v>
      </c>
      <c r="C75" s="304">
        <f>+'BPHRÉSULT  '!T73</f>
        <v>1564.3435399999998</v>
      </c>
      <c r="D75" s="304">
        <f>+buhrésult!T73</f>
        <v>6751.5914099999991</v>
      </c>
      <c r="E75" s="304">
        <f>+'CAPITALBKRÉSULT      '!T73</f>
        <v>10801</v>
      </c>
      <c r="F75" s="304">
        <f>+SOGEBKRÉSULT!T73</f>
        <v>31251.081989999999</v>
      </c>
      <c r="G75" s="304">
        <f>+'UNIBKRÉSULT   '!T73</f>
        <v>42312.188980000006</v>
      </c>
      <c r="H75" s="305">
        <f>SUM(B75:G75)</f>
        <v>108958.83751000001</v>
      </c>
      <c r="I75" s="304">
        <f>+'SGBELRÉSULT       '!T73</f>
        <v>2746.85682</v>
      </c>
      <c r="J75" s="305">
        <f>SUM(I75:I75)</f>
        <v>2746.85682</v>
      </c>
      <c r="K75" s="304">
        <f>+'CBNARÉSULT         '!T73</f>
        <v>5973</v>
      </c>
      <c r="L75" s="304">
        <f>+'SCOTIARÉSULT         '!T73</f>
        <v>1254</v>
      </c>
      <c r="M75" s="305">
        <f>SUM(K75:L75)</f>
        <v>7227</v>
      </c>
      <c r="N75" s="305">
        <f>+H75+J75+M75</f>
        <v>118932.69433000001</v>
      </c>
      <c r="U75"/>
    </row>
    <row r="76" spans="1:21" ht="18.75">
      <c r="A76" s="100" t="s">
        <v>317</v>
      </c>
      <c r="B76" s="306">
        <f>+'bncrésult '!T74</f>
        <v>81980.856159999996</v>
      </c>
      <c r="C76" s="306">
        <f>+'BPHRÉSULT  '!T74</f>
        <v>10632.44399</v>
      </c>
      <c r="D76" s="306">
        <f>+buhrésult!T74</f>
        <v>22547.11765</v>
      </c>
      <c r="E76" s="306">
        <f>+'CAPITALBKRÉSULT      '!T74</f>
        <v>74820</v>
      </c>
      <c r="F76" s="306">
        <f>+SOGEBKRÉSULT!T74</f>
        <v>200786.69228999998</v>
      </c>
      <c r="G76" s="306">
        <f>+'UNIBKRÉSULT   '!T74</f>
        <v>201511.10470000003</v>
      </c>
      <c r="H76" s="307">
        <f>SUM(B76:G76)</f>
        <v>592278.21479</v>
      </c>
      <c r="I76" s="306">
        <f>+'SGBELRÉSULT       '!T74</f>
        <v>10959.85124</v>
      </c>
      <c r="J76" s="307">
        <f>SUM(I76:I76)</f>
        <v>10959.85124</v>
      </c>
      <c r="K76" s="306">
        <f>+'CBNARÉSULT         '!T74</f>
        <v>23599</v>
      </c>
      <c r="L76" s="306">
        <f>+'SCOTIARÉSULT         '!T74</f>
        <v>28944</v>
      </c>
      <c r="M76" s="307">
        <f>SUM(K76:L76)</f>
        <v>52543</v>
      </c>
      <c r="N76" s="307">
        <f>+H76+J76+M76</f>
        <v>655781.06602999999</v>
      </c>
      <c r="U76"/>
    </row>
    <row r="77" spans="1:21" ht="18.75">
      <c r="A77" s="100"/>
      <c r="B77" s="304">
        <f t="shared" ref="B77:N77" si="13">SUM(B73:B76)</f>
        <v>248932.25921000002</v>
      </c>
      <c r="C77" s="304">
        <f t="shared" si="13"/>
        <v>32949.520189999996</v>
      </c>
      <c r="D77" s="304">
        <f t="shared" si="13"/>
        <v>80800.986449999997</v>
      </c>
      <c r="E77" s="304">
        <f t="shared" si="13"/>
        <v>169671</v>
      </c>
      <c r="F77" s="304">
        <f t="shared" si="13"/>
        <v>461076.46063999995</v>
      </c>
      <c r="G77" s="304">
        <f t="shared" si="13"/>
        <v>447835.25806999998</v>
      </c>
      <c r="H77" s="305">
        <f t="shared" si="13"/>
        <v>1441265.4845599998</v>
      </c>
      <c r="I77" s="304">
        <f t="shared" si="13"/>
        <v>31769.000900000003</v>
      </c>
      <c r="J77" s="305">
        <f t="shared" si="13"/>
        <v>31769.000900000003</v>
      </c>
      <c r="K77" s="304">
        <f t="shared" si="13"/>
        <v>66069</v>
      </c>
      <c r="L77" s="304">
        <f t="shared" si="13"/>
        <v>59367</v>
      </c>
      <c r="M77" s="305">
        <f t="shared" si="13"/>
        <v>125436</v>
      </c>
      <c r="N77" s="305">
        <f t="shared" si="13"/>
        <v>1598470.4854599999</v>
      </c>
      <c r="U77"/>
    </row>
    <row r="78" spans="1:21" ht="18.75">
      <c r="A78" s="100"/>
      <c r="B78" s="306"/>
      <c r="C78" s="306"/>
      <c r="D78" s="306"/>
      <c r="E78" s="306"/>
      <c r="F78" s="306"/>
      <c r="G78" s="306"/>
      <c r="H78" s="307"/>
      <c r="I78" s="306"/>
      <c r="J78" s="307"/>
      <c r="K78" s="306"/>
      <c r="L78" s="306"/>
      <c r="M78" s="307"/>
      <c r="N78" s="307"/>
      <c r="U78"/>
    </row>
    <row r="79" spans="1:21" ht="18.75">
      <c r="A79" s="100" t="s">
        <v>318</v>
      </c>
      <c r="B79" s="304">
        <f t="shared" ref="B79:N79" si="14">+B70-B77</f>
        <v>119862.40639999995</v>
      </c>
      <c r="C79" s="304">
        <f t="shared" si="14"/>
        <v>6802.3749299999981</v>
      </c>
      <c r="D79" s="304">
        <f t="shared" si="14"/>
        <v>7801.9304575440037</v>
      </c>
      <c r="E79" s="304">
        <f t="shared" si="14"/>
        <v>71004</v>
      </c>
      <c r="F79" s="304">
        <f t="shared" si="14"/>
        <v>123520.4548699999</v>
      </c>
      <c r="G79" s="304">
        <f t="shared" si="14"/>
        <v>287023.94669999997</v>
      </c>
      <c r="H79" s="305">
        <f t="shared" si="14"/>
        <v>616015.11335754441</v>
      </c>
      <c r="I79" s="304">
        <f t="shared" si="14"/>
        <v>15565.090479999988</v>
      </c>
      <c r="J79" s="305">
        <f t="shared" si="14"/>
        <v>15565.090479999988</v>
      </c>
      <c r="K79" s="304">
        <f t="shared" si="14"/>
        <v>30651</v>
      </c>
      <c r="L79" s="304">
        <f t="shared" si="14"/>
        <v>5924.3000000000029</v>
      </c>
      <c r="M79" s="305">
        <f t="shared" si="14"/>
        <v>36575.299999999988</v>
      </c>
      <c r="N79" s="305">
        <f t="shared" si="14"/>
        <v>668155.50383754424</v>
      </c>
      <c r="U79"/>
    </row>
    <row r="80" spans="1:21" ht="18.75">
      <c r="A80" s="100"/>
      <c r="B80" s="304" t="s">
        <v>0</v>
      </c>
      <c r="C80" s="304"/>
      <c r="D80" s="304"/>
      <c r="E80" s="304"/>
      <c r="F80" s="304"/>
      <c r="G80" s="304"/>
      <c r="H80" s="305"/>
      <c r="I80" s="304"/>
      <c r="J80" s="305"/>
      <c r="K80" s="304"/>
      <c r="L80" s="304"/>
      <c r="M80" s="305"/>
      <c r="N80" s="305"/>
      <c r="U80"/>
    </row>
    <row r="81" spans="1:21" ht="18.75">
      <c r="A81" s="100" t="s">
        <v>319</v>
      </c>
      <c r="B81" s="304">
        <f>+'bncrésult '!T79</f>
        <v>0</v>
      </c>
      <c r="C81" s="304">
        <f>+'BPHRÉSULT  '!T79</f>
        <v>0</v>
      </c>
      <c r="D81" s="304">
        <f>+buhrésult!T79</f>
        <v>0</v>
      </c>
      <c r="E81" s="304">
        <f>+'CAPITALBKRÉSULT      '!T79</f>
        <v>14201</v>
      </c>
      <c r="F81" s="304">
        <f>+SOGEBKRÉSULT!T79</f>
        <v>22855</v>
      </c>
      <c r="G81" s="304">
        <f>+'UNIBKRÉSULT   '!T79</f>
        <v>32654.618780000004</v>
      </c>
      <c r="H81" s="305">
        <f>SUM(B81:G81)</f>
        <v>69710.618780000004</v>
      </c>
      <c r="I81" s="304">
        <f>+'SGBELRÉSULT       '!T79</f>
        <v>4202.5744299999997</v>
      </c>
      <c r="J81" s="305">
        <f>SUM(I81:I81)</f>
        <v>4202.5744299999997</v>
      </c>
      <c r="K81" s="304">
        <f>+'CBNARÉSULT         '!T79</f>
        <v>8681</v>
      </c>
      <c r="L81" s="304">
        <f>+'SCOTIARÉSULT         '!T79</f>
        <v>1973.1899999999998</v>
      </c>
      <c r="M81" s="305">
        <f>SUM(K81:L81)</f>
        <v>10654.19</v>
      </c>
      <c r="N81" s="305">
        <f>+H81+J81+M81</f>
        <v>84567.38321</v>
      </c>
      <c r="U81"/>
    </row>
    <row r="82" spans="1:21" ht="19.5" thickBot="1">
      <c r="A82" s="100"/>
      <c r="B82" s="310" t="s">
        <v>0</v>
      </c>
      <c r="C82" s="310"/>
      <c r="D82" s="310"/>
      <c r="E82" s="310"/>
      <c r="F82" s="310"/>
      <c r="G82" s="310"/>
      <c r="H82" s="311"/>
      <c r="I82" s="310"/>
      <c r="J82" s="311"/>
      <c r="K82" s="310"/>
      <c r="L82" s="310"/>
      <c r="M82" s="311"/>
      <c r="N82" s="311"/>
      <c r="U82"/>
    </row>
    <row r="83" spans="1:21" ht="18.75">
      <c r="A83" s="164" t="s">
        <v>372</v>
      </c>
      <c r="B83" s="308">
        <f t="shared" ref="B83:N83" si="15">+B79-B81</f>
        <v>119862.40639999995</v>
      </c>
      <c r="C83" s="308">
        <f t="shared" si="15"/>
        <v>6802.3749299999981</v>
      </c>
      <c r="D83" s="308">
        <f t="shared" si="15"/>
        <v>7801.9304575440037</v>
      </c>
      <c r="E83" s="308">
        <f t="shared" si="15"/>
        <v>56803</v>
      </c>
      <c r="F83" s="308">
        <f t="shared" si="15"/>
        <v>100665.4548699999</v>
      </c>
      <c r="G83" s="308">
        <f t="shared" si="15"/>
        <v>254369.32791999995</v>
      </c>
      <c r="H83" s="305">
        <f t="shared" si="15"/>
        <v>546304.49457754439</v>
      </c>
      <c r="I83" s="308">
        <f t="shared" si="15"/>
        <v>11362.516049999987</v>
      </c>
      <c r="J83" s="305">
        <f t="shared" si="15"/>
        <v>11362.516049999987</v>
      </c>
      <c r="K83" s="308">
        <f t="shared" si="15"/>
        <v>21970</v>
      </c>
      <c r="L83" s="308">
        <f t="shared" si="15"/>
        <v>3951.1100000000033</v>
      </c>
      <c r="M83" s="305">
        <f t="shared" si="15"/>
        <v>25921.109999999986</v>
      </c>
      <c r="N83" s="305">
        <f t="shared" si="15"/>
        <v>583588.12062754424</v>
      </c>
      <c r="U83"/>
    </row>
    <row r="84" spans="1:21">
      <c r="A84" s="10"/>
      <c r="B84" s="64"/>
      <c r="C84" s="64"/>
      <c r="D84" s="64"/>
      <c r="E84" s="64"/>
      <c r="F84" s="64"/>
      <c r="G84" s="64"/>
      <c r="H84" s="64"/>
      <c r="I84" s="85"/>
      <c r="J84" s="64"/>
      <c r="K84" s="64"/>
      <c r="L84" s="85"/>
      <c r="M84" s="64"/>
      <c r="N84" s="64" t="s">
        <v>0</v>
      </c>
      <c r="T84" s="85"/>
      <c r="U84" s="69"/>
    </row>
    <row r="85" spans="1:21">
      <c r="D85" s="32"/>
      <c r="F85" s="32"/>
      <c r="G85" s="32"/>
      <c r="H85" s="32"/>
      <c r="O85" s="35"/>
      <c r="Q85" s="35" t="s">
        <v>0</v>
      </c>
    </row>
    <row r="86" spans="1:21">
      <c r="D86" s="35"/>
      <c r="F86" s="35"/>
      <c r="G86" s="35"/>
      <c r="H86" s="35"/>
      <c r="O86" s="35"/>
    </row>
    <row r="108" spans="4:4">
      <c r="D108" s="35"/>
    </row>
  </sheetData>
  <phoneticPr fontId="0" type="noConversion"/>
  <pageMargins left="0.2" right="0.2" top="0.32" bottom="0.27" header="0.31" footer="0.17"/>
  <pageSetup scale="39" orientation="landscape" r:id="rId1"/>
  <headerFooter alignWithMargins="0">
    <oddFooter>&amp;R&amp;16&amp;P</oddFooter>
  </headerFooter>
</worksheet>
</file>

<file path=xl/worksheets/sheet65.xml><?xml version="1.0" encoding="utf-8"?>
<worksheet xmlns="http://schemas.openxmlformats.org/spreadsheetml/2006/main" xmlns:r="http://schemas.openxmlformats.org/officeDocument/2006/relationships">
  <sheetPr>
    <pageSetUpPr fitToPage="1"/>
  </sheetPr>
  <dimension ref="A1:I34"/>
  <sheetViews>
    <sheetView workbookViewId="0">
      <selection activeCell="J3" sqref="J3"/>
    </sheetView>
  </sheetViews>
  <sheetFormatPr baseColWidth="10" defaultColWidth="9" defaultRowHeight="15.75"/>
  <cols>
    <col min="5" max="5" width="55.875" customWidth="1"/>
    <col min="6" max="6" width="13.125" customWidth="1"/>
  </cols>
  <sheetData>
    <row r="1" spans="1:9">
      <c r="A1" s="466"/>
      <c r="B1" s="466"/>
      <c r="C1" s="466"/>
      <c r="D1" s="466"/>
      <c r="E1" s="466"/>
      <c r="F1" s="466"/>
      <c r="G1" s="466"/>
      <c r="H1" s="466"/>
      <c r="I1" s="466"/>
    </row>
    <row r="2" spans="1:9">
      <c r="A2" s="466"/>
      <c r="B2" s="466"/>
      <c r="C2" s="466"/>
      <c r="D2" s="466"/>
      <c r="E2" s="466"/>
      <c r="F2" s="466"/>
      <c r="G2" s="466"/>
      <c r="H2" s="466"/>
      <c r="I2" s="466"/>
    </row>
    <row r="3" spans="1:9">
      <c r="A3" s="466"/>
      <c r="B3" s="466"/>
      <c r="C3" s="466"/>
      <c r="D3" s="466"/>
      <c r="E3" s="466"/>
      <c r="F3" s="466"/>
      <c r="G3" s="466"/>
      <c r="H3" s="466"/>
      <c r="I3" s="466"/>
    </row>
    <row r="4" spans="1:9">
      <c r="A4" s="466"/>
      <c r="B4" s="466"/>
      <c r="C4" s="466"/>
      <c r="D4" s="466"/>
      <c r="E4" s="466"/>
      <c r="F4" s="466"/>
      <c r="G4" s="466"/>
      <c r="H4" s="466"/>
      <c r="I4" s="466"/>
    </row>
    <row r="5" spans="1:9">
      <c r="A5" s="466"/>
      <c r="B5" s="466"/>
      <c r="C5" s="466"/>
      <c r="D5" s="466"/>
      <c r="E5" s="466"/>
      <c r="F5" s="466"/>
      <c r="G5" s="466"/>
      <c r="H5" s="466"/>
      <c r="I5" s="466"/>
    </row>
    <row r="6" spans="1:9">
      <c r="A6" s="466"/>
      <c r="B6" s="466"/>
      <c r="C6" s="466"/>
      <c r="D6" s="466"/>
      <c r="E6" s="466"/>
      <c r="F6" s="466"/>
      <c r="G6" s="466"/>
      <c r="H6" s="466"/>
      <c r="I6" s="466"/>
    </row>
    <row r="7" spans="1:9">
      <c r="A7" s="466"/>
      <c r="B7" s="466"/>
      <c r="C7" s="466"/>
      <c r="D7" s="466"/>
      <c r="E7" s="466"/>
      <c r="F7" s="466"/>
      <c r="G7" s="466"/>
      <c r="H7" s="466"/>
      <c r="I7" s="466"/>
    </row>
    <row r="8" spans="1:9">
      <c r="A8" s="466"/>
      <c r="B8" s="466"/>
      <c r="C8" s="466"/>
      <c r="D8" s="466"/>
      <c r="E8" s="466"/>
      <c r="F8" s="466"/>
      <c r="G8" s="466"/>
      <c r="H8" s="466"/>
      <c r="I8" s="466"/>
    </row>
    <row r="9" spans="1:9">
      <c r="A9" s="466"/>
      <c r="B9" s="466"/>
      <c r="C9" s="466"/>
      <c r="D9" s="466"/>
      <c r="E9" s="466"/>
      <c r="F9" s="466"/>
      <c r="G9" s="466"/>
      <c r="H9" s="466"/>
      <c r="I9" s="466"/>
    </row>
    <row r="10" spans="1:9">
      <c r="A10" s="466"/>
      <c r="B10" s="466"/>
      <c r="C10" s="466"/>
      <c r="D10" s="466"/>
      <c r="E10" s="466"/>
      <c r="F10" s="466"/>
      <c r="G10" s="466"/>
      <c r="H10" s="466"/>
      <c r="I10" s="466"/>
    </row>
    <row r="11" spans="1:9">
      <c r="A11" s="466"/>
      <c r="B11" s="466"/>
      <c r="C11" s="466"/>
      <c r="D11" s="466"/>
      <c r="E11" s="466"/>
      <c r="F11" s="466"/>
      <c r="G11" s="466"/>
      <c r="H11" s="466"/>
      <c r="I11" s="466"/>
    </row>
    <row r="12" spans="1:9">
      <c r="A12" s="466"/>
      <c r="B12" s="466"/>
      <c r="C12" s="466"/>
      <c r="D12" s="466"/>
      <c r="E12" s="466"/>
      <c r="F12" s="466"/>
      <c r="G12" s="466"/>
      <c r="H12" s="466"/>
      <c r="I12" s="466"/>
    </row>
    <row r="13" spans="1:9">
      <c r="A13" s="466"/>
      <c r="B13" s="466"/>
      <c r="C13" s="466"/>
      <c r="D13" s="466"/>
      <c r="E13" s="466"/>
      <c r="F13" s="466"/>
      <c r="G13" s="466"/>
      <c r="H13" s="466"/>
      <c r="I13" s="466"/>
    </row>
    <row r="14" spans="1:9">
      <c r="A14" s="466"/>
      <c r="B14" s="466"/>
      <c r="C14" s="466"/>
      <c r="D14" s="466"/>
      <c r="E14" s="466"/>
      <c r="F14" s="466"/>
      <c r="G14" s="466"/>
      <c r="H14" s="466"/>
      <c r="I14" s="466"/>
    </row>
    <row r="15" spans="1:9">
      <c r="A15" s="466"/>
      <c r="B15" s="466"/>
      <c r="C15" s="466"/>
      <c r="D15" s="466"/>
      <c r="E15" s="466"/>
      <c r="F15" s="466"/>
      <c r="G15" s="466"/>
      <c r="H15" s="466"/>
      <c r="I15" s="466"/>
    </row>
    <row r="16" spans="1:9" ht="25.5">
      <c r="A16" s="441" t="s">
        <v>381</v>
      </c>
      <c r="B16" s="435"/>
      <c r="C16" s="435"/>
      <c r="D16" s="435"/>
      <c r="E16" s="435"/>
      <c r="F16" s="435"/>
      <c r="G16" s="435"/>
      <c r="H16" s="435"/>
      <c r="I16" s="435"/>
    </row>
    <row r="17" spans="1:9">
      <c r="A17" s="466"/>
      <c r="B17" s="466"/>
      <c r="C17" s="466"/>
      <c r="D17" s="466"/>
      <c r="E17" s="466"/>
      <c r="F17" s="466"/>
      <c r="G17" s="466"/>
      <c r="H17" s="466"/>
      <c r="I17" s="466"/>
    </row>
    <row r="18" spans="1:9">
      <c r="A18" s="466"/>
      <c r="B18" s="466"/>
      <c r="C18" s="466"/>
      <c r="D18" s="466"/>
      <c r="E18" s="466"/>
      <c r="F18" s="466"/>
      <c r="G18" s="466"/>
      <c r="H18" s="466"/>
      <c r="I18" s="466"/>
    </row>
    <row r="19" spans="1:9" ht="20.25">
      <c r="A19" s="468" t="s">
        <v>32</v>
      </c>
      <c r="B19" s="467"/>
      <c r="C19" s="467"/>
      <c r="D19" s="467"/>
      <c r="E19" s="467"/>
      <c r="F19" s="467"/>
      <c r="G19" s="467"/>
      <c r="H19" s="467"/>
      <c r="I19" s="467"/>
    </row>
    <row r="20" spans="1:9">
      <c r="A20" s="466"/>
      <c r="B20" s="466"/>
      <c r="C20" s="466"/>
      <c r="D20" s="466"/>
      <c r="E20" s="466"/>
      <c r="F20" s="466"/>
      <c r="G20" s="466"/>
      <c r="H20" s="466"/>
      <c r="I20" s="466"/>
    </row>
    <row r="21" spans="1:9">
      <c r="A21" s="466"/>
      <c r="B21" s="466"/>
      <c r="C21" s="466"/>
      <c r="D21" s="466"/>
      <c r="E21" s="466"/>
      <c r="F21" s="466"/>
      <c r="G21" s="466"/>
      <c r="H21" s="466"/>
      <c r="I21" s="466"/>
    </row>
    <row r="22" spans="1:9">
      <c r="A22" s="466"/>
      <c r="B22" s="466"/>
      <c r="C22" s="466"/>
      <c r="D22" s="466"/>
      <c r="E22" s="466"/>
      <c r="F22" s="466"/>
      <c r="G22" s="466"/>
      <c r="H22" s="466"/>
      <c r="I22" s="466"/>
    </row>
    <row r="23" spans="1:9">
      <c r="A23" s="466"/>
      <c r="B23" s="467"/>
      <c r="C23" s="467"/>
      <c r="D23" s="467"/>
      <c r="E23" s="467"/>
      <c r="F23" s="467"/>
      <c r="G23" s="467"/>
      <c r="H23" s="467"/>
      <c r="I23" s="467"/>
    </row>
    <row r="24" spans="1:9">
      <c r="A24" s="466"/>
      <c r="B24" s="466"/>
      <c r="C24" s="466"/>
      <c r="D24" s="466"/>
      <c r="E24" s="466"/>
      <c r="F24" s="466"/>
      <c r="G24" s="466"/>
      <c r="H24" s="466"/>
      <c r="I24" s="466"/>
    </row>
    <row r="25" spans="1:9">
      <c r="A25" s="466"/>
      <c r="B25" s="466"/>
      <c r="C25" s="466"/>
      <c r="D25" s="466"/>
      <c r="E25" s="466"/>
      <c r="F25" s="466"/>
      <c r="G25" s="466"/>
      <c r="H25" s="466"/>
      <c r="I25" s="466"/>
    </row>
    <row r="26" spans="1:9">
      <c r="A26" s="466"/>
      <c r="B26" s="466"/>
      <c r="C26" s="466"/>
      <c r="D26" s="466"/>
      <c r="E26" s="466"/>
      <c r="F26" s="466"/>
      <c r="G26" s="466"/>
      <c r="H26" s="466"/>
      <c r="I26" s="466"/>
    </row>
    <row r="27" spans="1:9">
      <c r="A27" s="466"/>
      <c r="B27" s="466"/>
      <c r="C27" s="466"/>
      <c r="D27" s="466"/>
      <c r="E27" s="466"/>
      <c r="F27" s="466"/>
      <c r="G27" s="466"/>
      <c r="H27" s="466"/>
      <c r="I27" s="466"/>
    </row>
    <row r="28" spans="1:9">
      <c r="A28" s="466"/>
      <c r="B28" s="466"/>
      <c r="C28" s="466"/>
      <c r="D28" s="466"/>
      <c r="E28" s="466"/>
      <c r="F28" s="466"/>
      <c r="G28" s="466"/>
      <c r="H28" s="466"/>
      <c r="I28" s="466"/>
    </row>
    <row r="29" spans="1:9">
      <c r="A29" s="466"/>
      <c r="B29" s="466"/>
      <c r="C29" s="466"/>
      <c r="D29" s="466"/>
      <c r="E29" s="466"/>
      <c r="F29" s="466"/>
      <c r="G29" s="466"/>
      <c r="H29" s="466"/>
      <c r="I29" s="466"/>
    </row>
    <row r="30" spans="1:9">
      <c r="A30" s="466"/>
      <c r="B30" s="466"/>
      <c r="C30" s="466"/>
      <c r="D30" s="466"/>
      <c r="E30" s="466"/>
      <c r="F30" s="466"/>
      <c r="G30" s="466"/>
      <c r="H30" s="466"/>
      <c r="I30" s="466"/>
    </row>
    <row r="31" spans="1:9">
      <c r="A31" s="466"/>
      <c r="B31" s="466"/>
      <c r="C31" s="466"/>
      <c r="D31" s="466"/>
      <c r="E31" s="466"/>
      <c r="F31" s="466"/>
      <c r="G31" s="466"/>
      <c r="H31" s="466"/>
      <c r="I31" s="466"/>
    </row>
    <row r="32" spans="1:9">
      <c r="A32" s="466"/>
      <c r="B32" s="466"/>
      <c r="C32" s="466"/>
      <c r="D32" s="466"/>
      <c r="E32" s="466"/>
      <c r="F32" s="466"/>
      <c r="G32" s="466"/>
      <c r="H32" s="466"/>
      <c r="I32" s="466"/>
    </row>
    <row r="33" spans="1:9">
      <c r="A33" s="466"/>
      <c r="B33" s="466"/>
      <c r="C33" s="466"/>
      <c r="D33" s="466"/>
      <c r="E33" s="466"/>
      <c r="F33" s="466"/>
      <c r="G33" s="466"/>
      <c r="H33" s="466"/>
      <c r="I33" s="466"/>
    </row>
    <row r="34" spans="1:9">
      <c r="A34" s="466"/>
      <c r="B34" s="466"/>
      <c r="C34" s="466"/>
      <c r="D34" s="466"/>
      <c r="E34" s="466"/>
      <c r="F34" s="466"/>
      <c r="G34" s="466"/>
      <c r="H34" s="466"/>
      <c r="I34" s="466"/>
    </row>
  </sheetData>
  <sheetProtection password="C7D6" sheet="1" objects="1" scenarios="1"/>
  <phoneticPr fontId="0" type="noConversion"/>
  <pageMargins left="0.78740157499999996" right="0.38" top="0.86" bottom="0.85" header="0.5" footer="0.44"/>
  <pageSetup scale="89" orientation="landscape" r:id="rId1"/>
  <headerFooter alignWithMargins="0"/>
</worksheet>
</file>

<file path=xl/worksheets/sheet66.xml><?xml version="1.0" encoding="utf-8"?>
<worksheet xmlns="http://schemas.openxmlformats.org/spreadsheetml/2006/main" xmlns:r="http://schemas.openxmlformats.org/officeDocument/2006/relationships">
  <sheetPr>
    <pageSetUpPr fitToPage="1"/>
  </sheetPr>
  <dimension ref="A1:AA77"/>
  <sheetViews>
    <sheetView workbookViewId="0">
      <selection activeCell="N37" sqref="N37"/>
    </sheetView>
  </sheetViews>
  <sheetFormatPr baseColWidth="10" defaultColWidth="9" defaultRowHeight="15.75"/>
  <cols>
    <col min="1" max="1" width="33.875" customWidth="1"/>
    <col min="2" max="2" width="14.75" customWidth="1"/>
    <col min="3" max="3" width="12.625" customWidth="1"/>
    <col min="4" max="4" width="15.125" customWidth="1"/>
    <col min="5" max="5" width="15.25" customWidth="1"/>
    <col min="6" max="6" width="14.75" customWidth="1"/>
    <col min="7" max="7" width="8.875" customWidth="1"/>
    <col min="8" max="8" width="13.875" customWidth="1"/>
    <col min="9" max="9" width="13.375" customWidth="1"/>
    <col min="10" max="10" width="15.25" customWidth="1"/>
    <col min="11" max="11" width="13.375" customWidth="1"/>
    <col min="12" max="12" width="13.75" customWidth="1"/>
    <col min="14" max="14" width="14.25" customWidth="1"/>
    <col min="15" max="15" width="14.125" customWidth="1"/>
    <col min="16" max="16" width="16" customWidth="1"/>
    <col min="17" max="17" width="10.375" customWidth="1"/>
    <col min="18" max="18" width="13.625" customWidth="1"/>
    <col min="19" max="19" width="9.875" customWidth="1"/>
    <col min="20" max="20" width="13.375" customWidth="1"/>
  </cols>
  <sheetData>
    <row r="1" spans="1:27">
      <c r="A1" s="111" t="s">
        <v>394</v>
      </c>
      <c r="B1" s="39"/>
      <c r="C1" s="39"/>
      <c r="D1" s="39"/>
      <c r="E1" s="39"/>
      <c r="F1" s="39"/>
      <c r="G1" s="39"/>
      <c r="H1" s="39"/>
      <c r="I1" s="39"/>
      <c r="J1" s="39"/>
      <c r="K1" s="39"/>
      <c r="L1" s="39"/>
      <c r="M1" s="39"/>
      <c r="N1" s="39"/>
      <c r="O1" s="39"/>
      <c r="P1" s="39"/>
      <c r="Q1" s="39"/>
      <c r="R1" s="39"/>
      <c r="S1" s="39"/>
      <c r="T1" s="39"/>
    </row>
    <row r="2" spans="1:27">
      <c r="A2" s="111" t="s">
        <v>0</v>
      </c>
      <c r="B2" s="39"/>
      <c r="C2" s="39"/>
      <c r="D2" s="39"/>
      <c r="E2" s="39"/>
      <c r="F2" s="39"/>
      <c r="G2" s="39"/>
      <c r="H2" s="39"/>
      <c r="I2" s="39"/>
      <c r="J2" s="39"/>
      <c r="K2" s="39"/>
      <c r="L2" s="39"/>
      <c r="M2" s="39"/>
      <c r="N2" s="39"/>
      <c r="O2" s="39"/>
      <c r="P2" s="39"/>
      <c r="Q2" s="39"/>
      <c r="R2" s="39"/>
      <c r="S2" s="39"/>
      <c r="T2" s="39"/>
    </row>
    <row r="4" spans="1:27" ht="16.5" thickBot="1">
      <c r="I4" s="3" t="str">
        <f>+sofiinfisys!I5</f>
        <v>Var. déc. 14</v>
      </c>
      <c r="J4" s="156" t="s">
        <v>195</v>
      </c>
      <c r="K4" s="157"/>
      <c r="L4" s="157"/>
      <c r="M4" s="157"/>
      <c r="N4" s="157"/>
      <c r="O4" s="157"/>
      <c r="P4" s="157"/>
    </row>
    <row r="5" spans="1:27" ht="16.5" thickBot="1">
      <c r="B5" s="1" t="str">
        <f>+sofiinfisys!B6</f>
        <v>Déc. 14</v>
      </c>
      <c r="C5" s="1" t="s">
        <v>196</v>
      </c>
      <c r="D5" s="158" t="str">
        <f>+sofiinfisys!D6</f>
        <v>Mars 15</v>
      </c>
      <c r="E5" s="1" t="s">
        <v>196</v>
      </c>
      <c r="F5" s="158" t="str">
        <f>+sofiinfisys!F6</f>
        <v>Juin 15</v>
      </c>
      <c r="G5" s="1" t="s">
        <v>196</v>
      </c>
      <c r="H5" s="1" t="str">
        <f>+sofiinfisys!H6</f>
        <v>Sept. 15</v>
      </c>
      <c r="I5" s="155" t="str">
        <f>+sofiinfisys!I6</f>
        <v>/sept. 14</v>
      </c>
      <c r="J5" s="155" t="str">
        <f>+sofiinfisys!J6</f>
        <v>2014</v>
      </c>
      <c r="K5" s="1" t="s">
        <v>196</v>
      </c>
      <c r="L5" s="155" t="str">
        <f>+sofiinfisys!L6</f>
        <v>2013</v>
      </c>
      <c r="M5" s="1" t="s">
        <v>196</v>
      </c>
      <c r="N5" s="155" t="str">
        <f>+sofiinfisys!N6</f>
        <v>2012</v>
      </c>
      <c r="O5" s="1" t="s">
        <v>196</v>
      </c>
      <c r="P5" s="155" t="str">
        <f>+sofiinfisys!P6</f>
        <v>2011</v>
      </c>
    </row>
    <row r="6" spans="1:27">
      <c r="B6" s="3"/>
      <c r="D6" s="3"/>
      <c r="F6" s="3"/>
      <c r="H6" s="3"/>
      <c r="J6" s="53"/>
      <c r="L6" s="53"/>
      <c r="N6" s="53"/>
      <c r="P6" s="53"/>
    </row>
    <row r="7" spans="1:27">
      <c r="A7" s="11" t="s">
        <v>197</v>
      </c>
    </row>
    <row r="8" spans="1:27">
      <c r="A8" s="11" t="s">
        <v>198</v>
      </c>
    </row>
    <row r="10" spans="1:27">
      <c r="A10" s="11" t="s">
        <v>18</v>
      </c>
    </row>
    <row r="11" spans="1:27">
      <c r="A11" t="s">
        <v>199</v>
      </c>
      <c r="B11" s="20">
        <f>+bncvar!B23</f>
        <v>42887715.978069998</v>
      </c>
      <c r="C11" s="48">
        <v>0</v>
      </c>
      <c r="D11" s="20">
        <f>+bncvar!D23</f>
        <v>0</v>
      </c>
      <c r="E11" s="48">
        <v>0</v>
      </c>
      <c r="F11" s="20">
        <f>+bncvar!F23</f>
        <v>0</v>
      </c>
      <c r="G11" s="48">
        <v>0</v>
      </c>
      <c r="H11" s="20">
        <f>+bncvar!H23</f>
        <v>0</v>
      </c>
      <c r="I11" s="51">
        <f>+(-J11+B11)/ABS(J11)</f>
        <v>-4.0065847000941908E-2</v>
      </c>
      <c r="J11" s="20">
        <f>+bncvar!J23</f>
        <v>44677768.619939998</v>
      </c>
      <c r="K11" s="51">
        <f>+(-L11+J11)/ABS(L11)</f>
        <v>4.9692146492617169E-2</v>
      </c>
      <c r="L11" s="20">
        <f>+bncvar!L23</f>
        <v>42562734.95922</v>
      </c>
      <c r="M11" s="51">
        <f>+(-N11+L11)/ABS(N11)</f>
        <v>2.2987647595718436E-2</v>
      </c>
      <c r="N11" s="20">
        <f>+bncvar!N23</f>
        <v>41606303.907240003</v>
      </c>
      <c r="O11" s="51">
        <f>+(-P11+N11)/ABS(P11)</f>
        <v>0.14967032443909969</v>
      </c>
      <c r="P11" s="20">
        <f>+bncvar!P23</f>
        <v>36189769.382399999</v>
      </c>
      <c r="Q11" s="48"/>
      <c r="R11" s="48"/>
      <c r="S11" s="48"/>
      <c r="T11" s="48"/>
      <c r="U11" s="48"/>
      <c r="V11" s="48"/>
      <c r="W11" s="48"/>
      <c r="X11" s="48"/>
      <c r="Y11" s="48"/>
      <c r="Z11" s="48"/>
      <c r="AA11" s="48"/>
    </row>
    <row r="12" spans="1:27">
      <c r="A12" t="s">
        <v>200</v>
      </c>
      <c r="B12" s="20">
        <f>+bncvar!B17</f>
        <v>3810000</v>
      </c>
      <c r="C12" s="48">
        <v>0</v>
      </c>
      <c r="D12" s="20">
        <f>+bncvar!D17</f>
        <v>0</v>
      </c>
      <c r="E12" s="48">
        <v>0</v>
      </c>
      <c r="F12" s="20">
        <f>+bncvar!F17</f>
        <v>0</v>
      </c>
      <c r="G12" s="48">
        <v>0</v>
      </c>
      <c r="H12" s="20">
        <f>+bncvar!H17</f>
        <v>0</v>
      </c>
      <c r="I12" s="51">
        <f>+(-J12+B12)/ABS(J12)</f>
        <v>0.63239074550128538</v>
      </c>
      <c r="J12" s="20">
        <f>+bncvar!J17</f>
        <v>2334000</v>
      </c>
      <c r="K12" s="51">
        <f>+(-L12+J12)/ABS(L12)</f>
        <v>-0.5883597883597883</v>
      </c>
      <c r="L12" s="20">
        <f>+bncvar!L17</f>
        <v>5670000</v>
      </c>
      <c r="M12" s="51">
        <f>+(-N12+L12)/ABS(N12)</f>
        <v>0.66868704348386543</v>
      </c>
      <c r="N12" s="20">
        <f>+bncvar!N17</f>
        <v>3397881</v>
      </c>
      <c r="O12" s="51">
        <f>+(-P12+N12)/ABS(P12)</f>
        <v>-0.11697467736157451</v>
      </c>
      <c r="P12" s="20">
        <f>+bncvar!P17</f>
        <v>3847999.5</v>
      </c>
      <c r="Q12" s="48"/>
      <c r="R12" s="48"/>
      <c r="S12" s="48"/>
      <c r="T12" s="48"/>
      <c r="U12" s="48"/>
      <c r="V12" s="48"/>
      <c r="W12" s="48"/>
      <c r="X12" s="48"/>
      <c r="Y12" s="48"/>
      <c r="Z12" s="48"/>
      <c r="AA12" s="48"/>
    </row>
    <row r="13" spans="1:27">
      <c r="A13" t="s">
        <v>382</v>
      </c>
      <c r="B13" s="20">
        <f>+bncvar!B20</f>
        <v>10524694.186369998</v>
      </c>
      <c r="C13" s="48">
        <v>0</v>
      </c>
      <c r="D13" s="20">
        <f>+bncvar!D20</f>
        <v>0</v>
      </c>
      <c r="E13" s="48">
        <v>0</v>
      </c>
      <c r="F13" s="20">
        <f>+bncvar!F20</f>
        <v>0</v>
      </c>
      <c r="G13" s="48">
        <v>0</v>
      </c>
      <c r="H13" s="20">
        <f>+bncvar!H20</f>
        <v>0</v>
      </c>
      <c r="I13" s="51">
        <f>+(-J13+B13)/ABS(J13)</f>
        <v>-6.5674872083952104E-2</v>
      </c>
      <c r="J13" s="20">
        <f>+bncvar!J20</f>
        <v>11264487.9945</v>
      </c>
      <c r="K13" s="51">
        <f>+(-L13+J13)/ABS(L13)</f>
        <v>0.11397820253948342</v>
      </c>
      <c r="L13" s="20">
        <f>+bncvar!L20</f>
        <v>10111946.507410001</v>
      </c>
      <c r="M13" s="51">
        <f>+(-N13+L13)/ABS(N13)</f>
        <v>0.59293444594170153</v>
      </c>
      <c r="N13" s="20">
        <f>+bncvar!N20</f>
        <v>6347999.1491</v>
      </c>
      <c r="O13" s="51">
        <f>+(-P13+N13)/ABS(P13)</f>
        <v>0.69228413715382831</v>
      </c>
      <c r="P13" s="20">
        <f>+bncvar!P20</f>
        <v>3751142.6182700004</v>
      </c>
      <c r="Q13" s="48"/>
      <c r="R13" s="48"/>
      <c r="S13" s="48"/>
      <c r="T13" s="48"/>
      <c r="U13" s="48"/>
      <c r="V13" s="48"/>
      <c r="W13" s="48"/>
      <c r="X13" s="48"/>
      <c r="Y13" s="48"/>
      <c r="Z13" s="48"/>
      <c r="AA13" s="48"/>
    </row>
    <row r="14" spans="1:27">
      <c r="A14" t="s">
        <v>202</v>
      </c>
      <c r="B14" s="20">
        <f>+bncvar!B30</f>
        <v>33876000.771370001</v>
      </c>
      <c r="C14" s="48">
        <v>0</v>
      </c>
      <c r="D14" s="20">
        <f>+bncvar!D30</f>
        <v>0</v>
      </c>
      <c r="E14" s="48">
        <v>0</v>
      </c>
      <c r="F14" s="20">
        <f>+bncvar!F30</f>
        <v>0</v>
      </c>
      <c r="G14" s="48">
        <v>0</v>
      </c>
      <c r="H14" s="20">
        <f>+bncvar!H30</f>
        <v>0</v>
      </c>
      <c r="I14" s="51">
        <f>+(-J14+B14)/ABS(J14)</f>
        <v>-5.7994996175859237E-2</v>
      </c>
      <c r="J14" s="20">
        <f>+bncvar!J30</f>
        <v>35961593.233419999</v>
      </c>
      <c r="K14" s="51">
        <f>+(-L14+J14)/ABS(L14)</f>
        <v>2.9146456019293505E-2</v>
      </c>
      <c r="L14" s="20">
        <f>+bncvar!L30</f>
        <v>34943124.978070006</v>
      </c>
      <c r="M14" s="51">
        <f>+(-N14+L14)/ABS(N14)</f>
        <v>-4.5706280161999686E-2</v>
      </c>
      <c r="N14" s="20">
        <f>+bncvar!N30</f>
        <v>36616739.952979997</v>
      </c>
      <c r="O14" s="51">
        <f>+(-P14+N14)/ABS(P14)</f>
        <v>0.15212758031784576</v>
      </c>
      <c r="P14" s="20">
        <f>+bncvar!P30</f>
        <v>31781844.804789998</v>
      </c>
      <c r="Q14" s="48"/>
      <c r="R14" s="48"/>
      <c r="S14" s="48"/>
      <c r="T14" s="48"/>
      <c r="U14" s="48"/>
      <c r="V14" s="48"/>
      <c r="W14" s="48"/>
      <c r="X14" s="48"/>
      <c r="Y14" s="48"/>
      <c r="Z14" s="48"/>
      <c r="AA14" s="48"/>
    </row>
    <row r="15" spans="1:27">
      <c r="A15" t="s">
        <v>203</v>
      </c>
      <c r="B15" s="20">
        <f>+bncvar!B52</f>
        <v>3191363.1577500002</v>
      </c>
      <c r="C15" s="48">
        <v>0</v>
      </c>
      <c r="D15" s="20">
        <f>+bncvar!D52</f>
        <v>0</v>
      </c>
      <c r="E15" s="48">
        <v>0</v>
      </c>
      <c r="F15" s="20">
        <f>+bncvar!F52</f>
        <v>0</v>
      </c>
      <c r="G15" s="48">
        <v>0</v>
      </c>
      <c r="H15" s="20">
        <f>+bncvar!H52</f>
        <v>0</v>
      </c>
      <c r="I15" s="51">
        <f>+(-J15+B15)/ABS(J15)</f>
        <v>5.0939702388333612E-2</v>
      </c>
      <c r="J15" s="20">
        <f>+bncvar!J52</f>
        <v>3036675.7964300001</v>
      </c>
      <c r="K15" s="51">
        <f>+(-L15+J15)/ABS(L15)</f>
        <v>0.13136619408586195</v>
      </c>
      <c r="L15" s="20">
        <f>+bncvar!L52</f>
        <v>2684078.6054100003</v>
      </c>
      <c r="M15" s="51">
        <f>+(-N15+L15)/ABS(N15)</f>
        <v>0.2248275462677298</v>
      </c>
      <c r="N15" s="20">
        <f>+bncvar!N52</f>
        <v>2191393.077</v>
      </c>
      <c r="O15" s="51">
        <f>+(-P15+N15)/ABS(P15)</f>
        <v>0.17426268698233385</v>
      </c>
      <c r="P15" s="20">
        <f>+bncvar!P52</f>
        <v>1866186.4174799998</v>
      </c>
      <c r="Q15" s="48"/>
      <c r="R15" s="48"/>
      <c r="S15" s="48"/>
      <c r="T15" s="48"/>
      <c r="U15" s="48"/>
      <c r="V15" s="48"/>
      <c r="W15" s="48"/>
      <c r="X15" s="48"/>
      <c r="Y15" s="48"/>
      <c r="Z15" s="48"/>
      <c r="AA15" s="48"/>
    </row>
    <row r="16" spans="1:27">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27" ht="16.5" thickBot="1">
      <c r="B17" s="168"/>
      <c r="C17" s="168"/>
      <c r="D17" s="168"/>
      <c r="E17" s="168"/>
      <c r="F17" s="168"/>
      <c r="G17" s="168"/>
      <c r="H17" s="168"/>
      <c r="I17" s="168"/>
      <c r="J17" s="168"/>
      <c r="K17" s="168"/>
      <c r="L17" s="168"/>
      <c r="M17" s="168"/>
      <c r="N17" s="168"/>
      <c r="O17" s="168"/>
      <c r="P17" s="168"/>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+sofiinfisys!B20</f>
        <v>2015</v>
      </c>
      <c r="C19" s="48"/>
      <c r="D19" s="56" t="str">
        <f>+sofiinfisys!D20</f>
        <v>2014</v>
      </c>
      <c r="E19" s="48"/>
      <c r="F19" s="56" t="str">
        <f>+sofiinfisys!F20</f>
        <v>2015</v>
      </c>
      <c r="G19" s="48"/>
      <c r="H19" s="56" t="str">
        <f>+sofiinfisys!H20</f>
        <v>2014</v>
      </c>
      <c r="I19" s="48"/>
      <c r="J19" s="56" t="str">
        <f>+sofiinfisys!J20</f>
        <v>2015</v>
      </c>
      <c r="K19" s="48"/>
      <c r="L19" s="56" t="str">
        <f>+sofiinfisys!L20</f>
        <v>2014</v>
      </c>
      <c r="M19" s="48"/>
      <c r="N19" s="56" t="str">
        <f>+sofiinfisys!N20</f>
        <v>2015</v>
      </c>
      <c r="O19" s="48"/>
      <c r="P19" s="56" t="str">
        <f>+sofiinfisys!P20</f>
        <v>2014</v>
      </c>
      <c r="Q19" s="48"/>
      <c r="R19" s="56" t="str">
        <f>+sofiinfisys!R20</f>
        <v>2015</v>
      </c>
      <c r="S19" s="48"/>
      <c r="T19" s="56" t="str">
        <f>+sofiinfisys!T20</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1018" t="str">
        <f>+sofiinfisys!B22</f>
        <v>(oct. - déc. 14)</v>
      </c>
      <c r="C21" s="292"/>
      <c r="D21" s="1018" t="str">
        <f>+sofiinfisys!D22</f>
        <v>(oct. - déc. 13)</v>
      </c>
      <c r="E21" s="186"/>
      <c r="F21" s="1018" t="str">
        <f>+sofiinfisys!F22</f>
        <v>(janv. - mars 15)</v>
      </c>
      <c r="G21" s="292"/>
      <c r="H21" s="1018" t="str">
        <f>+sofiinfisys!H22</f>
        <v>(janv. - mars 14)</v>
      </c>
      <c r="I21" s="186"/>
      <c r="J21" s="1018" t="str">
        <f>+sofiinfisys!J22</f>
        <v>(avril - juin 15)</v>
      </c>
      <c r="K21" s="292"/>
      <c r="L21" s="1018" t="str">
        <f>+sofiinfisys!L22</f>
        <v>(avril - juin 14)</v>
      </c>
      <c r="M21" s="186"/>
      <c r="N21" s="1018" t="str">
        <f>+sofiinfisys!N22</f>
        <v>(juil. - sept. 15)</v>
      </c>
      <c r="O21" s="292"/>
      <c r="P21" s="1018" t="str">
        <f>+sofiinfisys!P22</f>
        <v>(juil. - sept. 14)</v>
      </c>
      <c r="Q21" s="186"/>
      <c r="R21" s="1018" t="str">
        <f>+sofiinfisys!R22</f>
        <v>(oct. - déc. 14)</v>
      </c>
      <c r="S21" s="292"/>
      <c r="T21" s="1018" t="str">
        <f>+sofiinfisys!T22</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+'bncrésult '!B15</f>
        <v>327287.90830999997</v>
      </c>
      <c r="C23" s="51">
        <f>+(-D23+B23)/ABS(D23)</f>
        <v>0.21010891278909022</v>
      </c>
      <c r="D23" s="20">
        <f>+'bncrésult '!D55</f>
        <v>270461.53023999993</v>
      </c>
      <c r="E23" s="48"/>
      <c r="F23" s="20">
        <f>+'bncrésult '!D15</f>
        <v>0</v>
      </c>
      <c r="G23" s="48">
        <v>0</v>
      </c>
      <c r="H23" s="20">
        <f>+'bncrésult '!H55</f>
        <v>240616.69733999998</v>
      </c>
      <c r="I23" s="48"/>
      <c r="J23" s="20">
        <f>+'bncrésult '!F15</f>
        <v>0</v>
      </c>
      <c r="K23" s="48">
        <v>0</v>
      </c>
      <c r="L23" s="20">
        <f>+'bncrésult '!L55</f>
        <v>290168.82501999999</v>
      </c>
      <c r="M23" s="48"/>
      <c r="N23" s="20">
        <f>+'bncrésult '!H15</f>
        <v>0</v>
      </c>
      <c r="O23" s="48">
        <v>0</v>
      </c>
      <c r="P23" s="20">
        <f>+'bncrésult '!P55</f>
        <v>312779.62216000003</v>
      </c>
      <c r="Q23" s="48"/>
      <c r="R23" s="20">
        <f>+'bncrésult '!R55</f>
        <v>327287.90830999997</v>
      </c>
      <c r="S23" s="51">
        <f>+(-T23+R23)/ABS(T23)</f>
        <v>0.21010891278909022</v>
      </c>
      <c r="T23" s="20">
        <f>+'bncrésult '!T55</f>
        <v>270461.53023999993</v>
      </c>
      <c r="U23" s="48"/>
      <c r="V23" s="48"/>
      <c r="W23" s="48"/>
      <c r="X23" s="48"/>
      <c r="Y23" s="48"/>
      <c r="Z23" s="48"/>
      <c r="AA23" s="48"/>
    </row>
    <row r="24" spans="1:27">
      <c r="A24" t="s">
        <v>210</v>
      </c>
      <c r="B24" s="20">
        <f>+'bncrésult '!B21</f>
        <v>115495.14137000001</v>
      </c>
      <c r="C24" s="51">
        <f>+(-D24+B24)/ABS(D24)</f>
        <v>-6.5551124320904805E-2</v>
      </c>
      <c r="D24" s="20">
        <f>+'bncrésult '!D61</f>
        <v>123597.06815000001</v>
      </c>
      <c r="E24" s="48"/>
      <c r="F24" s="20">
        <f>+'bncrésult '!D21</f>
        <v>0</v>
      </c>
      <c r="G24" s="48">
        <v>0</v>
      </c>
      <c r="H24" s="20">
        <f>+'bncrésult '!H61</f>
        <v>113895.0649</v>
      </c>
      <c r="I24" s="48"/>
      <c r="J24" s="20">
        <f>+'bncrésult '!F21</f>
        <v>0</v>
      </c>
      <c r="K24" s="48">
        <v>0</v>
      </c>
      <c r="L24" s="20">
        <f>+'bncrésult '!L61</f>
        <v>136971.70872</v>
      </c>
      <c r="M24" s="48"/>
      <c r="N24" s="20">
        <f>+'bncrésult '!H21</f>
        <v>0</v>
      </c>
      <c r="O24" s="48">
        <v>0</v>
      </c>
      <c r="P24" s="20">
        <f>+'bncrésult '!P61</f>
        <v>156158.09229</v>
      </c>
      <c r="Q24" s="48"/>
      <c r="R24" s="20">
        <f>+'bncrésult '!R61</f>
        <v>115495.14137000001</v>
      </c>
      <c r="S24" s="51">
        <f>+(-T24+R24)/ABS(T24)</f>
        <v>-6.5551124320904805E-2</v>
      </c>
      <c r="T24" s="20">
        <f>+'bncrésult '!T61</f>
        <v>123597.06815000001</v>
      </c>
      <c r="U24" s="48"/>
      <c r="V24" s="48"/>
      <c r="W24" s="48"/>
      <c r="X24" s="48"/>
      <c r="Y24" s="48"/>
      <c r="Z24" s="48"/>
      <c r="AA24" s="48"/>
    </row>
    <row r="25" spans="1:27">
      <c r="A25" t="s">
        <v>643</v>
      </c>
      <c r="B25" s="20">
        <f>+'bncrésult '!B25</f>
        <v>0</v>
      </c>
      <c r="C25" s="1347">
        <v>0</v>
      </c>
      <c r="D25" s="20">
        <f>+'bncrésult '!D65</f>
        <v>25263.932779999999</v>
      </c>
      <c r="E25" s="48"/>
      <c r="F25" s="20">
        <f>+'bncrésult '!D25</f>
        <v>0</v>
      </c>
      <c r="G25" s="48">
        <v>0</v>
      </c>
      <c r="H25" s="20">
        <f>+'bncrésult '!H65</f>
        <v>5670.0896599999996</v>
      </c>
      <c r="I25" s="48"/>
      <c r="J25" s="20">
        <f>+'bncrésult '!F25</f>
        <v>0</v>
      </c>
      <c r="K25" s="48">
        <v>0</v>
      </c>
      <c r="L25" s="20">
        <f>+'bncrésult '!L65</f>
        <v>29775.586790000001</v>
      </c>
      <c r="M25" s="48"/>
      <c r="N25" s="20">
        <f>+'bncrésult '!H25</f>
        <v>0</v>
      </c>
      <c r="O25" s="48">
        <v>0</v>
      </c>
      <c r="P25" s="20">
        <f>+'bncrésult '!P65</f>
        <v>61143.264510000001</v>
      </c>
      <c r="Q25" s="48"/>
      <c r="R25" s="20">
        <f>+'bncrésult '!R65</f>
        <v>0</v>
      </c>
      <c r="S25" s="48">
        <v>0</v>
      </c>
      <c r="T25" s="20">
        <f>+'bncrésult '!T65</f>
        <v>25263.932779999999</v>
      </c>
      <c r="U25" s="48"/>
      <c r="V25" s="48"/>
      <c r="W25" s="48"/>
      <c r="X25" s="48"/>
      <c r="Y25" s="48"/>
      <c r="Z25" s="48"/>
      <c r="AA25" s="48"/>
    </row>
    <row r="26" spans="1:27">
      <c r="A26" t="s">
        <v>212</v>
      </c>
      <c r="B26" s="20">
        <f>+'bncrésult '!B35</f>
        <v>262497.39581999998</v>
      </c>
      <c r="C26" s="51">
        <f>+(-D26+B26)/ABS(D26)</f>
        <v>5.449328525378612E-2</v>
      </c>
      <c r="D26" s="20">
        <f>+'bncrésult '!D75</f>
        <v>248932.25921000002</v>
      </c>
      <c r="E26" s="48"/>
      <c r="F26" s="20">
        <f>+'bncrésult '!D35</f>
        <v>0</v>
      </c>
      <c r="G26" s="48">
        <v>0</v>
      </c>
      <c r="H26" s="20">
        <f>+'bncrésult '!H75</f>
        <v>248985.6151</v>
      </c>
      <c r="I26" s="48"/>
      <c r="J26" s="20">
        <f>+'bncrésult '!F35</f>
        <v>0</v>
      </c>
      <c r="K26" s="48">
        <v>0</v>
      </c>
      <c r="L26" s="20">
        <f>+'bncrésult '!L75</f>
        <v>256178.68637000001</v>
      </c>
      <c r="M26" s="48"/>
      <c r="N26" s="20">
        <f>+'bncrésult '!H35</f>
        <v>0</v>
      </c>
      <c r="O26" s="48">
        <v>0</v>
      </c>
      <c r="P26" s="20">
        <f>+'bncrésult '!P75</f>
        <v>358555.62316999992</v>
      </c>
      <c r="Q26" s="48"/>
      <c r="R26" s="20">
        <f>+'bncrésult '!R75</f>
        <v>262497.39581999998</v>
      </c>
      <c r="S26" s="51">
        <f>+(-T26+R26)/ABS(T26)</f>
        <v>5.449328525378612E-2</v>
      </c>
      <c r="T26" s="20">
        <f>+'bncrésult '!T75</f>
        <v>248932.25921000002</v>
      </c>
      <c r="U26" s="48"/>
      <c r="V26" s="48"/>
      <c r="W26" s="48"/>
      <c r="X26" s="48"/>
      <c r="Y26" s="48"/>
      <c r="Z26" s="48"/>
      <c r="AA26" s="48"/>
    </row>
    <row r="27" spans="1:27">
      <c r="A27" t="s">
        <v>383</v>
      </c>
      <c r="B27" s="20">
        <f>+'bncrésult '!B41</f>
        <v>180285.65386000002</v>
      </c>
      <c r="C27" s="51">
        <f>+(-D27+B27)/ABS(D27)</f>
        <v>0.50410507576794406</v>
      </c>
      <c r="D27" s="20">
        <f>+'bncrésult '!D81</f>
        <v>119862.40639999995</v>
      </c>
      <c r="E27" s="48"/>
      <c r="F27" s="20">
        <f>+'bncrésult '!D41</f>
        <v>0</v>
      </c>
      <c r="G27" s="48">
        <v>0</v>
      </c>
      <c r="H27" s="20">
        <f>+'bncrésult '!H81</f>
        <v>99856.057479999959</v>
      </c>
      <c r="I27" s="48"/>
      <c r="J27" s="20">
        <f>+'bncrésult '!F41</f>
        <v>0</v>
      </c>
      <c r="K27" s="48">
        <v>0</v>
      </c>
      <c r="L27" s="20">
        <f>+'bncrésult '!L81</f>
        <v>141186.26058</v>
      </c>
      <c r="M27" s="48"/>
      <c r="N27" s="20">
        <f>+'bncrésult '!H41</f>
        <v>0</v>
      </c>
      <c r="O27" s="48">
        <v>0</v>
      </c>
      <c r="P27" s="20">
        <f>+'bncrésult '!P81</f>
        <v>49238.826770000102</v>
      </c>
      <c r="Q27" s="48"/>
      <c r="R27" s="20">
        <f>+'bncrésult '!R81</f>
        <v>180285.65386000002</v>
      </c>
      <c r="S27" s="51">
        <f>+(-T27+R27)/ABS(T27)</f>
        <v>0.50410507576794406</v>
      </c>
      <c r="T27" s="20">
        <f>+'bncrésult '!T81</f>
        <v>119862.40639999995</v>
      </c>
      <c r="U27" s="48"/>
      <c r="V27" s="48"/>
      <c r="W27" s="48"/>
      <c r="X27" s="48"/>
      <c r="Y27" s="48"/>
      <c r="Z27" s="48"/>
      <c r="AA27" s="48"/>
    </row>
    <row r="28" spans="1:27" ht="7.9" customHeight="1">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c r="B32" s="56" t="str">
        <f>+sofiinfisys!B33</f>
        <v>2015</v>
      </c>
      <c r="C32" s="56" t="str">
        <f>+sofiinfisys!C33</f>
        <v>2014</v>
      </c>
      <c r="D32" s="48"/>
      <c r="E32" s="56" t="str">
        <f>+sofiinfisys!E33</f>
        <v>2015</v>
      </c>
      <c r="F32" s="56" t="str">
        <f>+sofiinfisys!F33</f>
        <v>2014</v>
      </c>
      <c r="G32" s="48"/>
      <c r="H32" s="56" t="str">
        <f>+sofiinfisys!H33</f>
        <v>2015</v>
      </c>
      <c r="I32" s="56" t="str">
        <f>+sofiinfisys!I33</f>
        <v>2014</v>
      </c>
      <c r="J32" s="48"/>
      <c r="K32" s="56" t="str">
        <f>+sofiinfisys!K33</f>
        <v>2015</v>
      </c>
      <c r="L32" s="56" t="str">
        <f>+sofiinfisys!L33</f>
        <v>2014</v>
      </c>
      <c r="M32" s="48"/>
      <c r="N32" s="56" t="str">
        <f>+sofiinfisys!N33</f>
        <v>2015</v>
      </c>
      <c r="O32" s="56" t="str">
        <f>+sofiinfisys!O33</f>
        <v>2014</v>
      </c>
      <c r="P32" s="48"/>
      <c r="U32" s="48"/>
      <c r="V32" s="48"/>
      <c r="W32" s="48"/>
      <c r="X32" s="48"/>
      <c r="Y32" s="48"/>
      <c r="Z32" s="48"/>
      <c r="AA32" s="48"/>
    </row>
    <row r="33" spans="1:27" ht="16.5" thickBot="1">
      <c r="B33" s="55" t="s">
        <v>204</v>
      </c>
      <c r="C33" s="55" t="s">
        <v>204</v>
      </c>
      <c r="D33" s="48"/>
      <c r="E33" s="55" t="s">
        <v>395</v>
      </c>
      <c r="F33" s="55" t="s">
        <v>395</v>
      </c>
      <c r="G33" s="48"/>
      <c r="H33" s="55" t="s">
        <v>206</v>
      </c>
      <c r="I33" s="55" t="s">
        <v>206</v>
      </c>
      <c r="J33" s="48"/>
      <c r="K33" s="55" t="s">
        <v>207</v>
      </c>
      <c r="L33" s="55" t="s">
        <v>207</v>
      </c>
      <c r="M33" s="48"/>
      <c r="N33" s="55" t="s">
        <v>208</v>
      </c>
      <c r="O33" s="55" t="s">
        <v>208</v>
      </c>
      <c r="P33" s="48"/>
      <c r="Q33" s="111" t="s">
        <v>214</v>
      </c>
      <c r="R33" s="111"/>
      <c r="S33" s="111"/>
      <c r="T33" s="111"/>
      <c r="U33" s="48"/>
      <c r="V33" s="48"/>
      <c r="W33" s="48"/>
      <c r="X33" s="48"/>
      <c r="Y33" s="48"/>
      <c r="Z33" s="48"/>
      <c r="AA33" s="48"/>
    </row>
    <row r="34" spans="1:27" ht="16.5" thickBot="1">
      <c r="B34" s="292" t="str">
        <f>+sofiinfisys!B35</f>
        <v>(oct. - déc. 14)</v>
      </c>
      <c r="C34" s="292" t="str">
        <f>+sofiinfisys!C35</f>
        <v>(oct. - déc. 13)</v>
      </c>
      <c r="D34" s="186"/>
      <c r="E34" s="292" t="str">
        <f>+sofiinfisys!E35</f>
        <v>(janv. - mars 15)</v>
      </c>
      <c r="F34" s="292" t="str">
        <f>+sofiinfisys!F35</f>
        <v>(janv. - mars 14)</v>
      </c>
      <c r="G34" s="186"/>
      <c r="H34" s="292" t="str">
        <f>+sofiinfisys!H35</f>
        <v>(avril - juin 15)</v>
      </c>
      <c r="I34" s="292" t="str">
        <f>+sofiinfisys!I35</f>
        <v>(avril - juin 14)</v>
      </c>
      <c r="J34" s="186"/>
      <c r="K34" s="292" t="str">
        <f>+sofiinfisys!K35</f>
        <v>(juil. - sept. 15)</v>
      </c>
      <c r="L34" s="292" t="str">
        <f>+sofiinfisys!L35</f>
        <v>(juil. - sept. 14)</v>
      </c>
      <c r="M34" s="186"/>
      <c r="N34" s="292" t="str">
        <f>+sofiinfisys!N35</f>
        <v>(oct. - déc. 14)</v>
      </c>
      <c r="O34" s="292" t="str">
        <f>+sofiinfisys!O35</f>
        <v>(oct. - déc. 13)</v>
      </c>
      <c r="P34" s="48"/>
      <c r="Q34" s="163" t="str">
        <f>+sofiinfisys!Q35</f>
        <v>2014</v>
      </c>
      <c r="R34" s="163" t="str">
        <f>+sofiinfisys!R35</f>
        <v>2013</v>
      </c>
      <c r="S34" s="163" t="str">
        <f>+sofiinfisys!S35</f>
        <v>2012</v>
      </c>
      <c r="T34" s="163" t="str">
        <f>+sofiinfisys!T35</f>
        <v>2011</v>
      </c>
      <c r="U34" s="48"/>
      <c r="V34" s="48"/>
      <c r="W34" s="48"/>
      <c r="X34" s="48"/>
      <c r="Y34" s="48"/>
      <c r="Z34" s="48"/>
      <c r="AA34" s="48"/>
    </row>
    <row r="35" spans="1:27">
      <c r="A35" s="11" t="s">
        <v>215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spans="1:27">
      <c r="A36" s="164" t="s">
        <v>216</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1" t="s">
        <v>384</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t="s">
        <v>218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s="11"/>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row>
    <row r="41" spans="1:27">
      <c r="A41" t="s">
        <v>219</v>
      </c>
      <c r="B41" s="61"/>
      <c r="C41" s="61"/>
      <c r="D41" s="61"/>
      <c r="E41" s="61"/>
      <c r="F41" s="61"/>
      <c r="G41" s="61"/>
      <c r="H41" s="61"/>
      <c r="I41" s="61"/>
      <c r="J41" s="61"/>
      <c r="K41" s="61"/>
      <c r="L41" s="61"/>
      <c r="M41" s="61"/>
      <c r="N41" s="61"/>
      <c r="O41" s="61"/>
      <c r="P41" s="61"/>
      <c r="Q41" s="61"/>
      <c r="R41" s="61"/>
      <c r="S41" s="61"/>
      <c r="T41" s="61"/>
      <c r="U41" s="48"/>
      <c r="V41" s="48"/>
      <c r="W41" s="48"/>
      <c r="X41" s="48"/>
      <c r="Y41" s="48"/>
      <c r="Z41" s="48"/>
      <c r="AA41" s="48"/>
    </row>
    <row r="42" spans="1:27">
      <c r="A42" t="s">
        <v>220</v>
      </c>
      <c r="B42" s="62">
        <f>+bncvar!B52/bncvar!B23</f>
        <v>7.4412056808570937E-2</v>
      </c>
      <c r="C42" s="62">
        <v>6.756273498718765E-2</v>
      </c>
      <c r="D42" s="63"/>
      <c r="E42" s="321">
        <v>0</v>
      </c>
      <c r="F42" s="63">
        <v>6.5086213466009582E-2</v>
      </c>
      <c r="G42" s="63"/>
      <c r="H42" s="321">
        <v>0</v>
      </c>
      <c r="I42" s="63">
        <v>6.833493698775292E-2</v>
      </c>
      <c r="J42" s="63"/>
      <c r="K42" s="321">
        <v>0</v>
      </c>
      <c r="L42" s="63">
        <v>6.7968385401295767E-2</v>
      </c>
      <c r="M42" s="63"/>
      <c r="N42" s="63">
        <f>+B42</f>
        <v>7.4412056808570937E-2</v>
      </c>
      <c r="O42" s="63">
        <f>+C42</f>
        <v>6.756273498718765E-2</v>
      </c>
      <c r="P42" s="63"/>
      <c r="Q42" s="63">
        <v>6.8000000000000005E-2</v>
      </c>
      <c r="R42" s="63">
        <v>6.3100000000000003E-2</v>
      </c>
      <c r="S42" s="63">
        <v>5.2699999999999997E-2</v>
      </c>
      <c r="T42" s="63">
        <v>5.1566684433959765E-2</v>
      </c>
      <c r="U42" s="48"/>
      <c r="V42" s="48"/>
      <c r="W42" s="48"/>
      <c r="X42" s="48"/>
      <c r="Y42" s="48"/>
      <c r="Z42" s="48"/>
      <c r="AA42" s="48"/>
    </row>
    <row r="43" spans="1:27">
      <c r="B43" s="62"/>
      <c r="C43" s="62"/>
      <c r="D43" s="63"/>
      <c r="E43" s="54" t="s">
        <v>0</v>
      </c>
      <c r="F43" s="63"/>
      <c r="G43" s="63"/>
      <c r="H43" s="61"/>
      <c r="I43" s="63"/>
      <c r="J43" s="63"/>
      <c r="K43" s="61"/>
      <c r="L43" s="63"/>
      <c r="M43" s="63"/>
      <c r="N43" s="63"/>
      <c r="O43" s="62" t="s">
        <v>0</v>
      </c>
      <c r="P43" s="63"/>
      <c r="Q43" s="63"/>
      <c r="R43" s="63"/>
      <c r="S43" s="63"/>
      <c r="T43" s="63"/>
      <c r="U43" s="48"/>
      <c r="V43" s="48"/>
      <c r="W43" s="48"/>
      <c r="X43" s="48"/>
      <c r="Y43" s="48"/>
      <c r="Z43" s="48"/>
      <c r="AA43" s="48"/>
    </row>
    <row r="44" spans="1:27">
      <c r="A44" t="s">
        <v>221</v>
      </c>
      <c r="B44" s="62">
        <f>+bncvar!B30/bncvar!B23</f>
        <v>0.78987654154145204</v>
      </c>
      <c r="C44" s="62">
        <v>0.8117420239083275</v>
      </c>
      <c r="D44" s="63"/>
      <c r="E44" s="321">
        <v>0</v>
      </c>
      <c r="F44" s="63">
        <v>0.80244387290377839</v>
      </c>
      <c r="G44" s="63"/>
      <c r="H44" s="321">
        <v>0</v>
      </c>
      <c r="I44" s="63">
        <v>0.80028962152678507</v>
      </c>
      <c r="J44" s="63"/>
      <c r="K44" s="321">
        <v>0</v>
      </c>
      <c r="L44" s="63">
        <v>0.80491023487171409</v>
      </c>
      <c r="M44" s="63"/>
      <c r="N44" s="63">
        <f>+B44</f>
        <v>0.78987654154145204</v>
      </c>
      <c r="O44" s="63">
        <f>+C44</f>
        <v>0.8117420239083275</v>
      </c>
      <c r="P44" s="63"/>
      <c r="Q44" s="63">
        <v>0.80489999999999995</v>
      </c>
      <c r="R44" s="63">
        <v>0.82099999999999995</v>
      </c>
      <c r="S44" s="63">
        <v>0.88009999999999999</v>
      </c>
      <c r="T44" s="63">
        <v>0.87819970525278657</v>
      </c>
      <c r="U44" s="48"/>
      <c r="V44" s="48"/>
      <c r="W44" s="48"/>
      <c r="X44" s="48"/>
      <c r="Y44" s="48"/>
      <c r="Z44" s="48"/>
      <c r="AA44" s="48"/>
    </row>
    <row r="45" spans="1:27">
      <c r="A45" t="s">
        <v>0</v>
      </c>
      <c r="B45" s="61"/>
      <c r="C45" s="61"/>
      <c r="D45" s="63"/>
      <c r="E45" s="61"/>
      <c r="F45" s="61"/>
      <c r="G45" s="63"/>
      <c r="H45" s="61"/>
      <c r="I45" s="63"/>
      <c r="J45" s="63"/>
      <c r="K45" s="61"/>
      <c r="L45" s="63"/>
      <c r="M45" s="63"/>
      <c r="N45" s="63"/>
      <c r="O45" s="314"/>
      <c r="P45" s="63"/>
      <c r="Q45" s="63"/>
      <c r="R45" s="63"/>
      <c r="S45" s="63"/>
      <c r="T45" s="63"/>
      <c r="U45" s="48"/>
      <c r="V45" s="48"/>
      <c r="W45" s="48"/>
      <c r="X45" s="48"/>
      <c r="Y45" s="48"/>
      <c r="Z45" s="48"/>
      <c r="AA45" s="48"/>
    </row>
    <row r="46" spans="1:27">
      <c r="A46" s="11" t="s">
        <v>222</v>
      </c>
      <c r="B46" s="61"/>
      <c r="C46" s="61"/>
      <c r="D46" s="63"/>
      <c r="E46" s="61"/>
      <c r="F46" s="61"/>
      <c r="G46" s="63"/>
      <c r="H46" s="61"/>
      <c r="I46" s="63"/>
      <c r="J46" s="63"/>
      <c r="K46" s="61"/>
      <c r="L46" s="63"/>
      <c r="M46" s="63"/>
      <c r="N46" s="63"/>
      <c r="O46" s="314"/>
      <c r="P46" s="63"/>
      <c r="Q46" s="63"/>
      <c r="R46" s="63"/>
      <c r="S46" s="63"/>
      <c r="T46" s="63"/>
      <c r="U46" s="48"/>
      <c r="V46" s="48"/>
      <c r="W46" s="48"/>
      <c r="X46" s="48"/>
      <c r="Y46" s="48"/>
      <c r="Z46" s="48"/>
      <c r="AA46" s="48"/>
    </row>
    <row r="47" spans="1:27">
      <c r="A47" s="11"/>
      <c r="B47" s="61"/>
      <c r="C47" s="61"/>
      <c r="D47" s="63"/>
      <c r="E47" s="61"/>
      <c r="F47" s="61"/>
      <c r="G47" s="63"/>
      <c r="H47" s="61"/>
      <c r="I47" s="63"/>
      <c r="J47" s="63"/>
      <c r="K47" s="61"/>
      <c r="L47" s="63"/>
      <c r="M47" s="63"/>
      <c r="N47" s="63"/>
      <c r="O47" s="314"/>
      <c r="P47" s="63"/>
      <c r="Q47" s="63"/>
      <c r="R47" s="63"/>
      <c r="S47" s="63"/>
      <c r="T47" s="63"/>
      <c r="U47" s="48"/>
      <c r="V47" s="48"/>
      <c r="W47" s="48"/>
      <c r="X47" s="48"/>
      <c r="Y47" s="48"/>
      <c r="Z47" s="48"/>
      <c r="AA47" s="48"/>
    </row>
    <row r="48" spans="1:27">
      <c r="A48" t="s">
        <v>223</v>
      </c>
      <c r="B48" s="61"/>
      <c r="C48" s="61"/>
      <c r="D48" s="63"/>
      <c r="E48" s="61"/>
      <c r="F48" s="61"/>
      <c r="G48" s="63"/>
      <c r="H48" s="61"/>
      <c r="I48" s="63"/>
      <c r="J48" s="63"/>
      <c r="K48" s="61"/>
      <c r="L48" s="63"/>
      <c r="M48" s="63"/>
      <c r="N48" s="63"/>
      <c r="O48" s="314"/>
      <c r="P48" s="63"/>
      <c r="Q48" s="63"/>
      <c r="R48" s="63"/>
      <c r="S48" s="63"/>
      <c r="T48" s="63"/>
      <c r="U48" s="48"/>
      <c r="V48" s="48"/>
      <c r="W48" s="48"/>
      <c r="X48" s="48"/>
      <c r="Y48" s="48"/>
      <c r="Z48" s="48"/>
      <c r="AA48" s="48"/>
    </row>
    <row r="49" spans="1:27">
      <c r="A49" t="s">
        <v>224</v>
      </c>
      <c r="B49" s="63">
        <f>+bncvar!B63/bncvar!B61</f>
        <v>4.9830877131959717E-2</v>
      </c>
      <c r="C49" s="63">
        <v>5.4958814873550303E-2</v>
      </c>
      <c r="D49" s="63"/>
      <c r="E49" s="61">
        <v>0</v>
      </c>
      <c r="F49" s="63">
        <v>5.442506855539557E-2</v>
      </c>
      <c r="G49" s="63"/>
      <c r="H49" s="61">
        <v>0</v>
      </c>
      <c r="I49" s="63">
        <v>2.9892626326198411E-2</v>
      </c>
      <c r="J49" s="63"/>
      <c r="K49" s="61">
        <v>0</v>
      </c>
      <c r="L49" s="63">
        <v>4.5163257744616402E-2</v>
      </c>
      <c r="M49" s="63"/>
      <c r="N49" s="63">
        <f>+B49</f>
        <v>4.9830877131959717E-2</v>
      </c>
      <c r="O49" s="63">
        <f>+C49</f>
        <v>5.4958814873550303E-2</v>
      </c>
      <c r="P49" s="63"/>
      <c r="Q49" s="63">
        <v>4.5199999999999997E-2</v>
      </c>
      <c r="R49" s="63">
        <v>2.1100000000000001E-2</v>
      </c>
      <c r="S49" s="63">
        <v>2.2499999999999999E-2</v>
      </c>
      <c r="T49" s="63">
        <v>9.478818220690674E-2</v>
      </c>
      <c r="U49" s="48"/>
      <c r="V49" s="48"/>
      <c r="W49" s="48"/>
      <c r="X49" s="48"/>
      <c r="Y49" s="48"/>
      <c r="Z49" s="48"/>
      <c r="AA49" s="48"/>
    </row>
    <row r="50" spans="1:27">
      <c r="B50" s="61"/>
      <c r="C50" s="61"/>
      <c r="D50" s="63"/>
      <c r="E50" s="61"/>
      <c r="F50" s="63"/>
      <c r="G50" s="63"/>
      <c r="H50" s="61"/>
      <c r="I50" s="63"/>
      <c r="J50" s="63"/>
      <c r="K50" s="61"/>
      <c r="L50" s="63"/>
      <c r="M50" s="63"/>
      <c r="N50" s="63"/>
      <c r="O50" s="314"/>
      <c r="P50" s="63"/>
      <c r="Q50" s="63"/>
      <c r="R50" s="63"/>
      <c r="S50" s="63"/>
      <c r="T50" s="63"/>
      <c r="U50" s="48"/>
      <c r="V50" s="48"/>
      <c r="W50" s="48"/>
      <c r="X50" s="48"/>
      <c r="Y50" s="48"/>
      <c r="Z50" s="48"/>
      <c r="AA50" s="48"/>
    </row>
    <row r="51" spans="1:27">
      <c r="A51" t="s">
        <v>225</v>
      </c>
      <c r="B51" s="61"/>
      <c r="C51" s="61"/>
      <c r="D51" s="63"/>
      <c r="E51" s="61"/>
      <c r="F51" s="63"/>
      <c r="G51" s="63"/>
      <c r="H51" s="61"/>
      <c r="I51" s="63"/>
      <c r="J51" s="63"/>
      <c r="K51" s="61"/>
      <c r="L51" s="63"/>
      <c r="M51" s="63"/>
      <c r="N51" s="63"/>
      <c r="O51" s="314"/>
      <c r="P51" s="63"/>
      <c r="Q51" s="63"/>
      <c r="R51" s="63"/>
      <c r="S51" s="63"/>
      <c r="T51" s="63"/>
      <c r="U51" s="48"/>
      <c r="V51" s="48"/>
      <c r="W51" s="48"/>
      <c r="X51" s="48"/>
      <c r="Y51" s="48"/>
      <c r="Z51" s="48"/>
      <c r="AA51" s="48"/>
    </row>
    <row r="52" spans="1:27">
      <c r="A52" t="s">
        <v>226</v>
      </c>
      <c r="B52" s="63">
        <f>+bncvar!B62/bncvar!B63</f>
        <v>0.53558220406314383</v>
      </c>
      <c r="C52" s="63">
        <v>0.29968643833112418</v>
      </c>
      <c r="D52" s="63"/>
      <c r="E52" s="61">
        <v>0</v>
      </c>
      <c r="F52" s="63">
        <v>0.42337038822520862</v>
      </c>
      <c r="G52" s="63"/>
      <c r="H52" s="61">
        <v>0</v>
      </c>
      <c r="I52" s="63">
        <v>0.71569251028947511</v>
      </c>
      <c r="J52" s="63"/>
      <c r="K52" s="61">
        <v>0</v>
      </c>
      <c r="L52" s="63">
        <v>0.49468245311523407</v>
      </c>
      <c r="M52" s="63"/>
      <c r="N52" s="63">
        <f>+B52</f>
        <v>0.53558220406314383</v>
      </c>
      <c r="O52" s="63">
        <f>+C52</f>
        <v>0.29968643833112418</v>
      </c>
      <c r="P52" s="63"/>
      <c r="Q52" s="63">
        <v>0.49469999999999997</v>
      </c>
      <c r="R52" s="63">
        <v>0.68479999999999996</v>
      </c>
      <c r="S52" s="63">
        <v>1.3129999999999999</v>
      </c>
      <c r="T52" s="63">
        <v>0.99999599792550986</v>
      </c>
      <c r="U52" s="48"/>
      <c r="V52" s="48"/>
      <c r="W52" s="48"/>
      <c r="X52" s="48"/>
      <c r="Y52" s="48"/>
      <c r="Z52" s="48"/>
      <c r="AA52" s="48"/>
    </row>
    <row r="53" spans="1:27">
      <c r="B53" s="61"/>
      <c r="C53" s="61"/>
      <c r="D53" s="63"/>
      <c r="E53" s="61"/>
      <c r="F53" s="63"/>
      <c r="G53" s="63"/>
      <c r="H53" s="61"/>
      <c r="I53" s="63"/>
      <c r="J53" s="63"/>
      <c r="K53" s="61"/>
      <c r="L53" s="63"/>
      <c r="M53" s="63"/>
      <c r="N53" s="63"/>
      <c r="O53" s="314"/>
      <c r="P53" s="63"/>
      <c r="Q53" s="63"/>
      <c r="R53" s="63"/>
      <c r="S53" s="63"/>
      <c r="T53" s="63"/>
      <c r="U53" s="48"/>
      <c r="V53" s="48"/>
      <c r="W53" s="48"/>
      <c r="X53" s="48"/>
      <c r="Y53" s="48"/>
      <c r="Z53" s="48"/>
      <c r="AA53" s="48"/>
    </row>
    <row r="54" spans="1:27">
      <c r="A54" t="s">
        <v>227</v>
      </c>
      <c r="B54" s="61"/>
      <c r="C54" s="61"/>
      <c r="D54" s="63"/>
      <c r="E54" s="61"/>
      <c r="F54" s="63"/>
      <c r="G54" s="63"/>
      <c r="H54" s="61"/>
      <c r="I54" s="63"/>
      <c r="J54" s="63"/>
      <c r="K54" s="61"/>
      <c r="L54" s="63"/>
      <c r="M54" s="63"/>
      <c r="N54" s="62" t="s">
        <v>0</v>
      </c>
      <c r="O54" s="314"/>
      <c r="P54" s="63"/>
      <c r="Q54" s="63" t="s">
        <v>0</v>
      </c>
      <c r="R54" s="63" t="s">
        <v>0</v>
      </c>
      <c r="S54" s="63" t="s">
        <v>0</v>
      </c>
      <c r="T54" s="63" t="s">
        <v>0</v>
      </c>
      <c r="U54" s="48"/>
      <c r="V54" s="48"/>
      <c r="W54" s="48"/>
      <c r="X54" s="48"/>
      <c r="Y54" s="48"/>
      <c r="Z54" s="48"/>
      <c r="AA54" s="48"/>
    </row>
    <row r="55" spans="1:27">
      <c r="A55" t="s">
        <v>228</v>
      </c>
      <c r="B55" s="63">
        <f>+(bncvar!B63-bncvar!B62)/bncvar!B52</f>
        <v>7.8413132251119136E-2</v>
      </c>
      <c r="C55" s="63">
        <v>0.13674048326773747</v>
      </c>
      <c r="D55" s="63"/>
      <c r="E55" s="61">
        <v>0</v>
      </c>
      <c r="F55" s="63">
        <v>0.11427944531677703</v>
      </c>
      <c r="G55" s="63"/>
      <c r="H55" s="61">
        <v>0</v>
      </c>
      <c r="I55" s="63">
        <v>2.8997561164033774E-2</v>
      </c>
      <c r="J55" s="63"/>
      <c r="K55" s="61">
        <v>0</v>
      </c>
      <c r="L55" s="63">
        <v>8.6591542406051963E-2</v>
      </c>
      <c r="M55" s="63"/>
      <c r="N55" s="63">
        <f>+B55</f>
        <v>7.8413132251119136E-2</v>
      </c>
      <c r="O55" s="63">
        <f>+C55</f>
        <v>0.13674048326773747</v>
      </c>
      <c r="P55" s="63"/>
      <c r="Q55" s="62">
        <v>8.6599999999999996E-2</v>
      </c>
      <c r="R55" s="62">
        <v>2.5499999999999998E-2</v>
      </c>
      <c r="S55" s="62">
        <v>-2.1000000000000001E-2</v>
      </c>
      <c r="T55" s="321">
        <v>0</v>
      </c>
      <c r="U55" s="48"/>
      <c r="V55" s="48"/>
      <c r="W55" s="48"/>
      <c r="X55" s="48"/>
      <c r="Y55" s="48"/>
      <c r="Z55" s="48"/>
      <c r="AA55" s="48"/>
    </row>
    <row r="56" spans="1:27">
      <c r="A56" t="s">
        <v>0</v>
      </c>
      <c r="B56" s="61"/>
      <c r="C56" s="61"/>
      <c r="D56" s="63"/>
      <c r="E56" s="61"/>
      <c r="F56" s="61"/>
      <c r="G56" s="63"/>
      <c r="H56" s="61"/>
      <c r="I56" s="63"/>
      <c r="J56" s="63"/>
      <c r="K56" s="61"/>
      <c r="L56" s="61"/>
      <c r="M56" s="63"/>
      <c r="N56" s="63"/>
      <c r="O56" s="314"/>
      <c r="P56" s="63"/>
      <c r="Q56" s="63"/>
      <c r="R56" s="63"/>
      <c r="S56" s="63"/>
      <c r="T56" s="63"/>
      <c r="U56" s="48"/>
      <c r="V56" s="48"/>
      <c r="W56" s="48"/>
      <c r="X56" s="48"/>
      <c r="Y56" s="48"/>
      <c r="Z56" s="48"/>
      <c r="AA56" s="48"/>
    </row>
    <row r="57" spans="1:27">
      <c r="A57" s="11" t="s">
        <v>229</v>
      </c>
      <c r="B57" s="61"/>
      <c r="C57" s="61"/>
      <c r="D57" s="63"/>
      <c r="E57" s="61"/>
      <c r="F57" s="61"/>
      <c r="G57" s="63"/>
      <c r="H57" s="61"/>
      <c r="I57" s="63"/>
      <c r="J57" s="63"/>
      <c r="K57" s="61"/>
      <c r="L57" s="61"/>
      <c r="M57" s="63"/>
      <c r="N57" s="63"/>
      <c r="O57" s="314"/>
      <c r="P57" s="63"/>
      <c r="Q57" s="63"/>
      <c r="R57" s="63"/>
      <c r="S57" s="63"/>
      <c r="T57" s="63"/>
      <c r="U57" s="48"/>
      <c r="V57" s="48"/>
      <c r="W57" s="48"/>
      <c r="X57" s="48"/>
      <c r="Y57" s="48"/>
      <c r="Z57" s="48"/>
      <c r="AA57" s="48"/>
    </row>
    <row r="58" spans="1:27">
      <c r="A58" s="11"/>
      <c r="B58" s="61"/>
      <c r="C58" s="61"/>
      <c r="D58" s="63"/>
      <c r="E58" s="61"/>
      <c r="F58" s="61"/>
      <c r="G58" s="63"/>
      <c r="H58" s="61"/>
      <c r="I58" s="63"/>
      <c r="J58" s="63"/>
      <c r="K58" s="61"/>
      <c r="L58" s="61"/>
      <c r="M58" s="63"/>
      <c r="N58" s="63"/>
      <c r="O58" s="314"/>
      <c r="P58" s="63"/>
      <c r="Q58" s="63"/>
      <c r="R58" s="63"/>
      <c r="S58" s="63"/>
      <c r="T58" s="63"/>
      <c r="U58" s="48"/>
      <c r="V58" s="48"/>
      <c r="W58" s="48"/>
      <c r="X58" s="48"/>
      <c r="Y58" s="48"/>
      <c r="Z58" s="48"/>
      <c r="AA58" s="48"/>
    </row>
    <row r="59" spans="1:27">
      <c r="A59" t="s">
        <v>230</v>
      </c>
      <c r="B59" s="63">
        <f>+('bncrésult '!B41/((bncvar!B23+bncvar!J23)/2)*4)</f>
        <v>1.6470933010890653E-2</v>
      </c>
      <c r="C59" s="63">
        <v>1.1387712449046601E-2</v>
      </c>
      <c r="D59" s="63"/>
      <c r="E59" s="61">
        <v>0</v>
      </c>
      <c r="F59" s="62">
        <v>9.550026160036789E-3</v>
      </c>
      <c r="G59" s="63"/>
      <c r="H59" s="61">
        <v>0</v>
      </c>
      <c r="I59" s="62">
        <v>1.3322830045721107E-2</v>
      </c>
      <c r="J59" s="63"/>
      <c r="K59" s="61">
        <v>0</v>
      </c>
      <c r="L59" s="63">
        <v>4.504436339437025E-3</v>
      </c>
      <c r="M59" s="63"/>
      <c r="N59" s="320">
        <f>+'sysratfinclédéc. 14'!B37</f>
        <v>1.6470933010890653E-2</v>
      </c>
      <c r="O59" s="320">
        <f>+'sysratfinclédéc. 14'!B38</f>
        <v>1.14E-2</v>
      </c>
      <c r="P59" s="63"/>
      <c r="Q59" s="63">
        <v>9.4000000000000004E-3</v>
      </c>
      <c r="R59" s="63">
        <v>1.04E-2</v>
      </c>
      <c r="S59" s="63">
        <v>1.03E-2</v>
      </c>
      <c r="T59" s="63">
        <v>7.1937219047659142E-3</v>
      </c>
      <c r="U59" s="48"/>
      <c r="V59" s="48"/>
      <c r="W59" s="48"/>
      <c r="X59" s="48"/>
      <c r="Y59" s="48"/>
      <c r="Z59" s="48"/>
      <c r="AA59" s="48"/>
    </row>
    <row r="60" spans="1:27" ht="7.15" customHeight="1">
      <c r="B60" s="61"/>
      <c r="C60" s="61"/>
      <c r="D60" s="63"/>
      <c r="E60" s="61"/>
      <c r="F60" s="61"/>
      <c r="G60" s="63"/>
      <c r="H60" s="61"/>
      <c r="I60" s="63"/>
      <c r="J60" s="63"/>
      <c r="K60" s="61"/>
      <c r="L60" s="61"/>
      <c r="M60" s="63"/>
      <c r="N60" s="61"/>
      <c r="O60" s="63"/>
      <c r="P60" s="63"/>
      <c r="Q60" s="63"/>
      <c r="R60" s="63"/>
      <c r="S60" s="63"/>
      <c r="T60" s="63"/>
      <c r="U60" s="48"/>
      <c r="V60" s="48"/>
      <c r="W60" s="48"/>
      <c r="X60" s="48"/>
      <c r="Y60" s="48"/>
      <c r="Z60" s="48"/>
      <c r="AA60" s="48"/>
    </row>
    <row r="61" spans="1:27">
      <c r="A61" t="s">
        <v>231</v>
      </c>
      <c r="B61" s="63">
        <f>+('bncrésult '!B41/((bncvar!B52+bncvar!J52)/2)*4)</f>
        <v>0.23157935290562021</v>
      </c>
      <c r="C61" s="63">
        <v>0.17442378768489986</v>
      </c>
      <c r="D61" s="63"/>
      <c r="E61" s="61">
        <v>0</v>
      </c>
      <c r="F61" s="63">
        <v>0.14400119978241888</v>
      </c>
      <c r="G61" s="63"/>
      <c r="H61" s="61">
        <v>0</v>
      </c>
      <c r="I61" s="63">
        <v>0.1996670519474108</v>
      </c>
      <c r="J61" s="63"/>
      <c r="K61" s="61">
        <v>0</v>
      </c>
      <c r="L61" s="63">
        <v>6.6098174372663951E-2</v>
      </c>
      <c r="M61" s="63"/>
      <c r="N61" s="320">
        <f>+'sysratfinclédéc. 14'!B43</f>
        <v>0.23157935290562021</v>
      </c>
      <c r="O61" s="320">
        <f>+'sysratfinclédéc. 14'!B44</f>
        <v>0.1744</v>
      </c>
      <c r="P61" s="63"/>
      <c r="Q61" s="63">
        <v>0.1434</v>
      </c>
      <c r="R61" s="63">
        <v>0.17899999999999999</v>
      </c>
      <c r="S61" s="63">
        <v>0.1976</v>
      </c>
      <c r="T61" s="63">
        <v>0.13676024002473522</v>
      </c>
      <c r="U61" s="48"/>
      <c r="V61" s="48"/>
      <c r="W61" s="48"/>
      <c r="X61" s="48"/>
      <c r="Y61" s="48"/>
      <c r="Z61" s="48"/>
      <c r="AA61" s="48"/>
    </row>
    <row r="62" spans="1:27" ht="7.15" customHeight="1">
      <c r="B62" s="61"/>
      <c r="C62" s="61"/>
      <c r="D62" s="63"/>
      <c r="E62" s="61"/>
      <c r="F62" s="61"/>
      <c r="G62" s="63"/>
      <c r="H62" s="61"/>
      <c r="I62" s="63"/>
      <c r="J62" s="63"/>
      <c r="K62" s="61"/>
      <c r="L62" s="61"/>
      <c r="M62" s="63"/>
      <c r="N62" s="61"/>
      <c r="O62" s="63"/>
      <c r="P62" s="63"/>
      <c r="Q62" s="63"/>
      <c r="R62" s="63"/>
      <c r="S62" s="63"/>
      <c r="T62" s="63"/>
      <c r="U62" s="48"/>
      <c r="V62" s="48"/>
      <c r="W62" s="48"/>
      <c r="X62" s="48"/>
      <c r="Y62" s="48"/>
      <c r="Z62" s="48"/>
      <c r="AA62" s="48"/>
    </row>
    <row r="63" spans="1:27">
      <c r="A63" t="s">
        <v>209</v>
      </c>
      <c r="B63" s="61"/>
      <c r="C63" s="61"/>
      <c r="D63" s="63"/>
      <c r="E63" s="61"/>
      <c r="F63" s="61"/>
      <c r="G63" s="63"/>
      <c r="H63" s="61"/>
      <c r="I63" s="63"/>
      <c r="J63" s="63"/>
      <c r="K63" s="61"/>
      <c r="L63" s="61"/>
      <c r="M63" s="63"/>
      <c r="N63" s="61"/>
      <c r="O63" s="63"/>
      <c r="P63" s="63"/>
      <c r="Q63" s="63"/>
      <c r="R63" s="63"/>
      <c r="S63" s="63"/>
      <c r="T63" s="63"/>
      <c r="U63" s="48"/>
      <c r="V63" s="48"/>
      <c r="W63" s="48"/>
      <c r="X63" s="48"/>
      <c r="Y63" s="48"/>
      <c r="Z63" s="48"/>
      <c r="AA63" s="48"/>
    </row>
    <row r="64" spans="1:27">
      <c r="A64" t="s">
        <v>233</v>
      </c>
      <c r="B64" s="63">
        <f>+'bncrésult '!B15/'bncrésult '!B13</f>
        <v>0.93589610329109452</v>
      </c>
      <c r="C64" s="63">
        <v>0.93201940718261367</v>
      </c>
      <c r="D64" s="63"/>
      <c r="E64" s="61">
        <v>0</v>
      </c>
      <c r="F64" s="63">
        <v>0.92751818796918872</v>
      </c>
      <c r="G64" s="63"/>
      <c r="H64" s="61">
        <v>0</v>
      </c>
      <c r="I64" s="63">
        <v>0.93762965415584265</v>
      </c>
      <c r="J64" s="63"/>
      <c r="K64" s="61">
        <v>0</v>
      </c>
      <c r="L64" s="63">
        <v>0.93986760311094719</v>
      </c>
      <c r="M64" s="63"/>
      <c r="N64" s="320">
        <f>+'sysratfinclédéc. 14'!B50</f>
        <v>0.93589610329109452</v>
      </c>
      <c r="O64" s="320">
        <f>+'sysratfinclédéc. 14'!B51</f>
        <v>0.93201940718261367</v>
      </c>
      <c r="P64" s="63"/>
      <c r="Q64" s="63">
        <v>0.93469999999999998</v>
      </c>
      <c r="R64" s="63">
        <v>0.96020000000000005</v>
      </c>
      <c r="S64" s="63">
        <v>0.94420000000000004</v>
      </c>
      <c r="T64" s="63">
        <v>0.94705819649196243</v>
      </c>
      <c r="U64" s="48"/>
      <c r="V64" s="48"/>
      <c r="W64" s="48"/>
      <c r="X64" s="48"/>
      <c r="Y64" s="48"/>
      <c r="Z64" s="48"/>
      <c r="AA64" s="48"/>
    </row>
    <row r="65" spans="1:27" ht="7.15" customHeight="1">
      <c r="B65" s="61"/>
      <c r="C65" s="61"/>
      <c r="D65" s="63"/>
      <c r="E65" s="61"/>
      <c r="F65" s="63"/>
      <c r="G65" s="63"/>
      <c r="H65" s="61"/>
      <c r="I65" s="63"/>
      <c r="J65" s="63"/>
      <c r="K65" s="61"/>
      <c r="L65" s="61"/>
      <c r="M65" s="63"/>
      <c r="N65" s="61"/>
      <c r="O65" s="63"/>
      <c r="P65" s="63"/>
      <c r="Q65" s="63"/>
      <c r="R65" s="63"/>
      <c r="S65" s="63"/>
      <c r="T65" s="63"/>
      <c r="U65" s="48"/>
      <c r="V65" s="48"/>
      <c r="W65" s="48"/>
      <c r="X65" s="48"/>
      <c r="Y65" s="48"/>
      <c r="Z65" s="48"/>
      <c r="AA65" s="48"/>
    </row>
    <row r="66" spans="1:27">
      <c r="A66" t="s">
        <v>234</v>
      </c>
      <c r="B66" s="63">
        <f>+('bncrésult '!B10/((bncvar!B61+bncvar!J61)/2)*4)</f>
        <v>7.8110618426536396E-2</v>
      </c>
      <c r="C66" s="63">
        <v>7.7219206996604534E-2</v>
      </c>
      <c r="D66" s="60"/>
      <c r="E66" s="61">
        <v>0</v>
      </c>
      <c r="F66" s="60">
        <v>7.507806082782871E-2</v>
      </c>
      <c r="G66" s="60"/>
      <c r="H66" s="61">
        <v>0</v>
      </c>
      <c r="I66" s="60">
        <v>8.408650949685588E-2</v>
      </c>
      <c r="J66" s="60"/>
      <c r="K66" s="61">
        <v>0</v>
      </c>
      <c r="L66" s="60">
        <v>7.9073951760796526E-2</v>
      </c>
      <c r="M66" s="60"/>
      <c r="N66" s="320">
        <f>+'sysratfinclédéc. 14'!B56</f>
        <v>7.8110618426536396E-2</v>
      </c>
      <c r="O66" s="320">
        <f>+'sysratfinclédéc. 14'!B57</f>
        <v>7.7200000000000005E-2</v>
      </c>
      <c r="P66" s="60"/>
      <c r="Q66" s="60">
        <v>7.3899999999999993E-2</v>
      </c>
      <c r="R66" s="60">
        <v>8.8599999999999998E-2</v>
      </c>
      <c r="S66" s="60">
        <v>0.1159</v>
      </c>
      <c r="T66" s="60">
        <v>0.13693374142358791</v>
      </c>
    </row>
    <row r="67" spans="1:27" ht="7.15" customHeight="1">
      <c r="B67" s="17"/>
      <c r="C67" s="17"/>
      <c r="D67" s="60"/>
      <c r="E67" s="54"/>
      <c r="F67" s="60"/>
      <c r="G67" s="60"/>
      <c r="H67" s="54"/>
      <c r="I67" s="60"/>
      <c r="J67" s="60"/>
      <c r="K67" s="54"/>
      <c r="L67" s="54"/>
      <c r="M67" s="60"/>
      <c r="N67" s="54"/>
      <c r="O67" s="60"/>
      <c r="P67" s="60"/>
      <c r="Q67" s="60"/>
      <c r="R67" s="60"/>
      <c r="S67" s="60"/>
      <c r="T67" s="60"/>
    </row>
    <row r="68" spans="1:27" ht="15.75" customHeight="1">
      <c r="A68" t="s">
        <v>630</v>
      </c>
      <c r="B68" s="984">
        <f>+('bncrésult '!B10/((bncvar!B61-bncvar!B63+bncvar!J61-bncvar!J63)/2)*4)</f>
        <v>8.1999271830788839E-2</v>
      </c>
      <c r="C68" s="984">
        <v>8.0254981019515892E-2</v>
      </c>
      <c r="D68" s="60"/>
      <c r="E68" s="54">
        <v>0</v>
      </c>
      <c r="F68" s="60">
        <v>7.9421837421353073E-2</v>
      </c>
      <c r="G68" s="60"/>
      <c r="H68" s="54">
        <v>0</v>
      </c>
      <c r="I68" s="60">
        <v>8.7786589121102779E-2</v>
      </c>
      <c r="J68" s="60"/>
      <c r="K68" s="54">
        <v>0</v>
      </c>
      <c r="L68" s="60">
        <v>8.2204144826903344E-2</v>
      </c>
      <c r="M68" s="60"/>
      <c r="N68" s="320">
        <f>+'sysratfinclédéc. 14'!B62</f>
        <v>8.1999271830788825E-2</v>
      </c>
      <c r="O68" s="320">
        <f>+'sysratfinclédéc. 14'!B63</f>
        <v>8.0299999999999996E-2</v>
      </c>
      <c r="P68" s="60"/>
      <c r="Q68" s="60">
        <v>7.6499999999999999E-2</v>
      </c>
      <c r="R68" s="60">
        <v>9.0499999999999997E-2</v>
      </c>
      <c r="S68" s="60">
        <v>0.1221</v>
      </c>
      <c r="T68" s="60">
        <v>0.15235568148175019</v>
      </c>
    </row>
    <row r="69" spans="1:27" ht="7.15" customHeight="1">
      <c r="B69" s="17"/>
      <c r="C69" s="17"/>
      <c r="D69" s="60"/>
      <c r="E69" s="54"/>
      <c r="F69" s="60"/>
      <c r="G69" s="60"/>
      <c r="H69" s="54"/>
      <c r="I69" s="60"/>
      <c r="J69" s="60"/>
      <c r="K69" s="54"/>
      <c r="L69" s="54"/>
      <c r="M69" s="60"/>
      <c r="N69" s="54"/>
      <c r="O69" s="60"/>
      <c r="P69" s="60"/>
      <c r="Q69" s="60"/>
      <c r="R69" s="60"/>
      <c r="S69" s="60"/>
      <c r="T69" s="60"/>
    </row>
    <row r="70" spans="1:27">
      <c r="A70" t="s">
        <v>235</v>
      </c>
      <c r="B70" s="63">
        <f>+('bncrésult '!B14/((bncvar!B30+bncvar!J30)/2)*4)</f>
        <v>2.5679553575070108E-3</v>
      </c>
      <c r="C70" s="63">
        <v>2.2956731424848449E-3</v>
      </c>
      <c r="D70" s="60"/>
      <c r="E70" s="61">
        <v>0</v>
      </c>
      <c r="F70" s="60">
        <v>2.2281779553125084E-3</v>
      </c>
      <c r="G70" s="60"/>
      <c r="H70" s="61">
        <v>0</v>
      </c>
      <c r="I70" s="60">
        <v>2.2728750977015289E-3</v>
      </c>
      <c r="J70" s="60"/>
      <c r="K70" s="61">
        <v>0</v>
      </c>
      <c r="L70" s="60">
        <v>2.2807972443572989E-3</v>
      </c>
      <c r="M70" s="60"/>
      <c r="N70" s="320">
        <f>+'sysratfinclédéc. 14'!B68</f>
        <v>2.5679553575070108E-3</v>
      </c>
      <c r="O70" s="320">
        <f>+'sysratfinclédéc. 14'!B69</f>
        <v>2.3E-3</v>
      </c>
      <c r="P70" s="60"/>
      <c r="Q70" s="60">
        <v>2.2000000000000001E-3</v>
      </c>
      <c r="R70" s="60">
        <v>1.1000000000000001E-3</v>
      </c>
      <c r="S70" s="60">
        <v>1.1999999999999999E-3</v>
      </c>
      <c r="T70" s="60">
        <v>1.1353360982382693E-3</v>
      </c>
    </row>
    <row r="71" spans="1:27" ht="6" customHeight="1">
      <c r="B71" s="17"/>
      <c r="C71" s="17"/>
      <c r="D71" s="60"/>
      <c r="E71" s="54" t="s">
        <v>0</v>
      </c>
      <c r="F71" s="60" t="s">
        <v>0</v>
      </c>
      <c r="G71" s="60"/>
      <c r="H71" s="54" t="s">
        <v>0</v>
      </c>
      <c r="I71" s="60" t="s">
        <v>0</v>
      </c>
      <c r="J71" s="60"/>
      <c r="K71" s="54" t="s">
        <v>0</v>
      </c>
      <c r="L71" s="54" t="s">
        <v>0</v>
      </c>
      <c r="M71" s="60"/>
      <c r="N71" s="54"/>
      <c r="O71" s="60"/>
      <c r="P71" s="60"/>
      <c r="Q71" s="60"/>
      <c r="R71" s="60"/>
      <c r="S71" s="60"/>
      <c r="T71" s="60"/>
    </row>
    <row r="72" spans="1:27">
      <c r="A72" t="s">
        <v>212</v>
      </c>
      <c r="B72" s="17"/>
      <c r="C72" s="17"/>
      <c r="D72" s="60"/>
      <c r="E72" s="54"/>
      <c r="F72" s="60"/>
      <c r="G72" s="60"/>
      <c r="H72" s="54"/>
      <c r="I72" s="60"/>
      <c r="J72" s="60"/>
      <c r="K72" s="54"/>
      <c r="L72" s="54"/>
      <c r="M72" s="60"/>
      <c r="N72" s="54"/>
      <c r="O72" s="60"/>
      <c r="P72" s="60"/>
      <c r="Q72" s="60"/>
      <c r="R72" s="60"/>
      <c r="S72" s="60"/>
      <c r="T72" s="60"/>
    </row>
    <row r="73" spans="1:27">
      <c r="A73" t="s">
        <v>236</v>
      </c>
      <c r="B73" s="63">
        <f>+'bncrésult '!B35/'bncrésult '!B23</f>
        <v>0.59283524066629756</v>
      </c>
      <c r="C73" s="63">
        <v>0.63171381166927787</v>
      </c>
      <c r="D73" s="60"/>
      <c r="E73" s="61">
        <v>0</v>
      </c>
      <c r="F73" s="60">
        <v>0.70233386200438652</v>
      </c>
      <c r="G73" s="60"/>
      <c r="H73" s="61">
        <v>0</v>
      </c>
      <c r="I73" s="60">
        <v>0.59975269527086306</v>
      </c>
      <c r="J73" s="60"/>
      <c r="K73" s="61">
        <v>0</v>
      </c>
      <c r="L73" s="60">
        <v>0.76461246797037163</v>
      </c>
      <c r="M73" s="60"/>
      <c r="N73" s="320">
        <f>+'sysratfinclédéc. 14'!B76</f>
        <v>0.59283524066629756</v>
      </c>
      <c r="O73" s="320">
        <f>+'sysratfinclédéc. 14'!B77</f>
        <v>0.63171381166927787</v>
      </c>
      <c r="P73" s="60"/>
      <c r="Q73" s="60">
        <v>0.67649999999999999</v>
      </c>
      <c r="R73" s="60">
        <v>0.66390000000000005</v>
      </c>
      <c r="S73" s="60">
        <v>0.65949999999999998</v>
      </c>
      <c r="T73" s="60">
        <v>0.7300181126932308</v>
      </c>
    </row>
    <row r="74" spans="1:27">
      <c r="A74" t="s">
        <v>385</v>
      </c>
      <c r="B74" s="17"/>
      <c r="C74" s="17"/>
      <c r="D74" s="60"/>
      <c r="E74" s="54"/>
      <c r="F74" s="54"/>
      <c r="G74" s="60"/>
      <c r="H74" s="54"/>
      <c r="I74" s="54"/>
      <c r="J74" s="60"/>
      <c r="K74" s="54"/>
      <c r="L74" s="54"/>
      <c r="M74" s="60"/>
      <c r="N74" s="54"/>
      <c r="O74" s="60"/>
      <c r="P74" s="60"/>
      <c r="Q74" s="60"/>
      <c r="R74" s="60"/>
      <c r="S74" s="60"/>
      <c r="T74" s="60"/>
    </row>
    <row r="75" spans="1:27">
      <c r="B75" s="17"/>
      <c r="C75" s="17"/>
      <c r="D75" s="60"/>
      <c r="E75" s="54"/>
      <c r="F75" s="54"/>
      <c r="G75" s="60"/>
      <c r="H75" s="54"/>
      <c r="I75" s="54"/>
      <c r="J75" s="60"/>
      <c r="K75" s="54"/>
      <c r="L75" s="54"/>
      <c r="M75" s="60"/>
      <c r="N75" s="54"/>
      <c r="O75" s="60"/>
      <c r="P75" s="60"/>
      <c r="Q75" s="60"/>
      <c r="R75" s="60"/>
      <c r="S75" s="60"/>
      <c r="T75" s="60"/>
    </row>
    <row r="76" spans="1:27">
      <c r="A76" t="s">
        <v>396</v>
      </c>
      <c r="B76" s="1311">
        <f>+(('bncrésult '!B23/((employés!E138+employés!E136)/2)*4))</f>
        <v>2720.6331777572964</v>
      </c>
      <c r="C76" s="1311">
        <v>2743.6630001044382</v>
      </c>
      <c r="D76" s="60"/>
      <c r="E76" s="54">
        <f>+('bncrésult '!D23/((employés!E130+employés!E132)/2)*4)</f>
        <v>0</v>
      </c>
      <c r="F76" s="54">
        <v>2343.8794197685947</v>
      </c>
      <c r="G76" s="60"/>
      <c r="H76" s="54">
        <v>0</v>
      </c>
      <c r="I76" s="54">
        <v>2709.8527120697859</v>
      </c>
      <c r="J76" s="60"/>
      <c r="K76" s="54">
        <f>+('bncrésult '!H23/((employés!E134+employés!E136)/2)*4)</f>
        <v>0</v>
      </c>
      <c r="L76" s="54">
        <v>2928.572767837627</v>
      </c>
      <c r="M76" s="60"/>
      <c r="N76" s="663">
        <f>+'sysratfinclédéc. 14'!B82</f>
        <v>2720.6331777572964</v>
      </c>
      <c r="O76" s="663">
        <f>+'sysratfinclédéc. 14'!B83</f>
        <v>2743.66</v>
      </c>
      <c r="P76" s="60"/>
      <c r="Q76" s="54">
        <v>2676.4</v>
      </c>
      <c r="R76" s="54">
        <v>2699.7</v>
      </c>
      <c r="S76" s="54">
        <v>2395</v>
      </c>
      <c r="T76" s="54">
        <v>2065.8762270385396</v>
      </c>
    </row>
    <row r="77" spans="1:27" ht="16.5" thickBot="1">
      <c r="B77" s="25"/>
      <c r="C77" s="25"/>
      <c r="D77" s="25"/>
      <c r="E77" s="25"/>
      <c r="F77" s="25"/>
      <c r="G77" s="25"/>
      <c r="H77" s="25"/>
      <c r="I77" s="25"/>
      <c r="J77" s="25"/>
      <c r="K77" s="25"/>
      <c r="L77" s="25"/>
      <c r="M77" s="25"/>
      <c r="N77" s="25"/>
      <c r="O77" s="25"/>
      <c r="P77" s="25"/>
      <c r="Q77" s="25"/>
      <c r="R77" s="25"/>
      <c r="S77" s="25"/>
      <c r="T77" s="25"/>
    </row>
  </sheetData>
  <phoneticPr fontId="0" type="noConversion"/>
  <pageMargins left="0.2" right="0.2" top="0.41" bottom="0.42" header="0.34" footer="0.2"/>
  <pageSetup scale="44" orientation="landscape" r:id="rId1"/>
  <headerFooter alignWithMargins="0">
    <oddFooter>&amp;R&amp;16&amp;P</oddFooter>
  </headerFooter>
</worksheet>
</file>

<file path=xl/worksheets/sheet67.xml><?xml version="1.0" encoding="utf-8"?>
<worksheet xmlns="http://schemas.openxmlformats.org/spreadsheetml/2006/main" xmlns:r="http://schemas.openxmlformats.org/officeDocument/2006/relationships">
  <sheetPr>
    <pageSetUpPr fitToPage="1"/>
  </sheetPr>
  <dimension ref="A1:U175"/>
  <sheetViews>
    <sheetView topLeftCell="A6" workbookViewId="0">
      <pane xSplit="1" ySplit="2" topLeftCell="B8" activePane="bottomRight" state="frozen"/>
      <selection activeCell="F7" sqref="F7"/>
      <selection pane="topRight" activeCell="F7" sqref="F7"/>
      <selection pane="bottomLeft" activeCell="F7" sqref="F7"/>
      <selection pane="bottomRight" activeCell="B56" sqref="B56"/>
    </sheetView>
  </sheetViews>
  <sheetFormatPr baseColWidth="10" defaultColWidth="9" defaultRowHeight="15.75"/>
  <cols>
    <col min="1" max="1" width="33.25" customWidth="1"/>
    <col min="2" max="2" width="16.375" style="20" customWidth="1"/>
    <col min="3" max="3" width="9.75" style="21" customWidth="1"/>
    <col min="4" max="4" width="15.75" style="20" customWidth="1"/>
    <col min="5" max="5" width="9.75" style="21" customWidth="1"/>
    <col min="6" max="6" width="15.75" style="20" customWidth="1"/>
    <col min="7" max="7" width="11.625" style="21" customWidth="1"/>
    <col min="8" max="8" width="15.75" style="20" customWidth="1"/>
    <col min="9" max="9" width="11.3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11" t="s">
        <v>394</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s="11" customFormat="1" ht="16.5" thickBot="1">
      <c r="B6" s="346" t="s">
        <v>0</v>
      </c>
      <c r="C6" s="345"/>
      <c r="D6" s="346"/>
      <c r="E6" s="345"/>
      <c r="F6" s="346"/>
      <c r="G6" s="345"/>
      <c r="H6" s="346"/>
      <c r="I6" s="402" t="str">
        <f>+somfinbilsys!I6</f>
        <v>Var. déc. 14</v>
      </c>
      <c r="J6" s="118" t="s">
        <v>195</v>
      </c>
      <c r="K6" s="207"/>
      <c r="L6" s="118"/>
      <c r="M6" s="207"/>
      <c r="N6" s="118"/>
      <c r="O6" s="207"/>
      <c r="P6" s="118"/>
      <c r="Q6" s="13"/>
      <c r="R6" s="13"/>
    </row>
    <row r="7" spans="1:21" s="11" customFormat="1" ht="16.5" thickBot="1">
      <c r="B7" s="200" t="str">
        <f>+somfinbilsys!B7</f>
        <v>Déc. 14</v>
      </c>
      <c r="C7" s="201" t="s">
        <v>196</v>
      </c>
      <c r="D7" s="200" t="str">
        <f>+somfinbilsys!D7</f>
        <v>Mars 15</v>
      </c>
      <c r="E7" s="201" t="s">
        <v>196</v>
      </c>
      <c r="F7" s="200" t="str">
        <f>+somfinbilsys!F7</f>
        <v>Juin 15</v>
      </c>
      <c r="G7" s="201" t="s">
        <v>196</v>
      </c>
      <c r="H7" s="200" t="str">
        <f>+somfinbilsys!H7</f>
        <v>Sept. 15</v>
      </c>
      <c r="I7" s="1019" t="str">
        <f>+somfinbilsys!I7</f>
        <v>/sept. 14</v>
      </c>
      <c r="J7" s="1020" t="str">
        <f>+somfinbilsys!J7</f>
        <v>2014</v>
      </c>
      <c r="K7" s="204" t="s">
        <v>196</v>
      </c>
      <c r="L7" s="1020" t="str">
        <f>+somfinbilsys!L7</f>
        <v>2013</v>
      </c>
      <c r="M7" s="204" t="s">
        <v>196</v>
      </c>
      <c r="N7" s="1020" t="str">
        <f>+somfinbilsys!N7</f>
        <v>2012</v>
      </c>
      <c r="O7" s="204" t="s">
        <v>196</v>
      </c>
      <c r="P7" s="1020" t="str">
        <f>+somfinbilsys!P7</f>
        <v>2011</v>
      </c>
      <c r="Q7" s="2"/>
      <c r="R7" s="2"/>
      <c r="S7" s="3"/>
      <c r="T7" s="3"/>
      <c r="U7" s="3"/>
    </row>
    <row r="8" spans="1:21">
      <c r="A8" s="86" t="s">
        <v>244</v>
      </c>
      <c r="B8" s="120"/>
      <c r="C8" s="119"/>
      <c r="D8" s="120"/>
      <c r="E8" s="119"/>
      <c r="F8" s="120"/>
      <c r="G8" s="119"/>
      <c r="H8" s="287" t="s">
        <v>0</v>
      </c>
      <c r="I8" s="119"/>
      <c r="J8" s="197"/>
      <c r="K8" s="119"/>
      <c r="L8" s="197"/>
      <c r="M8" s="119"/>
      <c r="N8" s="197"/>
      <c r="O8" s="119"/>
      <c r="P8" s="197"/>
      <c r="Q8" s="22"/>
      <c r="R8" s="22"/>
      <c r="S8" s="17"/>
      <c r="T8" s="17"/>
      <c r="U8" s="17"/>
    </row>
    <row r="9" spans="1:21">
      <c r="A9" s="10" t="s">
        <v>255</v>
      </c>
      <c r="B9"/>
      <c r="D9" s="24" t="s">
        <v>0</v>
      </c>
      <c r="F9" s="24" t="s">
        <v>0</v>
      </c>
    </row>
    <row r="10" spans="1:21">
      <c r="A10" s="10" t="s">
        <v>256</v>
      </c>
      <c r="B10" s="20">
        <v>4685005.6830000002</v>
      </c>
      <c r="C10" s="49">
        <v>0</v>
      </c>
      <c r="D10" s="20">
        <v>0</v>
      </c>
      <c r="E10" s="49">
        <v>0</v>
      </c>
      <c r="F10" s="20">
        <v>0</v>
      </c>
      <c r="G10" s="49">
        <v>0</v>
      </c>
      <c r="H10" s="20">
        <v>0</v>
      </c>
      <c r="I10" s="52">
        <f>+(B10-J10)/ABS(J10)</f>
        <v>4.146263524194245E-2</v>
      </c>
      <c r="J10" s="20">
        <v>4498486.5750000002</v>
      </c>
      <c r="K10" s="52">
        <f t="shared" ref="K10:K15" si="0">+(J10-L10)/L10</f>
        <v>0.86620508636064786</v>
      </c>
      <c r="L10" s="20">
        <v>2410499.5789999999</v>
      </c>
      <c r="M10" s="52">
        <f>+(L10-N10)/N10</f>
        <v>0.75934229074973414</v>
      </c>
      <c r="N10" s="20">
        <v>1370114.0430000001</v>
      </c>
      <c r="O10" s="52">
        <f>+(N10-P10)/P10</f>
        <v>-7.9332538884503367E-2</v>
      </c>
      <c r="P10" s="20">
        <v>1488174.7220000001</v>
      </c>
    </row>
    <row r="11" spans="1:21">
      <c r="A11" s="10" t="s">
        <v>257</v>
      </c>
      <c r="B11" s="20">
        <v>10240683.537</v>
      </c>
      <c r="C11" s="49">
        <v>0</v>
      </c>
      <c r="D11" s="20">
        <v>0</v>
      </c>
      <c r="E11" s="49">
        <v>0</v>
      </c>
      <c r="F11" s="20">
        <v>0</v>
      </c>
      <c r="G11" s="49">
        <v>0</v>
      </c>
      <c r="H11" s="20">
        <v>0</v>
      </c>
      <c r="I11" s="52">
        <f>+(B11-J11)/ABS(J11)</f>
        <v>-9.9245526586853913E-2</v>
      </c>
      <c r="J11" s="20">
        <v>11369006.581999999</v>
      </c>
      <c r="K11" s="52">
        <f t="shared" si="0"/>
        <v>-4.1100056294706838E-2</v>
      </c>
      <c r="L11" s="20">
        <v>11856301.23</v>
      </c>
      <c r="M11" s="52">
        <f>+(L11-N11)/N11</f>
        <v>-0.37051112273085585</v>
      </c>
      <c r="N11" s="20">
        <v>18834806.552000001</v>
      </c>
      <c r="O11" s="52">
        <f>+(N11-P11)/P11</f>
        <v>5.3039117490098708E-2</v>
      </c>
      <c r="P11" s="20">
        <v>17886141.397</v>
      </c>
    </row>
    <row r="12" spans="1:21">
      <c r="A12" s="10" t="s">
        <v>258</v>
      </c>
      <c r="B12" s="20">
        <v>459217.15899999999</v>
      </c>
      <c r="C12" s="49">
        <v>0</v>
      </c>
      <c r="D12" s="20">
        <v>0</v>
      </c>
      <c r="E12" s="49">
        <v>0</v>
      </c>
      <c r="F12" s="20">
        <v>0</v>
      </c>
      <c r="G12" s="49">
        <v>0</v>
      </c>
      <c r="H12" s="20">
        <v>0</v>
      </c>
      <c r="I12" s="52">
        <f>+(B12-J12)/ABS(J12)</f>
        <v>-0.62587366508460673</v>
      </c>
      <c r="J12" s="20">
        <v>1227438.7450000001</v>
      </c>
      <c r="K12" s="52">
        <f t="shared" si="0"/>
        <v>1.1371497603480021</v>
      </c>
      <c r="L12" s="20">
        <v>574334.45600000001</v>
      </c>
      <c r="M12" s="52">
        <f>+(L12-N12)/N12</f>
        <v>-0.52063635467966884</v>
      </c>
      <c r="N12" s="20">
        <v>1198118.5090000001</v>
      </c>
      <c r="O12" s="52">
        <f>+(N12-P12)/P12</f>
        <v>-0.45482848602623493</v>
      </c>
      <c r="P12" s="20">
        <v>2197690.9619999998</v>
      </c>
    </row>
    <row r="13" spans="1:21">
      <c r="A13" s="10" t="s">
        <v>259</v>
      </c>
      <c r="B13" s="20">
        <v>0</v>
      </c>
      <c r="C13" s="49">
        <v>0</v>
      </c>
      <c r="D13" s="20">
        <v>0</v>
      </c>
      <c r="E13" s="49">
        <v>0</v>
      </c>
      <c r="F13" s="20">
        <v>0</v>
      </c>
      <c r="G13" s="49">
        <v>0</v>
      </c>
      <c r="H13" s="20">
        <v>0</v>
      </c>
      <c r="I13" s="49">
        <v>0</v>
      </c>
      <c r="J13" s="20">
        <v>0</v>
      </c>
      <c r="K13" s="49">
        <v>0</v>
      </c>
      <c r="L13" s="20">
        <v>0</v>
      </c>
      <c r="M13" s="49">
        <v>0</v>
      </c>
      <c r="N13" s="20">
        <v>0</v>
      </c>
      <c r="O13" s="49">
        <v>0</v>
      </c>
      <c r="P13" s="20">
        <v>0</v>
      </c>
    </row>
    <row r="14" spans="1:21">
      <c r="A14" s="10" t="s">
        <v>260</v>
      </c>
      <c r="B14" s="217">
        <v>193459.598</v>
      </c>
      <c r="C14" s="49">
        <v>0</v>
      </c>
      <c r="D14" s="217">
        <v>0</v>
      </c>
      <c r="E14" s="49">
        <v>0</v>
      </c>
      <c r="F14" s="217">
        <v>0</v>
      </c>
      <c r="G14" s="49">
        <v>0</v>
      </c>
      <c r="H14" s="217">
        <v>0</v>
      </c>
      <c r="I14" s="52">
        <f>+(B14-J14)/ABS(J14)</f>
        <v>0.32489593525520233</v>
      </c>
      <c r="J14" s="217">
        <v>146018.71199999997</v>
      </c>
      <c r="K14" s="52">
        <f t="shared" si="0"/>
        <v>-2.4439489543916389E-2</v>
      </c>
      <c r="L14" s="217">
        <v>149676.73500000002</v>
      </c>
      <c r="M14" s="52">
        <f>+(L14-N14)/N14</f>
        <v>-0.43313632964559534</v>
      </c>
      <c r="N14" s="217">
        <v>264043.61900000001</v>
      </c>
      <c r="O14" s="52">
        <f>+(N14-P14)/P14</f>
        <v>0.21580377277102847</v>
      </c>
      <c r="P14" s="199">
        <v>217176.18000000002</v>
      </c>
    </row>
    <row r="15" spans="1:21" ht="15.6" customHeight="1">
      <c r="A15" s="10"/>
      <c r="B15" s="20">
        <f>SUM(B10:B14)</f>
        <v>15578365.977</v>
      </c>
      <c r="C15" s="49">
        <v>0</v>
      </c>
      <c r="D15" s="20">
        <f>SUM(D10:D14)</f>
        <v>0</v>
      </c>
      <c r="E15" s="49">
        <v>0</v>
      </c>
      <c r="F15" s="20">
        <f>SUM(F10:F14)</f>
        <v>0</v>
      </c>
      <c r="G15" s="49">
        <v>0</v>
      </c>
      <c r="H15" s="20">
        <f>SUM(H10:H14)</f>
        <v>0</v>
      </c>
      <c r="I15" s="52">
        <f>+(B15-J15)/ABS(J15)</f>
        <v>-9.6432306676288937E-2</v>
      </c>
      <c r="J15" s="20">
        <f>SUM(J10:J14)</f>
        <v>17240950.614</v>
      </c>
      <c r="K15" s="52">
        <f t="shared" si="0"/>
        <v>0.15010118291123922</v>
      </c>
      <c r="L15" s="20">
        <f>SUM(L10:L14)</f>
        <v>14990812</v>
      </c>
      <c r="M15" s="52">
        <f>+(L15-N15)/N15</f>
        <v>-0.30812965494025729</v>
      </c>
      <c r="N15" s="20">
        <f>SUM(N10:N14)</f>
        <v>21667082.723000001</v>
      </c>
      <c r="O15" s="52">
        <f>+(N15-P15)/P15</f>
        <v>-5.603722569011752E-3</v>
      </c>
      <c r="P15" s="20">
        <f>SUM(P10:P14)</f>
        <v>21789183.261</v>
      </c>
    </row>
    <row r="16" spans="1:21" ht="7.9" customHeight="1">
      <c r="A16" s="10"/>
      <c r="C16" s="49" t="s">
        <v>0</v>
      </c>
      <c r="E16" s="49" t="s">
        <v>0</v>
      </c>
      <c r="G16" s="49" t="s">
        <v>0</v>
      </c>
      <c r="I16" s="52" t="s">
        <v>0</v>
      </c>
      <c r="K16" s="52" t="s">
        <v>0</v>
      </c>
      <c r="M16" s="52" t="s">
        <v>0</v>
      </c>
      <c r="O16" s="52" t="s">
        <v>0</v>
      </c>
    </row>
    <row r="17" spans="1:16" ht="16.149999999999999" customHeight="1">
      <c r="A17" s="10" t="s">
        <v>261</v>
      </c>
      <c r="B17" s="20">
        <v>3810000</v>
      </c>
      <c r="C17" s="49">
        <v>0</v>
      </c>
      <c r="D17" s="20">
        <v>0</v>
      </c>
      <c r="E17" s="49">
        <v>0</v>
      </c>
      <c r="F17" s="20">
        <v>0</v>
      </c>
      <c r="G17" s="49">
        <v>0</v>
      </c>
      <c r="H17" s="20">
        <v>0</v>
      </c>
      <c r="I17" s="52">
        <f t="shared" ref="I17:I23" si="1">+(B17-J17)/ABS(J17)</f>
        <v>0.63239074550128538</v>
      </c>
      <c r="J17" s="20">
        <v>2334000</v>
      </c>
      <c r="K17" s="52">
        <f t="shared" ref="K17:K23" si="2">+(J17-L17)/L17</f>
        <v>-0.5883597883597883</v>
      </c>
      <c r="L17" s="20">
        <v>5670000</v>
      </c>
      <c r="M17" s="52">
        <f t="shared" ref="M17:M23" si="3">+(L17-N17)/N17</f>
        <v>0.66868704348386543</v>
      </c>
      <c r="N17" s="20">
        <v>3397881</v>
      </c>
      <c r="O17" s="52">
        <f t="shared" ref="O17:O23" si="4">+(N17-P17)/P17</f>
        <v>-0.11697467736157451</v>
      </c>
      <c r="P17" s="20">
        <v>3847999.5</v>
      </c>
    </row>
    <row r="18" spans="1:16" ht="16.149999999999999" customHeight="1">
      <c r="A18" s="10" t="s">
        <v>909</v>
      </c>
      <c r="B18" s="20">
        <v>2875000</v>
      </c>
      <c r="C18" s="49">
        <v>0</v>
      </c>
      <c r="D18" s="20">
        <v>0</v>
      </c>
      <c r="E18" s="49">
        <v>0</v>
      </c>
      <c r="F18" s="20">
        <v>0</v>
      </c>
      <c r="G18" s="49">
        <v>0</v>
      </c>
      <c r="H18" s="20">
        <v>0</v>
      </c>
      <c r="I18" s="52">
        <f t="shared" si="1"/>
        <v>-0.25806451612903225</v>
      </c>
      <c r="J18" s="20">
        <v>3875000</v>
      </c>
      <c r="K18" s="49">
        <v>0</v>
      </c>
      <c r="L18" s="20">
        <v>0</v>
      </c>
      <c r="M18" s="49">
        <v>0</v>
      </c>
      <c r="N18" s="20">
        <v>0</v>
      </c>
      <c r="O18" s="49">
        <v>0</v>
      </c>
      <c r="P18" s="20">
        <v>0</v>
      </c>
    </row>
    <row r="19" spans="1:16">
      <c r="A19" s="10" t="s">
        <v>262</v>
      </c>
      <c r="B19" s="20">
        <v>6804854.0197400004</v>
      </c>
      <c r="C19" s="49">
        <v>0</v>
      </c>
      <c r="D19" s="20">
        <v>0</v>
      </c>
      <c r="E19" s="49">
        <v>0</v>
      </c>
      <c r="F19" s="20">
        <v>0</v>
      </c>
      <c r="G19" s="49">
        <v>0</v>
      </c>
      <c r="H19" s="20">
        <v>0</v>
      </c>
      <c r="I19" s="52">
        <f t="shared" si="1"/>
        <v>1.3485058541288147E-2</v>
      </c>
      <c r="J19" s="20">
        <v>6714311.1409400012</v>
      </c>
      <c r="K19" s="52">
        <f t="shared" si="2"/>
        <v>-0.23690264787676088</v>
      </c>
      <c r="L19" s="20">
        <v>8798760.8949999996</v>
      </c>
      <c r="M19" s="52">
        <f t="shared" si="3"/>
        <v>0.21149913816522173</v>
      </c>
      <c r="N19" s="20">
        <v>7262705.0385900009</v>
      </c>
      <c r="O19" s="52">
        <f t="shared" si="4"/>
        <v>0.75761879612692817</v>
      </c>
      <c r="P19" s="20">
        <v>4132127.5435800003</v>
      </c>
    </row>
    <row r="20" spans="1:16">
      <c r="A20" s="10" t="s">
        <v>263</v>
      </c>
      <c r="B20" s="20">
        <v>10524694.186369998</v>
      </c>
      <c r="C20" s="49">
        <v>0</v>
      </c>
      <c r="D20" s="20">
        <v>0</v>
      </c>
      <c r="E20" s="49">
        <v>0</v>
      </c>
      <c r="F20" s="20">
        <v>0</v>
      </c>
      <c r="G20" s="49">
        <v>0</v>
      </c>
      <c r="H20" s="20">
        <v>0</v>
      </c>
      <c r="I20" s="52">
        <f t="shared" si="1"/>
        <v>-6.5674872083952104E-2</v>
      </c>
      <c r="J20" s="20">
        <v>11264487.9945</v>
      </c>
      <c r="K20" s="52">
        <f t="shared" si="2"/>
        <v>0.11397820253948342</v>
      </c>
      <c r="L20" s="20">
        <v>10111946.507410001</v>
      </c>
      <c r="M20" s="52">
        <f t="shared" si="3"/>
        <v>0.59293444594170153</v>
      </c>
      <c r="N20" s="20">
        <v>6347999.1491</v>
      </c>
      <c r="O20" s="52">
        <f t="shared" si="4"/>
        <v>0.69228413715382831</v>
      </c>
      <c r="P20" s="20">
        <v>3751142.6182700004</v>
      </c>
    </row>
    <row r="21" spans="1:16">
      <c r="A21" s="10" t="s">
        <v>264</v>
      </c>
      <c r="B21" s="20">
        <v>1371154.9584999997</v>
      </c>
      <c r="C21" s="49">
        <v>0</v>
      </c>
      <c r="D21" s="20">
        <v>0</v>
      </c>
      <c r="E21" s="49">
        <v>0</v>
      </c>
      <c r="F21" s="20">
        <v>0</v>
      </c>
      <c r="G21" s="49">
        <v>0</v>
      </c>
      <c r="H21" s="20">
        <v>0</v>
      </c>
      <c r="I21" s="52">
        <f t="shared" si="1"/>
        <v>2.1205035287280311E-2</v>
      </c>
      <c r="J21" s="20">
        <v>1342683.3114999998</v>
      </c>
      <c r="K21" s="52">
        <f t="shared" si="2"/>
        <v>0.13441267484528047</v>
      </c>
      <c r="L21" s="20">
        <v>1183593.3618099999</v>
      </c>
      <c r="M21" s="52">
        <f t="shared" si="3"/>
        <v>6.66296718412802E-2</v>
      </c>
      <c r="N21" s="20">
        <v>1109657.2625500001</v>
      </c>
      <c r="O21" s="52">
        <f t="shared" si="4"/>
        <v>0.1836068015128183</v>
      </c>
      <c r="P21" s="20">
        <v>937521.87055000011</v>
      </c>
    </row>
    <row r="22" spans="1:16" ht="16.5" thickBot="1">
      <c r="A22" s="10" t="s">
        <v>265</v>
      </c>
      <c r="B22" s="79">
        <v>1923646.8364599999</v>
      </c>
      <c r="C22" s="49">
        <v>0</v>
      </c>
      <c r="D22" s="79">
        <v>0</v>
      </c>
      <c r="E22" s="49">
        <v>0</v>
      </c>
      <c r="F22" s="79">
        <v>0</v>
      </c>
      <c r="G22" s="49">
        <v>0</v>
      </c>
      <c r="H22" s="79">
        <v>0</v>
      </c>
      <c r="I22" s="52">
        <f t="shared" si="1"/>
        <v>9.0809182980780834E-3</v>
      </c>
      <c r="J22" s="79">
        <v>1906335.5589999999</v>
      </c>
      <c r="K22" s="52">
        <f t="shared" si="2"/>
        <v>5.460951092161162E-2</v>
      </c>
      <c r="L22" s="79">
        <v>1807622.1949999998</v>
      </c>
      <c r="M22" s="52">
        <f t="shared" si="3"/>
        <v>-7.3348132795932513E-3</v>
      </c>
      <c r="N22" s="97">
        <v>1820978.7339999999</v>
      </c>
      <c r="O22" s="52">
        <f t="shared" si="4"/>
        <v>5.1498108128111272E-2</v>
      </c>
      <c r="P22" s="97">
        <v>1731794.5889999999</v>
      </c>
    </row>
    <row r="23" spans="1:16">
      <c r="A23" s="10" t="s">
        <v>54</v>
      </c>
      <c r="B23" s="13">
        <f>SUM(B15:B22)</f>
        <v>42887715.978069998</v>
      </c>
      <c r="C23" s="49">
        <v>0</v>
      </c>
      <c r="D23" s="13">
        <f>SUM(D15:D22)</f>
        <v>0</v>
      </c>
      <c r="E23" s="49">
        <v>0</v>
      </c>
      <c r="F23" s="13">
        <f>SUM(F15:F22)</f>
        <v>0</v>
      </c>
      <c r="G23" s="49">
        <v>0</v>
      </c>
      <c r="H23" s="13">
        <f>SUM(H15:H22)</f>
        <v>0</v>
      </c>
      <c r="I23" s="52">
        <f t="shared" si="1"/>
        <v>-4.0065847000941908E-2</v>
      </c>
      <c r="J23" s="13">
        <f>SUM(J15:J22)</f>
        <v>44677768.619939998</v>
      </c>
      <c r="K23" s="109">
        <f t="shared" si="2"/>
        <v>4.9692146492617169E-2</v>
      </c>
      <c r="L23" s="13">
        <f>SUM(L15:L22)</f>
        <v>42562734.95922</v>
      </c>
      <c r="M23" s="109">
        <f t="shared" si="3"/>
        <v>2.2987647595718436E-2</v>
      </c>
      <c r="N23" s="13">
        <f>SUM(N15:N22)</f>
        <v>41606303.907240003</v>
      </c>
      <c r="O23" s="109">
        <f t="shared" si="4"/>
        <v>0.14967032443909969</v>
      </c>
      <c r="P23" s="13">
        <f>SUM(P15:P22)</f>
        <v>36189769.382399999</v>
      </c>
    </row>
    <row r="24" spans="1:16" ht="7.9" customHeight="1">
      <c r="A24" s="10"/>
      <c r="C24" s="49" t="s">
        <v>0</v>
      </c>
      <c r="E24" s="49" t="s">
        <v>0</v>
      </c>
      <c r="G24" s="49" t="s">
        <v>0</v>
      </c>
      <c r="I24" s="52" t="s">
        <v>0</v>
      </c>
      <c r="K24" s="52" t="s">
        <v>0</v>
      </c>
      <c r="M24" s="52" t="s">
        <v>0</v>
      </c>
      <c r="O24" s="52" t="s">
        <v>0</v>
      </c>
    </row>
    <row r="25" spans="1:16">
      <c r="A25" s="86" t="s">
        <v>266</v>
      </c>
      <c r="C25" s="49" t="s">
        <v>0</v>
      </c>
      <c r="E25" s="49" t="s">
        <v>0</v>
      </c>
      <c r="G25" s="49" t="s">
        <v>0</v>
      </c>
      <c r="I25" s="52" t="s">
        <v>0</v>
      </c>
      <c r="K25" s="52" t="s">
        <v>0</v>
      </c>
      <c r="M25" s="52" t="s">
        <v>0</v>
      </c>
      <c r="O25" s="52" t="s">
        <v>0</v>
      </c>
    </row>
    <row r="26" spans="1:16">
      <c r="A26" s="10" t="s">
        <v>267</v>
      </c>
      <c r="C26" s="49" t="s">
        <v>0</v>
      </c>
      <c r="E26" s="49" t="s">
        <v>0</v>
      </c>
      <c r="G26" s="49" t="s">
        <v>0</v>
      </c>
      <c r="I26" s="52" t="s">
        <v>0</v>
      </c>
      <c r="K26" s="52" t="s">
        <v>0</v>
      </c>
      <c r="M26" s="52" t="s">
        <v>0</v>
      </c>
      <c r="O26" s="52" t="s">
        <v>0</v>
      </c>
    </row>
    <row r="27" spans="1:16">
      <c r="A27" s="10" t="s">
        <v>268</v>
      </c>
      <c r="B27" s="20">
        <v>20074139.496650003</v>
      </c>
      <c r="C27" s="49">
        <v>0</v>
      </c>
      <c r="D27" s="20">
        <v>0</v>
      </c>
      <c r="E27" s="49">
        <v>0</v>
      </c>
      <c r="F27" s="20">
        <v>0</v>
      </c>
      <c r="G27" s="49">
        <v>0</v>
      </c>
      <c r="H27" s="20">
        <v>0</v>
      </c>
      <c r="I27" s="52">
        <f>+(B27-J27)/ABS(J27)</f>
        <v>-9.3772342407894199E-2</v>
      </c>
      <c r="J27" s="20">
        <v>22151320.728819996</v>
      </c>
      <c r="K27" s="52">
        <f>+(J27-L27)/L27</f>
        <v>-5.1808740182832857E-3</v>
      </c>
      <c r="L27" s="20">
        <v>22266681.601000004</v>
      </c>
      <c r="M27" s="52">
        <f>+(L27-N27)/N27</f>
        <v>-0.12995123545489076</v>
      </c>
      <c r="N27" s="20">
        <v>25592452.41</v>
      </c>
      <c r="O27" s="52">
        <f>+(N27-P27)/P27</f>
        <v>0.20537126084832569</v>
      </c>
      <c r="P27" s="20">
        <v>21232008.129999999</v>
      </c>
    </row>
    <row r="28" spans="1:16">
      <c r="A28" s="10" t="s">
        <v>269</v>
      </c>
      <c r="B28" s="20">
        <v>9826355.452610001</v>
      </c>
      <c r="C28" s="49">
        <v>0</v>
      </c>
      <c r="D28" s="20">
        <v>0</v>
      </c>
      <c r="E28" s="49">
        <v>0</v>
      </c>
      <c r="F28" s="20">
        <v>0</v>
      </c>
      <c r="G28" s="49">
        <v>0</v>
      </c>
      <c r="H28" s="20">
        <v>0</v>
      </c>
      <c r="I28" s="52">
        <f>+(B28-J28)/ABS(J28)</f>
        <v>5.2833792365286902E-3</v>
      </c>
      <c r="J28" s="20">
        <v>9774711.9424900003</v>
      </c>
      <c r="K28" s="52">
        <f>+(J28-L28)/L28</f>
        <v>0.13237269188394304</v>
      </c>
      <c r="L28" s="20">
        <v>8632062.5820000004</v>
      </c>
      <c r="M28" s="52">
        <f>+(L28-N28)/N28</f>
        <v>8.2624402508398337E-2</v>
      </c>
      <c r="N28" s="20">
        <v>7973275.4610000011</v>
      </c>
      <c r="O28" s="52">
        <f>+(N28-P28)/P28</f>
        <v>5.8027308467788863E-2</v>
      </c>
      <c r="P28" s="20">
        <v>7535982.6699999999</v>
      </c>
    </row>
    <row r="29" spans="1:16">
      <c r="A29" s="10" t="s">
        <v>270</v>
      </c>
      <c r="B29" s="217">
        <v>3975505.8221100001</v>
      </c>
      <c r="C29" s="49">
        <v>0</v>
      </c>
      <c r="D29" s="217">
        <v>0</v>
      </c>
      <c r="E29" s="49">
        <v>0</v>
      </c>
      <c r="F29" s="217">
        <v>0</v>
      </c>
      <c r="G29" s="49">
        <v>0</v>
      </c>
      <c r="H29" s="217">
        <v>0</v>
      </c>
      <c r="I29" s="52">
        <f>+(B29-J29)/ABS(J29)</f>
        <v>-1.488138737499221E-2</v>
      </c>
      <c r="J29" s="217">
        <v>4035560.5621100003</v>
      </c>
      <c r="K29" s="52">
        <f>+(J29-L29)/L29</f>
        <v>-2.180861152033677E-3</v>
      </c>
      <c r="L29" s="217">
        <v>4044380.7950699995</v>
      </c>
      <c r="M29" s="52">
        <f>+(L29-N29)/N29</f>
        <v>0.32558662056996435</v>
      </c>
      <c r="N29" s="199">
        <v>3051012.0819800003</v>
      </c>
      <c r="O29" s="52">
        <f>+(N29-P29)/P29</f>
        <v>1.2329089972820102E-2</v>
      </c>
      <c r="P29" s="199">
        <v>3013854.0047900002</v>
      </c>
    </row>
    <row r="30" spans="1:16">
      <c r="A30" s="10"/>
      <c r="B30" s="20">
        <f>SUM(B27:B29)</f>
        <v>33876000.771370001</v>
      </c>
      <c r="C30" s="49">
        <v>0</v>
      </c>
      <c r="D30" s="20">
        <f>SUM(D27:D29)</f>
        <v>0</v>
      </c>
      <c r="E30" s="49">
        <v>0</v>
      </c>
      <c r="F30" s="20">
        <f>SUM(F27:F29)</f>
        <v>0</v>
      </c>
      <c r="G30" s="49">
        <v>0</v>
      </c>
      <c r="H30" s="20">
        <f>SUM(H27:H29)</f>
        <v>0</v>
      </c>
      <c r="I30" s="52">
        <f>+(B30-J30)/ABS(J30)</f>
        <v>-5.7994996175859237E-2</v>
      </c>
      <c r="J30" s="20">
        <f>SUM(J27:J29)</f>
        <v>35961593.233419999</v>
      </c>
      <c r="K30" s="52">
        <f>+(J30-L30)/L30</f>
        <v>2.9146456019293505E-2</v>
      </c>
      <c r="L30" s="20">
        <f>SUM(L27:L29)</f>
        <v>34943124.978070006</v>
      </c>
      <c r="M30" s="52">
        <f>+(L30-N30)/N30</f>
        <v>-4.5706280161999686E-2</v>
      </c>
      <c r="N30" s="20">
        <f>SUM(N27:N29)</f>
        <v>36616739.952979997</v>
      </c>
      <c r="O30" s="52">
        <f>+(N30-P30)/P30</f>
        <v>0.15212758031784576</v>
      </c>
      <c r="P30" s="20">
        <f>SUM(P27:P29)</f>
        <v>31781844.804789998</v>
      </c>
    </row>
    <row r="31" spans="1:16" ht="7.9" customHeight="1">
      <c r="A31" s="10"/>
      <c r="C31" s="49" t="s">
        <v>0</v>
      </c>
      <c r="E31" s="49" t="s">
        <v>0</v>
      </c>
      <c r="G31" s="49" t="s">
        <v>0</v>
      </c>
      <c r="I31" s="52" t="s">
        <v>0</v>
      </c>
      <c r="K31" s="52" t="s">
        <v>0</v>
      </c>
      <c r="M31" s="52" t="s">
        <v>0</v>
      </c>
      <c r="O31" s="52" t="s">
        <v>0</v>
      </c>
    </row>
    <row r="32" spans="1:16">
      <c r="A32" s="10" t="s">
        <v>271</v>
      </c>
      <c r="C32" s="49" t="s">
        <v>0</v>
      </c>
      <c r="E32" s="49" t="s">
        <v>0</v>
      </c>
      <c r="G32" s="49" t="s">
        <v>0</v>
      </c>
      <c r="I32" s="52" t="s">
        <v>0</v>
      </c>
      <c r="K32" s="52" t="s">
        <v>0</v>
      </c>
      <c r="M32" s="52" t="s">
        <v>0</v>
      </c>
      <c r="O32" s="52" t="s">
        <v>0</v>
      </c>
    </row>
    <row r="33" spans="1:21">
      <c r="A33" s="10" t="s">
        <v>272</v>
      </c>
      <c r="B33" s="20">
        <v>0</v>
      </c>
      <c r="C33" s="49">
        <v>0</v>
      </c>
      <c r="D33" s="20">
        <v>0</v>
      </c>
      <c r="E33" s="49">
        <v>0</v>
      </c>
      <c r="F33" s="20">
        <v>0</v>
      </c>
      <c r="G33" s="49">
        <v>0</v>
      </c>
      <c r="H33" s="20">
        <v>0</v>
      </c>
      <c r="I33" s="49">
        <v>0</v>
      </c>
      <c r="J33" s="20">
        <v>0</v>
      </c>
      <c r="K33" s="49">
        <v>0</v>
      </c>
      <c r="L33" s="20">
        <v>0</v>
      </c>
      <c r="M33" s="49">
        <v>0</v>
      </c>
      <c r="N33" s="20">
        <v>0</v>
      </c>
      <c r="O33" s="49">
        <v>0</v>
      </c>
      <c r="P33" s="20">
        <v>0</v>
      </c>
    </row>
    <row r="34" spans="1:21">
      <c r="A34" s="10" t="s">
        <v>273</v>
      </c>
      <c r="B34" s="20">
        <v>0</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217">
        <v>1603464.97673</v>
      </c>
      <c r="C35" s="49">
        <v>0</v>
      </c>
      <c r="D35" s="217">
        <v>0</v>
      </c>
      <c r="E35" s="49">
        <v>0</v>
      </c>
      <c r="F35" s="217">
        <v>0</v>
      </c>
      <c r="G35" s="49">
        <v>0</v>
      </c>
      <c r="H35" s="217">
        <v>0</v>
      </c>
      <c r="I35" s="52">
        <f>+(B35-J35)/ABS(J35)</f>
        <v>8.5965202640677113E-2</v>
      </c>
      <c r="J35" s="217">
        <v>1476534.3979999998</v>
      </c>
      <c r="K35" s="52">
        <f>+(J35-L35)/L35</f>
        <v>3.7587460072384678E-2</v>
      </c>
      <c r="L35" s="217">
        <v>1423045.7236800001</v>
      </c>
      <c r="M35" s="52">
        <f>+(L35-N35)/N35</f>
        <v>0.16977503941390482</v>
      </c>
      <c r="N35" s="199">
        <v>1216512.3</v>
      </c>
      <c r="O35" s="52">
        <f>+(N35-P35)/P35</f>
        <v>9.9988177484582996E-2</v>
      </c>
      <c r="P35" s="199">
        <v>1105932.159</v>
      </c>
      <c r="Q35" s="14"/>
      <c r="R35" s="14"/>
      <c r="S35" s="15"/>
      <c r="T35" s="15"/>
      <c r="U35" s="15"/>
    </row>
    <row r="36" spans="1:21">
      <c r="A36" s="10"/>
      <c r="B36" s="20">
        <f>SUM(B33:B35)</f>
        <v>1603464.97673</v>
      </c>
      <c r="C36" s="49">
        <v>0</v>
      </c>
      <c r="D36" s="20">
        <f>SUM(D33:D35)</f>
        <v>0</v>
      </c>
      <c r="E36" s="49">
        <v>0</v>
      </c>
      <c r="F36" s="20">
        <f>SUM(F33:F35)</f>
        <v>0</v>
      </c>
      <c r="G36" s="49">
        <v>0</v>
      </c>
      <c r="H36" s="20">
        <f>SUM(H33:H35)</f>
        <v>0</v>
      </c>
      <c r="I36" s="52">
        <f>+(B36-J36)/ABS(J36)</f>
        <v>8.5965202640677113E-2</v>
      </c>
      <c r="J36" s="20">
        <f>SUM(J33:J35)</f>
        <v>1476534.3979999998</v>
      </c>
      <c r="K36" s="52">
        <f>+(J36-L36)/L36</f>
        <v>3.7587460072384678E-2</v>
      </c>
      <c r="L36" s="20">
        <f>SUM(L33:L35)</f>
        <v>1423045.7236800001</v>
      </c>
      <c r="M36" s="52">
        <f>+(L36-N36)/N36</f>
        <v>0.16977503941390482</v>
      </c>
      <c r="N36" s="20">
        <f>SUM(N33:N35)</f>
        <v>1216512.3</v>
      </c>
      <c r="O36" s="52">
        <f>+(N36-P36)/P36</f>
        <v>9.9988177484582996E-2</v>
      </c>
      <c r="P36" s="20">
        <f>SUM(P33:P35)</f>
        <v>1105932.159</v>
      </c>
    </row>
    <row r="37" spans="1:21" ht="7.15" customHeight="1">
      <c r="A37" s="10"/>
      <c r="C37" s="49" t="s">
        <v>0</v>
      </c>
      <c r="E37" s="49" t="s">
        <v>0</v>
      </c>
      <c r="G37" s="49" t="s">
        <v>0</v>
      </c>
      <c r="I37" s="52" t="s">
        <v>0</v>
      </c>
      <c r="K37" s="52" t="s">
        <v>0</v>
      </c>
      <c r="M37" s="52" t="s">
        <v>0</v>
      </c>
      <c r="O37" s="52" t="s">
        <v>0</v>
      </c>
    </row>
    <row r="38" spans="1:21">
      <c r="A38" s="10" t="s">
        <v>275</v>
      </c>
      <c r="C38" s="49" t="s">
        <v>0</v>
      </c>
      <c r="E38" s="49" t="s">
        <v>0</v>
      </c>
      <c r="G38" s="49" t="s">
        <v>0</v>
      </c>
      <c r="I38" s="52" t="s">
        <v>0</v>
      </c>
      <c r="K38" s="52" t="s">
        <v>0</v>
      </c>
      <c r="M38" s="52" t="s">
        <v>0</v>
      </c>
      <c r="O38" s="52" t="s">
        <v>0</v>
      </c>
    </row>
    <row r="39" spans="1:21">
      <c r="A39" s="10" t="s">
        <v>272</v>
      </c>
      <c r="B39" s="20">
        <v>3000</v>
      </c>
      <c r="C39" s="49">
        <v>0</v>
      </c>
      <c r="D39" s="20">
        <v>0</v>
      </c>
      <c r="E39" s="49">
        <v>0</v>
      </c>
      <c r="F39" s="20">
        <v>0</v>
      </c>
      <c r="G39" s="49">
        <v>0</v>
      </c>
      <c r="H39" s="20">
        <v>0</v>
      </c>
      <c r="I39" s="52">
        <f>+(B39-J39)/ABS(J39)</f>
        <v>0</v>
      </c>
      <c r="J39" s="20">
        <v>3000</v>
      </c>
      <c r="K39" s="52">
        <f>+(J39-L39)/L39</f>
        <v>0</v>
      </c>
      <c r="L39" s="20">
        <v>3000</v>
      </c>
      <c r="M39" s="52">
        <f>+(L39-N39)/N39</f>
        <v>0</v>
      </c>
      <c r="N39" s="20">
        <v>3000</v>
      </c>
      <c r="O39" s="52">
        <f>+(N39-P39)/P39</f>
        <v>0</v>
      </c>
      <c r="P39" s="20">
        <v>3000</v>
      </c>
    </row>
    <row r="40" spans="1:21">
      <c r="A40" s="10" t="s">
        <v>276</v>
      </c>
      <c r="B40" s="20">
        <v>0</v>
      </c>
      <c r="C40" s="49">
        <v>0</v>
      </c>
      <c r="D40" s="20">
        <v>0</v>
      </c>
      <c r="E40" s="49">
        <v>0</v>
      </c>
      <c r="F40" s="20">
        <v>0</v>
      </c>
      <c r="G40" s="49">
        <v>0</v>
      </c>
      <c r="H40" s="20">
        <v>0</v>
      </c>
      <c r="I40" s="49">
        <v>0</v>
      </c>
      <c r="J40" s="20">
        <v>0</v>
      </c>
      <c r="K40" s="49">
        <v>0</v>
      </c>
      <c r="L40" s="20">
        <v>0</v>
      </c>
      <c r="M40" s="49">
        <v>0</v>
      </c>
      <c r="N40" s="20">
        <v>0</v>
      </c>
      <c r="O40" s="49">
        <v>0</v>
      </c>
      <c r="P40" s="20">
        <v>0</v>
      </c>
    </row>
    <row r="41" spans="1:21">
      <c r="A41" s="10" t="s">
        <v>274</v>
      </c>
      <c r="B41" s="217">
        <v>3357144.62518</v>
      </c>
      <c r="C41" s="49">
        <v>0</v>
      </c>
      <c r="D41" s="217">
        <v>0</v>
      </c>
      <c r="E41" s="49">
        <v>0</v>
      </c>
      <c r="F41" s="217">
        <v>0</v>
      </c>
      <c r="G41" s="49">
        <v>0</v>
      </c>
      <c r="H41" s="217">
        <v>0</v>
      </c>
      <c r="I41" s="52">
        <f>+(B41-J41)/ABS(J41)</f>
        <v>1.0285019420022884E-2</v>
      </c>
      <c r="J41" s="217">
        <v>3322967.8364500003</v>
      </c>
      <c r="K41" s="52">
        <f>+(J41-L41)/L41</f>
        <v>0.24255582115558619</v>
      </c>
      <c r="L41" s="217">
        <v>2674300.6469999999</v>
      </c>
      <c r="M41" s="52">
        <f>+(L41-N41)/N41</f>
        <v>1.0527820633250793</v>
      </c>
      <c r="N41" s="199">
        <v>1302768.9079999998</v>
      </c>
      <c r="O41" s="52">
        <f>+(N41-P41)/P41</f>
        <v>0.12874585945486478</v>
      </c>
      <c r="P41" s="199">
        <v>1154173.8089999999</v>
      </c>
    </row>
    <row r="42" spans="1:21">
      <c r="A42" s="10"/>
      <c r="B42" s="20">
        <f>SUM(B39:B41)</f>
        <v>3360144.62518</v>
      </c>
      <c r="C42" s="49">
        <v>0</v>
      </c>
      <c r="D42" s="20">
        <f>SUM(D39:D41)</f>
        <v>0</v>
      </c>
      <c r="E42" s="49">
        <v>0</v>
      </c>
      <c r="F42" s="20">
        <f>SUM(F39:F41)</f>
        <v>0</v>
      </c>
      <c r="G42" s="49">
        <v>0</v>
      </c>
      <c r="H42" s="20">
        <f>SUM(H39:H41)</f>
        <v>0</v>
      </c>
      <c r="I42" s="52">
        <f>+(B42-J42)/ABS(J42)</f>
        <v>1.0275742403594185E-2</v>
      </c>
      <c r="J42" s="20">
        <f>SUM(J39:J41)</f>
        <v>3325967.8364500003</v>
      </c>
      <c r="K42" s="52">
        <f>+(J42-L42)/L42</f>
        <v>0.24228402969119384</v>
      </c>
      <c r="L42" s="20">
        <f>SUM(L39:L41)</f>
        <v>2677300.6469999999</v>
      </c>
      <c r="M42" s="52">
        <f>+(L42-N42)/N42</f>
        <v>1.0503632998129255</v>
      </c>
      <c r="N42" s="20">
        <f>SUM(N39:N41)</f>
        <v>1305768.9079999998</v>
      </c>
      <c r="O42" s="52">
        <f>+(N42-P42)/P42</f>
        <v>0.12841208282134559</v>
      </c>
      <c r="P42" s="20">
        <f>SUM(P39:P41)</f>
        <v>1157173.8089999999</v>
      </c>
    </row>
    <row r="43" spans="1:21" ht="8.4499999999999993" customHeight="1">
      <c r="A43" s="10"/>
      <c r="C43" s="49" t="s">
        <v>0</v>
      </c>
      <c r="E43" s="49" t="s">
        <v>0</v>
      </c>
      <c r="G43" s="49" t="s">
        <v>0</v>
      </c>
      <c r="I43" s="52" t="s">
        <v>0</v>
      </c>
      <c r="K43" s="52" t="s">
        <v>0</v>
      </c>
      <c r="M43" s="52" t="s">
        <v>0</v>
      </c>
      <c r="O43" s="52" t="s">
        <v>0</v>
      </c>
    </row>
    <row r="44" spans="1:21" ht="18">
      <c r="A44" s="10" t="s">
        <v>277</v>
      </c>
      <c r="B44" s="217">
        <v>856742.446</v>
      </c>
      <c r="C44" s="49">
        <v>0</v>
      </c>
      <c r="D44" s="217">
        <v>0</v>
      </c>
      <c r="E44" s="49">
        <v>0</v>
      </c>
      <c r="F44" s="217">
        <v>0</v>
      </c>
      <c r="G44" s="49">
        <v>0</v>
      </c>
      <c r="H44" s="217">
        <v>0</v>
      </c>
      <c r="I44" s="52">
        <f>+(B44-J44)/ABS(J44)</f>
        <v>-2.3095745851018899E-2</v>
      </c>
      <c r="J44" s="217">
        <v>876997.35400000005</v>
      </c>
      <c r="K44" s="52">
        <f>+(J44-L44)/L44</f>
        <v>5.0063577231011284E-2</v>
      </c>
      <c r="L44" s="217">
        <v>835185.005</v>
      </c>
      <c r="M44" s="52">
        <f>+(L44-N44)/N44</f>
        <v>2.0272427341897741</v>
      </c>
      <c r="N44" s="199">
        <v>275889.67200000002</v>
      </c>
      <c r="O44" s="52">
        <f>+(N44-P44)/P44</f>
        <v>-9.8428428257243111E-3</v>
      </c>
      <c r="P44" s="199">
        <v>278632.20500000002</v>
      </c>
      <c r="Q44" s="14"/>
      <c r="R44" s="14"/>
    </row>
    <row r="45" spans="1:21">
      <c r="A45" s="10"/>
      <c r="B45" s="20">
        <f>+B30+B36+B42+B44</f>
        <v>39696352.819279999</v>
      </c>
      <c r="C45" s="49">
        <v>0</v>
      </c>
      <c r="D45" s="20">
        <f>+D30+D36+D42+D44</f>
        <v>0</v>
      </c>
      <c r="E45" s="49">
        <v>0</v>
      </c>
      <c r="F45" s="20">
        <f>+F30+F36+F42+F44</f>
        <v>0</v>
      </c>
      <c r="G45" s="49">
        <v>0</v>
      </c>
      <c r="H45" s="20">
        <f>+H30+H36+H42+H44</f>
        <v>0</v>
      </c>
      <c r="I45" s="52">
        <f>+(B45-J45)/ABS(J45)</f>
        <v>-4.6702424715631519E-2</v>
      </c>
      <c r="J45" s="20">
        <f>+J30+J36+J42+J44</f>
        <v>41641092.821870007</v>
      </c>
      <c r="K45" s="52">
        <f>+(J45-L45)/L45</f>
        <v>4.4194981207140639E-2</v>
      </c>
      <c r="L45" s="20">
        <f>+L30+L36+L42+L44</f>
        <v>39878656.353750005</v>
      </c>
      <c r="M45" s="52">
        <f>+(L45-N45)/N45</f>
        <v>1.1765738167850412E-2</v>
      </c>
      <c r="N45" s="20">
        <f>+N30+N36+N42+N44</f>
        <v>39414910.832979992</v>
      </c>
      <c r="O45" s="52">
        <f>+(N45-P45)/P45</f>
        <v>0.14833322787089201</v>
      </c>
      <c r="P45" s="20">
        <f>+P30+P36+P42+P44</f>
        <v>34323582.977789998</v>
      </c>
    </row>
    <row r="46" spans="1:21" ht="8.4499999999999993" customHeight="1">
      <c r="A46" s="10"/>
      <c r="C46" s="49" t="s">
        <v>0</v>
      </c>
      <c r="E46" s="49" t="s">
        <v>0</v>
      </c>
      <c r="G46" s="49" t="s">
        <v>0</v>
      </c>
      <c r="I46" s="52" t="s">
        <v>0</v>
      </c>
      <c r="K46" s="52" t="s">
        <v>0</v>
      </c>
      <c r="M46" s="52" t="s">
        <v>0</v>
      </c>
      <c r="O46" s="52" t="s">
        <v>0</v>
      </c>
    </row>
    <row r="47" spans="1:21">
      <c r="A47" s="86" t="s">
        <v>278</v>
      </c>
      <c r="C47" s="49" t="s">
        <v>0</v>
      </c>
      <c r="E47" s="49" t="s">
        <v>0</v>
      </c>
      <c r="G47" s="49" t="s">
        <v>0</v>
      </c>
      <c r="I47" s="52" t="s">
        <v>0</v>
      </c>
      <c r="K47" s="52" t="s">
        <v>0</v>
      </c>
      <c r="M47" s="52" t="s">
        <v>0</v>
      </c>
      <c r="O47" s="52" t="s">
        <v>0</v>
      </c>
    </row>
    <row r="48" spans="1:21">
      <c r="A48" s="10" t="s">
        <v>279</v>
      </c>
      <c r="B48" s="20">
        <v>1500000</v>
      </c>
      <c r="C48" s="49">
        <v>0</v>
      </c>
      <c r="D48" s="20">
        <v>0</v>
      </c>
      <c r="E48" s="49">
        <v>0</v>
      </c>
      <c r="F48" s="20">
        <v>0</v>
      </c>
      <c r="G48" s="49">
        <v>0</v>
      </c>
      <c r="H48" s="20">
        <v>0</v>
      </c>
      <c r="I48" s="52">
        <f>+(B48-J48)/ABS(J48)</f>
        <v>0</v>
      </c>
      <c r="J48" s="20">
        <v>1500000</v>
      </c>
      <c r="K48" s="52">
        <f t="shared" ref="K48:K53" si="5">+(J48-L48)/L48</f>
        <v>0</v>
      </c>
      <c r="L48" s="20">
        <v>1500000</v>
      </c>
      <c r="M48" s="52">
        <f t="shared" ref="M48:M53" si="6">+(L48-N48)/N48</f>
        <v>2</v>
      </c>
      <c r="N48" s="20">
        <v>500000</v>
      </c>
      <c r="O48" s="52">
        <f t="shared" ref="O48:O53" si="7">+(N48-P48)/P48</f>
        <v>0</v>
      </c>
      <c r="P48" s="20">
        <v>500000</v>
      </c>
    </row>
    <row r="49" spans="1:21">
      <c r="A49" s="10" t="s">
        <v>280</v>
      </c>
      <c r="B49" s="20">
        <v>327016.25258000003</v>
      </c>
      <c r="C49" s="49">
        <v>0</v>
      </c>
      <c r="D49" s="20">
        <v>0</v>
      </c>
      <c r="E49" s="49">
        <v>0</v>
      </c>
      <c r="F49" s="20">
        <v>0</v>
      </c>
      <c r="G49" s="49">
        <v>0</v>
      </c>
      <c r="H49" s="20">
        <v>0</v>
      </c>
      <c r="I49" s="52">
        <f>+(B49-J49)/ABS(J49)</f>
        <v>-7.2595213918351345E-2</v>
      </c>
      <c r="J49" s="20">
        <v>352614.36806000001</v>
      </c>
      <c r="K49" s="52">
        <f t="shared" si="5"/>
        <v>5.8726981542972297E-2</v>
      </c>
      <c r="L49" s="20">
        <v>333055.05027000001</v>
      </c>
      <c r="M49" s="52">
        <f t="shared" si="6"/>
        <v>0.78150649848466192</v>
      </c>
      <c r="N49" s="20">
        <v>186951.353</v>
      </c>
      <c r="O49" s="52">
        <f t="shared" si="7"/>
        <v>6.3945531982972814E-2</v>
      </c>
      <c r="P49" s="20">
        <f>165415.154+10300</f>
        <v>175715.15400000001</v>
      </c>
    </row>
    <row r="50" spans="1:21">
      <c r="A50" s="10" t="s">
        <v>290</v>
      </c>
      <c r="B50" s="20">
        <v>0</v>
      </c>
      <c r="C50" s="49">
        <v>0</v>
      </c>
      <c r="D50" s="20">
        <v>0</v>
      </c>
      <c r="E50" s="49">
        <v>0</v>
      </c>
      <c r="F50" s="20">
        <v>0</v>
      </c>
      <c r="G50" s="49">
        <v>0</v>
      </c>
      <c r="H50" s="20">
        <v>0</v>
      </c>
      <c r="I50" s="49">
        <v>0</v>
      </c>
      <c r="J50" s="20">
        <v>0</v>
      </c>
      <c r="K50" s="1348">
        <v>0</v>
      </c>
      <c r="L50" s="20">
        <v>0</v>
      </c>
      <c r="M50" s="49">
        <v>0</v>
      </c>
      <c r="N50" s="20">
        <v>0</v>
      </c>
      <c r="O50" s="49">
        <v>0</v>
      </c>
      <c r="P50" s="20">
        <v>0</v>
      </c>
    </row>
    <row r="51" spans="1:21" ht="18">
      <c r="A51" s="10" t="s">
        <v>282</v>
      </c>
      <c r="B51" s="199">
        <v>1364346.9051700002</v>
      </c>
      <c r="C51" s="49">
        <v>0</v>
      </c>
      <c r="D51" s="199">
        <v>0</v>
      </c>
      <c r="E51" s="49">
        <v>0</v>
      </c>
      <c r="F51" s="199">
        <v>0</v>
      </c>
      <c r="G51" s="49">
        <v>0</v>
      </c>
      <c r="H51" s="199">
        <v>0</v>
      </c>
      <c r="I51" s="52">
        <f>+(B51-J51)/ABS(J51)</f>
        <v>0.15226023961289281</v>
      </c>
      <c r="J51" s="199">
        <v>1184061.4283699999</v>
      </c>
      <c r="K51" s="52">
        <f t="shared" si="5"/>
        <v>0.39133802022108827</v>
      </c>
      <c r="L51" s="199">
        <v>851023.55514000007</v>
      </c>
      <c r="M51" s="52">
        <f t="shared" si="6"/>
        <v>-0.43432600840310109</v>
      </c>
      <c r="N51" s="199">
        <v>1504441.7239999999</v>
      </c>
      <c r="O51" s="52">
        <f t="shared" si="7"/>
        <v>0.26373627835601654</v>
      </c>
      <c r="P51" s="199">
        <v>1190471.26348</v>
      </c>
      <c r="Q51" s="14"/>
      <c r="R51" s="14"/>
      <c r="S51" s="15"/>
      <c r="T51" s="15"/>
      <c r="U51" s="15"/>
    </row>
    <row r="52" spans="1:21" ht="16.5" thickBot="1">
      <c r="A52" s="10" t="s">
        <v>54</v>
      </c>
      <c r="B52" s="79">
        <f>SUM(B48:B51)</f>
        <v>3191363.1577500002</v>
      </c>
      <c r="C52" s="49">
        <v>0</v>
      </c>
      <c r="D52" s="79">
        <f>SUM(D48:D51)</f>
        <v>0</v>
      </c>
      <c r="E52" s="49">
        <v>0</v>
      </c>
      <c r="F52" s="79">
        <f>SUM(F48:F51)</f>
        <v>0</v>
      </c>
      <c r="G52" s="49">
        <v>0</v>
      </c>
      <c r="H52" s="79">
        <f>SUM(H48:H51)</f>
        <v>0</v>
      </c>
      <c r="I52" s="52">
        <f>+(B52-J52)/ABS(J52)</f>
        <v>5.0939702388333612E-2</v>
      </c>
      <c r="J52" s="79">
        <f>SUM(J48:J51)</f>
        <v>3036675.7964300001</v>
      </c>
      <c r="K52" s="52">
        <f t="shared" si="5"/>
        <v>0.13136619408586195</v>
      </c>
      <c r="L52" s="79">
        <f>SUM(L48:L51)</f>
        <v>2684078.6054100003</v>
      </c>
      <c r="M52" s="52">
        <f t="shared" si="6"/>
        <v>0.2248275462677298</v>
      </c>
      <c r="N52" s="79">
        <f>SUM(N48:N51)</f>
        <v>2191393.077</v>
      </c>
      <c r="O52" s="52">
        <f t="shared" si="7"/>
        <v>0.17426268698233385</v>
      </c>
      <c r="P52" s="79">
        <f>SUM(P48:P51)</f>
        <v>1866186.4174799998</v>
      </c>
    </row>
    <row r="53" spans="1:21">
      <c r="A53" s="10" t="s">
        <v>0</v>
      </c>
      <c r="B53" s="13">
        <f>+B30+B36+B42+B44+B52</f>
        <v>42887715.977030002</v>
      </c>
      <c r="C53" s="49">
        <v>0</v>
      </c>
      <c r="D53" s="13">
        <f>+D30+D36+D42+D44+D52</f>
        <v>0</v>
      </c>
      <c r="E53" s="49">
        <v>0</v>
      </c>
      <c r="F53" s="13">
        <f>+F30+F36+F42+F44+F52</f>
        <v>0</v>
      </c>
      <c r="G53" s="49">
        <v>0</v>
      </c>
      <c r="H53" s="13">
        <f>+H30+H36+H42+H44+H52</f>
        <v>0</v>
      </c>
      <c r="I53" s="52">
        <f>+(B53-J53)/ABS(J53)</f>
        <v>-4.0065846988983217E-2</v>
      </c>
      <c r="J53" s="13">
        <f>+J30+J36+J42+J44+J52</f>
        <v>44677768.618300006</v>
      </c>
      <c r="K53" s="109">
        <f t="shared" si="5"/>
        <v>4.9692146455565536E-2</v>
      </c>
      <c r="L53" s="13">
        <f>+L30+L36+L42+L44+L52</f>
        <v>42562734.959160008</v>
      </c>
      <c r="M53" s="109">
        <f t="shared" si="6"/>
        <v>2.2987647526907559E-2</v>
      </c>
      <c r="N53" s="13">
        <f>+N30+N36+N42+N44+N52</f>
        <v>41606303.909979992</v>
      </c>
      <c r="O53" s="109">
        <f t="shared" si="7"/>
        <v>0.14967032410595948</v>
      </c>
      <c r="P53" s="13">
        <f>+P30+P36+P42+P44+P52</f>
        <v>36189769.395269997</v>
      </c>
    </row>
    <row r="54" spans="1:21">
      <c r="C54" s="48"/>
      <c r="E54" s="48"/>
      <c r="G54" s="48"/>
    </row>
    <row r="55" spans="1:21">
      <c r="C55" s="48"/>
      <c r="E55" s="48"/>
      <c r="G55" s="46" t="s">
        <v>0</v>
      </c>
    </row>
    <row r="56" spans="1:21">
      <c r="A56" s="166" t="s">
        <v>283</v>
      </c>
      <c r="B56"/>
      <c r="C56" s="48"/>
      <c r="D56" t="s">
        <v>0</v>
      </c>
      <c r="E56" s="48"/>
      <c r="F56"/>
      <c r="G56" s="48"/>
      <c r="H56"/>
      <c r="J56"/>
      <c r="L56"/>
      <c r="N56"/>
      <c r="P56"/>
    </row>
    <row r="57" spans="1:21">
      <c r="A57" t="s">
        <v>284</v>
      </c>
      <c r="B57" s="12">
        <v>0</v>
      </c>
      <c r="C57" s="48"/>
      <c r="D57" s="12">
        <v>0</v>
      </c>
      <c r="E57" s="48"/>
      <c r="F57" s="12">
        <v>0</v>
      </c>
      <c r="G57" s="48"/>
      <c r="H57" s="12">
        <v>0</v>
      </c>
      <c r="J57" s="12">
        <v>0</v>
      </c>
      <c r="L57" s="12">
        <v>0</v>
      </c>
      <c r="N57" s="12">
        <v>0</v>
      </c>
      <c r="P57" s="12">
        <v>0</v>
      </c>
    </row>
    <row r="58" spans="1:21">
      <c r="A58" t="s">
        <v>285</v>
      </c>
      <c r="B58" s="20">
        <v>140243.1</v>
      </c>
      <c r="C58" s="47" t="s">
        <v>0</v>
      </c>
      <c r="D58" s="20">
        <v>0</v>
      </c>
      <c r="E58" s="47" t="s">
        <v>0</v>
      </c>
      <c r="F58" s="20">
        <v>0</v>
      </c>
      <c r="G58" s="47" t="s">
        <v>0</v>
      </c>
      <c r="H58" s="20">
        <v>0</v>
      </c>
      <c r="I58" s="19" t="s">
        <v>0</v>
      </c>
      <c r="J58" s="20">
        <v>136673.1</v>
      </c>
      <c r="K58" s="19" t="s">
        <v>0</v>
      </c>
      <c r="L58" s="20">
        <v>131228.70000000001</v>
      </c>
      <c r="M58" s="19" t="s">
        <v>0</v>
      </c>
      <c r="N58" s="12">
        <v>86889.277000000002</v>
      </c>
      <c r="O58" s="19" t="s">
        <v>0</v>
      </c>
      <c r="P58" s="12">
        <v>52598.228999999999</v>
      </c>
    </row>
    <row r="59" spans="1:21">
      <c r="A59" t="s">
        <v>274</v>
      </c>
      <c r="B59" s="20">
        <v>290995.48600000003</v>
      </c>
      <c r="C59" s="48"/>
      <c r="D59" s="20">
        <v>0</v>
      </c>
      <c r="E59" s="48"/>
      <c r="F59" s="20">
        <v>0</v>
      </c>
      <c r="G59" s="48"/>
      <c r="H59" s="20">
        <v>0</v>
      </c>
      <c r="J59" s="20">
        <v>294443.174</v>
      </c>
      <c r="L59" s="20">
        <v>12513.599</v>
      </c>
      <c r="N59" s="12">
        <v>46330.311000000002</v>
      </c>
      <c r="P59" s="12">
        <v>47029.754000000001</v>
      </c>
    </row>
    <row r="60" spans="1:21">
      <c r="B60"/>
      <c r="C60" s="48"/>
      <c r="D60"/>
      <c r="E60" s="48"/>
      <c r="F60"/>
      <c r="G60" s="48"/>
      <c r="H60"/>
      <c r="J60"/>
      <c r="L60"/>
      <c r="N60"/>
      <c r="P60"/>
    </row>
    <row r="61" spans="1:21">
      <c r="A61" t="s">
        <v>286</v>
      </c>
      <c r="B61" s="20">
        <v>10813284.875019999</v>
      </c>
      <c r="C61" s="49">
        <v>0</v>
      </c>
      <c r="D61" s="20">
        <v>0</v>
      </c>
      <c r="E61" s="49">
        <v>0</v>
      </c>
      <c r="F61" s="20">
        <v>0</v>
      </c>
      <c r="G61" s="49">
        <v>0</v>
      </c>
      <c r="H61" s="20">
        <v>0</v>
      </c>
      <c r="I61" s="52">
        <f>+(B61-J61)/ABS(J61)</f>
        <v>-6.1501935258243413E-2</v>
      </c>
      <c r="J61" s="20">
        <v>11521904.286499999</v>
      </c>
      <c r="K61" s="52">
        <f>+(J61-L61)/L61</f>
        <v>0.12294156614134275</v>
      </c>
      <c r="L61" s="20">
        <v>10260466.46941</v>
      </c>
      <c r="M61" s="52">
        <f>+(L61-N61)/N61</f>
        <v>0.56857314223222888</v>
      </c>
      <c r="N61" s="116">
        <v>6541273.8450999996</v>
      </c>
      <c r="O61" s="52">
        <f>+(N61-P61)/P61</f>
        <v>0.57851659400897593</v>
      </c>
      <c r="P61" s="116">
        <v>4143937.3332700003</v>
      </c>
    </row>
    <row r="62" spans="1:21">
      <c r="A62" t="s">
        <v>225</v>
      </c>
      <c r="B62" s="116">
        <v>288590.68865000003</v>
      </c>
      <c r="C62" s="49">
        <v>0</v>
      </c>
      <c r="D62" s="116">
        <v>0</v>
      </c>
      <c r="E62" s="49">
        <v>0</v>
      </c>
      <c r="F62" s="116">
        <v>0</v>
      </c>
      <c r="G62" s="49">
        <v>0</v>
      </c>
      <c r="H62" s="116">
        <v>0</v>
      </c>
      <c r="I62" s="52">
        <f>+(B62-J62)/ABS(J62)</f>
        <v>0.12110498682033695</v>
      </c>
      <c r="J62" s="116">
        <v>257416.29200000002</v>
      </c>
      <c r="K62" s="52">
        <f>+(J62-L62)/L62</f>
        <v>0.73321005832199182</v>
      </c>
      <c r="L62" s="116">
        <v>148519.962</v>
      </c>
      <c r="M62" s="52">
        <f>+(L62-N62)/N62</f>
        <v>-0.23156023486902805</v>
      </c>
      <c r="N62" s="116">
        <v>193274.696</v>
      </c>
      <c r="O62" s="52">
        <f>+(N62-P62)/P62</f>
        <v>-0.50794985619905808</v>
      </c>
      <c r="P62" s="116">
        <v>392794.71499999997</v>
      </c>
    </row>
    <row r="63" spans="1:21">
      <c r="A63" t="s">
        <v>287</v>
      </c>
      <c r="B63" s="20">
        <v>538835.47</v>
      </c>
      <c r="C63" s="49">
        <v>0</v>
      </c>
      <c r="D63" s="20">
        <v>0</v>
      </c>
      <c r="E63" s="49">
        <v>0</v>
      </c>
      <c r="F63" s="661">
        <v>0</v>
      </c>
      <c r="G63" s="49">
        <v>0</v>
      </c>
      <c r="H63" s="20">
        <v>0</v>
      </c>
      <c r="I63" s="52">
        <f>+(B63-J63)/ABS(J63)</f>
        <v>3.5491771146715416E-2</v>
      </c>
      <c r="J63" s="20">
        <v>520366.73300000001</v>
      </c>
      <c r="K63" s="52">
        <f>+(J63-L63)/L63</f>
        <v>1.3994056369745416</v>
      </c>
      <c r="L63" s="20">
        <v>216873.18099999998</v>
      </c>
      <c r="M63" s="52">
        <f>+(L63-N63)/N63</f>
        <v>0.47328922071969287</v>
      </c>
      <c r="N63" s="661">
        <v>147203.39899999998</v>
      </c>
      <c r="O63" s="52">
        <f>+(N63-P63)/P63</f>
        <v>-0.62524238677439437</v>
      </c>
      <c r="P63" s="661">
        <v>392796.28700000001</v>
      </c>
    </row>
    <row r="64" spans="1:21">
      <c r="B64"/>
      <c r="H64" s="24" t="s">
        <v>0</v>
      </c>
    </row>
    <row r="65" spans="2:15">
      <c r="B65"/>
    </row>
    <row r="66" spans="2:15">
      <c r="B66"/>
    </row>
    <row r="67" spans="2:15">
      <c r="B67"/>
    </row>
    <row r="68" spans="2:15">
      <c r="B68"/>
      <c r="C68"/>
      <c r="D68"/>
      <c r="E68"/>
      <c r="F68"/>
      <c r="G68"/>
      <c r="H68"/>
      <c r="I68"/>
      <c r="J68"/>
      <c r="K68"/>
      <c r="L68"/>
      <c r="M68"/>
      <c r="N68"/>
      <c r="O68"/>
    </row>
    <row r="69" spans="2:15">
      <c r="B69"/>
      <c r="C69"/>
      <c r="D69"/>
      <c r="E69"/>
      <c r="F69"/>
      <c r="G69"/>
      <c r="H69"/>
      <c r="I69"/>
      <c r="J69"/>
      <c r="K69"/>
      <c r="L69"/>
      <c r="M69"/>
      <c r="N69"/>
      <c r="O69"/>
    </row>
    <row r="70" spans="2:15">
      <c r="B70"/>
      <c r="C70"/>
      <c r="D70"/>
      <c r="E70"/>
      <c r="F70"/>
      <c r="G70"/>
      <c r="H70"/>
      <c r="I70"/>
      <c r="J70"/>
      <c r="K70"/>
      <c r="L70"/>
      <c r="M70"/>
      <c r="N70"/>
      <c r="O70"/>
    </row>
    <row r="71" spans="2:15">
      <c r="B71"/>
      <c r="C71"/>
      <c r="D71"/>
      <c r="E71"/>
      <c r="F71"/>
      <c r="G71"/>
      <c r="H71"/>
      <c r="I71"/>
      <c r="J71"/>
      <c r="K71"/>
      <c r="L71"/>
      <c r="M71"/>
      <c r="N71"/>
      <c r="O71"/>
    </row>
    <row r="72" spans="2:15">
      <c r="B72"/>
      <c r="C72"/>
      <c r="D72"/>
      <c r="E72"/>
      <c r="F72"/>
      <c r="G72"/>
      <c r="H72"/>
      <c r="I72"/>
      <c r="J72"/>
      <c r="K72"/>
      <c r="L72"/>
      <c r="M72"/>
      <c r="N72"/>
      <c r="O72"/>
    </row>
    <row r="73" spans="2:15">
      <c r="B73"/>
      <c r="C73"/>
      <c r="D73"/>
      <c r="E73"/>
      <c r="F73"/>
      <c r="G73"/>
      <c r="H73"/>
      <c r="I73"/>
      <c r="J73"/>
      <c r="K73"/>
      <c r="L73"/>
      <c r="M73"/>
      <c r="N73"/>
      <c r="O73"/>
    </row>
    <row r="74" spans="2:15">
      <c r="B74"/>
      <c r="C74"/>
      <c r="D74"/>
      <c r="E74"/>
      <c r="F74"/>
      <c r="G74"/>
      <c r="H74"/>
      <c r="I74"/>
      <c r="J74"/>
      <c r="K74"/>
      <c r="L74"/>
      <c r="M74"/>
      <c r="N74"/>
      <c r="O74"/>
    </row>
    <row r="75" spans="2:15">
      <c r="B75"/>
      <c r="C75"/>
      <c r="D75"/>
      <c r="E75"/>
      <c r="F75"/>
      <c r="G75"/>
      <c r="H75"/>
      <c r="I75"/>
      <c r="J75"/>
      <c r="K75"/>
      <c r="L75"/>
      <c r="M75"/>
      <c r="N75"/>
      <c r="O75"/>
    </row>
    <row r="76" spans="2:15">
      <c r="B76"/>
      <c r="C76"/>
      <c r="D76"/>
      <c r="E76"/>
      <c r="F76"/>
      <c r="G76"/>
      <c r="H76"/>
      <c r="I76"/>
      <c r="J76"/>
      <c r="K76"/>
      <c r="L76"/>
      <c r="M76"/>
      <c r="N76"/>
      <c r="O76"/>
    </row>
    <row r="77" spans="2:15">
      <c r="B77"/>
      <c r="C77"/>
      <c r="D77"/>
      <c r="E77"/>
      <c r="F77"/>
      <c r="G77"/>
      <c r="H77"/>
      <c r="I77"/>
      <c r="J77"/>
      <c r="K77"/>
      <c r="L77"/>
      <c r="M77"/>
      <c r="N77"/>
      <c r="O77"/>
    </row>
    <row r="78" spans="2:15">
      <c r="B78"/>
      <c r="C78"/>
      <c r="D78"/>
      <c r="E78"/>
      <c r="F78"/>
      <c r="G78"/>
      <c r="H78"/>
      <c r="I78"/>
      <c r="J78"/>
      <c r="K78"/>
      <c r="L78"/>
      <c r="M78"/>
      <c r="N78"/>
      <c r="O78"/>
    </row>
    <row r="79" spans="2:15">
      <c r="B79"/>
      <c r="C79"/>
      <c r="D79"/>
      <c r="E79"/>
      <c r="F79"/>
      <c r="G79"/>
      <c r="H79"/>
      <c r="I79"/>
      <c r="J79"/>
      <c r="K79"/>
      <c r="L79"/>
      <c r="M79"/>
      <c r="N79"/>
      <c r="O79"/>
    </row>
    <row r="80" spans="2:15">
      <c r="B80"/>
      <c r="C80"/>
      <c r="D80"/>
      <c r="E80"/>
      <c r="F80"/>
      <c r="G80"/>
      <c r="H80"/>
      <c r="I80"/>
      <c r="J80"/>
      <c r="K80"/>
      <c r="L80"/>
      <c r="M80"/>
      <c r="N80"/>
      <c r="O80"/>
    </row>
    <row r="81" spans="2:15">
      <c r="B81"/>
      <c r="C81"/>
      <c r="D81"/>
      <c r="E81"/>
      <c r="F81"/>
      <c r="G81"/>
      <c r="H81"/>
      <c r="I81"/>
      <c r="J81"/>
      <c r="K81"/>
      <c r="L81"/>
      <c r="M81"/>
      <c r="N81"/>
      <c r="O81"/>
    </row>
    <row r="82" spans="2:15">
      <c r="B82"/>
      <c r="C82"/>
      <c r="D82"/>
      <c r="E82"/>
      <c r="F82"/>
      <c r="G82"/>
      <c r="H82"/>
      <c r="I82"/>
      <c r="J82"/>
      <c r="K82"/>
      <c r="L82"/>
      <c r="M82"/>
      <c r="N82"/>
      <c r="O82"/>
    </row>
    <row r="83" spans="2:15">
      <c r="B83"/>
      <c r="C83"/>
      <c r="D83"/>
      <c r="E83"/>
      <c r="F83"/>
      <c r="G83"/>
      <c r="H83"/>
      <c r="I83"/>
      <c r="J83"/>
      <c r="K83"/>
      <c r="L83"/>
      <c r="M83"/>
      <c r="N83"/>
      <c r="O83"/>
    </row>
    <row r="84" spans="2:15">
      <c r="B84"/>
      <c r="C84"/>
      <c r="D84"/>
      <c r="E84"/>
      <c r="F84"/>
      <c r="G84"/>
      <c r="H84"/>
      <c r="I84"/>
      <c r="J84"/>
      <c r="K84"/>
      <c r="L84"/>
      <c r="M84"/>
      <c r="N84"/>
      <c r="O84"/>
    </row>
    <row r="85" spans="2:15">
      <c r="B85"/>
      <c r="C85"/>
      <c r="D85"/>
      <c r="E85"/>
      <c r="F85"/>
      <c r="G85"/>
      <c r="H85"/>
      <c r="I85"/>
      <c r="J85"/>
      <c r="K85"/>
      <c r="L85"/>
      <c r="M85"/>
      <c r="N85"/>
      <c r="O85"/>
    </row>
    <row r="86" spans="2:15">
      <c r="B86"/>
      <c r="C86"/>
      <c r="D86"/>
      <c r="E86"/>
      <c r="F86"/>
      <c r="G86"/>
      <c r="H86"/>
      <c r="I86"/>
      <c r="J86"/>
      <c r="K86"/>
      <c r="L86"/>
      <c r="M86"/>
      <c r="N86"/>
      <c r="O86"/>
    </row>
    <row r="87" spans="2:15">
      <c r="B87"/>
      <c r="C87"/>
      <c r="D87"/>
      <c r="E87"/>
      <c r="F87"/>
      <c r="G87"/>
      <c r="H87"/>
      <c r="I87"/>
      <c r="J87"/>
      <c r="K87"/>
      <c r="L87"/>
      <c r="M87"/>
      <c r="N87"/>
      <c r="O87"/>
    </row>
    <row r="88" spans="2:15">
      <c r="B88"/>
      <c r="C88"/>
      <c r="D88"/>
      <c r="E88"/>
      <c r="F88"/>
      <c r="G88"/>
      <c r="H88"/>
      <c r="I88"/>
      <c r="J88"/>
      <c r="K88"/>
      <c r="L88"/>
      <c r="M88"/>
      <c r="N88"/>
      <c r="O88"/>
    </row>
    <row r="89" spans="2:15">
      <c r="B89"/>
      <c r="C89"/>
      <c r="D89"/>
      <c r="E89"/>
      <c r="F89"/>
      <c r="G89"/>
      <c r="H89"/>
      <c r="I89"/>
      <c r="J89"/>
      <c r="K89"/>
      <c r="L89"/>
      <c r="M89"/>
      <c r="N89"/>
      <c r="O89"/>
    </row>
    <row r="90" spans="2:15">
      <c r="B90"/>
      <c r="C90"/>
      <c r="D90"/>
      <c r="E90"/>
      <c r="F90"/>
      <c r="G90"/>
      <c r="H90"/>
      <c r="I90"/>
      <c r="J90"/>
      <c r="K90"/>
      <c r="L90"/>
      <c r="M90"/>
      <c r="N90"/>
      <c r="O90"/>
    </row>
    <row r="91" spans="2:15">
      <c r="B91"/>
      <c r="C91"/>
      <c r="D91"/>
      <c r="E91"/>
      <c r="F91"/>
      <c r="G91"/>
      <c r="H91"/>
      <c r="I91"/>
      <c r="J91"/>
      <c r="K91"/>
      <c r="L91"/>
      <c r="M91"/>
      <c r="N91"/>
      <c r="O91"/>
    </row>
    <row r="92" spans="2:15">
      <c r="B92"/>
      <c r="C92"/>
      <c r="D92"/>
      <c r="E92"/>
      <c r="F92"/>
      <c r="G92"/>
      <c r="H92"/>
      <c r="I92"/>
      <c r="J92"/>
      <c r="K92"/>
      <c r="L92"/>
      <c r="M92"/>
      <c r="N92"/>
      <c r="O92"/>
    </row>
    <row r="93" spans="2:15">
      <c r="B93"/>
      <c r="C93"/>
      <c r="D93"/>
      <c r="E93"/>
      <c r="F93"/>
      <c r="G93"/>
      <c r="H93"/>
      <c r="I93"/>
      <c r="J93"/>
      <c r="K93"/>
      <c r="L93"/>
      <c r="M93"/>
      <c r="N93"/>
      <c r="O93"/>
    </row>
    <row r="94" spans="2:15">
      <c r="B94"/>
      <c r="C94"/>
      <c r="D94"/>
      <c r="E94"/>
      <c r="F94"/>
      <c r="G94"/>
      <c r="H94"/>
      <c r="I94"/>
      <c r="J94"/>
      <c r="K94"/>
      <c r="L94"/>
      <c r="M94"/>
      <c r="N94"/>
      <c r="O94"/>
    </row>
    <row r="95" spans="2:15">
      <c r="B95"/>
      <c r="C95"/>
      <c r="D95"/>
      <c r="E95"/>
      <c r="F95"/>
      <c r="G95"/>
      <c r="H95"/>
      <c r="I95"/>
      <c r="J95"/>
      <c r="K95"/>
      <c r="L95"/>
      <c r="M95"/>
      <c r="N95"/>
      <c r="O95"/>
    </row>
    <row r="96" spans="2:15">
      <c r="B96"/>
      <c r="C96"/>
      <c r="D96"/>
      <c r="E96"/>
      <c r="F96"/>
      <c r="G96"/>
      <c r="H96"/>
      <c r="I96"/>
      <c r="J96"/>
      <c r="K96"/>
      <c r="L96"/>
      <c r="M96"/>
      <c r="N96"/>
      <c r="O96"/>
    </row>
    <row r="97" spans="2:16">
      <c r="B97"/>
      <c r="C97"/>
      <c r="D97"/>
      <c r="E97"/>
      <c r="F97"/>
      <c r="G97"/>
      <c r="H97"/>
      <c r="I97"/>
      <c r="J97"/>
      <c r="K97"/>
      <c r="L97"/>
      <c r="M97"/>
      <c r="N97"/>
      <c r="O97"/>
    </row>
    <row r="98" spans="2:16">
      <c r="B98"/>
      <c r="C98"/>
      <c r="D98"/>
      <c r="E98"/>
      <c r="F98"/>
      <c r="G98"/>
      <c r="H98"/>
      <c r="I98"/>
      <c r="J98"/>
      <c r="K98"/>
      <c r="L98"/>
      <c r="M98"/>
      <c r="N98"/>
      <c r="O98"/>
    </row>
    <row r="99" spans="2:16">
      <c r="B99"/>
      <c r="C99"/>
      <c r="D99"/>
      <c r="E99"/>
      <c r="F99"/>
      <c r="G99"/>
      <c r="H99"/>
      <c r="I99"/>
      <c r="J99"/>
      <c r="K99"/>
      <c r="L99"/>
      <c r="M99"/>
      <c r="N99"/>
      <c r="O99"/>
    </row>
    <row r="100" spans="2:16">
      <c r="B100"/>
      <c r="C100"/>
      <c r="D100"/>
      <c r="E100"/>
      <c r="F100"/>
      <c r="G100"/>
      <c r="H100"/>
      <c r="I100"/>
      <c r="J100"/>
      <c r="K100"/>
      <c r="L100"/>
      <c r="M100"/>
      <c r="N100"/>
      <c r="O100"/>
    </row>
    <row r="101" spans="2:16">
      <c r="B101"/>
      <c r="C101"/>
      <c r="D101"/>
      <c r="E101"/>
      <c r="F101"/>
      <c r="G101"/>
      <c r="H101"/>
      <c r="I101"/>
      <c r="J101"/>
      <c r="K101"/>
      <c r="L101"/>
      <c r="M101"/>
      <c r="N101"/>
      <c r="O101"/>
    </row>
    <row r="102" spans="2:16">
      <c r="B102"/>
      <c r="C102"/>
      <c r="D102"/>
      <c r="E102"/>
      <c r="F102"/>
      <c r="G102"/>
      <c r="H102"/>
      <c r="I102"/>
      <c r="J102"/>
      <c r="K102"/>
      <c r="L102"/>
      <c r="M102"/>
      <c r="N102"/>
      <c r="O102"/>
    </row>
    <row r="103" spans="2:16">
      <c r="B103"/>
      <c r="C103"/>
      <c r="D103"/>
      <c r="E103"/>
      <c r="F103"/>
      <c r="G103"/>
      <c r="H103"/>
      <c r="I103"/>
      <c r="J103"/>
      <c r="K103"/>
      <c r="L103"/>
      <c r="M103"/>
      <c r="N103"/>
      <c r="O103"/>
    </row>
    <row r="104" spans="2:16">
      <c r="B104"/>
      <c r="C104"/>
      <c r="D104"/>
      <c r="E104"/>
      <c r="F104"/>
      <c r="G104"/>
      <c r="H104"/>
      <c r="I104"/>
      <c r="J104"/>
      <c r="K104"/>
      <c r="L104"/>
      <c r="M104"/>
      <c r="N104"/>
      <c r="O104"/>
    </row>
    <row r="105" spans="2:16">
      <c r="B105"/>
      <c r="C105"/>
      <c r="D105"/>
      <c r="E105"/>
      <c r="F105"/>
      <c r="G105"/>
      <c r="H105"/>
      <c r="I105"/>
      <c r="J105"/>
      <c r="K105"/>
      <c r="L105"/>
      <c r="M105"/>
      <c r="N105"/>
      <c r="O105"/>
      <c r="P105" s="20">
        <v>0</v>
      </c>
    </row>
    <row r="106" spans="2:16">
      <c r="B106"/>
      <c r="C106"/>
      <c r="D106"/>
      <c r="E106"/>
      <c r="F106"/>
      <c r="G106"/>
      <c r="H106"/>
      <c r="I106"/>
      <c r="J106"/>
      <c r="K106"/>
      <c r="L106"/>
      <c r="M106"/>
      <c r="N106"/>
      <c r="O106"/>
    </row>
    <row r="107" spans="2:16">
      <c r="B107"/>
      <c r="C107"/>
      <c r="D107"/>
      <c r="E107"/>
      <c r="F107"/>
      <c r="G107"/>
      <c r="H107"/>
      <c r="I107"/>
      <c r="J107"/>
      <c r="K107"/>
      <c r="L107"/>
      <c r="M107"/>
      <c r="N107"/>
      <c r="O107"/>
    </row>
    <row r="108" spans="2:16">
      <c r="B108"/>
      <c r="C108"/>
      <c r="D108"/>
      <c r="E108"/>
      <c r="F108"/>
      <c r="G108"/>
      <c r="H108"/>
      <c r="I108"/>
      <c r="J108"/>
      <c r="K108"/>
      <c r="L108"/>
      <c r="M108"/>
      <c r="N108"/>
      <c r="O108"/>
    </row>
    <row r="109" spans="2:16">
      <c r="B109"/>
      <c r="C109"/>
      <c r="D109"/>
      <c r="E109"/>
      <c r="F109"/>
      <c r="G109"/>
      <c r="H109"/>
      <c r="I109"/>
      <c r="J109"/>
      <c r="K109"/>
      <c r="L109"/>
      <c r="M109"/>
      <c r="N109"/>
      <c r="O109"/>
    </row>
    <row r="110" spans="2:16">
      <c r="B110"/>
      <c r="C110"/>
      <c r="D110"/>
      <c r="E110"/>
      <c r="F110"/>
      <c r="G110"/>
      <c r="H110"/>
      <c r="I110"/>
      <c r="J110"/>
      <c r="K110"/>
      <c r="L110"/>
      <c r="M110"/>
      <c r="N110"/>
      <c r="O110"/>
    </row>
    <row r="111" spans="2:16">
      <c r="B111"/>
      <c r="C111"/>
      <c r="D111"/>
      <c r="E111"/>
      <c r="F111"/>
      <c r="G111"/>
      <c r="H111"/>
      <c r="I111"/>
      <c r="J111"/>
      <c r="K111"/>
      <c r="L111"/>
      <c r="M111"/>
      <c r="N111"/>
      <c r="O111"/>
    </row>
    <row r="112" spans="2:16">
      <c r="B112"/>
      <c r="C112"/>
      <c r="D112"/>
      <c r="E112"/>
      <c r="F112"/>
      <c r="G112"/>
      <c r="H112"/>
      <c r="I112"/>
      <c r="J112"/>
      <c r="K112"/>
      <c r="L112"/>
      <c r="M112"/>
      <c r="N112"/>
      <c r="O112"/>
    </row>
    <row r="113" spans="2:15">
      <c r="B113"/>
      <c r="C113"/>
      <c r="D113"/>
      <c r="E113"/>
      <c r="F113"/>
      <c r="G113"/>
      <c r="H113"/>
      <c r="I113"/>
      <c r="J113"/>
      <c r="K113"/>
      <c r="L113"/>
      <c r="M113"/>
      <c r="N113"/>
      <c r="O113"/>
    </row>
    <row r="114" spans="2:15">
      <c r="B114"/>
      <c r="C114"/>
      <c r="D114"/>
      <c r="E114"/>
      <c r="F114"/>
      <c r="G114"/>
      <c r="H114"/>
      <c r="I114"/>
      <c r="J114"/>
      <c r="K114"/>
      <c r="L114"/>
      <c r="M114"/>
      <c r="N114"/>
      <c r="O114"/>
    </row>
    <row r="115" spans="2:15">
      <c r="B115"/>
      <c r="C115"/>
      <c r="D115"/>
      <c r="E115"/>
      <c r="F115"/>
      <c r="G115"/>
      <c r="H115"/>
      <c r="I115"/>
      <c r="J115"/>
      <c r="K115"/>
      <c r="L115"/>
      <c r="M115"/>
      <c r="N115"/>
      <c r="O115"/>
    </row>
    <row r="116" spans="2:15">
      <c r="B116"/>
      <c r="C116"/>
      <c r="D116"/>
      <c r="E116"/>
      <c r="F116"/>
      <c r="G116"/>
      <c r="H116"/>
      <c r="I116"/>
      <c r="J116"/>
      <c r="K116"/>
      <c r="L116"/>
      <c r="M116"/>
      <c r="N116"/>
      <c r="O116"/>
    </row>
    <row r="117" spans="2:15">
      <c r="B117"/>
      <c r="C117"/>
      <c r="D117"/>
      <c r="E117"/>
      <c r="F117"/>
      <c r="G117"/>
      <c r="H117"/>
      <c r="I117"/>
      <c r="J117"/>
      <c r="K117"/>
      <c r="L117"/>
      <c r="M117"/>
      <c r="N117"/>
      <c r="O117"/>
    </row>
    <row r="118" spans="2:15">
      <c r="B118"/>
      <c r="C118"/>
      <c r="D118"/>
      <c r="E118"/>
      <c r="F118"/>
      <c r="G118"/>
      <c r="H118"/>
      <c r="I118"/>
      <c r="J118"/>
      <c r="K118"/>
      <c r="L118"/>
      <c r="M118"/>
      <c r="N118"/>
      <c r="O118"/>
    </row>
    <row r="119" spans="2:15">
      <c r="B119"/>
      <c r="C119"/>
      <c r="D119"/>
      <c r="E119"/>
      <c r="F119"/>
      <c r="G119"/>
      <c r="H119"/>
      <c r="I119"/>
      <c r="J119"/>
      <c r="K119"/>
      <c r="L119"/>
      <c r="M119"/>
      <c r="N119"/>
      <c r="O119"/>
    </row>
    <row r="120" spans="2:15">
      <c r="B120"/>
      <c r="C120"/>
      <c r="D120"/>
      <c r="E120"/>
      <c r="F120"/>
      <c r="G120"/>
      <c r="H120"/>
      <c r="I120"/>
      <c r="J120"/>
      <c r="K120"/>
      <c r="L120"/>
      <c r="M120"/>
      <c r="N120"/>
      <c r="O120"/>
    </row>
    <row r="121" spans="2:15">
      <c r="B121"/>
      <c r="C121"/>
      <c r="D121"/>
      <c r="E121"/>
      <c r="F121"/>
      <c r="G121"/>
      <c r="H121"/>
      <c r="I121"/>
      <c r="J121"/>
      <c r="K121"/>
      <c r="L121"/>
      <c r="M121"/>
      <c r="N121"/>
      <c r="O121"/>
    </row>
    <row r="122" spans="2:15">
      <c r="B122"/>
      <c r="C122"/>
      <c r="D122"/>
      <c r="E122"/>
      <c r="F122"/>
      <c r="G122"/>
      <c r="H122"/>
      <c r="I122"/>
      <c r="J122"/>
      <c r="K122"/>
      <c r="L122"/>
      <c r="M122"/>
      <c r="N122"/>
      <c r="O122"/>
    </row>
    <row r="123" spans="2:15">
      <c r="B123"/>
      <c r="C123"/>
      <c r="D123"/>
      <c r="E123"/>
      <c r="F123"/>
      <c r="G123"/>
      <c r="H123"/>
      <c r="I123"/>
      <c r="J123"/>
      <c r="K123"/>
      <c r="L123"/>
      <c r="M123"/>
      <c r="N123"/>
      <c r="O123"/>
    </row>
    <row r="124" spans="2:15">
      <c r="B124"/>
      <c r="C124"/>
      <c r="D124"/>
      <c r="E124"/>
      <c r="F124"/>
      <c r="G124"/>
      <c r="H124"/>
      <c r="I124"/>
      <c r="J124"/>
      <c r="K124"/>
      <c r="L124"/>
      <c r="M124"/>
      <c r="N124"/>
      <c r="O124"/>
    </row>
    <row r="125" spans="2:15">
      <c r="B125"/>
      <c r="C125"/>
      <c r="D125"/>
      <c r="E125"/>
      <c r="F125"/>
      <c r="G125"/>
      <c r="H125"/>
      <c r="I125"/>
      <c r="J125"/>
      <c r="K125"/>
      <c r="L125"/>
      <c r="M125"/>
      <c r="N125"/>
      <c r="O125"/>
    </row>
    <row r="126" spans="2:15">
      <c r="B126"/>
      <c r="C126"/>
      <c r="D126"/>
      <c r="E126"/>
      <c r="F126"/>
      <c r="G126"/>
      <c r="H126"/>
      <c r="I126"/>
      <c r="J126"/>
      <c r="K126"/>
      <c r="L126"/>
      <c r="M126"/>
      <c r="N126"/>
      <c r="O126"/>
    </row>
    <row r="127" spans="2:15">
      <c r="B127"/>
      <c r="C127"/>
      <c r="D127"/>
      <c r="E127"/>
      <c r="F127"/>
      <c r="G127"/>
      <c r="H127"/>
      <c r="I127"/>
      <c r="J127"/>
      <c r="K127"/>
      <c r="L127"/>
      <c r="M127"/>
      <c r="N127"/>
      <c r="O127"/>
    </row>
    <row r="128" spans="2:15">
      <c r="B128"/>
      <c r="C128"/>
      <c r="D128"/>
      <c r="E128"/>
      <c r="F128"/>
      <c r="G128"/>
      <c r="H128"/>
      <c r="I128"/>
      <c r="J128"/>
      <c r="K128"/>
      <c r="L128"/>
      <c r="M128"/>
      <c r="N128"/>
      <c r="O128"/>
    </row>
    <row r="129" spans="2:15">
      <c r="B129"/>
      <c r="C129"/>
      <c r="D129"/>
      <c r="E129"/>
      <c r="F129"/>
      <c r="G129"/>
      <c r="H129"/>
      <c r="I129"/>
      <c r="J129"/>
      <c r="K129"/>
      <c r="L129"/>
      <c r="M129"/>
      <c r="N129"/>
      <c r="O129"/>
    </row>
    <row r="130" spans="2:15">
      <c r="B130"/>
      <c r="C130"/>
      <c r="D130"/>
      <c r="E130"/>
      <c r="F130"/>
      <c r="G130"/>
      <c r="H130"/>
      <c r="I130"/>
      <c r="J130"/>
      <c r="K130"/>
      <c r="L130"/>
      <c r="M130"/>
      <c r="N130"/>
      <c r="O130"/>
    </row>
    <row r="131" spans="2:15">
      <c r="B131"/>
      <c r="C131"/>
      <c r="D131"/>
      <c r="E131"/>
      <c r="F131"/>
      <c r="G131"/>
      <c r="H131"/>
      <c r="I131"/>
      <c r="J131"/>
      <c r="K131"/>
      <c r="L131"/>
      <c r="M131"/>
      <c r="N131"/>
      <c r="O131"/>
    </row>
    <row r="132" spans="2:15">
      <c r="B132"/>
      <c r="C132"/>
      <c r="D132"/>
      <c r="E132"/>
      <c r="F132"/>
      <c r="G132"/>
      <c r="H132"/>
      <c r="I132"/>
      <c r="J132"/>
      <c r="K132"/>
      <c r="L132"/>
      <c r="M132"/>
      <c r="N132"/>
      <c r="O132"/>
    </row>
    <row r="133" spans="2:15">
      <c r="B133"/>
      <c r="C133"/>
      <c r="D133"/>
      <c r="E133"/>
      <c r="F133"/>
      <c r="G133"/>
      <c r="H133"/>
      <c r="I133"/>
      <c r="J133"/>
      <c r="K133"/>
      <c r="L133"/>
      <c r="M133"/>
      <c r="N133"/>
      <c r="O133"/>
    </row>
    <row r="134" spans="2:15">
      <c r="B134"/>
      <c r="C134"/>
      <c r="D134"/>
      <c r="E134"/>
      <c r="F134"/>
      <c r="G134"/>
      <c r="H134"/>
      <c r="I134"/>
      <c r="J134"/>
      <c r="K134"/>
      <c r="L134"/>
      <c r="M134"/>
      <c r="N134"/>
      <c r="O134"/>
    </row>
    <row r="135" spans="2:15">
      <c r="B135"/>
      <c r="C135"/>
      <c r="D135"/>
      <c r="E135"/>
      <c r="F135"/>
      <c r="G135"/>
      <c r="H135"/>
      <c r="I135"/>
      <c r="J135"/>
      <c r="K135"/>
      <c r="L135"/>
      <c r="M135"/>
      <c r="N135"/>
      <c r="O135"/>
    </row>
    <row r="136" spans="2:15">
      <c r="B136"/>
      <c r="C136"/>
      <c r="D136"/>
      <c r="E136"/>
      <c r="F136"/>
      <c r="G136"/>
      <c r="H136"/>
      <c r="I136"/>
      <c r="J136"/>
      <c r="K136"/>
      <c r="L136"/>
      <c r="M136"/>
      <c r="N136"/>
      <c r="O136"/>
    </row>
    <row r="137" spans="2:15">
      <c r="B137"/>
      <c r="C137"/>
      <c r="D137"/>
      <c r="E137"/>
      <c r="F137"/>
      <c r="G137"/>
      <c r="H137"/>
      <c r="I137"/>
      <c r="J137"/>
      <c r="K137"/>
      <c r="L137"/>
      <c r="M137"/>
      <c r="N137"/>
      <c r="O137"/>
    </row>
    <row r="138" spans="2:15">
      <c r="B138"/>
      <c r="C138"/>
      <c r="D138"/>
      <c r="E138"/>
      <c r="F138"/>
      <c r="G138"/>
      <c r="H138"/>
      <c r="I138"/>
      <c r="J138"/>
      <c r="K138"/>
      <c r="L138"/>
      <c r="M138"/>
      <c r="N138"/>
      <c r="O138"/>
    </row>
    <row r="139" spans="2:15">
      <c r="B139"/>
      <c r="C139"/>
      <c r="D139"/>
      <c r="E139"/>
      <c r="F139"/>
      <c r="G139"/>
      <c r="H139"/>
      <c r="I139"/>
      <c r="J139"/>
      <c r="K139"/>
      <c r="L139"/>
      <c r="M139"/>
      <c r="N139"/>
      <c r="O139"/>
    </row>
    <row r="140" spans="2:15">
      <c r="B140"/>
      <c r="C140"/>
      <c r="D140"/>
      <c r="E140"/>
      <c r="F140"/>
      <c r="G140"/>
      <c r="H140"/>
      <c r="I140"/>
      <c r="J140"/>
      <c r="K140"/>
      <c r="L140"/>
      <c r="M140"/>
      <c r="N140"/>
      <c r="O140"/>
    </row>
    <row r="141" spans="2:15">
      <c r="B141"/>
      <c r="C141"/>
      <c r="D141"/>
      <c r="E141"/>
      <c r="F141"/>
      <c r="G141"/>
      <c r="H141"/>
      <c r="I141"/>
      <c r="J141"/>
      <c r="K141"/>
      <c r="L141"/>
      <c r="M141"/>
      <c r="N141"/>
      <c r="O141"/>
    </row>
    <row r="142" spans="2:15">
      <c r="B142"/>
      <c r="C142"/>
      <c r="D142"/>
      <c r="E142"/>
      <c r="F142"/>
      <c r="G142"/>
      <c r="H142"/>
      <c r="I142"/>
      <c r="J142"/>
      <c r="K142"/>
      <c r="L142"/>
      <c r="M142"/>
      <c r="N142"/>
      <c r="O142"/>
    </row>
    <row r="143" spans="2:15">
      <c r="B143"/>
      <c r="C143"/>
      <c r="D143"/>
      <c r="E143"/>
      <c r="F143"/>
      <c r="G143"/>
      <c r="H143"/>
      <c r="I143"/>
      <c r="J143"/>
      <c r="K143"/>
      <c r="L143"/>
      <c r="M143"/>
      <c r="N143"/>
      <c r="O143"/>
    </row>
    <row r="144" spans="2:15">
      <c r="B144"/>
      <c r="C144"/>
      <c r="D144"/>
      <c r="E144"/>
      <c r="F144"/>
      <c r="G144"/>
      <c r="H144"/>
      <c r="I144"/>
      <c r="J144"/>
      <c r="K144"/>
      <c r="L144"/>
      <c r="M144"/>
      <c r="N144"/>
      <c r="O144"/>
    </row>
    <row r="145" spans="2:15">
      <c r="B145"/>
      <c r="C145"/>
      <c r="D145"/>
      <c r="E145"/>
      <c r="F145"/>
      <c r="G145"/>
      <c r="H145"/>
      <c r="I145"/>
      <c r="J145"/>
      <c r="K145"/>
      <c r="L145"/>
      <c r="M145"/>
      <c r="N145"/>
      <c r="O145"/>
    </row>
    <row r="146" spans="2:15">
      <c r="B146"/>
      <c r="C146"/>
      <c r="D146"/>
      <c r="E146"/>
      <c r="F146"/>
      <c r="G146"/>
      <c r="H146"/>
      <c r="I146"/>
      <c r="J146"/>
      <c r="K146"/>
      <c r="L146"/>
      <c r="M146"/>
      <c r="N146"/>
      <c r="O146"/>
    </row>
    <row r="147" spans="2:15">
      <c r="B147"/>
      <c r="C147"/>
      <c r="D147"/>
      <c r="E147"/>
      <c r="F147"/>
      <c r="G147"/>
      <c r="H147"/>
      <c r="I147"/>
      <c r="J147"/>
      <c r="K147"/>
      <c r="L147"/>
      <c r="M147"/>
      <c r="N147"/>
      <c r="O147"/>
    </row>
    <row r="148" spans="2:15">
      <c r="B148"/>
      <c r="C148"/>
      <c r="D148"/>
      <c r="E148"/>
      <c r="F148"/>
      <c r="G148"/>
      <c r="H148"/>
      <c r="I148"/>
      <c r="J148"/>
      <c r="K148"/>
      <c r="L148"/>
      <c r="M148"/>
      <c r="N148"/>
      <c r="O148"/>
    </row>
    <row r="149" spans="2:15">
      <c r="B149"/>
      <c r="C149"/>
      <c r="D149"/>
      <c r="E149"/>
      <c r="F149"/>
      <c r="G149"/>
      <c r="H149"/>
      <c r="I149"/>
      <c r="J149"/>
      <c r="K149"/>
      <c r="L149"/>
      <c r="M149"/>
      <c r="N149"/>
      <c r="O149"/>
    </row>
    <row r="150" spans="2:15">
      <c r="B150"/>
      <c r="C150"/>
      <c r="D150"/>
      <c r="E150"/>
      <c r="F150"/>
      <c r="G150"/>
      <c r="H150"/>
      <c r="I150"/>
      <c r="J150"/>
      <c r="K150"/>
      <c r="L150"/>
      <c r="M150"/>
      <c r="N150"/>
      <c r="O150"/>
    </row>
    <row r="151" spans="2:15">
      <c r="B151"/>
      <c r="C151"/>
      <c r="D151"/>
      <c r="E151"/>
      <c r="F151"/>
      <c r="G151"/>
      <c r="H151"/>
      <c r="I151"/>
      <c r="J151"/>
      <c r="K151"/>
      <c r="L151"/>
      <c r="M151"/>
      <c r="N151"/>
      <c r="O151"/>
    </row>
    <row r="152" spans="2:15">
      <c r="B152"/>
      <c r="C152"/>
      <c r="D152"/>
      <c r="E152"/>
      <c r="F152"/>
      <c r="G152"/>
      <c r="H152"/>
      <c r="I152"/>
      <c r="J152"/>
      <c r="K152"/>
      <c r="L152"/>
      <c r="M152"/>
      <c r="N152"/>
      <c r="O152"/>
    </row>
    <row r="153" spans="2:15">
      <c r="B153"/>
      <c r="C153"/>
      <c r="D153"/>
      <c r="E153"/>
      <c r="F153"/>
      <c r="G153"/>
      <c r="H153"/>
      <c r="I153"/>
      <c r="J153"/>
      <c r="K153"/>
      <c r="L153"/>
      <c r="M153"/>
      <c r="N153"/>
      <c r="O153"/>
    </row>
    <row r="154" spans="2:15">
      <c r="B154"/>
      <c r="C154"/>
      <c r="D154"/>
      <c r="E154"/>
      <c r="F154"/>
      <c r="G154"/>
      <c r="H154"/>
      <c r="I154"/>
      <c r="J154"/>
      <c r="K154"/>
      <c r="L154"/>
      <c r="M154"/>
      <c r="N154"/>
      <c r="O154"/>
    </row>
    <row r="155" spans="2:15">
      <c r="B155"/>
      <c r="C155"/>
      <c r="D155"/>
      <c r="E155"/>
      <c r="F155"/>
      <c r="G155"/>
      <c r="H155"/>
      <c r="I155"/>
      <c r="J155"/>
      <c r="K155"/>
      <c r="L155"/>
      <c r="M155"/>
      <c r="N155"/>
      <c r="O155"/>
    </row>
    <row r="156" spans="2:15">
      <c r="B156"/>
      <c r="C156"/>
      <c r="D156"/>
      <c r="E156"/>
      <c r="F156"/>
      <c r="G156"/>
      <c r="H156"/>
      <c r="I156"/>
      <c r="J156"/>
      <c r="K156"/>
      <c r="L156"/>
      <c r="M156"/>
      <c r="N156"/>
      <c r="O156"/>
    </row>
    <row r="157" spans="2:15">
      <c r="B157"/>
      <c r="C157"/>
      <c r="D157"/>
      <c r="E157"/>
      <c r="F157"/>
      <c r="G157"/>
      <c r="H157"/>
      <c r="I157"/>
      <c r="J157"/>
      <c r="K157"/>
      <c r="L157"/>
      <c r="M157"/>
      <c r="N157"/>
      <c r="O157"/>
    </row>
    <row r="158" spans="2:15">
      <c r="B158"/>
      <c r="C158"/>
      <c r="D158"/>
      <c r="E158"/>
      <c r="F158"/>
      <c r="G158"/>
      <c r="H158"/>
      <c r="I158"/>
      <c r="J158"/>
      <c r="K158"/>
      <c r="L158"/>
      <c r="M158"/>
      <c r="N158"/>
      <c r="O158"/>
    </row>
    <row r="159" spans="2:15">
      <c r="B159"/>
      <c r="C159"/>
      <c r="D159"/>
      <c r="E159"/>
      <c r="F159"/>
      <c r="G159"/>
      <c r="H159"/>
      <c r="I159"/>
      <c r="J159"/>
      <c r="K159"/>
      <c r="L159"/>
      <c r="M159"/>
      <c r="N159"/>
      <c r="O159"/>
    </row>
    <row r="160" spans="2:15">
      <c r="B160"/>
      <c r="C160"/>
      <c r="D160"/>
      <c r="E160"/>
      <c r="F160"/>
      <c r="G160"/>
      <c r="H160"/>
      <c r="I160"/>
      <c r="J160"/>
      <c r="K160"/>
      <c r="L160"/>
      <c r="M160"/>
      <c r="N160"/>
      <c r="O160"/>
    </row>
    <row r="161" spans="2:15">
      <c r="B161"/>
      <c r="C161"/>
      <c r="D161"/>
      <c r="E161"/>
      <c r="F161"/>
      <c r="G161"/>
      <c r="H161"/>
      <c r="I161"/>
      <c r="J161"/>
      <c r="K161"/>
      <c r="L161"/>
      <c r="M161"/>
      <c r="N161"/>
      <c r="O161"/>
    </row>
    <row r="162" spans="2:15">
      <c r="B162"/>
      <c r="C162"/>
      <c r="D162"/>
      <c r="E162"/>
      <c r="F162"/>
      <c r="G162"/>
      <c r="H162"/>
      <c r="I162"/>
      <c r="J162"/>
      <c r="K162"/>
      <c r="L162"/>
      <c r="M162"/>
      <c r="N162"/>
      <c r="O162"/>
    </row>
    <row r="163" spans="2:15">
      <c r="B163"/>
      <c r="C163"/>
      <c r="D163"/>
      <c r="E163"/>
      <c r="F163"/>
      <c r="G163"/>
      <c r="H163"/>
      <c r="I163"/>
      <c r="J163"/>
      <c r="K163"/>
      <c r="L163"/>
      <c r="M163"/>
      <c r="N163"/>
      <c r="O163"/>
    </row>
    <row r="164" spans="2:15">
      <c r="B164"/>
      <c r="C164"/>
      <c r="D164"/>
      <c r="E164"/>
      <c r="F164"/>
      <c r="G164"/>
      <c r="H164"/>
      <c r="I164"/>
      <c r="J164"/>
      <c r="K164"/>
      <c r="L164"/>
      <c r="M164"/>
      <c r="N164"/>
      <c r="O164"/>
    </row>
    <row r="165" spans="2:15">
      <c r="B165"/>
      <c r="C165"/>
      <c r="D165"/>
      <c r="E165"/>
      <c r="F165"/>
      <c r="G165"/>
      <c r="H165"/>
      <c r="I165"/>
      <c r="J165"/>
      <c r="K165"/>
      <c r="L165"/>
      <c r="M165"/>
      <c r="N165"/>
      <c r="O165"/>
    </row>
    <row r="166" spans="2:15">
      <c r="B166"/>
      <c r="C166"/>
      <c r="D166"/>
      <c r="E166"/>
      <c r="F166"/>
      <c r="G166"/>
      <c r="H166"/>
      <c r="I166"/>
      <c r="J166"/>
      <c r="K166"/>
      <c r="L166"/>
      <c r="M166"/>
      <c r="N166"/>
      <c r="O166"/>
    </row>
    <row r="167" spans="2:15">
      <c r="B167"/>
      <c r="C167"/>
      <c r="D167"/>
      <c r="E167"/>
      <c r="F167"/>
      <c r="G167"/>
      <c r="H167"/>
      <c r="I167"/>
      <c r="J167"/>
      <c r="K167"/>
      <c r="L167"/>
      <c r="M167"/>
      <c r="N167"/>
      <c r="O167"/>
    </row>
    <row r="168" spans="2:15">
      <c r="B168"/>
      <c r="C168"/>
      <c r="D168"/>
      <c r="E168"/>
      <c r="F168"/>
      <c r="G168"/>
      <c r="H168"/>
      <c r="I168"/>
      <c r="J168"/>
      <c r="K168"/>
      <c r="L168"/>
      <c r="M168"/>
      <c r="N168"/>
      <c r="O168"/>
    </row>
    <row r="169" spans="2:15">
      <c r="B169"/>
      <c r="C169"/>
      <c r="D169"/>
      <c r="E169"/>
      <c r="F169"/>
      <c r="G169"/>
      <c r="H169"/>
      <c r="I169"/>
      <c r="J169"/>
      <c r="K169"/>
      <c r="L169"/>
      <c r="M169"/>
      <c r="N169"/>
      <c r="O169"/>
    </row>
    <row r="170" spans="2:15">
      <c r="B170"/>
      <c r="C170"/>
      <c r="D170"/>
      <c r="E170"/>
      <c r="F170"/>
      <c r="G170"/>
      <c r="H170"/>
      <c r="I170"/>
      <c r="J170"/>
      <c r="K170"/>
      <c r="L170"/>
      <c r="M170"/>
      <c r="N170"/>
      <c r="O170"/>
    </row>
    <row r="171" spans="2:15">
      <c r="B171"/>
      <c r="C171"/>
      <c r="D171"/>
      <c r="E171"/>
      <c r="F171"/>
      <c r="G171"/>
      <c r="H171"/>
      <c r="I171"/>
      <c r="J171"/>
      <c r="K171"/>
      <c r="L171"/>
      <c r="M171"/>
      <c r="N171"/>
      <c r="O171"/>
    </row>
    <row r="172" spans="2:15">
      <c r="B172"/>
      <c r="C172"/>
      <c r="D172"/>
      <c r="E172"/>
      <c r="F172"/>
      <c r="G172"/>
      <c r="H172"/>
      <c r="I172"/>
      <c r="J172"/>
      <c r="K172"/>
      <c r="L172"/>
      <c r="M172"/>
      <c r="N172"/>
      <c r="O172"/>
    </row>
    <row r="173" spans="2:15">
      <c r="B173"/>
      <c r="C173"/>
      <c r="D173"/>
      <c r="E173"/>
      <c r="F173"/>
      <c r="G173"/>
      <c r="H173"/>
      <c r="I173"/>
      <c r="J173"/>
      <c r="K173"/>
      <c r="L173"/>
      <c r="M173"/>
      <c r="N173"/>
      <c r="O173"/>
    </row>
    <row r="175" spans="2:15">
      <c r="B175" s="24" t="s">
        <v>0</v>
      </c>
    </row>
  </sheetData>
  <phoneticPr fontId="0" type="noConversion"/>
  <pageMargins left="0.31" right="0.23" top="0.54" bottom="0.73" header="0.34" footer="0.5"/>
  <pageSetup scale="54" orientation="landscape" r:id="rId1"/>
  <headerFooter alignWithMargins="0">
    <oddFooter>&amp;R&amp;P</oddFooter>
  </headerFooter>
</worksheet>
</file>

<file path=xl/worksheets/sheet68.xml><?xml version="1.0" encoding="utf-8"?>
<worksheet xmlns="http://schemas.openxmlformats.org/spreadsheetml/2006/main" xmlns:r="http://schemas.openxmlformats.org/officeDocument/2006/relationships">
  <sheetPr>
    <pageSetUpPr fitToPage="1"/>
  </sheetPr>
  <dimension ref="A1:U156"/>
  <sheetViews>
    <sheetView workbookViewId="0">
      <selection activeCell="B9" sqref="B9"/>
    </sheetView>
  </sheetViews>
  <sheetFormatPr baseColWidth="10" defaultColWidth="9" defaultRowHeight="15.75"/>
  <cols>
    <col min="1" max="1" width="33.25" customWidth="1"/>
    <col min="2" max="2" width="17.62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8.75" style="20" customWidth="1"/>
    <col min="18" max="18" width="15.75" style="20" customWidth="1"/>
    <col min="19" max="21" width="15.75" customWidth="1"/>
  </cols>
  <sheetData>
    <row r="1" spans="1:21">
      <c r="A1" s="111" t="s">
        <v>394</v>
      </c>
      <c r="B1" s="42"/>
      <c r="C1" s="43"/>
      <c r="D1" s="42"/>
      <c r="E1" s="43"/>
      <c r="F1" s="42"/>
      <c r="G1" s="43"/>
      <c r="H1" s="42"/>
      <c r="I1" s="43"/>
      <c r="J1" s="42"/>
      <c r="K1" s="43"/>
      <c r="L1" s="42"/>
      <c r="M1" s="43"/>
      <c r="N1" s="42"/>
      <c r="O1" s="43"/>
      <c r="P1" s="42"/>
      <c r="Q1" s="42"/>
    </row>
    <row r="2" spans="1:21">
      <c r="A2" s="111" t="s">
        <v>291</v>
      </c>
      <c r="B2" s="42"/>
      <c r="C2" s="43"/>
      <c r="D2" s="42"/>
      <c r="E2" s="43"/>
      <c r="F2" s="42"/>
      <c r="G2" s="43"/>
      <c r="H2" s="42"/>
      <c r="I2" s="43"/>
      <c r="J2" s="42"/>
      <c r="K2" s="43"/>
      <c r="L2" s="42"/>
      <c r="M2" s="43"/>
      <c r="N2" s="42"/>
      <c r="O2" s="43"/>
      <c r="P2" s="42"/>
      <c r="Q2" s="42"/>
    </row>
    <row r="3" spans="1:21">
      <c r="A3" s="111" t="s">
        <v>387</v>
      </c>
      <c r="B3" s="42"/>
      <c r="C3" s="43"/>
      <c r="D3" s="42"/>
      <c r="E3" s="43"/>
      <c r="F3" s="42"/>
      <c r="G3" s="43"/>
      <c r="H3" s="42"/>
      <c r="I3" s="43"/>
      <c r="J3" s="42"/>
      <c r="K3" s="43"/>
      <c r="L3" s="42"/>
      <c r="M3" s="43"/>
      <c r="N3" s="42"/>
      <c r="O3" s="43"/>
      <c r="P3" s="42"/>
      <c r="Q3" s="42"/>
    </row>
    <row r="4" spans="1:21">
      <c r="A4" s="111" t="s">
        <v>198</v>
      </c>
      <c r="B4" s="42"/>
      <c r="C4" s="43"/>
      <c r="D4" s="42"/>
      <c r="E4" s="43"/>
      <c r="F4" s="42"/>
      <c r="G4" s="43"/>
      <c r="H4" s="42"/>
      <c r="I4" s="43"/>
      <c r="J4" s="42"/>
      <c r="K4" s="43"/>
      <c r="L4" s="42"/>
      <c r="M4" s="43"/>
      <c r="N4" s="42"/>
      <c r="O4" s="43"/>
      <c r="P4" s="42"/>
      <c r="Q4" s="42"/>
    </row>
    <row r="6" spans="1:21" s="11" customFormat="1" ht="16.5" thickBot="1">
      <c r="B6" s="346" t="s">
        <v>0</v>
      </c>
      <c r="C6" s="345"/>
      <c r="D6" s="346"/>
      <c r="E6" s="345"/>
      <c r="F6" s="346"/>
      <c r="G6" s="345"/>
      <c r="H6" s="346"/>
      <c r="I6" s="19"/>
      <c r="J6" s="118" t="s">
        <v>195</v>
      </c>
      <c r="K6" s="207"/>
      <c r="L6" s="118"/>
      <c r="M6" s="207"/>
      <c r="N6" s="118"/>
      <c r="O6" s="207"/>
      <c r="P6" s="118"/>
      <c r="Q6" s="118"/>
      <c r="R6" s="13"/>
    </row>
    <row r="7" spans="1:21" s="11" customFormat="1" ht="16.5" thickBot="1">
      <c r="B7" s="200" t="str">
        <f>+sofibilcompsys!B6</f>
        <v>Déc. 14</v>
      </c>
      <c r="C7" s="201" t="s">
        <v>289</v>
      </c>
      <c r="D7" s="200" t="str">
        <f>+sofibilcompsys!D6</f>
        <v>Mars 15</v>
      </c>
      <c r="E7" s="201" t="s">
        <v>289</v>
      </c>
      <c r="F7" s="200" t="str">
        <f>+sofibilcompsys!F6</f>
        <v>Juin 15</v>
      </c>
      <c r="G7" s="201" t="s">
        <v>289</v>
      </c>
      <c r="H7" s="200" t="str">
        <f>+sofibilcompsys!H6</f>
        <v>Sept. 15</v>
      </c>
      <c r="I7" s="201" t="s">
        <v>289</v>
      </c>
      <c r="J7" s="205" t="str">
        <f>+sofibilcompsys!J6</f>
        <v>2014</v>
      </c>
      <c r="K7" s="204" t="s">
        <v>289</v>
      </c>
      <c r="L7" s="205" t="str">
        <f>+sofibilcompsys!L6</f>
        <v>2013</v>
      </c>
      <c r="M7" s="204" t="s">
        <v>289</v>
      </c>
      <c r="N7" s="205" t="str">
        <f>+sofibilcompsys!N6</f>
        <v>2012</v>
      </c>
      <c r="O7" s="204" t="s">
        <v>289</v>
      </c>
      <c r="P7" s="205" t="str">
        <f>+sofibilcompsys!P6</f>
        <v>2011</v>
      </c>
      <c r="Q7" s="204" t="s">
        <v>289</v>
      </c>
      <c r="R7" s="2"/>
      <c r="S7" s="3"/>
      <c r="T7" s="3"/>
      <c r="U7" s="3"/>
    </row>
    <row r="8" spans="1:21">
      <c r="A8" s="86" t="s">
        <v>244</v>
      </c>
      <c r="B8" s="120"/>
      <c r="C8" s="119"/>
      <c r="D8" s="120"/>
      <c r="E8" s="119"/>
      <c r="F8" s="120"/>
      <c r="G8" s="119"/>
      <c r="H8" s="120"/>
      <c r="I8" s="119"/>
      <c r="J8" s="197"/>
      <c r="K8" s="119"/>
      <c r="L8" s="197"/>
      <c r="M8" s="119"/>
      <c r="N8" s="197"/>
      <c r="O8" s="119"/>
      <c r="P8" s="197"/>
      <c r="Q8" s="120"/>
      <c r="R8" s="22"/>
      <c r="S8" s="17"/>
      <c r="T8" s="17"/>
      <c r="U8" s="17"/>
    </row>
    <row r="9" spans="1:21">
      <c r="A9" s="10" t="s">
        <v>255</v>
      </c>
      <c r="B9"/>
    </row>
    <row r="10" spans="1:21">
      <c r="A10" s="10" t="s">
        <v>256</v>
      </c>
      <c r="B10" s="20">
        <f>+bncvar!B10</f>
        <v>4685005.6830000002</v>
      </c>
      <c r="C10" s="52">
        <f t="shared" ref="C10:C15" si="0">+B10/$B$23</f>
        <v>0.1092388712281999</v>
      </c>
      <c r="D10" s="20">
        <f>+bncvar!D10</f>
        <v>0</v>
      </c>
      <c r="E10" s="49">
        <v>0</v>
      </c>
      <c r="F10" s="20">
        <f>+bncvar!F10</f>
        <v>0</v>
      </c>
      <c r="G10" s="49">
        <v>0</v>
      </c>
      <c r="H10" s="20">
        <f>+bncvar!H10</f>
        <v>0</v>
      </c>
      <c r="I10" s="49">
        <v>0</v>
      </c>
      <c r="J10" s="20">
        <f>+bncvar!J10</f>
        <v>4498486.5750000002</v>
      </c>
      <c r="K10" s="52">
        <f t="shared" ref="K10:K15" si="1">+J10/$J$23</f>
        <v>0.10068736004403529</v>
      </c>
      <c r="L10" s="20">
        <f>+bncvar!L10</f>
        <v>2410499.5789999999</v>
      </c>
      <c r="M10" s="52">
        <f t="shared" ref="M10:M15" si="2">+L10/$L$23</f>
        <v>5.6634038703329004E-2</v>
      </c>
      <c r="N10" s="20">
        <f>+bncvar!N10</f>
        <v>1370114.0430000001</v>
      </c>
      <c r="O10" s="52">
        <f t="shared" ref="O10:O15" si="3">+N10/$N$23</f>
        <v>3.293044357063362E-2</v>
      </c>
      <c r="P10" s="20">
        <f>+bncvar!P10</f>
        <v>1488174.7220000001</v>
      </c>
      <c r="Q10" s="52">
        <f t="shared" ref="Q10:Q15" si="4">+P10/$P$23</f>
        <v>4.1121420428938606E-2</v>
      </c>
    </row>
    <row r="11" spans="1:21">
      <c r="A11" s="10" t="s">
        <v>257</v>
      </c>
      <c r="B11" s="20">
        <f>+bncvar!B11</f>
        <v>10240683.537</v>
      </c>
      <c r="C11" s="52">
        <f t="shared" si="0"/>
        <v>0.23877894412088588</v>
      </c>
      <c r="D11" s="20">
        <f>+bncvar!D11</f>
        <v>0</v>
      </c>
      <c r="E11" s="49">
        <v>0</v>
      </c>
      <c r="F11" s="20">
        <f>+bncvar!F11</f>
        <v>0</v>
      </c>
      <c r="G11" s="49">
        <v>0</v>
      </c>
      <c r="H11" s="20">
        <f>+bncvar!H11</f>
        <v>0</v>
      </c>
      <c r="I11" s="49">
        <v>0</v>
      </c>
      <c r="J11" s="20">
        <f>+bncvar!J11</f>
        <v>11369006.581999999</v>
      </c>
      <c r="K11" s="52">
        <f t="shared" si="1"/>
        <v>0.25446675009024361</v>
      </c>
      <c r="L11" s="20">
        <f>+bncvar!L11</f>
        <v>11856301.23</v>
      </c>
      <c r="M11" s="52">
        <f t="shared" si="2"/>
        <v>0.27856060568851371</v>
      </c>
      <c r="N11" s="20">
        <f>+bncvar!N11</f>
        <v>18834806.552000001</v>
      </c>
      <c r="O11" s="52">
        <f t="shared" si="3"/>
        <v>0.45269117377000451</v>
      </c>
      <c r="P11" s="20">
        <f>+bncvar!P11</f>
        <v>17886141.397</v>
      </c>
      <c r="Q11" s="52">
        <f t="shared" si="4"/>
        <v>0.49423198053587164</v>
      </c>
    </row>
    <row r="12" spans="1:21">
      <c r="A12" s="10" t="s">
        <v>258</v>
      </c>
      <c r="B12" s="20">
        <f>+bncvar!B12</f>
        <v>459217.15899999999</v>
      </c>
      <c r="C12" s="52">
        <f t="shared" si="0"/>
        <v>1.0707428654741462E-2</v>
      </c>
      <c r="D12" s="20">
        <f>+bncvar!D12</f>
        <v>0</v>
      </c>
      <c r="E12" s="49">
        <v>0</v>
      </c>
      <c r="F12" s="20">
        <f>+bncvar!F12</f>
        <v>0</v>
      </c>
      <c r="G12" s="49">
        <v>0</v>
      </c>
      <c r="H12" s="20">
        <f>+bncvar!H12</f>
        <v>0</v>
      </c>
      <c r="I12" s="49">
        <v>0</v>
      </c>
      <c r="J12" s="20">
        <f>+bncvar!J12</f>
        <v>1227438.7450000001</v>
      </c>
      <c r="K12" s="52">
        <f t="shared" si="1"/>
        <v>2.7473143420421085E-2</v>
      </c>
      <c r="L12" s="20">
        <f>+bncvar!L12</f>
        <v>574334.45600000001</v>
      </c>
      <c r="M12" s="52">
        <f t="shared" si="2"/>
        <v>1.3493833433172904E-2</v>
      </c>
      <c r="N12" s="20">
        <f>+bncvar!N12</f>
        <v>1198118.5090000001</v>
      </c>
      <c r="O12" s="52">
        <f t="shared" si="3"/>
        <v>2.8796561974626947E-2</v>
      </c>
      <c r="P12" s="20">
        <f>+bncvar!P12</f>
        <v>2197690.9619999998</v>
      </c>
      <c r="Q12" s="52">
        <f t="shared" si="4"/>
        <v>6.0726857327496331E-2</v>
      </c>
    </row>
    <row r="13" spans="1:21">
      <c r="A13" s="10" t="s">
        <v>259</v>
      </c>
      <c r="B13" s="20">
        <f>+bncvar!B13</f>
        <v>0</v>
      </c>
      <c r="C13" s="52">
        <f t="shared" si="0"/>
        <v>0</v>
      </c>
      <c r="D13" s="20">
        <f>+bncvar!D13</f>
        <v>0</v>
      </c>
      <c r="E13" s="49">
        <v>0</v>
      </c>
      <c r="F13" s="20">
        <f>+bncvar!F13</f>
        <v>0</v>
      </c>
      <c r="G13" s="49">
        <v>0</v>
      </c>
      <c r="H13" s="20">
        <f>+bncvar!H13</f>
        <v>0</v>
      </c>
      <c r="I13" s="49">
        <v>0</v>
      </c>
      <c r="J13" s="20">
        <f>+bncvar!J13</f>
        <v>0</v>
      </c>
      <c r="K13" s="52">
        <f t="shared" si="1"/>
        <v>0</v>
      </c>
      <c r="L13" s="20">
        <f>+bncvar!L13</f>
        <v>0</v>
      </c>
      <c r="M13" s="52">
        <f t="shared" si="2"/>
        <v>0</v>
      </c>
      <c r="N13" s="20">
        <f>+bncvar!N13</f>
        <v>0</v>
      </c>
      <c r="O13" s="52">
        <f t="shared" si="3"/>
        <v>0</v>
      </c>
      <c r="P13" s="20">
        <f>+bncvar!P13</f>
        <v>0</v>
      </c>
      <c r="Q13" s="52">
        <f t="shared" si="4"/>
        <v>0</v>
      </c>
    </row>
    <row r="14" spans="1:21">
      <c r="A14" s="10" t="s">
        <v>260</v>
      </c>
      <c r="B14" s="199">
        <f>+bncvar!B14</f>
        <v>193459.598</v>
      </c>
      <c r="C14" s="294">
        <f t="shared" si="0"/>
        <v>4.5108393764527518E-3</v>
      </c>
      <c r="D14" s="199">
        <f>+bncvar!D14</f>
        <v>0</v>
      </c>
      <c r="E14" s="1524">
        <v>0</v>
      </c>
      <c r="F14" s="199">
        <f>+bncvar!F14</f>
        <v>0</v>
      </c>
      <c r="G14" s="1524">
        <v>0</v>
      </c>
      <c r="H14" s="199">
        <f>+bncvar!H14</f>
        <v>0</v>
      </c>
      <c r="I14" s="1524">
        <v>0</v>
      </c>
      <c r="J14" s="199">
        <f>+bncvar!J14</f>
        <v>146018.71199999997</v>
      </c>
      <c r="K14" s="294">
        <f t="shared" si="1"/>
        <v>3.2682633110470696E-3</v>
      </c>
      <c r="L14" s="199">
        <f>+bncvar!L14</f>
        <v>149676.73500000002</v>
      </c>
      <c r="M14" s="294">
        <f t="shared" si="2"/>
        <v>3.5166145959231133E-3</v>
      </c>
      <c r="N14" s="199">
        <f>+bncvar!N14</f>
        <v>264043.61900000001</v>
      </c>
      <c r="O14" s="294">
        <f t="shared" si="3"/>
        <v>6.3462406944072049E-3</v>
      </c>
      <c r="P14" s="199">
        <f>+bncvar!P14</f>
        <v>217176.18000000002</v>
      </c>
      <c r="Q14" s="294">
        <f t="shared" si="4"/>
        <v>6.0010379647685262E-3</v>
      </c>
    </row>
    <row r="15" spans="1:21" ht="15.6" customHeight="1">
      <c r="A15" s="10"/>
      <c r="B15" s="20">
        <f>SUM(B10:B14)</f>
        <v>15578365.977</v>
      </c>
      <c r="C15" s="52">
        <f t="shared" si="0"/>
        <v>0.36323608338027996</v>
      </c>
      <c r="D15" s="20">
        <f>SUM(D10:D14)</f>
        <v>0</v>
      </c>
      <c r="E15" s="49">
        <v>0</v>
      </c>
      <c r="F15" s="20">
        <f>SUM(F10:F14)</f>
        <v>0</v>
      </c>
      <c r="G15" s="49">
        <v>0</v>
      </c>
      <c r="H15" s="20">
        <f>SUM(H10:H14)</f>
        <v>0</v>
      </c>
      <c r="I15" s="49">
        <v>0</v>
      </c>
      <c r="J15" s="20">
        <f>SUM(J10:J14)</f>
        <v>17240950.614</v>
      </c>
      <c r="K15" s="52">
        <f t="shared" si="1"/>
        <v>0.38589551686574708</v>
      </c>
      <c r="L15" s="20">
        <f>SUM(L10:L14)</f>
        <v>14990812</v>
      </c>
      <c r="M15" s="52">
        <f t="shared" si="2"/>
        <v>0.35220509242093873</v>
      </c>
      <c r="N15" s="20">
        <f>SUM(N10:N14)</f>
        <v>21667082.723000001</v>
      </c>
      <c r="O15" s="52">
        <f t="shared" si="3"/>
        <v>0.52076442000967227</v>
      </c>
      <c r="P15" s="20">
        <f>SUM(P10:P14)</f>
        <v>21789183.261</v>
      </c>
      <c r="Q15" s="52">
        <f t="shared" si="4"/>
        <v>0.60208129625707507</v>
      </c>
    </row>
    <row r="16" spans="1:21" ht="7.9" customHeight="1">
      <c r="A16" s="10"/>
      <c r="C16" s="52" t="s">
        <v>0</v>
      </c>
      <c r="E16" s="49" t="s">
        <v>0</v>
      </c>
      <c r="G16" s="49" t="s">
        <v>0</v>
      </c>
      <c r="I16" s="49" t="s">
        <v>0</v>
      </c>
      <c r="K16" s="52" t="s">
        <v>0</v>
      </c>
      <c r="M16" s="52" t="s">
        <v>0</v>
      </c>
      <c r="O16" s="52" t="s">
        <v>0</v>
      </c>
      <c r="Q16" s="52" t="s">
        <v>0</v>
      </c>
    </row>
    <row r="17" spans="1:17" ht="15.6" customHeight="1">
      <c r="A17" s="10" t="s">
        <v>261</v>
      </c>
      <c r="B17" s="20">
        <f>+bncvar!B17</f>
        <v>3810000</v>
      </c>
      <c r="C17" s="52">
        <f t="shared" ref="C17:C23" si="5">+B17/$B$23</f>
        <v>8.8836626365185481E-2</v>
      </c>
      <c r="D17" s="20">
        <f>+bncvar!D17</f>
        <v>0</v>
      </c>
      <c r="E17" s="49">
        <v>0</v>
      </c>
      <c r="F17" s="20">
        <f>+bncvar!F17</f>
        <v>0</v>
      </c>
      <c r="G17" s="49">
        <v>0</v>
      </c>
      <c r="H17" s="20">
        <f>+bncvar!H17</f>
        <v>0</v>
      </c>
      <c r="I17" s="49">
        <v>0</v>
      </c>
      <c r="J17" s="20">
        <f>+bncvar!J17</f>
        <v>2334000</v>
      </c>
      <c r="K17" s="52">
        <f t="shared" ref="K17:K23" si="6">+J17/$J$23</f>
        <v>5.2240746843348833E-2</v>
      </c>
      <c r="L17" s="20">
        <f>+bncvar!L17</f>
        <v>5670000</v>
      </c>
      <c r="M17" s="52">
        <f t="shared" ref="M17:M23" si="7">+L17/$L$23</f>
        <v>0.13321512363884774</v>
      </c>
      <c r="N17" s="20">
        <f>+bncvar!N17</f>
        <v>3397881</v>
      </c>
      <c r="O17" s="52">
        <f t="shared" ref="O17:O23" si="8">+N17/$N$23</f>
        <v>8.1667456152208884E-2</v>
      </c>
      <c r="P17" s="20">
        <f>+bncvar!P17</f>
        <v>3847999.5</v>
      </c>
      <c r="Q17" s="52">
        <f t="shared" ref="Q17:Q23" si="9">+P17/$P$23</f>
        <v>0.1063283785906461</v>
      </c>
    </row>
    <row r="18" spans="1:17" ht="15.6" customHeight="1">
      <c r="A18" s="10" t="s">
        <v>909</v>
      </c>
      <c r="B18" s="20">
        <f>+bncvar!B18</f>
        <v>2875000</v>
      </c>
      <c r="C18" s="52">
        <f t="shared" si="5"/>
        <v>6.7035512020973298E-2</v>
      </c>
      <c r="D18" s="20">
        <f>+bncvar!D18</f>
        <v>0</v>
      </c>
      <c r="E18" s="49">
        <v>0</v>
      </c>
      <c r="F18" s="20">
        <f>+bncvar!F18</f>
        <v>0</v>
      </c>
      <c r="G18" s="49">
        <v>0</v>
      </c>
      <c r="H18" s="20">
        <f>+bncvar!H18</f>
        <v>0</v>
      </c>
      <c r="I18" s="49">
        <v>0</v>
      </c>
      <c r="J18" s="20">
        <f>+bncvar!J18</f>
        <v>3875000</v>
      </c>
      <c r="K18" s="52">
        <v>0</v>
      </c>
      <c r="L18" s="20">
        <v>0</v>
      </c>
      <c r="M18" s="52">
        <v>0</v>
      </c>
      <c r="N18" s="20">
        <v>0</v>
      </c>
      <c r="O18" s="52">
        <v>0</v>
      </c>
      <c r="P18" s="20">
        <v>0</v>
      </c>
      <c r="Q18" s="52">
        <v>0</v>
      </c>
    </row>
    <row r="19" spans="1:17">
      <c r="A19" s="10" t="s">
        <v>262</v>
      </c>
      <c r="B19" s="20">
        <f>+bncvar!B19</f>
        <v>6804854.0197400004</v>
      </c>
      <c r="C19" s="52">
        <f t="shared" si="5"/>
        <v>0.15866673858826061</v>
      </c>
      <c r="D19" s="20">
        <f>+bncvar!D19</f>
        <v>0</v>
      </c>
      <c r="E19" s="49">
        <v>0</v>
      </c>
      <c r="F19" s="20">
        <f>+bncvar!F19</f>
        <v>0</v>
      </c>
      <c r="G19" s="49">
        <v>0</v>
      </c>
      <c r="H19" s="20">
        <f>+bncvar!H19</f>
        <v>0</v>
      </c>
      <c r="I19" s="49">
        <v>0</v>
      </c>
      <c r="J19" s="20">
        <f>+bncvar!J19</f>
        <v>6714311.1409400012</v>
      </c>
      <c r="K19" s="52">
        <f t="shared" si="6"/>
        <v>0.15028304564752495</v>
      </c>
      <c r="L19" s="20">
        <f>+bncvar!L19</f>
        <v>8798760.8949999996</v>
      </c>
      <c r="M19" s="52">
        <f t="shared" si="7"/>
        <v>0.20672451860601124</v>
      </c>
      <c r="N19" s="20">
        <f>+bncvar!N19</f>
        <v>7262705.0385900009</v>
      </c>
      <c r="O19" s="52">
        <f t="shared" si="8"/>
        <v>0.1745578039035138</v>
      </c>
      <c r="P19" s="20">
        <f>+bncvar!P19</f>
        <v>4132127.5435800003</v>
      </c>
      <c r="Q19" s="52">
        <f t="shared" si="9"/>
        <v>0.11417943839093815</v>
      </c>
    </row>
    <row r="20" spans="1:17">
      <c r="A20" s="10" t="s">
        <v>263</v>
      </c>
      <c r="B20" s="20">
        <f>+bncvar!B20</f>
        <v>10524694.186369998</v>
      </c>
      <c r="C20" s="52">
        <f t="shared" si="5"/>
        <v>0.24540113518173001</v>
      </c>
      <c r="D20" s="20">
        <f>+bncvar!D20</f>
        <v>0</v>
      </c>
      <c r="E20" s="49">
        <v>0</v>
      </c>
      <c r="F20" s="20">
        <f>+bncvar!F20</f>
        <v>0</v>
      </c>
      <c r="G20" s="49">
        <v>0</v>
      </c>
      <c r="H20" s="20">
        <f>+bncvar!H20</f>
        <v>0</v>
      </c>
      <c r="I20" s="49">
        <v>0</v>
      </c>
      <c r="J20" s="20">
        <f>+bncvar!J20</f>
        <v>11264487.9945</v>
      </c>
      <c r="K20" s="52">
        <f t="shared" si="6"/>
        <v>0.25212736317078693</v>
      </c>
      <c r="L20" s="20">
        <f>+bncvar!L20</f>
        <v>10111946.507410001</v>
      </c>
      <c r="M20" s="52">
        <f t="shared" si="7"/>
        <v>0.2375774610606769</v>
      </c>
      <c r="N20" s="20">
        <f>+bncvar!N20</f>
        <v>6347999.1491</v>
      </c>
      <c r="O20" s="52">
        <f t="shared" si="8"/>
        <v>0.15257301305236515</v>
      </c>
      <c r="P20" s="20">
        <f>+bncvar!P20</f>
        <v>3751142.6182700004</v>
      </c>
      <c r="Q20" s="52">
        <f t="shared" si="9"/>
        <v>0.10365201774660317</v>
      </c>
    </row>
    <row r="21" spans="1:17">
      <c r="A21" s="10" t="s">
        <v>264</v>
      </c>
      <c r="B21" s="20">
        <f>+bncvar!B21</f>
        <v>1371154.9584999997</v>
      </c>
      <c r="C21" s="52">
        <f t="shared" si="5"/>
        <v>3.197080859239787E-2</v>
      </c>
      <c r="D21" s="20">
        <f>+bncvar!D21</f>
        <v>0</v>
      </c>
      <c r="E21" s="49">
        <v>0</v>
      </c>
      <c r="F21" s="20">
        <f>+bncvar!F21</f>
        <v>0</v>
      </c>
      <c r="G21" s="49">
        <v>0</v>
      </c>
      <c r="H21" s="20">
        <f>+bncvar!H21</f>
        <v>0</v>
      </c>
      <c r="I21" s="49">
        <v>0</v>
      </c>
      <c r="J21" s="20">
        <f>+bncvar!J21</f>
        <v>1342683.3114999998</v>
      </c>
      <c r="K21" s="52">
        <f t="shared" si="6"/>
        <v>3.0052604527361085E-2</v>
      </c>
      <c r="L21" s="20">
        <f>+bncvar!L21</f>
        <v>1183593.3618099999</v>
      </c>
      <c r="M21" s="52">
        <f t="shared" si="7"/>
        <v>2.780820741298741E-2</v>
      </c>
      <c r="N21" s="20">
        <f>+bncvar!N21</f>
        <v>1109657.2625500001</v>
      </c>
      <c r="O21" s="52">
        <f t="shared" si="8"/>
        <v>2.6670411892965724E-2</v>
      </c>
      <c r="P21" s="20">
        <f>+bncvar!P21</f>
        <v>937521.87055000011</v>
      </c>
      <c r="Q21" s="52">
        <f t="shared" si="9"/>
        <v>2.5905715525392121E-2</v>
      </c>
    </row>
    <row r="22" spans="1:17" ht="16.5" thickBot="1">
      <c r="A22" s="10" t="s">
        <v>265</v>
      </c>
      <c r="B22" s="97">
        <f>+bncvar!B22</f>
        <v>1923646.8364599999</v>
      </c>
      <c r="C22" s="295">
        <f t="shared" si="5"/>
        <v>4.4853095871172727E-2</v>
      </c>
      <c r="D22" s="97">
        <f>+bncvar!D22</f>
        <v>0</v>
      </c>
      <c r="E22" s="209">
        <v>0</v>
      </c>
      <c r="F22" s="97">
        <f>+bncvar!F22</f>
        <v>0</v>
      </c>
      <c r="G22" s="209">
        <v>0</v>
      </c>
      <c r="H22" s="97">
        <f>+bncvar!H22</f>
        <v>0</v>
      </c>
      <c r="I22" s="209">
        <v>0</v>
      </c>
      <c r="J22" s="97">
        <f>+bncvar!J22</f>
        <v>1906335.5589999999</v>
      </c>
      <c r="K22" s="295">
        <f t="shared" si="6"/>
        <v>4.2668548987229167E-2</v>
      </c>
      <c r="L22" s="97">
        <f>+bncvar!L22</f>
        <v>1807622.1949999998</v>
      </c>
      <c r="M22" s="295">
        <f t="shared" si="7"/>
        <v>4.2469596860537979E-2</v>
      </c>
      <c r="N22" s="97">
        <f>+bncvar!N22</f>
        <v>1820978.7339999999</v>
      </c>
      <c r="O22" s="295">
        <f t="shared" si="8"/>
        <v>4.3766894989274149E-2</v>
      </c>
      <c r="P22" s="97">
        <f>+bncvar!P22</f>
        <v>1731794.5889999999</v>
      </c>
      <c r="Q22" s="295">
        <f t="shared" si="9"/>
        <v>4.78531534893454E-2</v>
      </c>
    </row>
    <row r="23" spans="1:17">
      <c r="A23" s="10" t="s">
        <v>54</v>
      </c>
      <c r="B23" s="13">
        <f>SUM(B15:B22)</f>
        <v>42887715.978069998</v>
      </c>
      <c r="C23" s="109">
        <f t="shared" si="5"/>
        <v>1</v>
      </c>
      <c r="D23" s="13">
        <f>SUM(D15:D22)</f>
        <v>0</v>
      </c>
      <c r="E23" s="47">
        <v>0</v>
      </c>
      <c r="F23" s="13">
        <f>SUM(F15:F22)</f>
        <v>0</v>
      </c>
      <c r="G23" s="47">
        <v>0</v>
      </c>
      <c r="H23" s="13">
        <f>SUM(H15:H22)</f>
        <v>0</v>
      </c>
      <c r="I23" s="47">
        <v>0</v>
      </c>
      <c r="J23" s="13">
        <f>SUM(J15:J22)</f>
        <v>44677768.619939998</v>
      </c>
      <c r="K23" s="52">
        <f t="shared" si="6"/>
        <v>1</v>
      </c>
      <c r="L23" s="13">
        <f>SUM(L15:L22)</f>
        <v>42562734.95922</v>
      </c>
      <c r="M23" s="52">
        <f t="shared" si="7"/>
        <v>1</v>
      </c>
      <c r="N23" s="13">
        <f>SUM(N15:N22)</f>
        <v>41606303.907240003</v>
      </c>
      <c r="O23" s="52">
        <f t="shared" si="8"/>
        <v>1</v>
      </c>
      <c r="P23" s="13">
        <f>SUM(P15:P22)</f>
        <v>36189769.382399999</v>
      </c>
      <c r="Q23" s="52">
        <f t="shared" si="9"/>
        <v>1</v>
      </c>
    </row>
    <row r="24" spans="1:17" ht="7.9" customHeight="1">
      <c r="A24" s="10"/>
      <c r="C24" s="52" t="s">
        <v>0</v>
      </c>
      <c r="E24" s="49" t="s">
        <v>0</v>
      </c>
      <c r="G24" s="49" t="s">
        <v>0</v>
      </c>
      <c r="I24" s="49" t="s">
        <v>0</v>
      </c>
      <c r="K24" s="52" t="s">
        <v>0</v>
      </c>
      <c r="M24" s="52" t="s">
        <v>0</v>
      </c>
      <c r="O24" s="52" t="s">
        <v>0</v>
      </c>
      <c r="Q24" s="52" t="s">
        <v>0</v>
      </c>
    </row>
    <row r="25" spans="1:17">
      <c r="A25" s="86" t="s">
        <v>266</v>
      </c>
      <c r="C25" s="52" t="s">
        <v>0</v>
      </c>
      <c r="E25" s="49" t="s">
        <v>0</v>
      </c>
      <c r="F25" s="50" t="s">
        <v>0</v>
      </c>
      <c r="G25" s="49" t="s">
        <v>0</v>
      </c>
      <c r="I25" s="49" t="s">
        <v>0</v>
      </c>
      <c r="K25" s="52" t="s">
        <v>0</v>
      </c>
      <c r="M25" s="52" t="s">
        <v>0</v>
      </c>
      <c r="O25" s="52" t="s">
        <v>0</v>
      </c>
      <c r="Q25" s="52" t="s">
        <v>0</v>
      </c>
    </row>
    <row r="26" spans="1:17">
      <c r="A26" s="10" t="s">
        <v>267</v>
      </c>
      <c r="C26" s="52" t="s">
        <v>0</v>
      </c>
      <c r="E26" s="49" t="s">
        <v>0</v>
      </c>
      <c r="G26" s="49" t="s">
        <v>0</v>
      </c>
      <c r="I26" s="49" t="s">
        <v>0</v>
      </c>
      <c r="K26" s="52" t="s">
        <v>0</v>
      </c>
      <c r="M26" s="52" t="s">
        <v>0</v>
      </c>
      <c r="O26" s="52" t="s">
        <v>0</v>
      </c>
      <c r="Q26" s="52" t="s">
        <v>0</v>
      </c>
    </row>
    <row r="27" spans="1:17">
      <c r="A27" s="10" t="s">
        <v>268</v>
      </c>
      <c r="B27" s="20">
        <f>+bncvar!B27</f>
        <v>20074139.496650003</v>
      </c>
      <c r="C27" s="52">
        <f>+B27/$B$23</f>
        <v>0.46806268505682647</v>
      </c>
      <c r="D27" s="20">
        <f>+bncvar!D27</f>
        <v>0</v>
      </c>
      <c r="E27" s="49">
        <v>0</v>
      </c>
      <c r="F27" s="20">
        <f>+bncvar!F27</f>
        <v>0</v>
      </c>
      <c r="G27" s="49">
        <v>0</v>
      </c>
      <c r="H27" s="20">
        <f>+bncvar!H27</f>
        <v>0</v>
      </c>
      <c r="I27" s="49">
        <v>0</v>
      </c>
      <c r="J27" s="20">
        <f>+bncvar!J27</f>
        <v>22151320.728819996</v>
      </c>
      <c r="K27" s="52">
        <f>+J27/$J$23</f>
        <v>0.49580185880039024</v>
      </c>
      <c r="L27" s="20">
        <f>+bncvar!L27</f>
        <v>22266681.601000004</v>
      </c>
      <c r="M27" s="52">
        <f>+L27/$L$23</f>
        <v>0.52314969003599154</v>
      </c>
      <c r="N27" s="20">
        <f>+bncvar!N27</f>
        <v>25592452.41</v>
      </c>
      <c r="O27" s="52">
        <f>+N27/$N$23</f>
        <v>0.61510997148551327</v>
      </c>
      <c r="P27" s="20">
        <f>+bncvar!P27</f>
        <v>21232008.129999999</v>
      </c>
      <c r="Q27" s="52">
        <f>+P27/$P$23</f>
        <v>0.58668536695140316</v>
      </c>
    </row>
    <row r="28" spans="1:17">
      <c r="A28" s="10" t="s">
        <v>269</v>
      </c>
      <c r="B28" s="20">
        <f>+bncvar!B28</f>
        <v>9826355.452610001</v>
      </c>
      <c r="C28" s="52">
        <f>+B28/$B$23</f>
        <v>0.22911818054462407</v>
      </c>
      <c r="D28" s="20">
        <f>+bncvar!D28</f>
        <v>0</v>
      </c>
      <c r="E28" s="49">
        <v>0</v>
      </c>
      <c r="F28" s="20">
        <f>+bncvar!F28</f>
        <v>0</v>
      </c>
      <c r="G28" s="49">
        <v>0</v>
      </c>
      <c r="H28" s="20">
        <f>+bncvar!H28</f>
        <v>0</v>
      </c>
      <c r="I28" s="49">
        <v>0</v>
      </c>
      <c r="J28" s="20">
        <f>+bncvar!J28</f>
        <v>9774711.9424900003</v>
      </c>
      <c r="K28" s="52">
        <f>+J28/$J$23</f>
        <v>0.21878245589300713</v>
      </c>
      <c r="L28" s="20">
        <f>+bncvar!L28</f>
        <v>8632062.5820000004</v>
      </c>
      <c r="M28" s="52">
        <f>+L28/$L$23</f>
        <v>0.20280798661717839</v>
      </c>
      <c r="N28" s="20">
        <f>+bncvar!N28</f>
        <v>7973275.4610000011</v>
      </c>
      <c r="O28" s="52">
        <f>+N28/$N$23</f>
        <v>0.19163623567179092</v>
      </c>
      <c r="P28" s="20">
        <f>+bncvar!P28</f>
        <v>7535982.6699999999</v>
      </c>
      <c r="Q28" s="52">
        <f>+P28/$P$23</f>
        <v>0.20823516697138555</v>
      </c>
    </row>
    <row r="29" spans="1:17">
      <c r="A29" s="10" t="s">
        <v>270</v>
      </c>
      <c r="B29" s="199">
        <f>+bncvar!B29</f>
        <v>3975505.8221100001</v>
      </c>
      <c r="C29" s="294">
        <f>+B29/$B$23</f>
        <v>9.2695675940001471E-2</v>
      </c>
      <c r="D29" s="199">
        <f>+bncvar!D29</f>
        <v>0</v>
      </c>
      <c r="E29" s="1524">
        <v>0</v>
      </c>
      <c r="F29" s="199">
        <f>+bncvar!F29</f>
        <v>0</v>
      </c>
      <c r="G29" s="1524">
        <v>0</v>
      </c>
      <c r="H29" s="199">
        <f>+bncvar!H29</f>
        <v>0</v>
      </c>
      <c r="I29" s="1524">
        <v>0</v>
      </c>
      <c r="J29" s="199">
        <f>+bncvar!J29</f>
        <v>4035560.5621100003</v>
      </c>
      <c r="K29" s="294">
        <f>+J29/$J$23</f>
        <v>9.0325920178316643E-2</v>
      </c>
      <c r="L29" s="199">
        <f>+bncvar!L29</f>
        <v>4044380.7950699995</v>
      </c>
      <c r="M29" s="294">
        <f>+L29/$L$23</f>
        <v>9.5021638034890901E-2</v>
      </c>
      <c r="N29" s="199">
        <f>+bncvar!N29</f>
        <v>3051012.0819800003</v>
      </c>
      <c r="O29" s="294">
        <f>+N29/$N$23</f>
        <v>7.3330524354726132E-2</v>
      </c>
      <c r="P29" s="199">
        <f>+bncvar!P29</f>
        <v>3013854.0047900002</v>
      </c>
      <c r="Q29" s="294">
        <f>+P29/$P$23</f>
        <v>8.3279171329997861E-2</v>
      </c>
    </row>
    <row r="30" spans="1:17">
      <c r="A30" s="10"/>
      <c r="B30" s="20">
        <f>SUM(B27:B29)</f>
        <v>33876000.771370001</v>
      </c>
      <c r="C30" s="52">
        <f>+B30/$B$23</f>
        <v>0.78987654154145204</v>
      </c>
      <c r="D30" s="20">
        <f>SUM(D27:D29)</f>
        <v>0</v>
      </c>
      <c r="E30" s="49">
        <v>0</v>
      </c>
      <c r="F30" s="20">
        <f>SUM(F27:F29)</f>
        <v>0</v>
      </c>
      <c r="G30" s="49">
        <v>0</v>
      </c>
      <c r="H30" s="20">
        <f>SUM(H27:H29)</f>
        <v>0</v>
      </c>
      <c r="I30" s="49">
        <v>0</v>
      </c>
      <c r="J30" s="20">
        <f>SUM(J27:J29)</f>
        <v>35961593.233419999</v>
      </c>
      <c r="K30" s="52">
        <f>+J30/$J$23</f>
        <v>0.80491023487171409</v>
      </c>
      <c r="L30" s="20">
        <f>SUM(L27:L29)</f>
        <v>34943124.978070006</v>
      </c>
      <c r="M30" s="52">
        <f>+L30/$L$23</f>
        <v>0.82097931468806085</v>
      </c>
      <c r="N30" s="20">
        <f>SUM(N27:N29)</f>
        <v>36616739.952979997</v>
      </c>
      <c r="O30" s="52">
        <f>+N30/$N$23</f>
        <v>0.88007673151203025</v>
      </c>
      <c r="P30" s="20">
        <f>SUM(P27:P29)</f>
        <v>31781844.804789998</v>
      </c>
      <c r="Q30" s="52">
        <f>+P30/$P$23</f>
        <v>0.87819970525278657</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+bncvar!B33</f>
        <v>0</v>
      </c>
      <c r="C33" s="52">
        <f>+B33/$B$23</f>
        <v>0</v>
      </c>
      <c r="D33" s="20">
        <f>+bncvar!D33</f>
        <v>0</v>
      </c>
      <c r="E33" s="49">
        <v>0</v>
      </c>
      <c r="F33" s="20">
        <f>+bncvar!F33</f>
        <v>0</v>
      </c>
      <c r="G33" s="49">
        <v>0</v>
      </c>
      <c r="H33" s="20">
        <f>+bncvar!H33</f>
        <v>0</v>
      </c>
      <c r="I33" s="49">
        <v>0</v>
      </c>
      <c r="J33" s="20">
        <f>+bncvar!J33</f>
        <v>0</v>
      </c>
      <c r="K33" s="52">
        <f>+J33/$J$23</f>
        <v>0</v>
      </c>
      <c r="L33" s="20">
        <f>+bncvar!L33</f>
        <v>0</v>
      </c>
      <c r="M33" s="52">
        <f>+L33/$L$23</f>
        <v>0</v>
      </c>
      <c r="N33" s="20">
        <f>+bncvar!N33</f>
        <v>0</v>
      </c>
      <c r="O33" s="52">
        <f>+N33/$N$23</f>
        <v>0</v>
      </c>
      <c r="P33" s="20">
        <f>+bncvar!P33</f>
        <v>0</v>
      </c>
      <c r="Q33" s="52">
        <f>+P33/$P$23</f>
        <v>0</v>
      </c>
    </row>
    <row r="34" spans="1:21">
      <c r="A34" s="10" t="s">
        <v>273</v>
      </c>
      <c r="B34" s="20">
        <f>+bncvar!B34</f>
        <v>0</v>
      </c>
      <c r="C34" s="52">
        <f>+B34/$B$23</f>
        <v>0</v>
      </c>
      <c r="D34" s="20">
        <f>+bncvar!D34</f>
        <v>0</v>
      </c>
      <c r="E34" s="49">
        <v>0</v>
      </c>
      <c r="F34" s="20">
        <f>+bncvar!F34</f>
        <v>0</v>
      </c>
      <c r="G34" s="49">
        <v>0</v>
      </c>
      <c r="H34" s="20">
        <f>+bncvar!H34</f>
        <v>0</v>
      </c>
      <c r="I34" s="49">
        <v>0</v>
      </c>
      <c r="J34" s="20">
        <f>+bncvar!J34</f>
        <v>0</v>
      </c>
      <c r="K34" s="52">
        <f>+J34/$J$23</f>
        <v>0</v>
      </c>
      <c r="L34" s="20">
        <f>+bncvar!L34</f>
        <v>0</v>
      </c>
      <c r="M34" s="52">
        <f>+L34/$L$23</f>
        <v>0</v>
      </c>
      <c r="N34" s="20">
        <f>+bncvar!N34</f>
        <v>0</v>
      </c>
      <c r="O34" s="52">
        <f>+N34/$N$23</f>
        <v>0</v>
      </c>
      <c r="P34" s="20">
        <f>+bncvar!P34</f>
        <v>0</v>
      </c>
      <c r="Q34" s="52">
        <f>+P34/$P$23</f>
        <v>0</v>
      </c>
    </row>
    <row r="35" spans="1:21" ht="18">
      <c r="A35" s="10" t="s">
        <v>274</v>
      </c>
      <c r="B35" s="199">
        <f>+bncvar!B35</f>
        <v>1603464.97673</v>
      </c>
      <c r="C35" s="294">
        <f>+B35/$B$23</f>
        <v>3.7387511555754288E-2</v>
      </c>
      <c r="D35" s="199">
        <f>+bncvar!D35</f>
        <v>0</v>
      </c>
      <c r="E35" s="1524">
        <v>0</v>
      </c>
      <c r="F35" s="199">
        <f>+bncvar!F35</f>
        <v>0</v>
      </c>
      <c r="G35" s="1524">
        <v>0</v>
      </c>
      <c r="H35" s="199">
        <f>+bncvar!H35</f>
        <v>0</v>
      </c>
      <c r="I35" s="1524">
        <v>0</v>
      </c>
      <c r="J35" s="199">
        <f>+bncvar!J35</f>
        <v>1476534.3979999998</v>
      </c>
      <c r="K35" s="294">
        <f>+J35/$J$23</f>
        <v>3.3048526003176718E-2</v>
      </c>
      <c r="L35" s="199">
        <f>+bncvar!L35</f>
        <v>1423045.7236800001</v>
      </c>
      <c r="M35" s="294">
        <f>+L35/$L$23</f>
        <v>3.3434076194667511E-2</v>
      </c>
      <c r="N35" s="199">
        <f>+bncvar!N35</f>
        <v>1216512.3</v>
      </c>
      <c r="O35" s="294">
        <f>+N35/$N$23</f>
        <v>2.9238653419255349E-2</v>
      </c>
      <c r="P35" s="199">
        <f>+bncvar!P35</f>
        <v>1105932.159</v>
      </c>
      <c r="Q35" s="294">
        <f>+P35/$P$23</f>
        <v>3.0559248590786622E-2</v>
      </c>
      <c r="R35" s="14"/>
      <c r="S35" s="15"/>
      <c r="T35" s="15"/>
      <c r="U35" s="15"/>
    </row>
    <row r="36" spans="1:21">
      <c r="A36" s="10"/>
      <c r="B36" s="20">
        <f>SUM(B33:B35)</f>
        <v>1603464.97673</v>
      </c>
      <c r="C36" s="52">
        <f>+B36/$B$23</f>
        <v>3.7387511555754288E-2</v>
      </c>
      <c r="D36" s="20">
        <f>SUM(D33:D35)</f>
        <v>0</v>
      </c>
      <c r="E36" s="49">
        <v>0</v>
      </c>
      <c r="F36" s="20">
        <f>SUM(F33:F35)</f>
        <v>0</v>
      </c>
      <c r="G36" s="49">
        <v>0</v>
      </c>
      <c r="H36" s="20">
        <f>SUM(H33:H35)</f>
        <v>0</v>
      </c>
      <c r="I36" s="49">
        <v>0</v>
      </c>
      <c r="J36" s="20">
        <f>SUM(J33:J35)</f>
        <v>1476534.3979999998</v>
      </c>
      <c r="K36" s="52">
        <f>+J36/$J$23</f>
        <v>3.3048526003176718E-2</v>
      </c>
      <c r="L36" s="20">
        <f>SUM(L33:L35)</f>
        <v>1423045.7236800001</v>
      </c>
      <c r="M36" s="52">
        <f>+L36/$L$23</f>
        <v>3.3434076194667511E-2</v>
      </c>
      <c r="N36" s="20">
        <f>SUM(N33:N35)</f>
        <v>1216512.3</v>
      </c>
      <c r="O36" s="52">
        <f>+N36/$N$23</f>
        <v>2.9238653419255349E-2</v>
      </c>
      <c r="P36" s="20">
        <f>SUM(P33:P35)</f>
        <v>1105932.159</v>
      </c>
      <c r="Q36" s="52">
        <f>+P36/$P$23</f>
        <v>3.0559248590786622E-2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+bncvar!B39</f>
        <v>3000</v>
      </c>
      <c r="C39" s="52">
        <f>+B39/$B$23</f>
        <v>6.9950099500146057E-5</v>
      </c>
      <c r="D39" s="20">
        <f>+bncvar!D39</f>
        <v>0</v>
      </c>
      <c r="E39" s="49">
        <v>0</v>
      </c>
      <c r="F39" s="20">
        <f>+bncvar!F39</f>
        <v>0</v>
      </c>
      <c r="G39" s="49">
        <v>0</v>
      </c>
      <c r="H39" s="20">
        <f>+bncvar!H39</f>
        <v>0</v>
      </c>
      <c r="I39" s="49">
        <v>0</v>
      </c>
      <c r="J39" s="20">
        <f>+bncvar!J39</f>
        <v>3000</v>
      </c>
      <c r="K39" s="52">
        <f>+J39/$J$23</f>
        <v>6.7147489515872539E-5</v>
      </c>
      <c r="L39" s="20">
        <f>+bncvar!L39</f>
        <v>3000</v>
      </c>
      <c r="M39" s="52">
        <f>+L39/$L$23</f>
        <v>7.0484192401506753E-5</v>
      </c>
      <c r="N39" s="20">
        <f>+bncvar!N39</f>
        <v>3000</v>
      </c>
      <c r="O39" s="52">
        <f>+N39/$N$23</f>
        <v>7.2104458177501404E-5</v>
      </c>
      <c r="P39" s="20">
        <f>+bncvar!P39</f>
        <v>3000</v>
      </c>
      <c r="Q39" s="52">
        <f>+P39/$P$23</f>
        <v>8.2896355826433531E-5</v>
      </c>
    </row>
    <row r="40" spans="1:21">
      <c r="A40" s="10" t="s">
        <v>276</v>
      </c>
      <c r="B40" s="20">
        <f>+bncvar!B40</f>
        <v>0</v>
      </c>
      <c r="C40" s="52">
        <f>+B40/$B$23</f>
        <v>0</v>
      </c>
      <c r="D40" s="20">
        <f>+bncvar!D40</f>
        <v>0</v>
      </c>
      <c r="E40" s="49">
        <v>0</v>
      </c>
      <c r="F40" s="20">
        <f>+bncvar!F40</f>
        <v>0</v>
      </c>
      <c r="G40" s="49">
        <v>0</v>
      </c>
      <c r="H40" s="20">
        <f>+bncvar!H40</f>
        <v>0</v>
      </c>
      <c r="I40" s="49">
        <v>0</v>
      </c>
      <c r="J40" s="20">
        <f>+bncvar!J40</f>
        <v>0</v>
      </c>
      <c r="K40" s="52">
        <f>+J40/$J$23</f>
        <v>0</v>
      </c>
      <c r="L40" s="20">
        <f>+bncvar!L40</f>
        <v>0</v>
      </c>
      <c r="M40" s="52">
        <f>+L40/$L$23</f>
        <v>0</v>
      </c>
      <c r="N40" s="20">
        <f>+bncvar!N40</f>
        <v>0</v>
      </c>
      <c r="O40" s="52">
        <f>+N40/$N$23</f>
        <v>0</v>
      </c>
      <c r="P40" s="20">
        <f>+bncvar!P40</f>
        <v>0</v>
      </c>
      <c r="Q40" s="52">
        <f>+P40/$P$23</f>
        <v>0</v>
      </c>
    </row>
    <row r="41" spans="1:21">
      <c r="A41" s="10" t="s">
        <v>274</v>
      </c>
      <c r="B41" s="199">
        <f>+bncvar!B41</f>
        <v>3357144.62518</v>
      </c>
      <c r="C41" s="294">
        <f>+B41/$B$23</f>
        <v>7.8277533522573842E-2</v>
      </c>
      <c r="D41" s="199">
        <f>+bncvar!D41</f>
        <v>0</v>
      </c>
      <c r="E41" s="1524">
        <v>0</v>
      </c>
      <c r="F41" s="199">
        <f>+bncvar!F41</f>
        <v>0</v>
      </c>
      <c r="G41" s="1524">
        <v>0</v>
      </c>
      <c r="H41" s="199">
        <f>+bncvar!H41</f>
        <v>0</v>
      </c>
      <c r="I41" s="1524">
        <v>0</v>
      </c>
      <c r="J41" s="199">
        <f>+bncvar!J41</f>
        <v>3322967.8364500003</v>
      </c>
      <c r="K41" s="294">
        <f>+J41/$J$23</f>
        <v>7.4376315986536018E-2</v>
      </c>
      <c r="L41" s="199">
        <f>+bncvar!L41</f>
        <v>2674300.6469999999</v>
      </c>
      <c r="M41" s="294">
        <f>+L41/$L$23</f>
        <v>6.283197378087399E-2</v>
      </c>
      <c r="N41" s="199">
        <f>+bncvar!N41</f>
        <v>1302768.9079999998</v>
      </c>
      <c r="O41" s="294">
        <f>+N41/$N$23</f>
        <v>3.1311815413945052E-2</v>
      </c>
      <c r="P41" s="199">
        <f>+bncvar!P41</f>
        <v>1154173.8089999999</v>
      </c>
      <c r="Q41" s="294">
        <f>+P41/$P$23</f>
        <v>3.1892267585471375E-2</v>
      </c>
    </row>
    <row r="42" spans="1:21">
      <c r="A42" s="10"/>
      <c r="B42" s="20">
        <f>SUM(B39:B41)</f>
        <v>3360144.62518</v>
      </c>
      <c r="C42" s="52">
        <f>+B42/$B$23</f>
        <v>7.8347483622073985E-2</v>
      </c>
      <c r="D42" s="20">
        <f>SUM(D39:D41)</f>
        <v>0</v>
      </c>
      <c r="E42" s="49">
        <v>0</v>
      </c>
      <c r="F42" s="20">
        <f>SUM(F39:F41)</f>
        <v>0</v>
      </c>
      <c r="G42" s="49">
        <v>0</v>
      </c>
      <c r="H42" s="20">
        <f>SUM(H39:H41)</f>
        <v>0</v>
      </c>
      <c r="I42" s="49">
        <v>0</v>
      </c>
      <c r="J42" s="20">
        <f>SUM(J39:J41)</f>
        <v>3325967.8364500003</v>
      </c>
      <c r="K42" s="52">
        <f>+J42/$J$23</f>
        <v>7.444346347605188E-2</v>
      </c>
      <c r="L42" s="20">
        <f>SUM(L39:L41)</f>
        <v>2677300.6469999999</v>
      </c>
      <c r="M42" s="52">
        <f>+L42/$L$23</f>
        <v>6.2902457973275497E-2</v>
      </c>
      <c r="N42" s="20">
        <f>SUM(N39:N41)</f>
        <v>1305768.9079999998</v>
      </c>
      <c r="O42" s="52">
        <f>+N42/$N$23</f>
        <v>3.1383919872122551E-2</v>
      </c>
      <c r="P42" s="20">
        <f>SUM(P39:P41)</f>
        <v>1157173.8089999999</v>
      </c>
      <c r="Q42" s="52">
        <f>+P42/$P$23</f>
        <v>3.1975163941297811E-2</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+bncvar!B44</f>
        <v>856742.446</v>
      </c>
      <c r="C44" s="294">
        <f>+B44/$B$23</f>
        <v>1.9976406447899501E-2</v>
      </c>
      <c r="D44" s="199">
        <f>+bncvar!D44</f>
        <v>0</v>
      </c>
      <c r="E44" s="1524">
        <v>0</v>
      </c>
      <c r="F44" s="199">
        <f>+bncvar!F44</f>
        <v>0</v>
      </c>
      <c r="G44" s="1524">
        <v>0</v>
      </c>
      <c r="H44" s="199">
        <f>+bncvar!H44</f>
        <v>0</v>
      </c>
      <c r="I44" s="1524">
        <v>0</v>
      </c>
      <c r="J44" s="199">
        <f>+bncvar!J44</f>
        <v>876997.35400000005</v>
      </c>
      <c r="K44" s="294">
        <f>+J44/$J$23</f>
        <v>1.962939021105432E-2</v>
      </c>
      <c r="L44" s="199">
        <f>+bncvar!L44</f>
        <v>835185.005</v>
      </c>
      <c r="M44" s="294">
        <f>+L44/$L$23</f>
        <v>1.9622446861091127E-2</v>
      </c>
      <c r="N44" s="199">
        <f>+bncvar!N44</f>
        <v>275889.67200000002</v>
      </c>
      <c r="O44" s="294">
        <f>+N44/$N$23</f>
        <v>6.6309584387761935E-3</v>
      </c>
      <c r="P44" s="199">
        <f>+bncvar!P44</f>
        <v>278632.20500000002</v>
      </c>
      <c r="Q44" s="294">
        <f>+P44/$P$23</f>
        <v>7.6991981367945913E-3</v>
      </c>
      <c r="R44" s="14"/>
    </row>
    <row r="45" spans="1:21">
      <c r="A45" s="10"/>
      <c r="B45" s="20">
        <f>+B30+B36+B42+B44</f>
        <v>39696352.819279999</v>
      </c>
      <c r="C45" s="52">
        <f>+B45/$B$23</f>
        <v>0.92558794316717974</v>
      </c>
      <c r="D45" s="20">
        <f t="shared" ref="D45:J45" si="10">+D30+D36+D42+D44</f>
        <v>0</v>
      </c>
      <c r="E45" s="49">
        <v>0</v>
      </c>
      <c r="F45" s="20">
        <f t="shared" si="10"/>
        <v>0</v>
      </c>
      <c r="G45" s="49">
        <v>0</v>
      </c>
      <c r="H45" s="20">
        <f t="shared" si="10"/>
        <v>0</v>
      </c>
      <c r="I45" s="49">
        <v>0</v>
      </c>
      <c r="J45" s="20">
        <f t="shared" si="10"/>
        <v>41641092.821870007</v>
      </c>
      <c r="K45" s="52">
        <f>+J45/$J$23</f>
        <v>0.93203161456199712</v>
      </c>
      <c r="L45" s="20">
        <f>+L30+L36+L42+L44</f>
        <v>39878656.353750005</v>
      </c>
      <c r="M45" s="52">
        <f>+L45/$L$23</f>
        <v>0.93693829571709497</v>
      </c>
      <c r="N45" s="20">
        <f>+N30+N36+N42+N44</f>
        <v>39414910.832979992</v>
      </c>
      <c r="O45" s="52">
        <f>+N45/$N$23</f>
        <v>0.94733026324218428</v>
      </c>
      <c r="P45" s="20">
        <f>+P30+P36+P42+P44</f>
        <v>34323582.977789998</v>
      </c>
      <c r="Q45" s="52">
        <f>+P45/$P$23</f>
        <v>0.94843331592166558</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+bncvar!B48</f>
        <v>1500000</v>
      </c>
      <c r="C48" s="52">
        <f t="shared" ref="C48:C53" si="11">+B48/$B$23</f>
        <v>3.4975049750073026E-2</v>
      </c>
      <c r="D48" s="20">
        <f>+bncvar!D48</f>
        <v>0</v>
      </c>
      <c r="E48" s="49">
        <v>0</v>
      </c>
      <c r="F48" s="20">
        <f>+bncvar!F48</f>
        <v>0</v>
      </c>
      <c r="G48" s="49">
        <v>0</v>
      </c>
      <c r="H48" s="20">
        <f>+bncvar!H48</f>
        <v>0</v>
      </c>
      <c r="I48" s="49">
        <v>0</v>
      </c>
      <c r="J48" s="20">
        <f>+bncvar!J48</f>
        <v>1500000</v>
      </c>
      <c r="K48" s="52">
        <f t="shared" ref="K48:K53" si="12">+J48/$J$23</f>
        <v>3.3573744757936265E-2</v>
      </c>
      <c r="L48" s="20">
        <f>+bncvar!L48</f>
        <v>1500000</v>
      </c>
      <c r="M48" s="52">
        <f t="shared" ref="M48:M53" si="13">+L48/$L$23</f>
        <v>3.5242096200753373E-2</v>
      </c>
      <c r="N48" s="20">
        <f>+bncvar!N48</f>
        <v>500000</v>
      </c>
      <c r="O48" s="52">
        <f t="shared" ref="O48:O53" si="14">+N48/$N$23</f>
        <v>1.2017409696250234E-2</v>
      </c>
      <c r="P48" s="20">
        <f>+bncvar!P48</f>
        <v>500000</v>
      </c>
      <c r="Q48" s="52">
        <f t="shared" ref="Q48:Q53" si="15">+P48/$P$23</f>
        <v>1.381605930440559E-2</v>
      </c>
    </row>
    <row r="49" spans="1:21">
      <c r="A49" s="10" t="s">
        <v>280</v>
      </c>
      <c r="B49" s="20">
        <f>+bncvar!B49</f>
        <v>327016.25258000003</v>
      </c>
      <c r="C49" s="52">
        <f t="shared" si="11"/>
        <v>7.6249398020452981E-3</v>
      </c>
      <c r="D49" s="20">
        <f>+bncvar!D49</f>
        <v>0</v>
      </c>
      <c r="E49" s="49">
        <v>0</v>
      </c>
      <c r="F49" s="20">
        <f>+bncvar!F49</f>
        <v>0</v>
      </c>
      <c r="G49" s="49">
        <v>0</v>
      </c>
      <c r="H49" s="20">
        <f>+bncvar!H49</f>
        <v>0</v>
      </c>
      <c r="I49" s="49">
        <v>0</v>
      </c>
      <c r="J49" s="20">
        <f>+bncvar!J49</f>
        <v>352614.36806000001</v>
      </c>
      <c r="K49" s="52">
        <f t="shared" si="12"/>
        <v>7.8923898608182896E-3</v>
      </c>
      <c r="L49" s="20">
        <f>+bncvar!L49</f>
        <v>333055.05027000001</v>
      </c>
      <c r="M49" s="52">
        <f t="shared" si="13"/>
        <v>7.8250387478413942E-3</v>
      </c>
      <c r="N49" s="20">
        <f>+bncvar!N49</f>
        <v>186951.353</v>
      </c>
      <c r="O49" s="52">
        <f t="shared" si="14"/>
        <v>4.4933420045386004E-3</v>
      </c>
      <c r="P49" s="20">
        <f>+bncvar!P49</f>
        <v>175715.15400000001</v>
      </c>
      <c r="Q49" s="52">
        <f t="shared" si="15"/>
        <v>4.8553819766935218E-3</v>
      </c>
    </row>
    <row r="50" spans="1:21">
      <c r="A50" s="10" t="s">
        <v>281</v>
      </c>
      <c r="B50" s="20">
        <f>+bncvar!B50</f>
        <v>0</v>
      </c>
      <c r="C50" s="52">
        <f t="shared" si="11"/>
        <v>0</v>
      </c>
      <c r="D50" s="20">
        <f>+bncvar!D50</f>
        <v>0</v>
      </c>
      <c r="E50" s="49">
        <v>0</v>
      </c>
      <c r="F50" s="20">
        <f>+bncvar!F50</f>
        <v>0</v>
      </c>
      <c r="G50" s="49">
        <v>0</v>
      </c>
      <c r="H50" s="20">
        <f>+bncvar!H50</f>
        <v>0</v>
      </c>
      <c r="I50" s="49">
        <v>0</v>
      </c>
      <c r="J50" s="20">
        <f>+bncvar!J50</f>
        <v>0</v>
      </c>
      <c r="K50" s="52">
        <f t="shared" si="12"/>
        <v>0</v>
      </c>
      <c r="L50" s="20">
        <f>+bncvar!L50</f>
        <v>0</v>
      </c>
      <c r="M50" s="52">
        <f t="shared" si="13"/>
        <v>0</v>
      </c>
      <c r="N50" s="20">
        <f>+bncvar!N50</f>
        <v>0</v>
      </c>
      <c r="O50" s="52">
        <f t="shared" si="14"/>
        <v>0</v>
      </c>
      <c r="P50" s="20">
        <f>+bncvar!P50</f>
        <v>0</v>
      </c>
      <c r="Q50" s="52">
        <f t="shared" si="15"/>
        <v>0</v>
      </c>
    </row>
    <row r="51" spans="1:21" ht="18">
      <c r="A51" s="10" t="s">
        <v>282</v>
      </c>
      <c r="B51" s="199">
        <f>+bncvar!B51</f>
        <v>1364346.9051700002</v>
      </c>
      <c r="C51" s="294">
        <f t="shared" si="11"/>
        <v>3.1812067256452616E-2</v>
      </c>
      <c r="D51" s="199">
        <f>+bncvar!D51</f>
        <v>0</v>
      </c>
      <c r="E51" s="49">
        <v>0</v>
      </c>
      <c r="F51" s="199">
        <f>+bncvar!F51</f>
        <v>0</v>
      </c>
      <c r="G51" s="49">
        <v>0</v>
      </c>
      <c r="H51" s="199">
        <f>+bncvar!H51</f>
        <v>0</v>
      </c>
      <c r="I51" s="49">
        <v>0</v>
      </c>
      <c r="J51" s="199">
        <f>+bncvar!J51</f>
        <v>1184061.4283699999</v>
      </c>
      <c r="K51" s="294">
        <f t="shared" si="12"/>
        <v>2.6502250782541207E-2</v>
      </c>
      <c r="L51" s="199">
        <f>+bncvar!L51</f>
        <v>851023.55514000007</v>
      </c>
      <c r="M51" s="294">
        <f t="shared" si="13"/>
        <v>1.9994569332900683E-2</v>
      </c>
      <c r="N51" s="199">
        <f>+bncvar!N51</f>
        <v>1504441.7239999999</v>
      </c>
      <c r="O51" s="294">
        <f t="shared" si="14"/>
        <v>3.6158985122882036E-2</v>
      </c>
      <c r="P51" s="199">
        <f>+bncvar!P51</f>
        <v>1190471.26348</v>
      </c>
      <c r="Q51" s="294">
        <f t="shared" si="15"/>
        <v>3.2895243152860659E-2</v>
      </c>
      <c r="R51" s="14"/>
      <c r="S51" s="15"/>
      <c r="T51" s="15"/>
      <c r="U51" s="15"/>
    </row>
    <row r="52" spans="1:21" ht="16.5" thickBot="1">
      <c r="A52" s="10" t="s">
        <v>54</v>
      </c>
      <c r="B52" s="79">
        <f>SUM(B48:B51)</f>
        <v>3191363.1577500002</v>
      </c>
      <c r="C52" s="208">
        <f t="shared" si="11"/>
        <v>7.4412056808570937E-2</v>
      </c>
      <c r="D52" s="79">
        <f>SUM(D48:D51)</f>
        <v>0</v>
      </c>
      <c r="E52" s="1525">
        <v>0</v>
      </c>
      <c r="F52" s="79">
        <f>SUM(F48:F51)</f>
        <v>0</v>
      </c>
      <c r="G52" s="1525">
        <v>0</v>
      </c>
      <c r="H52" s="79">
        <f>SUM(H48:H51)</f>
        <v>0</v>
      </c>
      <c r="I52" s="1525">
        <v>0</v>
      </c>
      <c r="J52" s="79">
        <f>SUM(J48:J51)</f>
        <v>3036675.7964300001</v>
      </c>
      <c r="K52" s="208">
        <f t="shared" si="12"/>
        <v>6.7968385401295767E-2</v>
      </c>
      <c r="L52" s="79">
        <f>SUM(L48:L51)</f>
        <v>2684078.6054100003</v>
      </c>
      <c r="M52" s="208">
        <f t="shared" si="13"/>
        <v>6.3061704281495462E-2</v>
      </c>
      <c r="N52" s="79">
        <f>SUM(N48:N51)</f>
        <v>2191393.077</v>
      </c>
      <c r="O52" s="208">
        <f t="shared" si="14"/>
        <v>5.2669736823670869E-2</v>
      </c>
      <c r="P52" s="79">
        <f>SUM(P48:P51)</f>
        <v>1866186.4174799998</v>
      </c>
      <c r="Q52" s="208">
        <f t="shared" si="15"/>
        <v>5.1566684433959765E-2</v>
      </c>
    </row>
    <row r="53" spans="1:21">
      <c r="A53" s="10" t="s">
        <v>0</v>
      </c>
      <c r="B53" s="13">
        <f>+B30+B36+B42+B44+B52</f>
        <v>42887715.977030002</v>
      </c>
      <c r="C53" s="109">
        <f t="shared" si="11"/>
        <v>0.99999999997575073</v>
      </c>
      <c r="D53" s="13">
        <f>+D30+D36+D42+D44+D52</f>
        <v>0</v>
      </c>
      <c r="E53" s="47">
        <v>0</v>
      </c>
      <c r="F53" s="13">
        <f>+F30+F36+F42+F44+F52</f>
        <v>0</v>
      </c>
      <c r="G53" s="47">
        <v>0</v>
      </c>
      <c r="H53" s="13">
        <f>+H30+H36+H42+H44+H52</f>
        <v>0</v>
      </c>
      <c r="I53" s="47">
        <v>0</v>
      </c>
      <c r="J53" s="13">
        <f>+J30+J36+J42+J44+J52</f>
        <v>44677768.618300006</v>
      </c>
      <c r="K53" s="52">
        <f t="shared" si="12"/>
        <v>0.99999999996329292</v>
      </c>
      <c r="L53" s="13">
        <f>+L30+L36+L42+L44+L52</f>
        <v>42562734.959160008</v>
      </c>
      <c r="M53" s="52">
        <f t="shared" si="13"/>
        <v>0.99999999999859046</v>
      </c>
      <c r="N53" s="13">
        <f>+N30+N36+N42+N44+N52</f>
        <v>41606303.909979992</v>
      </c>
      <c r="O53" s="52">
        <f t="shared" si="14"/>
        <v>1.0000000000658551</v>
      </c>
      <c r="P53" s="13">
        <f>+P30+P36+P42+P44+P52</f>
        <v>36189769.395269997</v>
      </c>
      <c r="Q53" s="52">
        <f t="shared" si="15"/>
        <v>1.0000000003556253</v>
      </c>
    </row>
    <row r="54" spans="1:21">
      <c r="G54" s="52" t="s">
        <v>0</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sheetData>
  <phoneticPr fontId="0" type="noConversion"/>
  <pageMargins left="0.22" right="0.2" top="0.55000000000000004" bottom="0.53" header="0.31" footer="0.25"/>
  <pageSetup scale="53" orientation="landscape" r:id="rId1"/>
  <headerFooter alignWithMargins="0">
    <oddFooter>&amp;R&amp;P</oddFooter>
  </headerFooter>
</worksheet>
</file>

<file path=xl/worksheets/sheet69.xml><?xml version="1.0" encoding="utf-8"?>
<worksheet xmlns="http://schemas.openxmlformats.org/spreadsheetml/2006/main" xmlns:r="http://schemas.openxmlformats.org/officeDocument/2006/relationships">
  <sheetPr>
    <pageSetUpPr fitToPage="1"/>
  </sheetPr>
  <dimension ref="A1:O172"/>
  <sheetViews>
    <sheetView topLeftCell="A6" workbookViewId="0">
      <pane xSplit="1" ySplit="3" topLeftCell="B9" activePane="bottomRight" state="frozen"/>
      <selection activeCell="F7" sqref="F7"/>
      <selection pane="topRight" activeCell="F7" sqref="F7"/>
      <selection pane="bottomLeft" activeCell="F7" sqref="F7"/>
      <selection pane="bottomRight" activeCell="B7" sqref="B7"/>
    </sheetView>
  </sheetViews>
  <sheetFormatPr baseColWidth="10" defaultColWidth="9" defaultRowHeight="15.75"/>
  <cols>
    <col min="1" max="1" width="33.25" customWidth="1"/>
    <col min="2" max="2" width="18.125" style="20" customWidth="1"/>
    <col min="3" max="3" width="15.75" style="21" customWidth="1"/>
    <col min="4" max="4" width="15.75" style="20" customWidth="1"/>
    <col min="5" max="5" width="15.25" style="21" customWidth="1"/>
    <col min="6" max="6" width="14.625" style="20" customWidth="1"/>
    <col min="7" max="7" width="8.75" style="21" customWidth="1"/>
    <col min="8" max="8" width="17.875" style="20" customWidth="1"/>
    <col min="9" max="9" width="15.75" style="20" customWidth="1"/>
    <col min="10" max="10" width="15.75" style="21" customWidth="1"/>
    <col min="11" max="11" width="15.25" style="20" customWidth="1"/>
    <col min="12" max="12" width="15.75" style="20" customWidth="1"/>
    <col min="13" max="15" width="15.75" customWidth="1"/>
  </cols>
  <sheetData>
    <row r="1" spans="1:15">
      <c r="A1" s="111" t="s">
        <v>394</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193"/>
      <c r="D6" s="194"/>
    </row>
    <row r="7" spans="1:15" ht="16.5" thickBot="1">
      <c r="B7" s="367" t="str">
        <f>+'sofibilgdes&amp;$ '!B7</f>
        <v>Décembre 14</v>
      </c>
      <c r="C7" s="43"/>
      <c r="D7" s="42"/>
      <c r="H7" s="332" t="str">
        <f>+'sofibilgdes&amp;$ '!H7</f>
        <v>Septembre 14</v>
      </c>
      <c r="I7" s="193"/>
      <c r="J7" s="194"/>
      <c r="K7" s="42"/>
    </row>
    <row r="8" spans="1:15" ht="16.5" thickTop="1">
      <c r="A8" s="86" t="s">
        <v>244</v>
      </c>
      <c r="B8" s="348" t="s">
        <v>297</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c r="C9" s="122"/>
      <c r="D9" s="322"/>
      <c r="E9" s="328" t="s">
        <v>0</v>
      </c>
      <c r="H9" s="128"/>
      <c r="I9" s="81"/>
      <c r="J9" s="326" t="s">
        <v>0</v>
      </c>
      <c r="K9" s="328" t="s">
        <v>0</v>
      </c>
    </row>
    <row r="10" spans="1:15">
      <c r="A10" s="10" t="s">
        <v>256</v>
      </c>
      <c r="B10" s="124">
        <v>3813260.429</v>
      </c>
      <c r="C10" s="91">
        <v>871745.25399999996</v>
      </c>
      <c r="D10" s="323">
        <f t="shared" ref="D10:D15" si="0">SUM(B10:C10)</f>
        <v>4685005.6830000002</v>
      </c>
      <c r="E10" s="329">
        <f>+B10/D10</f>
        <v>0.81392866669015729</v>
      </c>
      <c r="F10" s="87" t="s">
        <v>0</v>
      </c>
      <c r="G10" s="98" t="s">
        <v>0</v>
      </c>
      <c r="H10" s="124">
        <v>3587786.3110000002</v>
      </c>
      <c r="I10" s="91">
        <v>910700.26399999997</v>
      </c>
      <c r="J10" s="323">
        <f t="shared" ref="J10:J15" si="1">SUM(H10:I10)</f>
        <v>4498486.5750000002</v>
      </c>
      <c r="K10" s="329">
        <f>+H10/J10</f>
        <v>0.79755407761775976</v>
      </c>
    </row>
    <row r="11" spans="1:15">
      <c r="A11" s="10" t="s">
        <v>257</v>
      </c>
      <c r="B11" s="124">
        <v>3608369.8489999999</v>
      </c>
      <c r="C11" s="91">
        <v>6632313.6880000001</v>
      </c>
      <c r="D11" s="323">
        <f t="shared" si="0"/>
        <v>10240683.537</v>
      </c>
      <c r="E11" s="329">
        <f>+B11/D11</f>
        <v>0.352356347695231</v>
      </c>
      <c r="F11" s="87" t="s">
        <v>0</v>
      </c>
      <c r="G11" s="98" t="s">
        <v>0</v>
      </c>
      <c r="H11" s="124">
        <v>4479008.8499999996</v>
      </c>
      <c r="I11" s="91">
        <v>6889997.7319999998</v>
      </c>
      <c r="J11" s="323">
        <f t="shared" si="1"/>
        <v>11369006.581999999</v>
      </c>
      <c r="K11" s="329">
        <f>+H11/J11</f>
        <v>0.39396659837381032</v>
      </c>
    </row>
    <row r="12" spans="1:15">
      <c r="A12" s="10" t="s">
        <v>258</v>
      </c>
      <c r="B12" s="124">
        <v>459217.15899999999</v>
      </c>
      <c r="C12" s="91">
        <v>0</v>
      </c>
      <c r="D12" s="323">
        <f t="shared" si="0"/>
        <v>459217.15899999999</v>
      </c>
      <c r="E12" s="329">
        <f>+B12/D12</f>
        <v>1</v>
      </c>
      <c r="F12" s="87" t="s">
        <v>0</v>
      </c>
      <c r="G12" s="98" t="s">
        <v>0</v>
      </c>
      <c r="H12" s="124">
        <v>1227438.7450000001</v>
      </c>
      <c r="I12" s="91">
        <v>0</v>
      </c>
      <c r="J12" s="323">
        <f t="shared" si="1"/>
        <v>1227438.7450000001</v>
      </c>
      <c r="K12" s="329">
        <f>+H12/J12</f>
        <v>1</v>
      </c>
    </row>
    <row r="13" spans="1:15">
      <c r="A13" s="10" t="s">
        <v>259</v>
      </c>
      <c r="B13" s="124">
        <v>0</v>
      </c>
      <c r="C13" s="91">
        <v>0</v>
      </c>
      <c r="D13" s="323">
        <f t="shared" si="0"/>
        <v>0</v>
      </c>
      <c r="E13" s="129">
        <v>0</v>
      </c>
      <c r="F13" s="87" t="s">
        <v>0</v>
      </c>
      <c r="G13" s="98" t="s">
        <v>0</v>
      </c>
      <c r="H13" s="124">
        <v>0</v>
      </c>
      <c r="I13" s="91">
        <v>0</v>
      </c>
      <c r="J13" s="327">
        <f t="shared" si="1"/>
        <v>0</v>
      </c>
      <c r="K13" s="129">
        <v>0</v>
      </c>
    </row>
    <row r="14" spans="1:15">
      <c r="A14" s="10" t="s">
        <v>260</v>
      </c>
      <c r="B14" s="685">
        <v>34875.703999999998</v>
      </c>
      <c r="C14" s="224">
        <v>158583.894</v>
      </c>
      <c r="D14" s="684">
        <f t="shared" si="0"/>
        <v>193459.598</v>
      </c>
      <c r="E14" s="329">
        <f>+B14/D14</f>
        <v>0.18027383681423756</v>
      </c>
      <c r="F14" s="87" t="s">
        <v>0</v>
      </c>
      <c r="G14" s="98" t="s">
        <v>0</v>
      </c>
      <c r="H14" s="685">
        <v>66077.311000000002</v>
      </c>
      <c r="I14" s="224">
        <v>79941.400999999998</v>
      </c>
      <c r="J14" s="684">
        <f t="shared" si="1"/>
        <v>146018.712</v>
      </c>
      <c r="K14" s="329">
        <f>+H14/J14</f>
        <v>0.45252632416042682</v>
      </c>
    </row>
    <row r="15" spans="1:15" ht="15.6" customHeight="1">
      <c r="A15" s="10"/>
      <c r="B15" s="131">
        <f>SUM(B10:B14)</f>
        <v>7915723.1409999998</v>
      </c>
      <c r="C15" s="132">
        <f>SUM(C10:C14)</f>
        <v>7662642.8360000001</v>
      </c>
      <c r="D15" s="359">
        <f t="shared" si="0"/>
        <v>15578365.977</v>
      </c>
      <c r="E15" s="329">
        <f>+B15/D15</f>
        <v>0.5081228129244636</v>
      </c>
      <c r="F15" s="87" t="s">
        <v>0</v>
      </c>
      <c r="G15" s="98" t="s">
        <v>0</v>
      </c>
      <c r="H15" s="131">
        <f>SUM(H10:H14)</f>
        <v>9360311.2170000002</v>
      </c>
      <c r="I15" s="132">
        <f>SUM(I10:I14)</f>
        <v>7880639.3969999989</v>
      </c>
      <c r="J15" s="359">
        <f t="shared" si="1"/>
        <v>17240950.614</v>
      </c>
      <c r="K15" s="329">
        <f>+H15/J15</f>
        <v>0.54291154974942268</v>
      </c>
    </row>
    <row r="16" spans="1:15" ht="7.9" customHeight="1">
      <c r="A16" s="10"/>
      <c r="B16" s="124"/>
      <c r="C16" s="92" t="s">
        <v>0</v>
      </c>
      <c r="D16" s="323"/>
      <c r="E16" s="329" t="s">
        <v>0</v>
      </c>
      <c r="F16" s="87"/>
      <c r="G16" s="98" t="s">
        <v>0</v>
      </c>
      <c r="H16" s="124"/>
      <c r="I16" s="92" t="s">
        <v>0</v>
      </c>
      <c r="J16" s="327" t="s">
        <v>0</v>
      </c>
      <c r="K16" s="329" t="s">
        <v>0</v>
      </c>
    </row>
    <row r="17" spans="1:11" ht="15.6" customHeight="1">
      <c r="A17" s="10" t="s">
        <v>261</v>
      </c>
      <c r="B17" s="124">
        <v>0</v>
      </c>
      <c r="C17" s="91">
        <v>3810000</v>
      </c>
      <c r="D17" s="323">
        <f t="shared" ref="D17:D23" si="2">SUM(B17:C17)</f>
        <v>3810000</v>
      </c>
      <c r="E17" s="129">
        <v>0</v>
      </c>
      <c r="F17"/>
      <c r="G17"/>
      <c r="H17" s="124">
        <v>0</v>
      </c>
      <c r="I17" s="91">
        <v>2334000</v>
      </c>
      <c r="J17" s="323">
        <f t="shared" ref="J17:J23" si="3">SUM(H17:I17)</f>
        <v>2334000</v>
      </c>
      <c r="K17" s="129">
        <v>0</v>
      </c>
    </row>
    <row r="18" spans="1:11" ht="15.6" customHeight="1">
      <c r="A18" s="10" t="s">
        <v>909</v>
      </c>
      <c r="B18" s="124">
        <v>0</v>
      </c>
      <c r="C18" s="91">
        <v>2875000</v>
      </c>
      <c r="D18" s="323">
        <f t="shared" si="2"/>
        <v>2875000</v>
      </c>
      <c r="E18" s="129">
        <v>0</v>
      </c>
      <c r="F18"/>
      <c r="G18"/>
      <c r="H18" s="124">
        <v>0</v>
      </c>
      <c r="I18" s="91">
        <v>3875000</v>
      </c>
      <c r="J18" s="323">
        <f t="shared" si="3"/>
        <v>3875000</v>
      </c>
      <c r="K18" s="129"/>
    </row>
    <row r="19" spans="1:11">
      <c r="A19" s="10" t="s">
        <v>262</v>
      </c>
      <c r="B19" s="124">
        <v>5577770.0877399994</v>
      </c>
      <c r="C19" s="91">
        <v>1227083.932</v>
      </c>
      <c r="D19" s="323">
        <f t="shared" si="2"/>
        <v>6804854.0197399994</v>
      </c>
      <c r="E19" s="329">
        <f>+B19/D19</f>
        <v>0.81967520119603032</v>
      </c>
      <c r="F19" s="116" t="s">
        <v>0</v>
      </c>
      <c r="G19"/>
      <c r="H19" s="124">
        <v>5241932.8969399994</v>
      </c>
      <c r="I19" s="91">
        <v>1472378.2440000009</v>
      </c>
      <c r="J19" s="323">
        <f t="shared" si="3"/>
        <v>6714311.1409400003</v>
      </c>
      <c r="K19" s="329">
        <f>+H19/J19</f>
        <v>0.78071045367226333</v>
      </c>
    </row>
    <row r="20" spans="1:11">
      <c r="A20" s="10" t="s">
        <v>298</v>
      </c>
      <c r="B20" s="124">
        <v>3568587.9669999997</v>
      </c>
      <c r="C20" s="91">
        <v>6956106.2193699991</v>
      </c>
      <c r="D20" s="323">
        <f t="shared" si="2"/>
        <v>10524694.186369998</v>
      </c>
      <c r="E20" s="329">
        <f>+B20/D20</f>
        <v>0.33906809108254171</v>
      </c>
      <c r="F20"/>
      <c r="G20"/>
      <c r="H20" s="124">
        <v>3516846.4070000001</v>
      </c>
      <c r="I20" s="91">
        <v>7747641.5875000004</v>
      </c>
      <c r="J20" s="323">
        <f t="shared" si="3"/>
        <v>11264487.9945</v>
      </c>
      <c r="K20" s="329">
        <f>+H20/J20</f>
        <v>0.31220650319101373</v>
      </c>
    </row>
    <row r="21" spans="1:11">
      <c r="A21" s="10" t="s">
        <v>264</v>
      </c>
      <c r="B21" s="124">
        <v>0</v>
      </c>
      <c r="C21" s="91">
        <v>1371154.9584999997</v>
      </c>
      <c r="D21" s="323">
        <f t="shared" si="2"/>
        <v>1371154.9584999997</v>
      </c>
      <c r="E21" s="129">
        <v>0</v>
      </c>
      <c r="F21"/>
      <c r="G21"/>
      <c r="H21" s="124">
        <v>0</v>
      </c>
      <c r="I21" s="91">
        <v>1342683.3114999998</v>
      </c>
      <c r="J21" s="323">
        <f t="shared" si="3"/>
        <v>1342683.3114999998</v>
      </c>
      <c r="K21" s="129">
        <v>0</v>
      </c>
    </row>
    <row r="22" spans="1:11">
      <c r="A22" s="10" t="s">
        <v>265</v>
      </c>
      <c r="B22" s="685">
        <v>80605.083459999994</v>
      </c>
      <c r="C22" s="224">
        <v>1843041.753</v>
      </c>
      <c r="D22" s="684">
        <f t="shared" si="2"/>
        <v>1923646.8364599999</v>
      </c>
      <c r="E22" s="329">
        <f>+B22/D22</f>
        <v>4.1902225466881375E-2</v>
      </c>
      <c r="F22"/>
      <c r="G22"/>
      <c r="H22" s="685">
        <v>72505.258000000002</v>
      </c>
      <c r="I22" s="224">
        <v>1833830.301</v>
      </c>
      <c r="J22" s="684">
        <f t="shared" si="3"/>
        <v>1906335.5589999999</v>
      </c>
      <c r="K22" s="329">
        <f>+H22/J22</f>
        <v>3.8033838091985149E-2</v>
      </c>
    </row>
    <row r="23" spans="1:11">
      <c r="A23" s="10" t="s">
        <v>54</v>
      </c>
      <c r="B23" s="125">
        <f>SUM(B15:B22)</f>
        <v>17142686.279199999</v>
      </c>
      <c r="C23" s="94">
        <f>SUM(C15:C22)</f>
        <v>25745029.698869996</v>
      </c>
      <c r="D23" s="324">
        <f t="shared" si="2"/>
        <v>42887715.978069991</v>
      </c>
      <c r="E23" s="369">
        <f>+B23/D23</f>
        <v>0.39971087030994285</v>
      </c>
      <c r="F23"/>
      <c r="G23"/>
      <c r="H23" s="125">
        <f>SUM(H15:H22)</f>
        <v>18191595.778940003</v>
      </c>
      <c r="I23" s="94">
        <f>SUM(I15:I22)</f>
        <v>26486172.840999998</v>
      </c>
      <c r="J23" s="324">
        <f t="shared" si="3"/>
        <v>44677768.619939998</v>
      </c>
      <c r="K23" s="369">
        <f>+H23/J23</f>
        <v>0.40717332894778829</v>
      </c>
    </row>
    <row r="24" spans="1:11" ht="7.9" customHeight="1">
      <c r="A24" s="10"/>
      <c r="B24" s="124"/>
      <c r="C24" s="92" t="s">
        <v>0</v>
      </c>
      <c r="D24" s="323"/>
      <c r="E24" s="329" t="s">
        <v>0</v>
      </c>
      <c r="F24"/>
      <c r="G24"/>
      <c r="H24" s="124"/>
      <c r="I24" s="92" t="s">
        <v>0</v>
      </c>
      <c r="J24" s="327" t="s">
        <v>0</v>
      </c>
      <c r="K24" s="329" t="s">
        <v>0</v>
      </c>
    </row>
    <row r="25" spans="1:11">
      <c r="A25" s="86" t="s">
        <v>266</v>
      </c>
      <c r="B25" s="124"/>
      <c r="C25" s="92" t="s">
        <v>0</v>
      </c>
      <c r="D25" s="323"/>
      <c r="E25" s="329" t="s">
        <v>0</v>
      </c>
      <c r="F25"/>
      <c r="G25"/>
      <c r="H25" s="124"/>
      <c r="I25" s="92" t="s">
        <v>0</v>
      </c>
      <c r="J25" s="327" t="s">
        <v>0</v>
      </c>
      <c r="K25" s="329" t="s">
        <v>0</v>
      </c>
    </row>
    <row r="26" spans="1:11">
      <c r="A26" s="10" t="s">
        <v>267</v>
      </c>
      <c r="B26" s="124"/>
      <c r="C26" s="92" t="s">
        <v>0</v>
      </c>
      <c r="D26" s="323"/>
      <c r="E26" s="329" t="s">
        <v>0</v>
      </c>
      <c r="F26"/>
      <c r="G26"/>
      <c r="H26" s="124"/>
      <c r="I26" s="92" t="s">
        <v>0</v>
      </c>
      <c r="J26" s="327" t="s">
        <v>0</v>
      </c>
      <c r="K26" s="329" t="s">
        <v>0</v>
      </c>
    </row>
    <row r="27" spans="1:11">
      <c r="A27" s="10" t="s">
        <v>268</v>
      </c>
      <c r="B27" s="124">
        <v>9935669.9360000007</v>
      </c>
      <c r="C27" s="91">
        <v>10138469.56065</v>
      </c>
      <c r="D27" s="323">
        <f>SUM(B27:C27)</f>
        <v>20074139.496650003</v>
      </c>
      <c r="E27" s="329">
        <f>+B27/D27</f>
        <v>0.49494873429857739</v>
      </c>
      <c r="F27"/>
      <c r="G27"/>
      <c r="H27" s="124">
        <v>11291816.684</v>
      </c>
      <c r="I27" s="91">
        <v>10859504.044819998</v>
      </c>
      <c r="J27" s="323">
        <f>SUM(H27:I27)</f>
        <v>22151320.728819996</v>
      </c>
      <c r="K27" s="329">
        <f>+H27/J27</f>
        <v>0.50975816847384503</v>
      </c>
    </row>
    <row r="28" spans="1:11">
      <c r="A28" s="10" t="s">
        <v>269</v>
      </c>
      <c r="B28" s="124">
        <v>3354500.2510000002</v>
      </c>
      <c r="C28" s="91">
        <v>6471855.2016099999</v>
      </c>
      <c r="D28" s="323">
        <f>SUM(B28:C28)</f>
        <v>9826355.452610001</v>
      </c>
      <c r="E28" s="329">
        <f>+B28/D28</f>
        <v>0.34137786559603883</v>
      </c>
      <c r="F28"/>
      <c r="G28"/>
      <c r="H28" s="124">
        <v>3175856.7910000002</v>
      </c>
      <c r="I28" s="91">
        <v>6598855.1514900001</v>
      </c>
      <c r="J28" s="323">
        <f>SUM(H28:I28)</f>
        <v>9774711.9424900003</v>
      </c>
      <c r="K28" s="329">
        <f>+H28/J28</f>
        <v>0.32490540996863237</v>
      </c>
    </row>
    <row r="29" spans="1:11">
      <c r="A29" s="10" t="s">
        <v>270</v>
      </c>
      <c r="B29" s="685">
        <v>1066104.34231</v>
      </c>
      <c r="C29" s="224">
        <v>2909401.4798000003</v>
      </c>
      <c r="D29" s="684">
        <f>SUM(B29:C29)</f>
        <v>3975505.8221100001</v>
      </c>
      <c r="E29" s="329">
        <f>+B29/D29</f>
        <v>0.2681682256332768</v>
      </c>
      <c r="F29"/>
      <c r="G29"/>
      <c r="H29" s="685">
        <v>996071.81203999999</v>
      </c>
      <c r="I29" s="224">
        <v>3039488.7500700001</v>
      </c>
      <c r="J29" s="684">
        <f>SUM(H29:I29)</f>
        <v>4035560.5621100003</v>
      </c>
      <c r="K29" s="329">
        <f>+H29/J29</f>
        <v>0.24682365602244907</v>
      </c>
    </row>
    <row r="30" spans="1:11">
      <c r="A30" s="10"/>
      <c r="B30" s="124">
        <f>SUM(B27:B29)</f>
        <v>14356274.529310001</v>
      </c>
      <c r="C30" s="91">
        <f>SUM(C27:C29)</f>
        <v>19519726.242060002</v>
      </c>
      <c r="D30" s="323">
        <f>SUM(B30:C30)</f>
        <v>33876000.771370001</v>
      </c>
      <c r="E30" s="329">
        <f>+B30/D30</f>
        <v>0.4237889420950503</v>
      </c>
      <c r="F30"/>
      <c r="G30"/>
      <c r="H30" s="124">
        <f>SUM(H27:H29)</f>
        <v>15463745.287040001</v>
      </c>
      <c r="I30" s="91">
        <f>SUM(I27:I29)</f>
        <v>20497847.946379997</v>
      </c>
      <c r="J30" s="323">
        <f>SUM(H30:I30)</f>
        <v>35961593.233419999</v>
      </c>
      <c r="K30" s="329">
        <f>+H30/J30</f>
        <v>0.43000723540438579</v>
      </c>
    </row>
    <row r="31" spans="1:11" ht="7.9" customHeight="1">
      <c r="A31" s="10"/>
      <c r="B31" s="124"/>
      <c r="C31" s="92" t="s">
        <v>0</v>
      </c>
      <c r="D31" s="323"/>
      <c r="E31" s="329" t="s">
        <v>0</v>
      </c>
      <c r="F31"/>
      <c r="G31"/>
      <c r="H31" s="124"/>
      <c r="I31" s="92" t="s">
        <v>0</v>
      </c>
      <c r="J31" s="327" t="s">
        <v>0</v>
      </c>
      <c r="K31" s="329" t="s">
        <v>0</v>
      </c>
    </row>
    <row r="32" spans="1:11">
      <c r="A32" s="10" t="s">
        <v>271</v>
      </c>
      <c r="B32" s="124"/>
      <c r="C32" s="92" t="s">
        <v>0</v>
      </c>
      <c r="D32" s="323"/>
      <c r="E32" s="329" t="s">
        <v>0</v>
      </c>
      <c r="F32" s="1362"/>
      <c r="G32"/>
      <c r="H32" s="124"/>
      <c r="I32" s="92" t="s">
        <v>0</v>
      </c>
      <c r="J32" s="327" t="s">
        <v>0</v>
      </c>
      <c r="K32" s="329" t="s">
        <v>0</v>
      </c>
    </row>
    <row r="33" spans="1:15">
      <c r="A33" s="10" t="s">
        <v>272</v>
      </c>
      <c r="B33" s="124">
        <v>0</v>
      </c>
      <c r="C33" s="91">
        <v>0</v>
      </c>
      <c r="D33" s="323">
        <f>SUM(B33:C33)</f>
        <v>0</v>
      </c>
      <c r="E33" s="129">
        <v>0</v>
      </c>
      <c r="F33"/>
      <c r="G33"/>
      <c r="H33" s="124">
        <v>0</v>
      </c>
      <c r="I33" s="91">
        <v>0</v>
      </c>
      <c r="J33" s="323">
        <f>SUM(H33:I33)</f>
        <v>0</v>
      </c>
      <c r="K33" s="129">
        <v>0</v>
      </c>
    </row>
    <row r="34" spans="1:15">
      <c r="A34" s="10" t="s">
        <v>273</v>
      </c>
      <c r="B34" s="124">
        <v>0</v>
      </c>
      <c r="C34" s="91">
        <v>0</v>
      </c>
      <c r="D34" s="323">
        <f>SUM(B34:C34)</f>
        <v>0</v>
      </c>
      <c r="E34" s="129">
        <v>0</v>
      </c>
      <c r="F34"/>
      <c r="G34"/>
      <c r="H34" s="124">
        <v>0</v>
      </c>
      <c r="I34" s="91">
        <v>0</v>
      </c>
      <c r="J34" s="323">
        <f>SUM(H34:I34)</f>
        <v>0</v>
      </c>
      <c r="K34" s="129">
        <v>0</v>
      </c>
    </row>
    <row r="35" spans="1:15" ht="18">
      <c r="A35" s="10" t="s">
        <v>274</v>
      </c>
      <c r="B35" s="685">
        <v>293675.86573000002</v>
      </c>
      <c r="C35" s="224">
        <v>1309789.111</v>
      </c>
      <c r="D35" s="684">
        <f>SUM(B35:C35)</f>
        <v>1603464.97673</v>
      </c>
      <c r="E35" s="329">
        <f>+B35/D35</f>
        <v>0.18315078283088107</v>
      </c>
      <c r="F35"/>
      <c r="G35"/>
      <c r="H35" s="685">
        <v>282560.29000000004</v>
      </c>
      <c r="I35" s="224">
        <v>1193974.108</v>
      </c>
      <c r="J35" s="684">
        <f>SUM(H35:I35)</f>
        <v>1476534.398</v>
      </c>
      <c r="K35" s="329">
        <f>+H35/J35</f>
        <v>0.19136722475462439</v>
      </c>
      <c r="L35" s="14"/>
      <c r="M35" s="15"/>
      <c r="N35" s="15"/>
      <c r="O35" s="15"/>
    </row>
    <row r="36" spans="1:15">
      <c r="A36" s="10"/>
      <c r="B36" s="124">
        <f>SUM(B33:B35)</f>
        <v>293675.86573000002</v>
      </c>
      <c r="C36" s="91">
        <f>SUM(C33:C35)</f>
        <v>1309789.111</v>
      </c>
      <c r="D36" s="323">
        <f>SUM(B36:C36)</f>
        <v>1603464.97673</v>
      </c>
      <c r="E36" s="329">
        <f>+B36/D36</f>
        <v>0.18315078283088107</v>
      </c>
      <c r="F36"/>
      <c r="G36"/>
      <c r="H36" s="124">
        <f>SUM(H33:H35)</f>
        <v>282560.29000000004</v>
      </c>
      <c r="I36" s="91">
        <f>SUM(I33:I35)</f>
        <v>1193974.108</v>
      </c>
      <c r="J36" s="323">
        <f>SUM(H36:I36)</f>
        <v>1476534.398</v>
      </c>
      <c r="K36" s="329">
        <f>+H36/J36</f>
        <v>0.19136722475462439</v>
      </c>
    </row>
    <row r="37" spans="1:15" ht="7.15" customHeight="1">
      <c r="A37" s="10"/>
      <c r="B37" s="124"/>
      <c r="C37" s="92" t="s">
        <v>0</v>
      </c>
      <c r="D37" s="323"/>
      <c r="E37" s="329" t="s">
        <v>54</v>
      </c>
      <c r="F37"/>
      <c r="G37"/>
      <c r="H37" s="124"/>
      <c r="I37" s="92" t="s">
        <v>0</v>
      </c>
      <c r="J37" s="327" t="s">
        <v>0</v>
      </c>
      <c r="K37" s="329" t="s">
        <v>54</v>
      </c>
    </row>
    <row r="38" spans="1:15">
      <c r="A38" s="10" t="s">
        <v>275</v>
      </c>
      <c r="B38" s="124"/>
      <c r="C38" s="92" t="s">
        <v>0</v>
      </c>
      <c r="D38" s="323"/>
      <c r="E38" s="329" t="s">
        <v>0</v>
      </c>
      <c r="F38"/>
      <c r="G38"/>
      <c r="H38" s="124"/>
      <c r="I38" s="92" t="s">
        <v>0</v>
      </c>
      <c r="J38" s="327" t="s">
        <v>0</v>
      </c>
      <c r="K38" s="329" t="s">
        <v>0</v>
      </c>
    </row>
    <row r="39" spans="1:15">
      <c r="A39" s="10" t="s">
        <v>272</v>
      </c>
      <c r="B39" s="124">
        <v>0</v>
      </c>
      <c r="C39" s="91">
        <v>3000</v>
      </c>
      <c r="D39" s="323">
        <f>SUM(B39:C39)</f>
        <v>3000</v>
      </c>
      <c r="E39" s="129">
        <v>0</v>
      </c>
      <c r="F39"/>
      <c r="G39"/>
      <c r="H39" s="124">
        <v>0</v>
      </c>
      <c r="I39" s="91">
        <v>3000</v>
      </c>
      <c r="J39" s="323">
        <f>SUM(H39:I39)</f>
        <v>3000</v>
      </c>
      <c r="K39" s="129">
        <v>0</v>
      </c>
    </row>
    <row r="40" spans="1:15">
      <c r="A40" s="10" t="s">
        <v>276</v>
      </c>
      <c r="B40" s="124">
        <v>0</v>
      </c>
      <c r="C40" s="91">
        <v>0</v>
      </c>
      <c r="D40" s="323">
        <f>SUM(B40:C40)</f>
        <v>0</v>
      </c>
      <c r="E40" s="129">
        <v>0</v>
      </c>
      <c r="F40"/>
      <c r="G40"/>
      <c r="H40" s="124">
        <v>0</v>
      </c>
      <c r="I40" s="91">
        <v>0</v>
      </c>
      <c r="J40" s="327">
        <f>SUM(H40:I40)</f>
        <v>0</v>
      </c>
      <c r="K40" s="129">
        <v>0</v>
      </c>
    </row>
    <row r="41" spans="1:15">
      <c r="A41" s="10" t="s">
        <v>274</v>
      </c>
      <c r="B41" s="685">
        <v>2493528.3059999999</v>
      </c>
      <c r="C41" s="224">
        <v>863616.31917999999</v>
      </c>
      <c r="D41" s="684">
        <f>SUM(B41:C41)</f>
        <v>3357144.62518</v>
      </c>
      <c r="E41" s="329">
        <f>+B41/D41</f>
        <v>0.74275272125528535</v>
      </c>
      <c r="F41"/>
      <c r="G41"/>
      <c r="H41" s="685">
        <v>2446577.0190000003</v>
      </c>
      <c r="I41" s="224">
        <v>876390.81745000009</v>
      </c>
      <c r="J41" s="684">
        <f>SUM(H41:I41)</f>
        <v>3322967.8364500003</v>
      </c>
      <c r="K41" s="329">
        <f>+H41/J41</f>
        <v>0.73626262408056664</v>
      </c>
    </row>
    <row r="42" spans="1:15">
      <c r="A42" s="10"/>
      <c r="B42" s="124">
        <f>SUM(B39:B41)</f>
        <v>2493528.3059999999</v>
      </c>
      <c r="C42" s="91">
        <f>SUM(C39:C41)</f>
        <v>866616.31917999999</v>
      </c>
      <c r="D42" s="323">
        <f>SUM(B42:C42)</f>
        <v>3360144.62518</v>
      </c>
      <c r="E42" s="329">
        <f>+B42/D42</f>
        <v>0.74208957772656103</v>
      </c>
      <c r="F42"/>
      <c r="G42"/>
      <c r="H42" s="124">
        <f>SUM(H39:H41)</f>
        <v>2446577.0190000003</v>
      </c>
      <c r="I42" s="91">
        <f>SUM(I39:I41)</f>
        <v>879390.81745000009</v>
      </c>
      <c r="J42" s="323">
        <f>SUM(H42:I42)</f>
        <v>3325967.8364500003</v>
      </c>
      <c r="K42" s="329">
        <f>+H42/J42</f>
        <v>0.73559852028255779</v>
      </c>
    </row>
    <row r="43" spans="1:15" ht="8.4499999999999993" customHeight="1">
      <c r="A43" s="10"/>
      <c r="B43" s="124"/>
      <c r="C43" s="92" t="s">
        <v>0</v>
      </c>
      <c r="D43" s="323"/>
      <c r="E43" s="329" t="s">
        <v>0</v>
      </c>
      <c r="F43"/>
      <c r="G43"/>
      <c r="H43" s="124"/>
      <c r="I43" s="92" t="s">
        <v>0</v>
      </c>
      <c r="J43" s="327" t="s">
        <v>0</v>
      </c>
      <c r="K43" s="329" t="s">
        <v>0</v>
      </c>
    </row>
    <row r="44" spans="1:15" ht="18">
      <c r="A44" s="10" t="s">
        <v>277</v>
      </c>
      <c r="B44" s="1031">
        <v>0</v>
      </c>
      <c r="C44" s="224">
        <v>856742.446</v>
      </c>
      <c r="D44" s="684">
        <f>SUM(B44:C44)</f>
        <v>856742.446</v>
      </c>
      <c r="E44" s="129">
        <v>0</v>
      </c>
      <c r="F44"/>
      <c r="G44"/>
      <c r="H44" s="1031">
        <v>0</v>
      </c>
      <c r="I44" s="224">
        <v>876997.35400000005</v>
      </c>
      <c r="J44" s="684">
        <f>SUM(H44:I44)</f>
        <v>876997.35400000005</v>
      </c>
      <c r="K44" s="129">
        <f>+H44/J44</f>
        <v>0</v>
      </c>
      <c r="L44" s="14"/>
    </row>
    <row r="45" spans="1:15">
      <c r="A45" s="10"/>
      <c r="B45" s="124">
        <f>+B30+B36+B42+B44</f>
        <v>17143478.70104</v>
      </c>
      <c r="C45" s="91">
        <f>+C30+C36+C42+C44</f>
        <v>22552874.118240003</v>
      </c>
      <c r="D45" s="323">
        <f>SUM(B45:C45)</f>
        <v>39696352.819279999</v>
      </c>
      <c r="E45" s="329">
        <f>+B45/D45</f>
        <v>0.431865334810145</v>
      </c>
      <c r="F45"/>
      <c r="G45"/>
      <c r="H45" s="124">
        <f>+H30+H36+H42+H44</f>
        <v>18192882.596040003</v>
      </c>
      <c r="I45" s="91">
        <f>+I30+I36+I42+I44</f>
        <v>23448210.225829996</v>
      </c>
      <c r="J45" s="323">
        <f>SUM(H45:I45)</f>
        <v>41641092.821869999</v>
      </c>
      <c r="K45" s="329">
        <f>+H45/J45</f>
        <v>0.43689733777796191</v>
      </c>
    </row>
    <row r="46" spans="1:15" ht="8.4499999999999993" customHeight="1">
      <c r="A46" s="10"/>
      <c r="B46" s="124"/>
      <c r="C46" s="92" t="s">
        <v>0</v>
      </c>
      <c r="D46" s="323"/>
      <c r="E46" s="329" t="s">
        <v>0</v>
      </c>
      <c r="F46"/>
      <c r="G46"/>
      <c r="H46" s="124"/>
      <c r="I46" s="92" t="s">
        <v>0</v>
      </c>
      <c r="J46" s="327" t="s">
        <v>0</v>
      </c>
      <c r="K46" s="329" t="s">
        <v>0</v>
      </c>
    </row>
    <row r="47" spans="1:15">
      <c r="A47" s="86" t="s">
        <v>278</v>
      </c>
      <c r="B47" s="124"/>
      <c r="C47" s="92" t="s">
        <v>0</v>
      </c>
      <c r="D47" s="323"/>
      <c r="E47" s="329" t="s">
        <v>0</v>
      </c>
      <c r="F47"/>
      <c r="G47"/>
      <c r="H47" s="124"/>
      <c r="I47" s="92" t="s">
        <v>0</v>
      </c>
      <c r="J47" s="327" t="s">
        <v>0</v>
      </c>
      <c r="K47" s="329" t="s">
        <v>0</v>
      </c>
    </row>
    <row r="48" spans="1:15">
      <c r="A48" s="10" t="s">
        <v>279</v>
      </c>
      <c r="B48" s="124">
        <v>0</v>
      </c>
      <c r="C48" s="91">
        <f>+bncvar!B48</f>
        <v>1500000</v>
      </c>
      <c r="D48" s="323">
        <f>SUM(B48:C48)</f>
        <v>1500000</v>
      </c>
      <c r="E48" s="129">
        <f>+B48/D48</f>
        <v>0</v>
      </c>
      <c r="F48"/>
      <c r="G48"/>
      <c r="H48" s="124">
        <v>0</v>
      </c>
      <c r="I48" s="91">
        <v>1500000</v>
      </c>
      <c r="J48" s="323">
        <f>SUM(H48:I48)</f>
        <v>1500000</v>
      </c>
      <c r="K48" s="129">
        <f>+H48/J48</f>
        <v>0</v>
      </c>
    </row>
    <row r="49" spans="1:15">
      <c r="A49" s="10" t="s">
        <v>280</v>
      </c>
      <c r="B49" s="124">
        <v>0</v>
      </c>
      <c r="C49" s="91">
        <f>+bncvar!B49</f>
        <v>327016.25258000003</v>
      </c>
      <c r="D49" s="323">
        <f>SUM(B49:C49)</f>
        <v>327016.25258000003</v>
      </c>
      <c r="E49" s="129">
        <v>0</v>
      </c>
      <c r="F49"/>
      <c r="G49"/>
      <c r="H49" s="124">
        <v>0</v>
      </c>
      <c r="I49" s="91">
        <f>222837.3+129777</f>
        <v>352614.3</v>
      </c>
      <c r="J49" s="323">
        <f>SUM(H49:I49)</f>
        <v>352614.3</v>
      </c>
      <c r="K49" s="129">
        <v>0</v>
      </c>
    </row>
    <row r="50" spans="1:15">
      <c r="A50" s="10" t="s">
        <v>290</v>
      </c>
      <c r="B50" s="124">
        <v>0</v>
      </c>
      <c r="C50" s="91">
        <f>+bncvar!B50</f>
        <v>0</v>
      </c>
      <c r="D50" s="323">
        <f>SUM(B50:C50)</f>
        <v>0</v>
      </c>
      <c r="E50" s="129">
        <v>0</v>
      </c>
      <c r="F50"/>
      <c r="G50"/>
      <c r="H50" s="124">
        <v>0</v>
      </c>
      <c r="I50" s="91">
        <v>0</v>
      </c>
      <c r="J50" s="327">
        <f>SUM(H50:I50)</f>
        <v>0</v>
      </c>
      <c r="K50" s="129">
        <v>0</v>
      </c>
    </row>
    <row r="51" spans="1:15" ht="18">
      <c r="A51" s="10" t="s">
        <v>282</v>
      </c>
      <c r="B51" s="685">
        <v>0</v>
      </c>
      <c r="C51" s="199">
        <f>+bncvar!B51</f>
        <v>1364346.9051700002</v>
      </c>
      <c r="D51" s="684">
        <f>SUM(B51:C51)</f>
        <v>1364346.9051700002</v>
      </c>
      <c r="E51" s="129">
        <v>0</v>
      </c>
      <c r="F51"/>
      <c r="G51"/>
      <c r="H51" s="685">
        <v>0</v>
      </c>
      <c r="I51" s="199">
        <v>1184061.5</v>
      </c>
      <c r="J51" s="684">
        <f>SUM(H51:I51)</f>
        <v>1184061.5</v>
      </c>
      <c r="K51" s="129">
        <v>0</v>
      </c>
      <c r="L51" s="14"/>
      <c r="M51" s="15"/>
      <c r="N51" s="15"/>
      <c r="O51" s="15"/>
    </row>
    <row r="52" spans="1:15">
      <c r="A52" s="10" t="s">
        <v>54</v>
      </c>
      <c r="B52" s="124">
        <f>SUM(B48:B51)</f>
        <v>0</v>
      </c>
      <c r="C52" s="91">
        <f>SUM(C48:C51)</f>
        <v>3191363.1577500002</v>
      </c>
      <c r="D52" s="323">
        <f>SUM(B52:C52)</f>
        <v>3191363.1577500002</v>
      </c>
      <c r="E52" s="129">
        <v>0</v>
      </c>
      <c r="F52"/>
      <c r="G52"/>
      <c r="H52" s="124">
        <v>0</v>
      </c>
      <c r="I52" s="91">
        <f>SUM(I48:I51)</f>
        <v>3036675.8</v>
      </c>
      <c r="J52" s="323">
        <f>SUM(H52:I52)</f>
        <v>3036675.8</v>
      </c>
      <c r="K52" s="129">
        <v>0</v>
      </c>
    </row>
    <row r="53" spans="1:15">
      <c r="A53" s="10" t="s">
        <v>0</v>
      </c>
      <c r="B53" s="124"/>
      <c r="C53" s="92" t="s">
        <v>0</v>
      </c>
      <c r="D53" s="323"/>
      <c r="E53" s="329" t="s">
        <v>0</v>
      </c>
      <c r="F53"/>
      <c r="G53"/>
      <c r="H53" s="124"/>
      <c r="I53" s="92" t="s">
        <v>0</v>
      </c>
      <c r="J53" s="327" t="s">
        <v>0</v>
      </c>
      <c r="K53" s="329" t="s">
        <v>0</v>
      </c>
    </row>
    <row r="54" spans="1:15" ht="16.5" thickBot="1">
      <c r="A54" s="10" t="s">
        <v>0</v>
      </c>
      <c r="B54" s="126">
        <f>+B30+B36+B42+B44+B52</f>
        <v>17143478.70104</v>
      </c>
      <c r="C54" s="127">
        <f>+C30+C36+C42+C44+C52</f>
        <v>25744237.275990002</v>
      </c>
      <c r="D54" s="325">
        <f>SUM(B54:C54)</f>
        <v>42887715.977030002</v>
      </c>
      <c r="E54" s="368">
        <f>+B54/D54</f>
        <v>0.39972934698182067</v>
      </c>
      <c r="F54"/>
      <c r="G54"/>
      <c r="H54" s="126">
        <f>+H30+H36+H42+H44+H52</f>
        <v>18192882.596040003</v>
      </c>
      <c r="I54" s="127">
        <f>+I30+I36+I42+I44+I52</f>
        <v>26484886.025829997</v>
      </c>
      <c r="J54" s="325">
        <f>SUM(H54:I54)</f>
        <v>44677768.621869996</v>
      </c>
      <c r="K54" s="368">
        <f>+H54/J54</f>
        <v>0.40720213110944165</v>
      </c>
    </row>
    <row r="55" spans="1:15" ht="16.5" thickTop="1">
      <c r="A55" s="10"/>
      <c r="B55" s="94"/>
      <c r="C55" s="94"/>
      <c r="D55" s="339"/>
      <c r="E55" s="237"/>
      <c r="F55"/>
      <c r="G55"/>
      <c r="H55" s="94"/>
      <c r="I55" s="94"/>
      <c r="J55" s="339"/>
      <c r="K55" s="230"/>
    </row>
    <row r="56" spans="1:15">
      <c r="A56" s="10"/>
      <c r="B56" s="90" t="s">
        <v>988</v>
      </c>
      <c r="C56"/>
      <c r="D56" s="90"/>
      <c r="E56" s="98" t="s">
        <v>0</v>
      </c>
      <c r="F56"/>
      <c r="G56"/>
      <c r="H56" s="90" t="s">
        <v>949</v>
      </c>
      <c r="I56"/>
      <c r="J56" s="88" t="s">
        <v>0</v>
      </c>
    </row>
    <row r="57" spans="1:15">
      <c r="C57" s="48"/>
      <c r="E57" s="112" t="s">
        <v>0</v>
      </c>
      <c r="F57"/>
      <c r="G57"/>
      <c r="H57"/>
      <c r="J57" s="48"/>
    </row>
    <row r="58" spans="1:15">
      <c r="B58"/>
      <c r="C58"/>
      <c r="D58"/>
      <c r="E58"/>
      <c r="F58"/>
      <c r="G58"/>
      <c r="H58"/>
      <c r="I58"/>
      <c r="J58"/>
    </row>
    <row r="59" spans="1:15">
      <c r="B59"/>
      <c r="C59"/>
      <c r="D59"/>
      <c r="E59"/>
      <c r="F59"/>
      <c r="G59"/>
      <c r="H59"/>
      <c r="I59"/>
      <c r="J59"/>
    </row>
    <row r="60" spans="1:15">
      <c r="B60"/>
      <c r="C60"/>
      <c r="D60"/>
      <c r="E60"/>
      <c r="F60"/>
      <c r="G60"/>
      <c r="H60"/>
      <c r="I60"/>
      <c r="J60"/>
    </row>
    <row r="61" spans="1:15">
      <c r="B61"/>
      <c r="C61"/>
      <c r="D61"/>
      <c r="E61"/>
      <c r="F61"/>
      <c r="G61"/>
      <c r="H61"/>
      <c r="I61"/>
      <c r="J61"/>
    </row>
    <row r="62" spans="1:15">
      <c r="B62"/>
      <c r="C62"/>
      <c r="D62"/>
      <c r="E62"/>
      <c r="F62"/>
      <c r="G62"/>
      <c r="H62"/>
      <c r="I62"/>
      <c r="J62"/>
    </row>
    <row r="63" spans="1:15">
      <c r="B63"/>
      <c r="C63"/>
      <c r="D63"/>
      <c r="E63"/>
      <c r="F63"/>
      <c r="G63"/>
      <c r="H63"/>
      <c r="I63"/>
      <c r="J63"/>
    </row>
    <row r="64" spans="1:15">
      <c r="B64"/>
      <c r="C64"/>
      <c r="D64"/>
      <c r="E64"/>
      <c r="F64"/>
      <c r="G64"/>
      <c r="H64"/>
      <c r="I64"/>
      <c r="J64"/>
    </row>
    <row r="65" spans="2:12">
      <c r="B65"/>
      <c r="C65"/>
      <c r="D65"/>
      <c r="E65"/>
      <c r="F65"/>
      <c r="G65"/>
      <c r="H65"/>
      <c r="I65"/>
      <c r="J65"/>
    </row>
    <row r="66" spans="2:12">
      <c r="B66"/>
      <c r="C66"/>
      <c r="D66"/>
      <c r="E66"/>
      <c r="F66"/>
      <c r="G66"/>
      <c r="H66"/>
      <c r="I66"/>
      <c r="J66"/>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7" right="0.28999999999999998" top="0.55000000000000004" bottom="0.62" header="0.36" footer="0.38"/>
  <pageSetup scale="64" orientation="landscape" r:id="rId1"/>
  <headerFooter alignWithMargins="0">
    <oddFooter>&amp;R&amp;P</oddFooter>
  </headerFooter>
</worksheet>
</file>

<file path=xl/worksheets/sheet70.xml><?xml version="1.0" encoding="utf-8"?>
<worksheet xmlns="http://schemas.openxmlformats.org/spreadsheetml/2006/main" xmlns:r="http://schemas.openxmlformats.org/officeDocument/2006/relationships">
  <sheetPr>
    <pageSetUpPr fitToPage="1"/>
  </sheetPr>
  <dimension ref="A1:V121"/>
  <sheetViews>
    <sheetView workbookViewId="0">
      <selection activeCell="S64" sqref="S64"/>
    </sheetView>
  </sheetViews>
  <sheetFormatPr baseColWidth="10" defaultColWidth="9" defaultRowHeight="15.75"/>
  <cols>
    <col min="1" max="1" width="50" customWidth="1"/>
    <col min="2" max="2" width="15.75" style="33" customWidth="1"/>
    <col min="3" max="3" width="10.75"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10.5" style="33" customWidth="1"/>
    <col min="12" max="12" width="15.75" style="33" customWidth="1"/>
    <col min="13" max="13" width="9" style="33"/>
    <col min="14" max="14" width="15.75" style="33" customWidth="1"/>
    <col min="15" max="15" width="11" style="33" customWidth="1"/>
    <col min="16" max="16" width="15.75" style="33" customWidth="1"/>
    <col min="17" max="17" width="9" style="33"/>
    <col min="18" max="18" width="15.75" style="33" customWidth="1"/>
    <col min="19" max="19" width="9" style="33"/>
    <col min="20" max="20" width="15.75" style="33" customWidth="1"/>
    <col min="21" max="21" width="13" style="33" customWidth="1"/>
  </cols>
  <sheetData>
    <row r="1" spans="1:22">
      <c r="A1" s="111" t="s">
        <v>397</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6" spans="1:22" ht="16.5" thickBot="1">
      <c r="B6" s="1560">
        <f>+somfinrésys!B6</f>
        <v>2015</v>
      </c>
      <c r="C6" s="1560"/>
      <c r="D6" s="1560"/>
      <c r="E6" s="1560"/>
      <c r="F6" s="1560"/>
      <c r="G6" s="1560"/>
      <c r="H6" s="1560"/>
      <c r="I6" s="333"/>
      <c r="J6" s="1561" t="str">
        <f>+somfinrésys!J6</f>
        <v>2014</v>
      </c>
      <c r="K6" s="1561"/>
      <c r="L6" s="1561"/>
      <c r="M6" s="1561"/>
      <c r="N6" s="1561"/>
      <c r="O6" s="1561"/>
      <c r="P6" s="1561"/>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135" t="s">
        <v>0</v>
      </c>
      <c r="C9" s="136" t="s">
        <v>0</v>
      </c>
      <c r="D9" s="138" t="s">
        <v>0</v>
      </c>
      <c r="E9" s="138" t="s">
        <v>0</v>
      </c>
      <c r="F9" s="138" t="s">
        <v>0</v>
      </c>
      <c r="G9" s="138" t="s">
        <v>0</v>
      </c>
      <c r="H9" s="138" t="s">
        <v>0</v>
      </c>
      <c r="I9" s="35" t="s">
        <v>0</v>
      </c>
      <c r="J9" s="135" t="s">
        <v>0</v>
      </c>
      <c r="K9" s="136" t="s">
        <v>0</v>
      </c>
      <c r="L9" s="135" t="s">
        <v>0</v>
      </c>
      <c r="M9" s="136" t="s">
        <v>0</v>
      </c>
      <c r="N9" s="135" t="s">
        <v>0</v>
      </c>
      <c r="O9" s="136" t="s">
        <v>0</v>
      </c>
      <c r="P9" s="135" t="s">
        <v>0</v>
      </c>
    </row>
    <row r="10" spans="1:22">
      <c r="A10" t="s">
        <v>302</v>
      </c>
      <c r="B10" s="20">
        <f>+B50</f>
        <v>218076.92975999997</v>
      </c>
      <c r="C10" s="48">
        <v>0</v>
      </c>
      <c r="D10" s="20">
        <f>+F50</f>
        <v>0</v>
      </c>
      <c r="E10" s="48">
        <v>0</v>
      </c>
      <c r="F10" s="20">
        <f>+J50</f>
        <v>0</v>
      </c>
      <c r="G10" s="48">
        <v>0</v>
      </c>
      <c r="H10" s="20">
        <f>+N50</f>
        <v>0</v>
      </c>
      <c r="J10" s="24">
        <f>+D50</f>
        <v>195519.02844999998</v>
      </c>
      <c r="K10" s="52">
        <f t="shared" ref="K10:K15" si="0">+(-J10+L10)/ABS(J10)</f>
        <v>-4.2346464769373156E-2</v>
      </c>
      <c r="L10" s="20">
        <f>+H50</f>
        <v>187239.48879999999</v>
      </c>
      <c r="M10" s="51">
        <f t="shared" ref="M10:M15" si="1">+(-L10+N10)/ABS(L10)</f>
        <v>0.11870055377976443</v>
      </c>
      <c r="N10" s="20">
        <f>+L50</f>
        <v>209464.91980999999</v>
      </c>
      <c r="O10" s="51">
        <f t="shared" ref="O10:O15" si="2">+(-N10+P10)/ABS(N10)</f>
        <v>1.4284168693803289E-2</v>
      </c>
      <c r="P10" s="20">
        <f>+P50</f>
        <v>212456.95206000001</v>
      </c>
    </row>
    <row r="11" spans="1:22">
      <c r="A11" t="s">
        <v>393</v>
      </c>
      <c r="B11" s="20">
        <f>+B51</f>
        <v>45895.919750000001</v>
      </c>
      <c r="C11" s="48">
        <v>0</v>
      </c>
      <c r="D11" s="20">
        <f>+F51</f>
        <v>0</v>
      </c>
      <c r="E11" s="48">
        <v>0</v>
      </c>
      <c r="F11" s="20">
        <f>+J51</f>
        <v>0</v>
      </c>
      <c r="G11" s="48">
        <v>0</v>
      </c>
      <c r="H11" s="20">
        <f>+N51</f>
        <v>0</v>
      </c>
      <c r="J11" s="24">
        <f>+D51</f>
        <v>43480.816910000001</v>
      </c>
      <c r="K11" s="52">
        <f t="shared" si="0"/>
        <v>-0.33089720760722485</v>
      </c>
      <c r="L11" s="20">
        <f>+H51</f>
        <v>29093.136009999998</v>
      </c>
      <c r="M11" s="51">
        <f t="shared" si="1"/>
        <v>-0.31958679727081096</v>
      </c>
      <c r="N11" s="20">
        <f>+L51</f>
        <v>19795.35385</v>
      </c>
      <c r="O11" s="51">
        <f t="shared" si="2"/>
        <v>0.40197595457481544</v>
      </c>
      <c r="P11" s="20">
        <f>+P51</f>
        <v>27752.610109999998</v>
      </c>
    </row>
    <row r="12" spans="1:22">
      <c r="A12" t="s">
        <v>304</v>
      </c>
      <c r="B12" s="217">
        <f>+B52</f>
        <v>85732.536760000003</v>
      </c>
      <c r="C12" s="48">
        <v>0</v>
      </c>
      <c r="D12" s="217">
        <f>+F52</f>
        <v>0</v>
      </c>
      <c r="E12" s="48">
        <v>0</v>
      </c>
      <c r="F12" s="217">
        <f>+J52</f>
        <v>0</v>
      </c>
      <c r="G12" s="48">
        <v>0</v>
      </c>
      <c r="H12" s="217">
        <f>+N52</f>
        <v>0</v>
      </c>
      <c r="J12" s="199">
        <f>+D52</f>
        <v>51188.886929999993</v>
      </c>
      <c r="K12" s="52">
        <f t="shared" si="0"/>
        <v>-0.15826849841604856</v>
      </c>
      <c r="L12" s="199">
        <f>+H52</f>
        <v>43087.29866</v>
      </c>
      <c r="M12" s="52">
        <f>+(-L12+N12)/ABS(L12)</f>
        <v>0.86157738114278881</v>
      </c>
      <c r="N12" s="199">
        <f>+L52</f>
        <v>80210.340599999996</v>
      </c>
      <c r="O12" s="52">
        <f>+(-N12+P12)/ABS(N12)</f>
        <v>0.15423508886084944</v>
      </c>
      <c r="P12" s="199">
        <f>+P52</f>
        <v>92581.589609999995</v>
      </c>
    </row>
    <row r="13" spans="1:22">
      <c r="B13" s="87">
        <f>SUM(B10:B12)</f>
        <v>349705.38626999996</v>
      </c>
      <c r="C13" s="48">
        <v>0</v>
      </c>
      <c r="D13" s="87">
        <f>SUM(D10:D12)</f>
        <v>0</v>
      </c>
      <c r="E13" s="48">
        <v>0</v>
      </c>
      <c r="F13" s="87">
        <f>SUM(F10:F12)</f>
        <v>0</v>
      </c>
      <c r="G13" s="48">
        <v>0</v>
      </c>
      <c r="H13" s="87">
        <f>SUM(H10:H12)</f>
        <v>0</v>
      </c>
      <c r="J13" s="87">
        <f>SUM(J10:J12)</f>
        <v>290188.73228999996</v>
      </c>
      <c r="K13" s="52">
        <f t="shared" si="0"/>
        <v>-0.10603033610984999</v>
      </c>
      <c r="L13" s="87">
        <f>SUM(L10:L12)</f>
        <v>259419.92346999998</v>
      </c>
      <c r="M13" s="51">
        <f t="shared" si="1"/>
        <v>0.19293310290328575</v>
      </c>
      <c r="N13" s="87">
        <f>SUM(N10:N12)</f>
        <v>309470.61426</v>
      </c>
      <c r="O13" s="51">
        <f t="shared" si="2"/>
        <v>7.5356225907792951E-2</v>
      </c>
      <c r="P13" s="87">
        <f>SUM(P10:P12)</f>
        <v>332791.15178000001</v>
      </c>
    </row>
    <row r="14" spans="1:22">
      <c r="A14" t="s">
        <v>305</v>
      </c>
      <c r="B14" s="217">
        <f>+B54</f>
        <v>22417.47796</v>
      </c>
      <c r="C14" s="48">
        <v>0</v>
      </c>
      <c r="D14" s="217">
        <f>+F54</f>
        <v>0</v>
      </c>
      <c r="E14" s="48">
        <v>0</v>
      </c>
      <c r="F14" s="217">
        <f>+J54</f>
        <v>0</v>
      </c>
      <c r="G14" s="48">
        <v>0</v>
      </c>
      <c r="H14" s="217">
        <f>+N54</f>
        <v>0</v>
      </c>
      <c r="J14" s="217">
        <f>+D54</f>
        <v>19727.20205</v>
      </c>
      <c r="K14" s="52">
        <f t="shared" si="0"/>
        <v>-4.6837656838416022E-2</v>
      </c>
      <c r="L14" s="217">
        <f>+H54</f>
        <v>18803.226130000003</v>
      </c>
      <c r="M14" s="51">
        <f t="shared" si="1"/>
        <v>2.6514764357620128E-2</v>
      </c>
      <c r="N14" s="217">
        <f>+L54</f>
        <v>19301.789239999998</v>
      </c>
      <c r="O14" s="51">
        <f t="shared" si="2"/>
        <v>3.6770704061423409E-2</v>
      </c>
      <c r="P14" s="217">
        <f>+P54</f>
        <v>20011.529620000005</v>
      </c>
    </row>
    <row r="15" spans="1:22">
      <c r="B15" s="20">
        <f>+B13-B14</f>
        <v>327287.90830999997</v>
      </c>
      <c r="C15" s="48">
        <v>0</v>
      </c>
      <c r="D15" s="20">
        <f>+D13-D14</f>
        <v>0</v>
      </c>
      <c r="E15" s="48">
        <v>0</v>
      </c>
      <c r="F15" s="20">
        <f>+F13-F14</f>
        <v>0</v>
      </c>
      <c r="G15" s="48">
        <v>0</v>
      </c>
      <c r="H15" s="20">
        <f>+H13-H14</f>
        <v>0</v>
      </c>
      <c r="J15" s="20">
        <f>+J13-J14</f>
        <v>270461.53023999993</v>
      </c>
      <c r="K15" s="52">
        <f t="shared" si="0"/>
        <v>-0.11034779280260852</v>
      </c>
      <c r="L15" s="20">
        <f>+L13-L14</f>
        <v>240616.69733999998</v>
      </c>
      <c r="M15" s="51">
        <f t="shared" si="1"/>
        <v>0.20593802602976086</v>
      </c>
      <c r="N15" s="20">
        <f>+N13-N14</f>
        <v>290168.82501999999</v>
      </c>
      <c r="O15" s="51">
        <f t="shared" si="2"/>
        <v>7.7922902773726918E-2</v>
      </c>
      <c r="P15" s="20">
        <f>+P13-P14</f>
        <v>312779.62216000003</v>
      </c>
    </row>
    <row r="16" spans="1:22" ht="9" customHeight="1">
      <c r="B16" s="20"/>
      <c r="C16" s="49" t="s">
        <v>0</v>
      </c>
      <c r="E16" s="49" t="s">
        <v>0</v>
      </c>
      <c r="G16" s="49" t="s">
        <v>0</v>
      </c>
      <c r="J16" s="20"/>
      <c r="K16" s="51"/>
      <c r="L16" s="20"/>
      <c r="M16" s="51"/>
      <c r="N16" s="20"/>
      <c r="O16" s="51"/>
      <c r="P16" s="20"/>
    </row>
    <row r="17" spans="1:16">
      <c r="A17" t="s">
        <v>306</v>
      </c>
      <c r="B17" s="20"/>
      <c r="C17" s="49" t="s">
        <v>0</v>
      </c>
      <c r="E17" s="49" t="s">
        <v>0</v>
      </c>
      <c r="G17" s="49" t="s">
        <v>0</v>
      </c>
      <c r="J17" s="20"/>
      <c r="K17" s="51"/>
      <c r="L17" s="20"/>
      <c r="M17" s="51"/>
      <c r="N17" s="20"/>
      <c r="O17" s="52" t="s">
        <v>0</v>
      </c>
      <c r="P17" s="20"/>
    </row>
    <row r="18" spans="1:16">
      <c r="A18" t="s">
        <v>307</v>
      </c>
      <c r="B18" s="20">
        <f>+B58</f>
        <v>83769.663910000003</v>
      </c>
      <c r="C18" s="48">
        <v>0</v>
      </c>
      <c r="D18" s="20">
        <f>+F58</f>
        <v>0</v>
      </c>
      <c r="E18" s="48">
        <v>0</v>
      </c>
      <c r="F18" s="20">
        <f>+J58</f>
        <v>0</v>
      </c>
      <c r="G18" s="48">
        <v>0</v>
      </c>
      <c r="H18" s="20">
        <f>+N58</f>
        <v>0</v>
      </c>
      <c r="J18" s="20">
        <f>+D58</f>
        <v>87336.13321</v>
      </c>
      <c r="K18" s="52">
        <f>+(-J18+L18)/ABS(J18)</f>
        <v>-2.5209063294640049E-2</v>
      </c>
      <c r="L18" s="20">
        <f>+H58</f>
        <v>85134.471099999995</v>
      </c>
      <c r="M18" s="51">
        <f>+(-L18+N18)/ABS(L18)</f>
        <v>0.16019183879090321</v>
      </c>
      <c r="N18" s="20">
        <f>+L58</f>
        <v>98772.318570000003</v>
      </c>
      <c r="O18" s="51">
        <f>+(-N18+P18)/ABS(N18)</f>
        <v>0.35000230490185186</v>
      </c>
      <c r="P18" s="20">
        <f>+P58</f>
        <v>133342.85772999999</v>
      </c>
    </row>
    <row r="19" spans="1:16">
      <c r="A19" t="s">
        <v>308</v>
      </c>
      <c r="B19" s="20">
        <f>+B59</f>
        <v>16188.303319999999</v>
      </c>
      <c r="C19" s="48">
        <v>0</v>
      </c>
      <c r="D19" s="20">
        <f>+F59</f>
        <v>0</v>
      </c>
      <c r="E19" s="48">
        <v>0</v>
      </c>
      <c r="F19" s="20">
        <f>+J59</f>
        <v>0</v>
      </c>
      <c r="G19" s="48">
        <v>0</v>
      </c>
      <c r="H19" s="20">
        <f>+N59</f>
        <v>0</v>
      </c>
      <c r="J19" s="20">
        <f>+D59</f>
        <v>22498.85338</v>
      </c>
      <c r="K19" s="52">
        <f>+(-J19+L19)/ABS(J19)</f>
        <v>-7.7993528397312509E-2</v>
      </c>
      <c r="L19" s="20">
        <f>+H59</f>
        <v>20744.08842</v>
      </c>
      <c r="M19" s="51">
        <f>+(-L19+N19)/ABS(L19)</f>
        <v>0.15867706323631262</v>
      </c>
      <c r="N19" s="20">
        <f>+L59</f>
        <v>24035.69945</v>
      </c>
      <c r="O19" s="51">
        <f>+(-N19+P19)/ABS(N19)</f>
        <v>-0.58664164899099702</v>
      </c>
      <c r="P19" s="20">
        <f>+P59</f>
        <v>9935.3570899999995</v>
      </c>
    </row>
    <row r="20" spans="1:16">
      <c r="A20" t="s">
        <v>274</v>
      </c>
      <c r="B20" s="217">
        <f>+B60</f>
        <v>15537.174139999999</v>
      </c>
      <c r="C20" s="48">
        <v>0</v>
      </c>
      <c r="D20" s="217">
        <f>+F60</f>
        <v>0</v>
      </c>
      <c r="E20" s="48">
        <v>0</v>
      </c>
      <c r="F20" s="217">
        <f>+J60</f>
        <v>0</v>
      </c>
      <c r="G20" s="48">
        <v>0</v>
      </c>
      <c r="H20" s="217">
        <f>+N60</f>
        <v>0</v>
      </c>
      <c r="J20" s="217">
        <f>+D60</f>
        <v>13762.081559999999</v>
      </c>
      <c r="K20" s="52">
        <f>+(-J20+L20)/ABS(J20)</f>
        <v>-0.41749325165313139</v>
      </c>
      <c r="L20" s="217">
        <f>+H60</f>
        <v>8016.5053800000005</v>
      </c>
      <c r="M20" s="51">
        <f>+(-L20+N20)/ABS(L20)</f>
        <v>0.76681609112822657</v>
      </c>
      <c r="N20" s="217">
        <f>+L60</f>
        <v>14163.690699999999</v>
      </c>
      <c r="O20" s="51">
        <f>+(-N20+P20)/ABS(N20)</f>
        <v>-9.0641151179614493E-2</v>
      </c>
      <c r="P20" s="217">
        <f>+P60</f>
        <v>12879.877469999999</v>
      </c>
    </row>
    <row r="21" spans="1:16">
      <c r="B21" s="20">
        <f>SUM(B18:B20)</f>
        <v>115495.14137000001</v>
      </c>
      <c r="C21" s="48">
        <v>0</v>
      </c>
      <c r="D21" s="20">
        <f>SUM(D18:D20)</f>
        <v>0</v>
      </c>
      <c r="E21" s="48">
        <v>0</v>
      </c>
      <c r="F21" s="20">
        <f>SUM(F18:F20)</f>
        <v>0</v>
      </c>
      <c r="G21" s="48">
        <v>0</v>
      </c>
      <c r="H21" s="20">
        <f>SUM(H18:H20)</f>
        <v>0</v>
      </c>
      <c r="J21" s="20">
        <f>SUM(J18:J20)</f>
        <v>123597.06815000001</v>
      </c>
      <c r="K21" s="52">
        <f>+(-J21+L21)/ABS(J21)</f>
        <v>-7.8497033912045988E-2</v>
      </c>
      <c r="L21" s="20">
        <f>SUM(L18:L20)</f>
        <v>113895.0649</v>
      </c>
      <c r="M21" s="51">
        <f>+(-L21+N21)/ABS(L21)</f>
        <v>0.20261320225122412</v>
      </c>
      <c r="N21" s="20">
        <f>SUM(N18:N20)</f>
        <v>136971.70872</v>
      </c>
      <c r="O21" s="51">
        <f>+(-N21+P21)/ABS(N21)</f>
        <v>0.14007552179422067</v>
      </c>
      <c r="P21" s="20">
        <f>SUM(P18:P20)</f>
        <v>156158.09229</v>
      </c>
    </row>
    <row r="22" spans="1:16">
      <c r="B22" s="217"/>
      <c r="C22" s="49" t="s">
        <v>0</v>
      </c>
      <c r="D22" s="334"/>
      <c r="E22" s="49" t="s">
        <v>0</v>
      </c>
      <c r="F22" s="334"/>
      <c r="G22" s="49" t="s">
        <v>0</v>
      </c>
      <c r="H22" s="334"/>
      <c r="J22" s="217"/>
      <c r="K22" s="51"/>
      <c r="L22" s="217"/>
      <c r="M22" s="51"/>
      <c r="N22" s="217"/>
      <c r="O22" s="51"/>
      <c r="P22" s="217"/>
    </row>
    <row r="23" spans="1:16">
      <c r="A23" t="s">
        <v>309</v>
      </c>
      <c r="B23" s="20">
        <f>+B15+B21</f>
        <v>442783.04968</v>
      </c>
      <c r="C23" s="48">
        <v>0</v>
      </c>
      <c r="D23" s="20">
        <f>+D15+D21</f>
        <v>0</v>
      </c>
      <c r="E23" s="48">
        <v>0</v>
      </c>
      <c r="F23" s="20">
        <f>+F15+F21</f>
        <v>0</v>
      </c>
      <c r="G23" s="48">
        <v>0</v>
      </c>
      <c r="H23" s="20">
        <f>+H15+H21</f>
        <v>0</v>
      </c>
      <c r="J23" s="20">
        <f>+J15+J21</f>
        <v>394058.59838999994</v>
      </c>
      <c r="K23" s="52">
        <f>+(-J23+L23)/ABS(J23)</f>
        <v>-0.10035775468820114</v>
      </c>
      <c r="L23" s="20">
        <f>+L15+L21</f>
        <v>354511.76223999995</v>
      </c>
      <c r="M23" s="51">
        <f>+(-L23+N23)/ABS(L23)</f>
        <v>0.20486984984952708</v>
      </c>
      <c r="N23" s="20">
        <f>+N15+N21</f>
        <v>427140.53373999998</v>
      </c>
      <c r="O23" s="51">
        <f>+(-N23+P23)/ABS(N23)</f>
        <v>9.7853463692682344E-2</v>
      </c>
      <c r="P23" s="20">
        <f>+P15+P21</f>
        <v>468937.71445000003</v>
      </c>
    </row>
    <row r="24" spans="1:16">
      <c r="B24" s="20"/>
      <c r="C24" s="49" t="s">
        <v>0</v>
      </c>
      <c r="E24" s="49" t="s">
        <v>0</v>
      </c>
      <c r="G24" s="49" t="s">
        <v>0</v>
      </c>
      <c r="J24" s="20"/>
      <c r="K24" s="51"/>
      <c r="L24" s="20"/>
      <c r="M24" s="51"/>
      <c r="N24" s="20"/>
      <c r="O24" s="51"/>
      <c r="P24" s="20"/>
    </row>
    <row r="25" spans="1:16">
      <c r="A25" t="s">
        <v>310</v>
      </c>
      <c r="B25" s="20">
        <f>+B65</f>
        <v>0</v>
      </c>
      <c r="C25" s="48">
        <v>0</v>
      </c>
      <c r="D25" s="20">
        <f>+F65</f>
        <v>0</v>
      </c>
      <c r="E25" s="48">
        <v>0</v>
      </c>
      <c r="F25" s="20">
        <f>+J65</f>
        <v>0</v>
      </c>
      <c r="G25" s="48">
        <v>0</v>
      </c>
      <c r="H25" s="20">
        <f>+N65</f>
        <v>0</v>
      </c>
      <c r="J25" s="20">
        <f>+D65</f>
        <v>25263.932779999999</v>
      </c>
      <c r="K25" s="52">
        <f>+(-J25+L25)/ABS(J25)</f>
        <v>-0.77556583492461295</v>
      </c>
      <c r="L25" s="20">
        <f>+H65</f>
        <v>5670.0896599999996</v>
      </c>
      <c r="M25" s="51">
        <f>+(-L25+N25)/ABS(L25)</f>
        <v>4.2513432018639374</v>
      </c>
      <c r="N25" s="20">
        <f>+L65</f>
        <v>29775.586790000001</v>
      </c>
      <c r="O25" s="51">
        <f>+(-N25+P25)/ABS(N25)</f>
        <v>1.053469674375475</v>
      </c>
      <c r="P25" s="20">
        <f>+P65</f>
        <v>61143.264510000001</v>
      </c>
    </row>
    <row r="26" spans="1:16">
      <c r="B26" s="20"/>
      <c r="C26" s="49" t="s">
        <v>0</v>
      </c>
      <c r="E26" s="49" t="s">
        <v>0</v>
      </c>
      <c r="G26" s="49" t="s">
        <v>0</v>
      </c>
      <c r="J26" s="20"/>
      <c r="K26" s="51"/>
      <c r="L26" s="20"/>
      <c r="M26" s="51"/>
      <c r="N26" s="20"/>
      <c r="O26" s="51"/>
      <c r="P26" s="20"/>
    </row>
    <row r="27" spans="1:16">
      <c r="A27" t="s">
        <v>311</v>
      </c>
      <c r="B27" s="217"/>
      <c r="C27" s="49" t="s">
        <v>0</v>
      </c>
      <c r="D27" s="334"/>
      <c r="E27" s="49" t="s">
        <v>0</v>
      </c>
      <c r="F27" s="334"/>
      <c r="G27" s="49" t="s">
        <v>0</v>
      </c>
      <c r="H27" s="334"/>
      <c r="J27" s="217"/>
      <c r="K27" s="51"/>
      <c r="L27" s="217"/>
      <c r="M27" s="51"/>
      <c r="N27" s="217"/>
      <c r="O27" s="51"/>
      <c r="P27" s="217"/>
    </row>
    <row r="28" spans="1:16">
      <c r="A28" t="s">
        <v>312</v>
      </c>
      <c r="B28" s="20">
        <f>+B23-B25</f>
        <v>442783.04968</v>
      </c>
      <c r="C28" s="48">
        <v>0</v>
      </c>
      <c r="D28" s="20">
        <f>+D23-D25</f>
        <v>0</v>
      </c>
      <c r="E28" s="48">
        <v>0</v>
      </c>
      <c r="F28" s="20">
        <f>+F23-F25</f>
        <v>0</v>
      </c>
      <c r="G28" s="48">
        <v>0</v>
      </c>
      <c r="H28" s="20">
        <f>+H23-H25</f>
        <v>0</v>
      </c>
      <c r="J28" s="20">
        <f>+J23-J25</f>
        <v>368794.66560999997</v>
      </c>
      <c r="K28" s="52">
        <f>+(-J28+L28)/ABS(J28)</f>
        <v>-5.4103258237200982E-2</v>
      </c>
      <c r="L28" s="20">
        <f>+L23-L25</f>
        <v>348841.67257999995</v>
      </c>
      <c r="M28" s="51">
        <f>+(-L28+N28)/ABS(L28)</f>
        <v>0.13909827346924042</v>
      </c>
      <c r="N28" s="20">
        <f>+N23-N25</f>
        <v>397364.94695000001</v>
      </c>
      <c r="O28" s="51">
        <f>+(-N28+P28)/ABS(N28)</f>
        <v>2.6246660834208763E-2</v>
      </c>
      <c r="P28" s="20">
        <f>+P23-P25</f>
        <v>407794.44994000002</v>
      </c>
    </row>
    <row r="29" spans="1:16">
      <c r="B29" s="20"/>
      <c r="C29" s="49" t="s">
        <v>0</v>
      </c>
      <c r="E29" s="49" t="s">
        <v>0</v>
      </c>
      <c r="G29" s="49" t="s">
        <v>0</v>
      </c>
      <c r="J29" s="20"/>
      <c r="K29" s="51"/>
      <c r="L29" s="20"/>
      <c r="M29" s="51"/>
      <c r="N29" s="20"/>
      <c r="O29" s="51"/>
      <c r="P29" s="20"/>
    </row>
    <row r="30" spans="1:16">
      <c r="A30" t="s">
        <v>313</v>
      </c>
      <c r="B30" s="20"/>
      <c r="C30" s="49" t="s">
        <v>0</v>
      </c>
      <c r="E30" s="49" t="s">
        <v>0</v>
      </c>
      <c r="G30" s="49" t="s">
        <v>0</v>
      </c>
      <c r="J30" s="20"/>
      <c r="K30" s="51"/>
      <c r="L30" s="20"/>
      <c r="M30" s="51"/>
      <c r="N30" s="20"/>
      <c r="O30" s="51"/>
      <c r="P30" s="20"/>
    </row>
    <row r="31" spans="1:16">
      <c r="A31" t="s">
        <v>314</v>
      </c>
      <c r="B31" s="20">
        <f>+B71</f>
        <v>145709.69511</v>
      </c>
      <c r="C31" s="48">
        <v>0</v>
      </c>
      <c r="D31" s="20">
        <f>+F71</f>
        <v>0</v>
      </c>
      <c r="E31" s="48">
        <v>0</v>
      </c>
      <c r="F31" s="20">
        <f>+J71</f>
        <v>0</v>
      </c>
      <c r="G31" s="48">
        <v>0</v>
      </c>
      <c r="H31" s="20">
        <f>+N71</f>
        <v>0</v>
      </c>
      <c r="J31" s="20">
        <f>+D71</f>
        <v>136252.80087000001</v>
      </c>
      <c r="K31" s="52">
        <f>+(-J31+L31)/ABS(J31)</f>
        <v>3.8500888469845944E-2</v>
      </c>
      <c r="L31" s="20">
        <f>+H71</f>
        <v>141498.65476</v>
      </c>
      <c r="M31" s="51">
        <f>+(-L31+N31)/ABS(L31)</f>
        <v>-7.5144786486025716E-3</v>
      </c>
      <c r="N31" s="20">
        <f>+L71</f>
        <v>140435.36614</v>
      </c>
      <c r="O31" s="51">
        <f>+(-N31+P31)/ABS(N31)</f>
        <v>0.32687151407600534</v>
      </c>
      <c r="P31" s="20">
        <f>+P71</f>
        <v>186339.68689999997</v>
      </c>
    </row>
    <row r="32" spans="1:16">
      <c r="A32" t="s">
        <v>315</v>
      </c>
      <c r="B32" s="20">
        <f>+B72</f>
        <v>23555.664809999998</v>
      </c>
      <c r="C32" s="48">
        <v>0</v>
      </c>
      <c r="D32" s="20">
        <f>+F72</f>
        <v>0</v>
      </c>
      <c r="E32" s="48">
        <v>0</v>
      </c>
      <c r="F32" s="20">
        <f>+J72</f>
        <v>0</v>
      </c>
      <c r="G32" s="48">
        <v>0</v>
      </c>
      <c r="H32" s="20">
        <f>+N72</f>
        <v>0</v>
      </c>
      <c r="J32" s="20">
        <f>+D72</f>
        <v>14419.970590000001</v>
      </c>
      <c r="K32" s="52">
        <f>+(-J32+L32)/ABS(J32)</f>
        <v>0.1698408089471698</v>
      </c>
      <c r="L32" s="20">
        <f>+H72</f>
        <v>16869.070059999998</v>
      </c>
      <c r="M32" s="51">
        <f>+(-L32+N32)/ABS(L32)</f>
        <v>0.18940741360582164</v>
      </c>
      <c r="N32" s="20">
        <f>+L72</f>
        <v>20064.19699</v>
      </c>
      <c r="O32" s="51">
        <f>+(-N32+P32)/ABS(N32)</f>
        <v>2.5842000068999536E-2</v>
      </c>
      <c r="P32" s="20">
        <f>+P72</f>
        <v>20582.695970000001</v>
      </c>
    </row>
    <row r="33" spans="1:22">
      <c r="A33" t="s">
        <v>316</v>
      </c>
      <c r="B33" s="20">
        <f>+B73</f>
        <v>18150.975989999999</v>
      </c>
      <c r="C33" s="48">
        <v>0</v>
      </c>
      <c r="D33" s="20">
        <f>+F73</f>
        <v>0</v>
      </c>
      <c r="E33" s="48">
        <v>0</v>
      </c>
      <c r="F33" s="20">
        <f>+J73</f>
        <v>0</v>
      </c>
      <c r="G33" s="48">
        <v>0</v>
      </c>
      <c r="H33" s="20">
        <f>+N73</f>
        <v>0</v>
      </c>
      <c r="J33" s="20">
        <f>+D73</f>
        <v>16278.631590000001</v>
      </c>
      <c r="K33" s="52">
        <f>+(-J33+L33)/ABS(J33)</f>
        <v>-5.5968936637136044E-3</v>
      </c>
      <c r="L33" s="20">
        <f>+H73</f>
        <v>16187.521820000002</v>
      </c>
      <c r="M33" s="51">
        <f>+(-L33+N33)/ABS(L33)</f>
        <v>5.8511635723620642E-2</v>
      </c>
      <c r="N33" s="20">
        <f>+L73</f>
        <v>17134.680200000003</v>
      </c>
      <c r="O33" s="51">
        <f>+(-N33+P33)/ABS(N33)</f>
        <v>4.4402185574493318E-2</v>
      </c>
      <c r="P33" s="20">
        <f>+P73</f>
        <v>17895.497449999999</v>
      </c>
    </row>
    <row r="34" spans="1:22">
      <c r="A34" t="s">
        <v>317</v>
      </c>
      <c r="B34" s="217">
        <f>+B74</f>
        <v>75081.059910000011</v>
      </c>
      <c r="C34" s="48">
        <v>0</v>
      </c>
      <c r="D34" s="217">
        <f>+F74</f>
        <v>0</v>
      </c>
      <c r="E34" s="48">
        <v>0</v>
      </c>
      <c r="F34" s="217">
        <f>+J74</f>
        <v>0</v>
      </c>
      <c r="G34" s="48">
        <v>0</v>
      </c>
      <c r="H34" s="217">
        <f>+N74</f>
        <v>0</v>
      </c>
      <c r="J34" s="217">
        <f>+D74</f>
        <v>81980.856159999996</v>
      </c>
      <c r="K34" s="52">
        <f>+(-J34+L34)/ABS(J34)</f>
        <v>-9.2100620238265124E-2</v>
      </c>
      <c r="L34" s="217">
        <f>+H74</f>
        <v>74430.368459999998</v>
      </c>
      <c r="M34" s="51">
        <f>+(-L34+N34)/ABS(L34)</f>
        <v>5.527413964383323E-2</v>
      </c>
      <c r="N34" s="217">
        <f>+L74</f>
        <v>78544.443039999998</v>
      </c>
      <c r="O34" s="51">
        <f>+(-N34+P34)/ABS(N34)</f>
        <v>0.70270152379706763</v>
      </c>
      <c r="P34" s="217">
        <f>+P74</f>
        <v>133737.74284999998</v>
      </c>
    </row>
    <row r="35" spans="1:22">
      <c r="B35" s="20">
        <f>SUM(B31:B34)</f>
        <v>262497.39581999998</v>
      </c>
      <c r="C35" s="48">
        <v>0</v>
      </c>
      <c r="D35" s="20">
        <f>SUM(D31:D34)</f>
        <v>0</v>
      </c>
      <c r="E35" s="48">
        <v>0</v>
      </c>
      <c r="F35" s="20">
        <f>SUM(F31:F34)</f>
        <v>0</v>
      </c>
      <c r="G35" s="48">
        <v>0</v>
      </c>
      <c r="H35" s="20">
        <f>SUM(H31:H34)</f>
        <v>0</v>
      </c>
      <c r="J35" s="20">
        <f>SUM(J31:J34)</f>
        <v>248932.25921000002</v>
      </c>
      <c r="K35" s="52">
        <f>+(-J35+L35)/ABS(J35)</f>
        <v>2.1433899394680657E-4</v>
      </c>
      <c r="L35" s="20">
        <f>SUM(L31:L34)</f>
        <v>248985.6151</v>
      </c>
      <c r="M35" s="51">
        <f>+(-L35+N35)/ABS(L35)</f>
        <v>2.8889505392153136E-2</v>
      </c>
      <c r="N35" s="20">
        <f>SUM(N31:N34)</f>
        <v>256178.68637000001</v>
      </c>
      <c r="O35" s="51">
        <f>+(-N35+P35)/ABS(N35)</f>
        <v>0.39963096950281196</v>
      </c>
      <c r="P35" s="20">
        <f>SUM(P31:P34)</f>
        <v>358555.62316999992</v>
      </c>
    </row>
    <row r="36" spans="1:22" ht="9" customHeight="1">
      <c r="B36" s="217"/>
      <c r="C36" s="49" t="s">
        <v>0</v>
      </c>
      <c r="D36" s="334"/>
      <c r="E36" s="49" t="s">
        <v>0</v>
      </c>
      <c r="F36" s="334"/>
      <c r="G36" s="49" t="s">
        <v>0</v>
      </c>
      <c r="H36" s="334"/>
      <c r="J36" s="217"/>
      <c r="K36" s="51"/>
      <c r="L36" s="217"/>
      <c r="M36" s="51"/>
      <c r="N36" s="217"/>
      <c r="O36" s="51"/>
      <c r="P36" s="217"/>
    </row>
    <row r="37" spans="1:22">
      <c r="A37" t="s">
        <v>318</v>
      </c>
      <c r="B37" s="20">
        <f>+B28-B35</f>
        <v>180285.65386000002</v>
      </c>
      <c r="C37" s="48">
        <v>0</v>
      </c>
      <c r="D37" s="20">
        <f>+D28-D35</f>
        <v>0</v>
      </c>
      <c r="E37" s="48">
        <v>0</v>
      </c>
      <c r="F37" s="20">
        <f>+F28-F35</f>
        <v>0</v>
      </c>
      <c r="G37" s="48">
        <v>0</v>
      </c>
      <c r="H37" s="20">
        <f>+H28-H35</f>
        <v>0</v>
      </c>
      <c r="J37" s="20">
        <f>+J28-J35</f>
        <v>119862.40639999995</v>
      </c>
      <c r="K37" s="52">
        <f>+(-J37+L37)/ABS(J37)</f>
        <v>-0.16691095666172107</v>
      </c>
      <c r="L37" s="20">
        <f>+L28-L35</f>
        <v>99856.057479999959</v>
      </c>
      <c r="M37" s="51">
        <f>+(-L37+N37)/ABS(L37)</f>
        <v>0.41389780593208392</v>
      </c>
      <c r="N37" s="20">
        <f>+N28-N35</f>
        <v>141186.26058</v>
      </c>
      <c r="O37" s="51">
        <f>+(-N37+P37)/ABS(N37)</f>
        <v>-0.65124916144301426</v>
      </c>
      <c r="P37" s="20">
        <f>+P28-P35</f>
        <v>49238.826770000102</v>
      </c>
    </row>
    <row r="38" spans="1:22">
      <c r="B38" s="20"/>
      <c r="C38" s="49" t="s">
        <v>0</v>
      </c>
      <c r="E38" s="49" t="s">
        <v>0</v>
      </c>
      <c r="G38" s="49" t="s">
        <v>0</v>
      </c>
      <c r="J38" s="20"/>
      <c r="K38" s="51"/>
      <c r="L38" s="20"/>
      <c r="M38" s="51"/>
      <c r="N38" s="20"/>
      <c r="O38" s="51"/>
      <c r="P38" s="20"/>
    </row>
    <row r="39" spans="1:22">
      <c r="A39" t="s">
        <v>319</v>
      </c>
      <c r="B39" s="20">
        <f>+B79</f>
        <v>0</v>
      </c>
      <c r="C39" s="48">
        <v>0</v>
      </c>
      <c r="D39" s="20">
        <f>+F79</f>
        <v>0</v>
      </c>
      <c r="E39" s="48">
        <v>0</v>
      </c>
      <c r="F39" s="20">
        <f>+J79</f>
        <v>0</v>
      </c>
      <c r="G39" s="48">
        <v>0</v>
      </c>
      <c r="H39" s="20">
        <f>+N79</f>
        <v>0</v>
      </c>
      <c r="J39" s="20">
        <f>+D79</f>
        <v>0</v>
      </c>
      <c r="K39" s="49">
        <v>0</v>
      </c>
      <c r="L39" s="20">
        <f>+H79</f>
        <v>0</v>
      </c>
      <c r="M39" s="48">
        <v>0</v>
      </c>
      <c r="N39" s="20">
        <f>+L79</f>
        <v>0</v>
      </c>
      <c r="O39" s="48">
        <v>0</v>
      </c>
      <c r="P39" s="20">
        <f>+P79</f>
        <v>0</v>
      </c>
    </row>
    <row r="40" spans="1:22" ht="16.5" thickBot="1">
      <c r="B40" s="79"/>
      <c r="C40" s="49" t="s">
        <v>0</v>
      </c>
      <c r="D40" s="79"/>
      <c r="E40" s="49" t="s">
        <v>0</v>
      </c>
      <c r="F40" s="36"/>
      <c r="G40" s="49" t="s">
        <v>0</v>
      </c>
      <c r="H40" s="36"/>
      <c r="J40" s="80" t="s">
        <v>0</v>
      </c>
      <c r="K40" s="51"/>
      <c r="L40" s="79"/>
      <c r="M40" s="51"/>
      <c r="N40" s="79"/>
      <c r="O40" s="51"/>
      <c r="P40" s="79"/>
    </row>
    <row r="41" spans="1:22" s="11" customFormat="1">
      <c r="A41" s="11" t="s">
        <v>372</v>
      </c>
      <c r="B41" s="13">
        <f>+B37-B39</f>
        <v>180285.65386000002</v>
      </c>
      <c r="C41" s="47">
        <v>0</v>
      </c>
      <c r="D41" s="13">
        <f>+D37-D39</f>
        <v>0</v>
      </c>
      <c r="E41" s="47">
        <v>0</v>
      </c>
      <c r="F41" s="13">
        <f>+F37-F39</f>
        <v>0</v>
      </c>
      <c r="G41" s="47">
        <v>0</v>
      </c>
      <c r="H41" s="13">
        <f>+H37-H39</f>
        <v>0</v>
      </c>
      <c r="I41" s="137"/>
      <c r="J41" s="13">
        <f>+J37-J39</f>
        <v>119862.40639999995</v>
      </c>
      <c r="K41" s="109">
        <f>+(-J41+L41)/ABS(J41)</f>
        <v>-0.16691095666172107</v>
      </c>
      <c r="L41" s="13">
        <f>+L37-L39</f>
        <v>99856.057479999959</v>
      </c>
      <c r="M41" s="109">
        <f>+(-L41+N41)/ABS(L41)</f>
        <v>0.41389780593208392</v>
      </c>
      <c r="N41" s="13">
        <f>+N37-N39</f>
        <v>141186.26058</v>
      </c>
      <c r="O41" s="109">
        <f>+(-N41+P41)/ABS(N41)</f>
        <v>-0.65124916144301426</v>
      </c>
      <c r="P41" s="13">
        <f>+P37-P39</f>
        <v>49238.826770000102</v>
      </c>
      <c r="Q41" s="137"/>
      <c r="R41" s="137"/>
      <c r="S41" s="137"/>
      <c r="T41" s="137"/>
      <c r="U41" s="137"/>
    </row>
    <row r="42" spans="1:22" ht="5.45" customHeight="1">
      <c r="C42" s="35"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218" t="str">
        <f>+somfinrésys!B46</f>
        <v xml:space="preserve"> 2015</v>
      </c>
      <c r="C46" s="137" t="s">
        <v>0</v>
      </c>
      <c r="D46" s="218" t="str">
        <f>+somfinrésys!D46</f>
        <v xml:space="preserve"> 2014</v>
      </c>
      <c r="E46" s="137"/>
      <c r="F46" s="218" t="str">
        <f>+somfinrésys!F46</f>
        <v xml:space="preserve"> 2015</v>
      </c>
      <c r="G46" s="137" t="s">
        <v>0</v>
      </c>
      <c r="H46" s="218" t="str">
        <f>+somfinrésys!H46</f>
        <v xml:space="preserve"> 2014</v>
      </c>
      <c r="I46" s="137"/>
      <c r="J46" s="218" t="str">
        <f>+somfinrésys!J46</f>
        <v xml:space="preserve"> 2015</v>
      </c>
      <c r="K46" s="137" t="s">
        <v>0</v>
      </c>
      <c r="L46" s="218" t="str">
        <f>+somfinrésys!L46</f>
        <v xml:space="preserve"> 2014</v>
      </c>
      <c r="M46" s="137"/>
      <c r="N46" s="218" t="str">
        <f>+somfinrésys!N46</f>
        <v xml:space="preserve"> 2015</v>
      </c>
      <c r="O46" s="137" t="s">
        <v>0</v>
      </c>
      <c r="P46" s="218" t="str">
        <f>+somfinrésys!P46</f>
        <v xml:space="preserve"> 2014</v>
      </c>
      <c r="Q46" s="137"/>
      <c r="R46" s="1021" t="str">
        <f>+somfinrésys!R46</f>
        <v xml:space="preserve"> 2014 (oct.-déc. 14)</v>
      </c>
      <c r="S46" s="137"/>
      <c r="T46" s="1021" t="str">
        <f>+somfinrésys!T46</f>
        <v xml:space="preserve"> 2013 (oct. -déc. 13)</v>
      </c>
      <c r="U46" s="28" t="str">
        <f>+somfinrésys!U48</f>
        <v>2014</v>
      </c>
    </row>
    <row r="47" spans="1:22" ht="16.5" thickBot="1">
      <c r="B47" s="220"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1">
      <c r="A49" t="s">
        <v>301</v>
      </c>
      <c r="B49" s="135" t="s">
        <v>0</v>
      </c>
      <c r="C49" s="136" t="s">
        <v>0</v>
      </c>
      <c r="D49" s="135" t="s">
        <v>0</v>
      </c>
      <c r="E49" s="35" t="s">
        <v>54</v>
      </c>
      <c r="F49" s="138" t="s">
        <v>0</v>
      </c>
      <c r="G49" s="136" t="s">
        <v>0</v>
      </c>
      <c r="H49" s="135" t="s">
        <v>0</v>
      </c>
      <c r="J49" s="138" t="s">
        <v>0</v>
      </c>
      <c r="K49" s="136" t="s">
        <v>0</v>
      </c>
      <c r="L49" s="135" t="s">
        <v>0</v>
      </c>
      <c r="M49" s="35" t="s">
        <v>0</v>
      </c>
      <c r="N49" s="138" t="s">
        <v>0</v>
      </c>
      <c r="O49" s="136" t="s">
        <v>0</v>
      </c>
      <c r="P49" s="24" t="s">
        <v>0</v>
      </c>
      <c r="Q49" s="35" t="s">
        <v>0</v>
      </c>
      <c r="R49" s="135" t="s">
        <v>0</v>
      </c>
      <c r="S49" s="136" t="s">
        <v>0</v>
      </c>
      <c r="T49" s="135" t="s">
        <v>0</v>
      </c>
      <c r="U49" s="135" t="s">
        <v>0</v>
      </c>
    </row>
    <row r="50" spans="1:21">
      <c r="A50" t="s">
        <v>302</v>
      </c>
      <c r="B50" s="20">
        <v>218076.92975999997</v>
      </c>
      <c r="C50" s="51">
        <f t="shared" ref="C50:C55" si="3">+(B50-D50)/ABS(D50)</f>
        <v>0.11537445479772682</v>
      </c>
      <c r="D50" s="20">
        <v>195519.02844999998</v>
      </c>
      <c r="E50" s="35"/>
      <c r="F50" s="20">
        <v>0</v>
      </c>
      <c r="G50" s="48">
        <v>0</v>
      </c>
      <c r="H50" s="20">
        <v>187239.48879999999</v>
      </c>
      <c r="J50" s="20">
        <v>0</v>
      </c>
      <c r="K50" s="48">
        <v>0</v>
      </c>
      <c r="L50" s="20">
        <v>209464.91980999999</v>
      </c>
      <c r="M50" s="35"/>
      <c r="N50" s="20">
        <v>0</v>
      </c>
      <c r="O50" s="48">
        <v>0</v>
      </c>
      <c r="P50" s="20">
        <v>212456.95206000001</v>
      </c>
      <c r="R50" s="20">
        <f>+B50+F50+J50+N50</f>
        <v>218076.92975999997</v>
      </c>
      <c r="S50" s="51">
        <f t="shared" ref="S50:S55" si="4">+(R50-T50)/ABS(T50)</f>
        <v>0.11537445479772682</v>
      </c>
      <c r="T50" s="81">
        <f>+D50</f>
        <v>195519.02844999998</v>
      </c>
      <c r="U50" s="20">
        <f>+D50+H50+L50+P50</f>
        <v>804680.38911999995</v>
      </c>
    </row>
    <row r="51" spans="1:21">
      <c r="A51" t="s">
        <v>393</v>
      </c>
      <c r="B51" s="20">
        <v>45895.919750000001</v>
      </c>
      <c r="C51" s="51">
        <f t="shared" si="3"/>
        <v>5.5544099941796599E-2</v>
      </c>
      <c r="D51" s="20">
        <v>43480.816910000001</v>
      </c>
      <c r="E51" s="35"/>
      <c r="F51" s="20">
        <v>0</v>
      </c>
      <c r="G51" s="48">
        <v>0</v>
      </c>
      <c r="H51" s="20">
        <v>29093.136009999998</v>
      </c>
      <c r="J51" s="20">
        <v>0</v>
      </c>
      <c r="K51" s="48">
        <v>0</v>
      </c>
      <c r="L51" s="20">
        <v>19795.35385</v>
      </c>
      <c r="M51" s="35"/>
      <c r="N51" s="20">
        <v>0</v>
      </c>
      <c r="O51" s="48">
        <v>0</v>
      </c>
      <c r="P51" s="20">
        <v>27752.610109999998</v>
      </c>
      <c r="R51" s="20">
        <f>+B51+F51+J51+N51</f>
        <v>45895.919750000001</v>
      </c>
      <c r="S51" s="51">
        <f t="shared" si="4"/>
        <v>5.5544099941796599E-2</v>
      </c>
      <c r="T51" s="81">
        <f>+D51</f>
        <v>43480.816910000001</v>
      </c>
      <c r="U51" s="20">
        <f>+D51+H51+L51+P51</f>
        <v>120121.91687999999</v>
      </c>
    </row>
    <row r="52" spans="1:21">
      <c r="A52" t="s">
        <v>304</v>
      </c>
      <c r="B52" s="217">
        <v>85732.536760000003</v>
      </c>
      <c r="C52" s="51">
        <f t="shared" si="3"/>
        <v>0.67482713342132084</v>
      </c>
      <c r="D52" s="217">
        <v>51188.886929999993</v>
      </c>
      <c r="E52" s="35"/>
      <c r="F52" s="217">
        <v>0</v>
      </c>
      <c r="G52" s="48">
        <v>0</v>
      </c>
      <c r="H52" s="217">
        <v>43087.29866</v>
      </c>
      <c r="J52" s="217">
        <v>0</v>
      </c>
      <c r="K52" s="48">
        <v>0</v>
      </c>
      <c r="L52" s="217">
        <v>80210.340599999996</v>
      </c>
      <c r="M52" s="35"/>
      <c r="N52" s="217">
        <v>0</v>
      </c>
      <c r="O52" s="48">
        <v>0</v>
      </c>
      <c r="P52" s="217">
        <v>92581.589609999995</v>
      </c>
      <c r="R52" s="217">
        <f>+B52+F52+J52+N52</f>
        <v>85732.536760000003</v>
      </c>
      <c r="S52" s="51">
        <f t="shared" si="4"/>
        <v>0.67482713342132084</v>
      </c>
      <c r="T52" s="217">
        <f>+D52</f>
        <v>51188.886929999993</v>
      </c>
      <c r="U52" s="217">
        <f>+D52+H52+L52+P52</f>
        <v>267068.11580000003</v>
      </c>
    </row>
    <row r="53" spans="1:21">
      <c r="B53" s="20">
        <f>SUM(B50:B52)</f>
        <v>349705.38626999996</v>
      </c>
      <c r="C53" s="51">
        <f t="shared" si="3"/>
        <v>0.20509636439130263</v>
      </c>
      <c r="D53" s="20">
        <f>SUM(D50:D52)</f>
        <v>290188.73228999996</v>
      </c>
      <c r="E53" s="35"/>
      <c r="F53" s="20">
        <f>SUM(F50:F52)</f>
        <v>0</v>
      </c>
      <c r="G53" s="48">
        <v>0</v>
      </c>
      <c r="H53" s="20">
        <f>SUM(H50:H52)</f>
        <v>259419.92346999998</v>
      </c>
      <c r="J53" s="20">
        <f>SUM(J50:J52)</f>
        <v>0</v>
      </c>
      <c r="K53" s="48">
        <v>0</v>
      </c>
      <c r="L53" s="20">
        <f>SUM(L50:L52)</f>
        <v>309470.61426</v>
      </c>
      <c r="M53" s="35"/>
      <c r="N53" s="20">
        <f>SUM(N50:N52)</f>
        <v>0</v>
      </c>
      <c r="O53" s="48">
        <v>0</v>
      </c>
      <c r="P53" s="20">
        <f>SUM(P50:P52)</f>
        <v>332791.15178000001</v>
      </c>
      <c r="R53" s="20">
        <f>SUM(R50:R52)</f>
        <v>349705.38626999996</v>
      </c>
      <c r="S53" s="51">
        <f t="shared" si="4"/>
        <v>0.20509636439130263</v>
      </c>
      <c r="T53" s="20">
        <f>SUM(T50:T52)</f>
        <v>290188.73228999996</v>
      </c>
      <c r="U53" s="20">
        <f>SUM(U50:U52)</f>
        <v>1191870.4218000001</v>
      </c>
    </row>
    <row r="54" spans="1:21">
      <c r="A54" t="s">
        <v>305</v>
      </c>
      <c r="B54" s="217">
        <v>22417.47796</v>
      </c>
      <c r="C54" s="51">
        <f t="shared" si="3"/>
        <v>0.13637392181523281</v>
      </c>
      <c r="D54" s="217">
        <v>19727.20205</v>
      </c>
      <c r="E54" s="35" t="s">
        <v>0</v>
      </c>
      <c r="F54" s="217">
        <v>0</v>
      </c>
      <c r="G54" s="48">
        <v>0</v>
      </c>
      <c r="H54" s="217">
        <v>18803.226130000003</v>
      </c>
      <c r="J54" s="217">
        <v>0</v>
      </c>
      <c r="K54" s="48">
        <v>0</v>
      </c>
      <c r="L54" s="217">
        <v>19301.789239999998</v>
      </c>
      <c r="M54" s="35" t="s">
        <v>0</v>
      </c>
      <c r="N54" s="217">
        <v>0</v>
      </c>
      <c r="O54" s="48">
        <v>0</v>
      </c>
      <c r="P54" s="217">
        <v>20011.529620000005</v>
      </c>
      <c r="R54" s="217">
        <f>+B54+F54+J54+N54</f>
        <v>22417.47796</v>
      </c>
      <c r="S54" s="51">
        <f t="shared" si="4"/>
        <v>0.13637392181523281</v>
      </c>
      <c r="T54" s="217">
        <f>+D54</f>
        <v>19727.20205</v>
      </c>
      <c r="U54" s="217">
        <f>+D54+H54+L54+P54</f>
        <v>77843.747040000002</v>
      </c>
    </row>
    <row r="55" spans="1:21">
      <c r="B55" s="20">
        <f>+B53-B54</f>
        <v>327287.90830999997</v>
      </c>
      <c r="C55" s="51">
        <f t="shared" si="3"/>
        <v>0.21010891278909022</v>
      </c>
      <c r="D55" s="20">
        <f>+D53-D54</f>
        <v>270461.53023999993</v>
      </c>
      <c r="E55" s="35" t="s">
        <v>0</v>
      </c>
      <c r="F55" s="20">
        <f>+F53-F54</f>
        <v>0</v>
      </c>
      <c r="G55" s="48">
        <v>0</v>
      </c>
      <c r="H55" s="20">
        <f>+H53-H54</f>
        <v>240616.69733999998</v>
      </c>
      <c r="J55" s="20">
        <f>+J53-J54</f>
        <v>0</v>
      </c>
      <c r="K55" s="48">
        <v>0</v>
      </c>
      <c r="L55" s="20">
        <f>+L53-L54</f>
        <v>290168.82501999999</v>
      </c>
      <c r="M55" s="35" t="s">
        <v>0</v>
      </c>
      <c r="N55" s="20">
        <f>+N53-N54</f>
        <v>0</v>
      </c>
      <c r="O55" s="48">
        <v>0</v>
      </c>
      <c r="P55" s="20">
        <f>+P53-P54</f>
        <v>312779.62216000003</v>
      </c>
      <c r="R55" s="20">
        <f>+R53-R54</f>
        <v>327287.90830999997</v>
      </c>
      <c r="S55" s="51">
        <f t="shared" si="4"/>
        <v>0.21010891278909022</v>
      </c>
      <c r="T55" s="20">
        <f>+T53-T54</f>
        <v>270461.53023999993</v>
      </c>
      <c r="U55" s="20">
        <f>+U53-U54</f>
        <v>1114026.6747600001</v>
      </c>
    </row>
    <row r="56" spans="1:21">
      <c r="B56" s="1359"/>
      <c r="C56" s="52" t="s">
        <v>0</v>
      </c>
      <c r="D56" s="20"/>
      <c r="E56" s="35" t="s">
        <v>0</v>
      </c>
      <c r="G56" s="49" t="s">
        <v>0</v>
      </c>
      <c r="K56" s="49" t="s">
        <v>0</v>
      </c>
      <c r="M56" s="35" t="s">
        <v>0</v>
      </c>
      <c r="O56" s="49" t="s">
        <v>0</v>
      </c>
      <c r="R56" s="20"/>
      <c r="S56" s="51"/>
      <c r="T56" s="20"/>
      <c r="U56" s="20"/>
    </row>
    <row r="57" spans="1:21">
      <c r="A57" t="s">
        <v>306</v>
      </c>
      <c r="B57" s="1359"/>
      <c r="C57" s="52" t="s">
        <v>0</v>
      </c>
      <c r="D57" s="20"/>
      <c r="E57" s="35" t="s">
        <v>0</v>
      </c>
      <c r="G57" s="49" t="s">
        <v>0</v>
      </c>
      <c r="K57" s="49" t="s">
        <v>0</v>
      </c>
      <c r="M57" s="35" t="s">
        <v>0</v>
      </c>
      <c r="O57" s="49" t="s">
        <v>0</v>
      </c>
      <c r="R57" s="20"/>
      <c r="S57" s="52" t="s">
        <v>0</v>
      </c>
      <c r="T57" s="20"/>
      <c r="U57" s="20"/>
    </row>
    <row r="58" spans="1:21">
      <c r="A58" t="s">
        <v>307</v>
      </c>
      <c r="B58" s="20">
        <v>83769.663910000003</v>
      </c>
      <c r="C58" s="51">
        <f>+(B58-D58)/ABS(D58)</f>
        <v>-4.0836125540667234E-2</v>
      </c>
      <c r="D58" s="20">
        <v>87336.13321</v>
      </c>
      <c r="E58" s="35" t="s">
        <v>0</v>
      </c>
      <c r="F58" s="20">
        <v>0</v>
      </c>
      <c r="G58" s="48">
        <v>0</v>
      </c>
      <c r="H58" s="20">
        <v>85134.471099999995</v>
      </c>
      <c r="J58" s="20">
        <v>0</v>
      </c>
      <c r="K58" s="48">
        <v>0</v>
      </c>
      <c r="L58" s="20">
        <v>98772.318570000003</v>
      </c>
      <c r="M58" s="35" t="s">
        <v>0</v>
      </c>
      <c r="N58" s="20">
        <v>0</v>
      </c>
      <c r="O58" s="48">
        <v>0</v>
      </c>
      <c r="P58" s="20">
        <v>133342.85772999999</v>
      </c>
      <c r="R58" s="20">
        <f>+B58+F58+J58+N58</f>
        <v>83769.663910000003</v>
      </c>
      <c r="S58" s="51">
        <f>+(R58-T58)/ABS(T58)</f>
        <v>-4.0836125540667234E-2</v>
      </c>
      <c r="T58" s="81">
        <f>+D58</f>
        <v>87336.13321</v>
      </c>
      <c r="U58" s="20">
        <f>+D58+H58+L58+P58</f>
        <v>404585.78060999996</v>
      </c>
    </row>
    <row r="59" spans="1:21">
      <c r="A59" t="s">
        <v>308</v>
      </c>
      <c r="B59" s="20">
        <v>16188.303319999999</v>
      </c>
      <c r="C59" s="51">
        <f>+(B59-D59)/ABS(D59)</f>
        <v>-0.2804831852279932</v>
      </c>
      <c r="D59" s="20">
        <v>22498.85338</v>
      </c>
      <c r="E59" s="35" t="s">
        <v>0</v>
      </c>
      <c r="F59" s="20">
        <v>0</v>
      </c>
      <c r="G59" s="48">
        <v>0</v>
      </c>
      <c r="H59" s="20">
        <v>20744.08842</v>
      </c>
      <c r="J59" s="20">
        <v>0</v>
      </c>
      <c r="K59" s="48">
        <v>0</v>
      </c>
      <c r="L59" s="20">
        <v>24035.69945</v>
      </c>
      <c r="M59" s="35" t="s">
        <v>0</v>
      </c>
      <c r="N59" s="20">
        <v>0</v>
      </c>
      <c r="O59" s="48">
        <v>0</v>
      </c>
      <c r="P59" s="20">
        <v>9935.3570899999995</v>
      </c>
      <c r="R59" s="20">
        <f>+B59+F59+J59+N59</f>
        <v>16188.303319999999</v>
      </c>
      <c r="S59" s="51">
        <f>+(R59-T59)/ABS(T59)</f>
        <v>-0.2804831852279932</v>
      </c>
      <c r="T59" s="81">
        <f>+D59</f>
        <v>22498.85338</v>
      </c>
      <c r="U59" s="20">
        <f>+D59+H59+L59+P59</f>
        <v>77213.998340000006</v>
      </c>
    </row>
    <row r="60" spans="1:21">
      <c r="A60" t="s">
        <v>274</v>
      </c>
      <c r="B60" s="217">
        <v>15537.174139999999</v>
      </c>
      <c r="C60" s="51">
        <f>+(B60-D60)/ABS(D60)</f>
        <v>0.12898430896960913</v>
      </c>
      <c r="D60" s="217">
        <v>13762.081559999999</v>
      </c>
      <c r="E60" s="35" t="s">
        <v>0</v>
      </c>
      <c r="F60" s="217">
        <v>0</v>
      </c>
      <c r="G60" s="48">
        <v>0</v>
      </c>
      <c r="H60" s="217">
        <v>8016.5053800000005</v>
      </c>
      <c r="J60" s="217">
        <v>0</v>
      </c>
      <c r="K60" s="48">
        <v>0</v>
      </c>
      <c r="L60" s="217">
        <v>14163.690699999999</v>
      </c>
      <c r="M60" s="35" t="s">
        <v>0</v>
      </c>
      <c r="N60" s="217">
        <v>0</v>
      </c>
      <c r="O60" s="48">
        <v>0</v>
      </c>
      <c r="P60" s="217">
        <v>12879.877469999999</v>
      </c>
      <c r="R60" s="217">
        <f>+B60+F60+J60+N60</f>
        <v>15537.174139999999</v>
      </c>
      <c r="S60" s="51">
        <f>+(R60-T60)/ABS(T60)</f>
        <v>0.12898430896960913</v>
      </c>
      <c r="T60" s="217">
        <f>+D60</f>
        <v>13762.081559999999</v>
      </c>
      <c r="U60" s="217">
        <f>+D60+H60+L60+P60</f>
        <v>48822.15511</v>
      </c>
    </row>
    <row r="61" spans="1:21">
      <c r="B61" s="20">
        <f>SUM(B58:B60)</f>
        <v>115495.14137000001</v>
      </c>
      <c r="C61" s="51">
        <f>+(B61-D61)/ABS(D61)</f>
        <v>-6.5551124320904805E-2</v>
      </c>
      <c r="D61" s="20">
        <f>SUM(D58:D60)</f>
        <v>123597.06815000001</v>
      </c>
      <c r="E61" s="35" t="s">
        <v>0</v>
      </c>
      <c r="F61" s="20">
        <f>SUM(F58:F60)</f>
        <v>0</v>
      </c>
      <c r="G61" s="48">
        <v>0</v>
      </c>
      <c r="H61" s="20">
        <f>SUM(H58:H60)</f>
        <v>113895.0649</v>
      </c>
      <c r="J61" s="20">
        <f>SUM(J58:J60)</f>
        <v>0</v>
      </c>
      <c r="K61" s="48">
        <v>0</v>
      </c>
      <c r="L61" s="20">
        <f>SUM(L58:L60)</f>
        <v>136971.70872</v>
      </c>
      <c r="M61" s="35" t="s">
        <v>0</v>
      </c>
      <c r="N61" s="20">
        <f>SUM(N58:N60)</f>
        <v>0</v>
      </c>
      <c r="O61" s="48">
        <v>0</v>
      </c>
      <c r="P61" s="20">
        <f>SUM(P58:P60)</f>
        <v>156158.09229</v>
      </c>
      <c r="R61" s="20">
        <f>SUM(R58:R60)</f>
        <v>115495.14137000001</v>
      </c>
      <c r="S61" s="51">
        <f>+(R61-T61)/ABS(T61)</f>
        <v>-6.5551124320904805E-2</v>
      </c>
      <c r="T61" s="20">
        <f>SUM(T58:T60)</f>
        <v>123597.06815000001</v>
      </c>
      <c r="U61" s="20">
        <f>SUM(U58:U60)</f>
        <v>530621.93406</v>
      </c>
    </row>
    <row r="62" spans="1:21">
      <c r="B62" s="1365"/>
      <c r="C62" s="52" t="s">
        <v>0</v>
      </c>
      <c r="D62" s="217"/>
      <c r="E62" s="35" t="s">
        <v>0</v>
      </c>
      <c r="F62" s="334"/>
      <c r="G62" s="49" t="s">
        <v>0</v>
      </c>
      <c r="H62" s="334"/>
      <c r="J62" s="334"/>
      <c r="K62" s="49" t="s">
        <v>0</v>
      </c>
      <c r="L62" s="334"/>
      <c r="M62" s="35" t="s">
        <v>0</v>
      </c>
      <c r="N62" s="334"/>
      <c r="O62" s="49" t="s">
        <v>0</v>
      </c>
      <c r="P62" s="334"/>
      <c r="R62" s="217"/>
      <c r="S62" s="51"/>
      <c r="T62" s="217"/>
      <c r="U62" s="217"/>
    </row>
    <row r="63" spans="1:21">
      <c r="A63" t="s">
        <v>309</v>
      </c>
      <c r="B63" s="20">
        <f>+B55+B61</f>
        <v>442783.04968</v>
      </c>
      <c r="C63" s="51">
        <f>+(B63-D63)/ABS(D63)</f>
        <v>0.12364773028446253</v>
      </c>
      <c r="D63" s="20">
        <f>+D55+D61</f>
        <v>394058.59838999994</v>
      </c>
      <c r="E63" s="35" t="s">
        <v>0</v>
      </c>
      <c r="F63" s="20">
        <f>+F55+F61</f>
        <v>0</v>
      </c>
      <c r="G63" s="48">
        <v>0</v>
      </c>
      <c r="H63" s="20">
        <f>+H55+H61</f>
        <v>354511.76223999995</v>
      </c>
      <c r="J63" s="20">
        <f>+J55+J61</f>
        <v>0</v>
      </c>
      <c r="K63" s="48">
        <v>0</v>
      </c>
      <c r="L63" s="20">
        <f>+L55+L61</f>
        <v>427140.53373999998</v>
      </c>
      <c r="M63" s="35" t="s">
        <v>0</v>
      </c>
      <c r="N63" s="20">
        <f>+N55+N61</f>
        <v>0</v>
      </c>
      <c r="O63" s="48">
        <v>0</v>
      </c>
      <c r="P63" s="20">
        <f>+P55+P61</f>
        <v>468937.71445000003</v>
      </c>
      <c r="R63" s="20">
        <f>+R55+R61</f>
        <v>442783.04968</v>
      </c>
      <c r="S63" s="51">
        <f>+(R63-T63)/ABS(T63)</f>
        <v>0.12364773028446253</v>
      </c>
      <c r="T63" s="20">
        <f>+T55+T61</f>
        <v>394058.59838999994</v>
      </c>
      <c r="U63" s="20">
        <f>+U55+U61</f>
        <v>1644648.6088200002</v>
      </c>
    </row>
    <row r="64" spans="1:21">
      <c r="B64" s="1359"/>
      <c r="C64" s="52" t="s">
        <v>0</v>
      </c>
      <c r="D64" s="20"/>
      <c r="E64" s="35" t="s">
        <v>0</v>
      </c>
      <c r="G64" s="49" t="s">
        <v>0</v>
      </c>
      <c r="K64" s="49" t="s">
        <v>0</v>
      </c>
      <c r="M64" s="35" t="s">
        <v>0</v>
      </c>
      <c r="O64" s="49" t="s">
        <v>0</v>
      </c>
      <c r="R64" s="20"/>
      <c r="S64" s="51"/>
      <c r="T64" s="20"/>
      <c r="U64" s="20"/>
    </row>
    <row r="65" spans="1:21">
      <c r="A65" t="s">
        <v>310</v>
      </c>
      <c r="B65" s="1359">
        <v>0</v>
      </c>
      <c r="C65" s="1347">
        <v>0</v>
      </c>
      <c r="D65" s="1359">
        <v>25263.932779999999</v>
      </c>
      <c r="E65" s="35" t="s">
        <v>0</v>
      </c>
      <c r="F65" s="20">
        <v>0</v>
      </c>
      <c r="G65" s="48">
        <v>0</v>
      </c>
      <c r="H65" s="20">
        <v>5670.0896599999996</v>
      </c>
      <c r="J65" s="20">
        <v>0</v>
      </c>
      <c r="K65" s="48">
        <v>0</v>
      </c>
      <c r="L65" s="20">
        <v>29775.586790000001</v>
      </c>
      <c r="M65" s="35" t="s">
        <v>0</v>
      </c>
      <c r="N65" s="20">
        <v>0</v>
      </c>
      <c r="O65" s="48">
        <v>0</v>
      </c>
      <c r="P65" s="20">
        <v>61143.264510000001</v>
      </c>
      <c r="R65" s="20">
        <f>+B65+F65+J65+N65</f>
        <v>0</v>
      </c>
      <c r="S65" s="48">
        <v>0</v>
      </c>
      <c r="T65" s="81">
        <f>+D65</f>
        <v>25263.932779999999</v>
      </c>
      <c r="U65" s="20">
        <f>+D65+H65+L65+P65</f>
        <v>121852.87374000001</v>
      </c>
    </row>
    <row r="66" spans="1:21">
      <c r="B66" s="1359"/>
      <c r="C66" s="52" t="s">
        <v>0</v>
      </c>
      <c r="D66" s="20"/>
      <c r="E66" s="35" t="s">
        <v>0</v>
      </c>
      <c r="G66" s="49" t="s">
        <v>0</v>
      </c>
      <c r="K66" s="49" t="s">
        <v>0</v>
      </c>
      <c r="M66" s="35" t="s">
        <v>0</v>
      </c>
      <c r="O66" s="49" t="s">
        <v>0</v>
      </c>
      <c r="R66" s="20"/>
      <c r="S66" s="51"/>
      <c r="T66" s="20"/>
      <c r="U66" s="20"/>
    </row>
    <row r="67" spans="1:21">
      <c r="A67" t="s">
        <v>311</v>
      </c>
      <c r="B67" s="1365"/>
      <c r="C67" s="52" t="s">
        <v>0</v>
      </c>
      <c r="D67" s="217"/>
      <c r="E67" s="35" t="s">
        <v>0</v>
      </c>
      <c r="F67" s="334"/>
      <c r="G67" s="49" t="s">
        <v>0</v>
      </c>
      <c r="H67" s="334"/>
      <c r="J67" s="334"/>
      <c r="K67" s="49" t="s">
        <v>0</v>
      </c>
      <c r="L67" s="334"/>
      <c r="M67" s="35" t="s">
        <v>0</v>
      </c>
      <c r="N67" s="334"/>
      <c r="O67" s="49" t="s">
        <v>0</v>
      </c>
      <c r="P67" s="334"/>
      <c r="R67" s="217"/>
      <c r="S67" s="51"/>
      <c r="T67" s="217"/>
      <c r="U67" s="217"/>
    </row>
    <row r="68" spans="1:21">
      <c r="A68" t="s">
        <v>312</v>
      </c>
      <c r="B68" s="20">
        <f>+B63-B65</f>
        <v>442783.04968</v>
      </c>
      <c r="C68" s="51">
        <f>+(B68-D68)/ABS(D68)</f>
        <v>0.20062216449801548</v>
      </c>
      <c r="D68" s="20">
        <f>+D63-D65</f>
        <v>368794.66560999997</v>
      </c>
      <c r="E68" s="35" t="s">
        <v>0</v>
      </c>
      <c r="F68" s="20">
        <f>+F63-F65</f>
        <v>0</v>
      </c>
      <c r="G68" s="48">
        <v>0</v>
      </c>
      <c r="H68" s="20">
        <f>+H63-H65</f>
        <v>348841.67257999995</v>
      </c>
      <c r="J68" s="20">
        <f>+J63-J65</f>
        <v>0</v>
      </c>
      <c r="K68" s="48">
        <v>0</v>
      </c>
      <c r="L68" s="20">
        <f>+L63-L65</f>
        <v>397364.94695000001</v>
      </c>
      <c r="M68" s="35" t="s">
        <v>0</v>
      </c>
      <c r="N68" s="20">
        <f>+N63-N65</f>
        <v>0</v>
      </c>
      <c r="O68" s="48">
        <v>0</v>
      </c>
      <c r="P68" s="20">
        <f>+P63-P65</f>
        <v>407794.44994000002</v>
      </c>
      <c r="R68" s="20">
        <f>+R63-R65</f>
        <v>442783.04968</v>
      </c>
      <c r="S68" s="51">
        <f>+(R68-T68)/ABS(T68)</f>
        <v>0.20062216449801548</v>
      </c>
      <c r="T68" s="20">
        <f>+T63-T65</f>
        <v>368794.66560999997</v>
      </c>
      <c r="U68" s="20">
        <f>+U63-U65</f>
        <v>1522795.7350800002</v>
      </c>
    </row>
    <row r="69" spans="1:21">
      <c r="B69" s="1359"/>
      <c r="C69" s="52" t="s">
        <v>0</v>
      </c>
      <c r="D69" s="20"/>
      <c r="E69" s="35" t="s">
        <v>0</v>
      </c>
      <c r="G69" s="49" t="s">
        <v>0</v>
      </c>
      <c r="K69" s="49" t="s">
        <v>0</v>
      </c>
      <c r="M69" s="35" t="s">
        <v>0</v>
      </c>
      <c r="O69" s="49" t="s">
        <v>0</v>
      </c>
      <c r="R69" s="20"/>
      <c r="S69" s="51"/>
      <c r="T69" s="20"/>
      <c r="U69" s="20"/>
    </row>
    <row r="70" spans="1:21">
      <c r="A70" t="s">
        <v>313</v>
      </c>
      <c r="B70" s="1359"/>
      <c r="C70" s="52" t="s">
        <v>0</v>
      </c>
      <c r="D70" s="20"/>
      <c r="E70" s="35" t="s">
        <v>0</v>
      </c>
      <c r="G70" s="49" t="s">
        <v>0</v>
      </c>
      <c r="K70" s="49" t="s">
        <v>0</v>
      </c>
      <c r="M70" s="35" t="s">
        <v>0</v>
      </c>
      <c r="O70" s="49" t="s">
        <v>0</v>
      </c>
      <c r="R70" s="20"/>
      <c r="S70" s="51"/>
      <c r="T70" s="20"/>
      <c r="U70" s="20"/>
    </row>
    <row r="71" spans="1:21">
      <c r="A71" t="s">
        <v>314</v>
      </c>
      <c r="B71" s="20">
        <v>145709.69511</v>
      </c>
      <c r="C71" s="51">
        <f>+(B71-D71)/ABS(D71)</f>
        <v>6.9406971303458923E-2</v>
      </c>
      <c r="D71" s="20">
        <v>136252.80087000001</v>
      </c>
      <c r="E71" s="35" t="s">
        <v>0</v>
      </c>
      <c r="F71" s="20">
        <v>0</v>
      </c>
      <c r="G71" s="48">
        <v>0</v>
      </c>
      <c r="H71" s="20">
        <v>141498.65476</v>
      </c>
      <c r="J71" s="20">
        <v>0</v>
      </c>
      <c r="K71" s="48">
        <v>0</v>
      </c>
      <c r="L71" s="20">
        <v>140435.36614</v>
      </c>
      <c r="M71" s="35" t="s">
        <v>0</v>
      </c>
      <c r="N71" s="20">
        <v>0</v>
      </c>
      <c r="O71" s="48">
        <v>0</v>
      </c>
      <c r="P71" s="20">
        <v>186339.68689999997</v>
      </c>
      <c r="R71" s="20">
        <f>+B71+F71+J71+N71</f>
        <v>145709.69511</v>
      </c>
      <c r="S71" s="51">
        <f>+(R71-T71)/ABS(T71)</f>
        <v>6.9406971303458923E-2</v>
      </c>
      <c r="T71" s="81">
        <f>+D71</f>
        <v>136252.80087000001</v>
      </c>
      <c r="U71" s="20">
        <f>+D71+H71+L71+P71</f>
        <v>604526.50866999989</v>
      </c>
    </row>
    <row r="72" spans="1:21">
      <c r="A72" t="s">
        <v>315</v>
      </c>
      <c r="B72" s="20">
        <v>23555.664809999998</v>
      </c>
      <c r="C72" s="51">
        <f>+(B72-D72)/ABS(D72)</f>
        <v>0.6335445806203962</v>
      </c>
      <c r="D72" s="20">
        <v>14419.970590000001</v>
      </c>
      <c r="E72" s="35" t="s">
        <v>0</v>
      </c>
      <c r="F72" s="20">
        <v>0</v>
      </c>
      <c r="G72" s="48">
        <v>0</v>
      </c>
      <c r="H72" s="20">
        <v>16869.070059999998</v>
      </c>
      <c r="J72" s="20">
        <v>0</v>
      </c>
      <c r="K72" s="48">
        <v>0</v>
      </c>
      <c r="L72" s="20">
        <v>20064.19699</v>
      </c>
      <c r="M72" s="35" t="s">
        <v>0</v>
      </c>
      <c r="N72" s="20">
        <v>0</v>
      </c>
      <c r="O72" s="48">
        <v>0</v>
      </c>
      <c r="P72" s="20">
        <v>20582.695970000001</v>
      </c>
      <c r="R72" s="20">
        <f>+B72+F72+J72+N72</f>
        <v>23555.664809999998</v>
      </c>
      <c r="S72" s="51">
        <f>+(R72-T72)/ABS(T72)</f>
        <v>0.6335445806203962</v>
      </c>
      <c r="T72" s="81">
        <f>+D72</f>
        <v>14419.970590000001</v>
      </c>
      <c r="U72" s="20">
        <f>+D72+H72+L72+P72</f>
        <v>71935.933610000007</v>
      </c>
    </row>
    <row r="73" spans="1:21">
      <c r="A73" t="s">
        <v>316</v>
      </c>
      <c r="B73" s="20">
        <v>18150.975989999999</v>
      </c>
      <c r="C73" s="51">
        <f>+(B73-D73)/ABS(D73)</f>
        <v>0.11501853762389852</v>
      </c>
      <c r="D73" s="20">
        <v>16278.631590000001</v>
      </c>
      <c r="E73" s="35" t="s">
        <v>0</v>
      </c>
      <c r="F73" s="20">
        <v>0</v>
      </c>
      <c r="G73" s="48">
        <v>0</v>
      </c>
      <c r="H73" s="20">
        <v>16187.521820000002</v>
      </c>
      <c r="J73" s="20">
        <v>0</v>
      </c>
      <c r="K73" s="48">
        <v>0</v>
      </c>
      <c r="L73" s="20">
        <v>17134.680200000003</v>
      </c>
      <c r="M73" s="35" t="s">
        <v>0</v>
      </c>
      <c r="N73" s="20">
        <v>0</v>
      </c>
      <c r="O73" s="48">
        <v>0</v>
      </c>
      <c r="P73" s="20">
        <v>17895.497449999999</v>
      </c>
      <c r="R73" s="20">
        <f>+B73+F73+J73+N73</f>
        <v>18150.975989999999</v>
      </c>
      <c r="S73" s="51">
        <f>+(R73-T73)/ABS(T73)</f>
        <v>0.11501853762389852</v>
      </c>
      <c r="T73" s="81">
        <f>+D73</f>
        <v>16278.631590000001</v>
      </c>
      <c r="U73" s="20">
        <f>+D73+H73+L73+P73</f>
        <v>67496.331059999997</v>
      </c>
    </row>
    <row r="74" spans="1:21">
      <c r="A74" t="s">
        <v>317</v>
      </c>
      <c r="B74" s="217">
        <v>75081.059910000011</v>
      </c>
      <c r="C74" s="51">
        <f>+(B74-D74)/ABS(D74)</f>
        <v>-8.4163505642510295E-2</v>
      </c>
      <c r="D74" s="217">
        <v>81980.856159999996</v>
      </c>
      <c r="E74" s="35" t="s">
        <v>0</v>
      </c>
      <c r="F74" s="217">
        <v>0</v>
      </c>
      <c r="G74" s="48">
        <v>0</v>
      </c>
      <c r="H74" s="217">
        <v>74430.368459999998</v>
      </c>
      <c r="J74" s="217">
        <v>0</v>
      </c>
      <c r="K74" s="48">
        <v>0</v>
      </c>
      <c r="L74" s="217">
        <v>78544.443039999998</v>
      </c>
      <c r="M74" s="35" t="s">
        <v>0</v>
      </c>
      <c r="N74" s="217">
        <v>0</v>
      </c>
      <c r="O74" s="48">
        <v>0</v>
      </c>
      <c r="P74" s="217">
        <v>133737.74284999998</v>
      </c>
      <c r="R74" s="217">
        <f>+B74+F74+J74+N74</f>
        <v>75081.059910000011</v>
      </c>
      <c r="S74" s="51">
        <f>+(R74-T74)/ABS(T74)</f>
        <v>-8.4163505642510295E-2</v>
      </c>
      <c r="T74" s="217">
        <f>+D74</f>
        <v>81980.856159999996</v>
      </c>
      <c r="U74" s="217">
        <f>+D74+H74+L74+P74</f>
        <v>368693.41050999996</v>
      </c>
    </row>
    <row r="75" spans="1:21">
      <c r="B75" s="20">
        <f>SUM(B71:B74)</f>
        <v>262497.39581999998</v>
      </c>
      <c r="C75" s="51">
        <f>+(B75-D75)/ABS(D75)</f>
        <v>5.449328525378612E-2</v>
      </c>
      <c r="D75" s="20">
        <f>SUM(D71:D74)</f>
        <v>248932.25921000002</v>
      </c>
      <c r="E75" s="35" t="s">
        <v>0</v>
      </c>
      <c r="F75" s="20">
        <f>SUM(F71:F74)</f>
        <v>0</v>
      </c>
      <c r="G75" s="48">
        <v>0</v>
      </c>
      <c r="H75" s="20">
        <f>SUM(H71:H74)</f>
        <v>248985.6151</v>
      </c>
      <c r="J75" s="20">
        <f>SUM(J71:J74)</f>
        <v>0</v>
      </c>
      <c r="K75" s="48">
        <v>0</v>
      </c>
      <c r="L75" s="20">
        <f>SUM(L71:L74)</f>
        <v>256178.68637000001</v>
      </c>
      <c r="M75" s="35" t="s">
        <v>0</v>
      </c>
      <c r="N75" s="20">
        <f>SUM(N71:N74)</f>
        <v>0</v>
      </c>
      <c r="O75" s="48">
        <v>0</v>
      </c>
      <c r="P75" s="20">
        <f>SUM(P71:P74)</f>
        <v>358555.62316999992</v>
      </c>
      <c r="R75" s="20">
        <f>SUM(R71:R74)</f>
        <v>262497.39581999998</v>
      </c>
      <c r="S75" s="51">
        <f>+(R75-T75)/ABS(T75)</f>
        <v>5.449328525378612E-2</v>
      </c>
      <c r="T75" s="20">
        <f>SUM(T71:T74)</f>
        <v>248932.25921000002</v>
      </c>
      <c r="U75" s="20">
        <f>SUM(U71:U74)</f>
        <v>1112652.1838499997</v>
      </c>
    </row>
    <row r="76" spans="1:21">
      <c r="B76" s="1365"/>
      <c r="C76" s="51"/>
      <c r="D76" s="217"/>
      <c r="E76" s="35"/>
      <c r="F76" s="334"/>
      <c r="G76" s="49" t="s">
        <v>0</v>
      </c>
      <c r="H76" s="334"/>
      <c r="J76" s="334"/>
      <c r="K76" s="49" t="s">
        <v>0</v>
      </c>
      <c r="L76" s="334"/>
      <c r="M76" s="35"/>
      <c r="N76" s="334"/>
      <c r="O76" s="49" t="s">
        <v>0</v>
      </c>
      <c r="P76" s="334"/>
      <c r="R76" s="217"/>
      <c r="S76" s="51"/>
      <c r="T76" s="217"/>
      <c r="U76" s="217"/>
    </row>
    <row r="77" spans="1:21">
      <c r="A77" t="s">
        <v>318</v>
      </c>
      <c r="B77" s="20">
        <f>+B68-B75</f>
        <v>180285.65386000002</v>
      </c>
      <c r="C77" s="51">
        <f>+(B77-D77)/ABS(D77)</f>
        <v>0.50410507576794406</v>
      </c>
      <c r="D77" s="20">
        <f>+D68-D75</f>
        <v>119862.40639999995</v>
      </c>
      <c r="E77" s="35" t="s">
        <v>0</v>
      </c>
      <c r="F77" s="20">
        <f>+F68-F75</f>
        <v>0</v>
      </c>
      <c r="G77" s="48">
        <v>0</v>
      </c>
      <c r="H77" s="20">
        <f>+H68-H75</f>
        <v>99856.057479999959</v>
      </c>
      <c r="J77" s="20">
        <f>+J68-J75</f>
        <v>0</v>
      </c>
      <c r="K77" s="48">
        <v>0</v>
      </c>
      <c r="L77" s="20">
        <f>+L68-L75</f>
        <v>141186.26058</v>
      </c>
      <c r="M77" s="35" t="s">
        <v>0</v>
      </c>
      <c r="N77" s="20">
        <f>+N68-N75</f>
        <v>0</v>
      </c>
      <c r="O77" s="48">
        <v>0</v>
      </c>
      <c r="P77" s="20">
        <f>+P68-P75</f>
        <v>49238.826770000102</v>
      </c>
      <c r="R77" s="20">
        <f>+R68-R75</f>
        <v>180285.65386000002</v>
      </c>
      <c r="S77" s="51">
        <f>+(R77-T77)/ABS(T77)</f>
        <v>0.50410507576794406</v>
      </c>
      <c r="T77" s="20">
        <f>+T68-T75</f>
        <v>119862.40639999995</v>
      </c>
      <c r="U77" s="20">
        <f>+U68-U75</f>
        <v>410143.55123000056</v>
      </c>
    </row>
    <row r="78" spans="1:21">
      <c r="B78" s="20"/>
      <c r="C78" s="52" t="s">
        <v>0</v>
      </c>
      <c r="D78" s="20"/>
      <c r="E78" s="35" t="s">
        <v>0</v>
      </c>
      <c r="F78" s="35" t="s">
        <v>0</v>
      </c>
      <c r="G78" s="49" t="s">
        <v>0</v>
      </c>
      <c r="H78" s="35" t="s">
        <v>0</v>
      </c>
      <c r="J78" s="35" t="s">
        <v>0</v>
      </c>
      <c r="K78" s="49" t="s">
        <v>0</v>
      </c>
      <c r="L78" s="35" t="s">
        <v>0</v>
      </c>
      <c r="M78" s="35" t="s">
        <v>0</v>
      </c>
      <c r="N78" s="35" t="s">
        <v>0</v>
      </c>
      <c r="O78" s="49" t="s">
        <v>0</v>
      </c>
      <c r="P78" s="35" t="s">
        <v>0</v>
      </c>
      <c r="R78" s="20"/>
      <c r="S78" s="51"/>
      <c r="T78" s="20"/>
      <c r="U78" s="20"/>
    </row>
    <row r="79" spans="1:21">
      <c r="A79" t="s">
        <v>319</v>
      </c>
      <c r="B79" s="20">
        <f>+B116</f>
        <v>0</v>
      </c>
      <c r="C79" s="48">
        <v>0</v>
      </c>
      <c r="D79" s="20">
        <f>+D116</f>
        <v>0</v>
      </c>
      <c r="E79" s="35" t="s">
        <v>0</v>
      </c>
      <c r="F79" s="20">
        <v>0</v>
      </c>
      <c r="G79" s="48">
        <v>0</v>
      </c>
      <c r="H79" s="20">
        <v>0</v>
      </c>
      <c r="J79" s="20">
        <v>0</v>
      </c>
      <c r="K79" s="48">
        <v>0</v>
      </c>
      <c r="L79" s="20">
        <v>0</v>
      </c>
      <c r="M79" s="35" t="s">
        <v>0</v>
      </c>
      <c r="N79" s="20">
        <v>0</v>
      </c>
      <c r="O79" s="48">
        <v>0</v>
      </c>
      <c r="P79" s="20">
        <v>0</v>
      </c>
      <c r="R79" s="20">
        <f>+B79+F79+J79+N79</f>
        <v>0</v>
      </c>
      <c r="S79" s="48">
        <v>0</v>
      </c>
      <c r="T79" s="81">
        <f>+D79</f>
        <v>0</v>
      </c>
      <c r="U79" s="20">
        <f>+D79+H79+L79+P79</f>
        <v>0</v>
      </c>
    </row>
    <row r="80" spans="1:21" ht="16.5" thickBot="1">
      <c r="B80" s="79"/>
      <c r="C80" s="52" t="s">
        <v>0</v>
      </c>
      <c r="D80" s="79"/>
      <c r="E80" s="35" t="s">
        <v>0</v>
      </c>
      <c r="F80" s="36"/>
      <c r="G80" s="49" t="s">
        <v>0</v>
      </c>
      <c r="H80" s="36"/>
      <c r="J80" s="36"/>
      <c r="K80" s="49" t="s">
        <v>0</v>
      </c>
      <c r="L80" s="36"/>
      <c r="M80" s="35" t="s">
        <v>0</v>
      </c>
      <c r="N80" s="36"/>
      <c r="O80" s="49" t="s">
        <v>0</v>
      </c>
      <c r="P80" s="36"/>
      <c r="R80" s="79"/>
      <c r="S80" s="51"/>
      <c r="T80" s="80" t="s">
        <v>0</v>
      </c>
      <c r="U80" s="79"/>
    </row>
    <row r="81" spans="1:21" s="11" customFormat="1">
      <c r="A81" s="11" t="s">
        <v>372</v>
      </c>
      <c r="B81" s="13">
        <f>+B77-B79</f>
        <v>180285.65386000002</v>
      </c>
      <c r="C81" s="109">
        <f>+(B81-D81)/ABS(D81)</f>
        <v>0.50410507576794406</v>
      </c>
      <c r="D81" s="13">
        <f>+D77-D79</f>
        <v>119862.40639999995</v>
      </c>
      <c r="E81" s="137" t="s">
        <v>0</v>
      </c>
      <c r="F81" s="13">
        <f>+F77-F79</f>
        <v>0</v>
      </c>
      <c r="G81" s="47">
        <v>0</v>
      </c>
      <c r="H81" s="13">
        <f>+H77-H79</f>
        <v>99856.057479999959</v>
      </c>
      <c r="I81" s="137"/>
      <c r="J81" s="13">
        <f>+J77-J79</f>
        <v>0</v>
      </c>
      <c r="K81" s="47">
        <v>0</v>
      </c>
      <c r="L81" s="13">
        <f>+L77-L79</f>
        <v>141186.26058</v>
      </c>
      <c r="M81" s="137" t="s">
        <v>0</v>
      </c>
      <c r="N81" s="13">
        <f>+N77-N79</f>
        <v>0</v>
      </c>
      <c r="O81" s="47">
        <v>0</v>
      </c>
      <c r="P81" s="13">
        <f>+P77-P79</f>
        <v>49238.826770000102</v>
      </c>
      <c r="Q81" s="137"/>
      <c r="R81" s="13">
        <f>+R77-R79</f>
        <v>180285.65386000002</v>
      </c>
      <c r="S81" s="109">
        <f>+(R81-T81)/ABS(T81)</f>
        <v>0.50410507576794406</v>
      </c>
      <c r="T81" s="13">
        <f>+T77-T79</f>
        <v>119862.40639999995</v>
      </c>
      <c r="U81" s="13">
        <f>+U77-U79</f>
        <v>410143.55123000056</v>
      </c>
    </row>
    <row r="82" spans="1:21">
      <c r="E82" s="35"/>
      <c r="M82" s="35"/>
      <c r="O82" s="48"/>
    </row>
    <row r="83" spans="1:21">
      <c r="E83" s="35"/>
      <c r="F83" s="35" t="s">
        <v>0</v>
      </c>
      <c r="M83" s="35"/>
    </row>
    <row r="84" spans="1:21">
      <c r="B84"/>
      <c r="C84"/>
      <c r="D84"/>
      <c r="E84"/>
      <c r="F84"/>
      <c r="G84"/>
      <c r="H84"/>
      <c r="I84" s="27"/>
      <c r="J84" s="27"/>
      <c r="K84" s="27"/>
      <c r="L84" s="27"/>
      <c r="M84" s="27" t="s">
        <v>0</v>
      </c>
      <c r="N84" s="27"/>
      <c r="O84" s="27"/>
      <c r="P84" s="27"/>
      <c r="Q84" s="27"/>
      <c r="R84" s="27"/>
      <c r="S84" s="27"/>
      <c r="T84" s="27"/>
    </row>
    <row r="85" spans="1:21">
      <c r="B85"/>
      <c r="C85"/>
      <c r="D85"/>
      <c r="E85"/>
      <c r="F85"/>
      <c r="G85"/>
      <c r="H85"/>
      <c r="I85" s="27"/>
      <c r="J85" s="27"/>
      <c r="K85" s="27"/>
      <c r="L85" s="27"/>
      <c r="M85" s="27" t="s">
        <v>0</v>
      </c>
      <c r="N85" s="27" t="s">
        <v>0</v>
      </c>
      <c r="O85" s="27"/>
      <c r="P85" s="27"/>
      <c r="Q85" s="27"/>
      <c r="R85" s="27"/>
      <c r="S85" s="27"/>
      <c r="T85" s="27"/>
    </row>
    <row r="86" spans="1:21">
      <c r="B86"/>
      <c r="C86"/>
      <c r="D86"/>
      <c r="E86"/>
      <c r="F86"/>
      <c r="G86"/>
      <c r="H86"/>
      <c r="I86" s="27"/>
      <c r="J86" s="27"/>
      <c r="K86" s="27"/>
      <c r="L86" s="27"/>
      <c r="M86" s="27" t="s">
        <v>0</v>
      </c>
      <c r="N86" s="27"/>
      <c r="O86" s="27"/>
      <c r="P86" s="27"/>
      <c r="Q86" s="27"/>
      <c r="R86" s="27"/>
      <c r="S86" s="27"/>
      <c r="T86" s="27"/>
    </row>
    <row r="87" spans="1:21">
      <c r="B87"/>
      <c r="C87"/>
      <c r="D87"/>
      <c r="E87"/>
      <c r="F87"/>
      <c r="G87"/>
      <c r="H87"/>
      <c r="I87" s="27"/>
      <c r="J87" s="27"/>
      <c r="K87" s="27"/>
      <c r="L87" s="27"/>
      <c r="M87" s="27"/>
      <c r="N87" s="27"/>
      <c r="O87" s="27"/>
      <c r="P87" s="27"/>
      <c r="Q87" s="27"/>
      <c r="R87" s="27"/>
      <c r="S87" s="27"/>
      <c r="T87" s="27"/>
    </row>
    <row r="88" spans="1:21">
      <c r="B88"/>
      <c r="C88"/>
      <c r="D88" s="116" t="s">
        <v>0</v>
      </c>
      <c r="E88"/>
      <c r="F88"/>
      <c r="G88"/>
      <c r="H88"/>
      <c r="I88" s="27"/>
      <c r="J88" s="27"/>
      <c r="K88" s="27"/>
      <c r="L88" s="27"/>
      <c r="M88" s="27"/>
      <c r="N88" s="27"/>
      <c r="O88" s="27"/>
      <c r="P88" s="27"/>
      <c r="Q88" s="27"/>
      <c r="R88" s="27"/>
      <c r="S88" s="27"/>
      <c r="T88" s="27"/>
    </row>
    <row r="89" spans="1:21">
      <c r="B89"/>
      <c r="C89"/>
      <c r="D89"/>
      <c r="E89"/>
      <c r="F89"/>
      <c r="G89"/>
      <c r="H89"/>
      <c r="I89" s="27"/>
      <c r="J89" s="27"/>
      <c r="K89" s="27"/>
      <c r="L89" s="27"/>
      <c r="M89" s="27"/>
      <c r="N89" s="27"/>
      <c r="O89" s="27"/>
      <c r="P89" s="27"/>
      <c r="Q89" s="27"/>
      <c r="R89" s="27"/>
      <c r="S89" s="27"/>
      <c r="T89" s="27"/>
    </row>
    <row r="90" spans="1:21">
      <c r="B90"/>
      <c r="C90"/>
      <c r="D90"/>
      <c r="E90"/>
      <c r="F90"/>
      <c r="G90"/>
      <c r="H90"/>
      <c r="I90" s="27"/>
      <c r="J90" s="27"/>
      <c r="K90" s="27"/>
      <c r="L90" s="27"/>
      <c r="M90" s="27"/>
      <c r="N90" s="27"/>
      <c r="O90" s="27"/>
      <c r="P90" s="27"/>
      <c r="Q90" s="27"/>
      <c r="R90" s="27"/>
      <c r="S90" s="27"/>
      <c r="T90" s="27"/>
    </row>
    <row r="91" spans="1:21">
      <c r="B91"/>
      <c r="C91"/>
      <c r="D91"/>
      <c r="E91"/>
      <c r="F91"/>
      <c r="G91"/>
      <c r="H91"/>
      <c r="I91" s="27"/>
      <c r="J91" s="27"/>
      <c r="K91" s="27"/>
      <c r="L91" s="27"/>
      <c r="M91" s="27"/>
      <c r="N91" s="27"/>
      <c r="O91" s="27"/>
      <c r="P91" s="27"/>
      <c r="Q91" s="27"/>
      <c r="R91" s="27"/>
      <c r="S91" s="27"/>
      <c r="T91" s="27"/>
    </row>
    <row r="92" spans="1:21">
      <c r="B92"/>
      <c r="C92"/>
      <c r="D92"/>
      <c r="E92"/>
      <c r="F92"/>
      <c r="G92"/>
      <c r="H92"/>
      <c r="I92" s="27"/>
      <c r="J92" s="27"/>
      <c r="K92" s="27"/>
      <c r="L92" s="27"/>
      <c r="M92" s="27"/>
      <c r="N92" s="27"/>
      <c r="O92" s="27"/>
      <c r="P92" s="27"/>
      <c r="Q92" s="27"/>
      <c r="R92" s="27"/>
      <c r="S92" s="27"/>
      <c r="T92" s="27"/>
    </row>
    <row r="93" spans="1:21">
      <c r="B93"/>
      <c r="C93"/>
      <c r="D93"/>
      <c r="E93"/>
      <c r="F93"/>
      <c r="G93"/>
      <c r="H93"/>
      <c r="I93" s="27"/>
      <c r="J93" s="27"/>
      <c r="K93" s="27"/>
      <c r="L93" s="27"/>
      <c r="M93" s="27"/>
      <c r="N93" s="27"/>
      <c r="O93" s="27"/>
      <c r="P93" s="27"/>
      <c r="Q93" s="27"/>
      <c r="R93" s="27"/>
      <c r="S93" s="27"/>
      <c r="T93" s="27"/>
    </row>
    <row r="94" spans="1:21">
      <c r="B94"/>
      <c r="C94"/>
      <c r="D94"/>
      <c r="E94"/>
      <c r="F94"/>
      <c r="G94"/>
      <c r="H94"/>
      <c r="I94" s="27"/>
      <c r="J94" s="27"/>
      <c r="K94" s="27"/>
      <c r="L94" s="27"/>
      <c r="M94" s="27"/>
      <c r="N94" s="27"/>
      <c r="O94" s="27"/>
      <c r="P94" s="27"/>
      <c r="Q94" s="27"/>
      <c r="R94" s="27"/>
      <c r="S94" s="27"/>
      <c r="T94" s="27"/>
    </row>
    <row r="95" spans="1:21">
      <c r="B95"/>
      <c r="C95"/>
      <c r="D95"/>
      <c r="E95"/>
      <c r="F95"/>
      <c r="G95"/>
      <c r="H95"/>
      <c r="I95" s="27"/>
      <c r="J95" s="27"/>
      <c r="K95" s="27"/>
      <c r="L95" s="27"/>
      <c r="M95" s="27"/>
      <c r="N95" s="27"/>
      <c r="O95" s="27"/>
      <c r="P95" s="27"/>
      <c r="Q95" s="27"/>
      <c r="R95" s="27"/>
      <c r="S95" s="27"/>
      <c r="T95" s="27"/>
    </row>
    <row r="96" spans="1:21">
      <c r="B96"/>
      <c r="C96"/>
      <c r="D96"/>
      <c r="E96"/>
      <c r="F96"/>
      <c r="G96"/>
      <c r="H96"/>
      <c r="I96" s="27"/>
      <c r="J96" s="27"/>
      <c r="K96" s="27"/>
      <c r="L96" s="27"/>
      <c r="M96" s="27"/>
      <c r="N96" s="27"/>
      <c r="O96" s="27"/>
      <c r="P96" s="27"/>
      <c r="Q96" s="27"/>
      <c r="R96" s="27"/>
      <c r="S96" s="27"/>
      <c r="T96" s="27"/>
    </row>
    <row r="97" spans="2:20">
      <c r="B97"/>
      <c r="C97"/>
      <c r="D97"/>
      <c r="E97"/>
      <c r="F97"/>
      <c r="G97"/>
      <c r="H97"/>
      <c r="I97" s="27"/>
      <c r="J97" s="27"/>
      <c r="K97" s="27"/>
      <c r="L97" s="27"/>
      <c r="M97" s="27"/>
      <c r="N97" s="27"/>
      <c r="O97" s="27"/>
      <c r="P97" s="27"/>
      <c r="Q97" s="27"/>
      <c r="R97" s="27"/>
      <c r="S97" s="27"/>
      <c r="T97" s="27"/>
    </row>
    <row r="98" spans="2:20">
      <c r="B98"/>
      <c r="C98"/>
      <c r="D98"/>
      <c r="E98"/>
      <c r="F98"/>
      <c r="G98"/>
      <c r="H98"/>
      <c r="I98" s="27"/>
      <c r="J98" s="27"/>
      <c r="K98" s="27"/>
      <c r="L98" s="27"/>
      <c r="M98" s="27"/>
      <c r="N98" s="27"/>
      <c r="O98" s="27"/>
      <c r="P98" s="27"/>
      <c r="Q98" s="27"/>
      <c r="R98" s="27"/>
      <c r="S98" s="27"/>
      <c r="T98" s="27"/>
    </row>
    <row r="99" spans="2:20">
      <c r="B99"/>
      <c r="C99"/>
      <c r="D99"/>
      <c r="E99"/>
      <c r="F99"/>
      <c r="G99"/>
      <c r="H99"/>
      <c r="I99" s="27"/>
      <c r="J99" s="27"/>
      <c r="K99" s="27"/>
      <c r="L99" s="27"/>
      <c r="M99" s="27"/>
      <c r="N99" s="27"/>
      <c r="O99" s="27"/>
      <c r="P99" s="27"/>
      <c r="Q99" s="27"/>
      <c r="R99" s="27"/>
      <c r="S99" s="27"/>
      <c r="T99" s="27"/>
    </row>
    <row r="100" spans="2:20">
      <c r="B100"/>
      <c r="C100"/>
      <c r="D100"/>
      <c r="E100"/>
      <c r="F100"/>
      <c r="G100"/>
      <c r="H100"/>
      <c r="I100" s="27"/>
      <c r="J100" s="27"/>
      <c r="K100" s="27"/>
      <c r="L100" s="27"/>
      <c r="M100" s="27"/>
      <c r="N100" s="27"/>
      <c r="O100" s="27"/>
      <c r="P100" s="27"/>
      <c r="Q100" s="27"/>
      <c r="R100" s="27"/>
      <c r="S100" s="27"/>
      <c r="T100" s="27"/>
    </row>
    <row r="101" spans="2:20">
      <c r="B101"/>
      <c r="C101"/>
      <c r="D101"/>
      <c r="E101"/>
      <c r="F101"/>
      <c r="G101"/>
      <c r="H101"/>
      <c r="I101" s="27"/>
      <c r="J101" s="27"/>
      <c r="K101" s="27"/>
      <c r="L101" s="27"/>
      <c r="M101" s="27"/>
      <c r="N101" s="27"/>
      <c r="O101" s="27"/>
      <c r="P101" s="27"/>
      <c r="Q101" s="27"/>
      <c r="R101" s="27"/>
      <c r="S101" s="27"/>
      <c r="T101" s="27"/>
    </row>
    <row r="102" spans="2:20">
      <c r="B102"/>
      <c r="C102"/>
      <c r="D102"/>
      <c r="E102"/>
      <c r="F102"/>
      <c r="G102"/>
      <c r="H102"/>
      <c r="I102" s="27"/>
      <c r="J102" s="27"/>
      <c r="K102" s="27"/>
      <c r="L102" s="27"/>
      <c r="M102" s="27"/>
      <c r="N102" s="27"/>
      <c r="O102" s="27"/>
      <c r="P102" s="27"/>
      <c r="Q102" s="27"/>
      <c r="R102" s="27"/>
      <c r="S102" s="27"/>
      <c r="T102" s="27"/>
    </row>
    <row r="103" spans="2:20">
      <c r="B103"/>
      <c r="C103"/>
      <c r="D103"/>
      <c r="E103"/>
      <c r="F103"/>
      <c r="G103"/>
      <c r="H103"/>
      <c r="I103" s="27"/>
      <c r="J103" s="27"/>
      <c r="K103" s="27"/>
      <c r="L103" s="27"/>
      <c r="M103" s="27"/>
      <c r="N103" s="27"/>
      <c r="O103" s="27"/>
      <c r="P103" s="27"/>
      <c r="Q103" s="27"/>
      <c r="R103" s="27"/>
      <c r="S103" s="27"/>
      <c r="T103" s="27"/>
    </row>
    <row r="104" spans="2:20">
      <c r="B104"/>
      <c r="C104"/>
      <c r="D104"/>
      <c r="E104"/>
      <c r="F104"/>
      <c r="G104"/>
      <c r="H104"/>
      <c r="I104" s="27"/>
      <c r="J104" s="27"/>
      <c r="K104" s="27"/>
      <c r="L104" s="27"/>
      <c r="M104" s="27"/>
      <c r="N104" s="27"/>
      <c r="O104" s="27"/>
      <c r="P104" s="27"/>
      <c r="Q104" s="27"/>
      <c r="R104" s="27"/>
      <c r="S104" s="27"/>
      <c r="T104" s="27"/>
    </row>
    <row r="105" spans="2:20">
      <c r="B105"/>
      <c r="C105"/>
      <c r="D105"/>
      <c r="E105"/>
      <c r="F105"/>
      <c r="G105"/>
      <c r="H105"/>
      <c r="I105" s="27"/>
      <c r="J105" s="27"/>
      <c r="K105" s="27"/>
      <c r="L105" s="27"/>
      <c r="M105" s="27"/>
      <c r="N105" s="27"/>
      <c r="O105" s="27"/>
      <c r="P105" s="27"/>
      <c r="Q105" s="27"/>
      <c r="R105" s="27"/>
      <c r="S105" s="27"/>
      <c r="T105" s="27"/>
    </row>
    <row r="106" spans="2:20">
      <c r="B106"/>
      <c r="C106"/>
      <c r="D106"/>
      <c r="E106"/>
      <c r="F106"/>
      <c r="G106"/>
      <c r="H106"/>
      <c r="I106" s="27"/>
      <c r="J106" s="27"/>
      <c r="K106" s="27"/>
      <c r="L106" s="27"/>
      <c r="M106" s="27"/>
      <c r="N106" s="27"/>
      <c r="O106" s="27"/>
      <c r="P106" s="27"/>
      <c r="Q106" s="27"/>
      <c r="R106" s="27"/>
      <c r="S106" s="27"/>
      <c r="T106" s="27"/>
    </row>
    <row r="107" spans="2:20">
      <c r="B107"/>
      <c r="C107"/>
      <c r="D107"/>
      <c r="E107"/>
      <c r="F107"/>
      <c r="G107"/>
      <c r="H107"/>
      <c r="I107" s="27"/>
      <c r="J107" s="27"/>
      <c r="K107" s="27"/>
      <c r="L107" s="27"/>
      <c r="M107" s="27"/>
      <c r="N107" s="27"/>
      <c r="O107" s="27"/>
      <c r="P107" s="27"/>
      <c r="Q107" s="27"/>
      <c r="R107" s="27"/>
      <c r="S107" s="27"/>
      <c r="T107" s="27"/>
    </row>
    <row r="108" spans="2:20">
      <c r="B108"/>
      <c r="C108"/>
      <c r="D108"/>
      <c r="E108"/>
      <c r="F108"/>
      <c r="G108"/>
      <c r="H108"/>
      <c r="I108" s="27"/>
      <c r="J108" s="27"/>
      <c r="K108" s="27"/>
      <c r="L108" s="27"/>
      <c r="M108" s="27"/>
      <c r="N108" s="27"/>
      <c r="O108" s="27"/>
      <c r="P108" s="27"/>
      <c r="Q108" s="27"/>
      <c r="R108" s="27"/>
      <c r="S108" s="27"/>
      <c r="T108" s="27"/>
    </row>
    <row r="109" spans="2:20">
      <c r="B109"/>
      <c r="C109"/>
      <c r="D109"/>
      <c r="E109"/>
      <c r="F109"/>
      <c r="G109"/>
      <c r="H109"/>
      <c r="I109" s="27"/>
      <c r="J109" s="27"/>
      <c r="K109" s="27"/>
      <c r="L109" s="27"/>
      <c r="M109" s="27"/>
      <c r="N109" s="27"/>
      <c r="O109" s="27"/>
      <c r="P109" s="27"/>
      <c r="Q109" s="27"/>
      <c r="R109" s="27"/>
      <c r="S109" s="27"/>
      <c r="T109" s="27"/>
    </row>
    <row r="110" spans="2:20">
      <c r="B110"/>
      <c r="C110"/>
      <c r="D110"/>
      <c r="E110"/>
      <c r="F110"/>
      <c r="G110"/>
      <c r="H110"/>
      <c r="I110" s="27"/>
      <c r="J110" s="27"/>
      <c r="K110" s="27"/>
      <c r="L110" s="27"/>
      <c r="M110" s="27"/>
      <c r="N110" s="27"/>
      <c r="O110" s="27"/>
      <c r="P110" s="27"/>
      <c r="Q110" s="27"/>
      <c r="R110" s="27"/>
      <c r="S110" s="27"/>
      <c r="T110" s="27"/>
    </row>
    <row r="111" spans="2:20">
      <c r="B111"/>
      <c r="C111"/>
      <c r="D111"/>
      <c r="E111"/>
      <c r="F111"/>
      <c r="G111"/>
      <c r="H111"/>
      <c r="I111" s="27"/>
      <c r="J111" s="27"/>
      <c r="K111" s="27"/>
      <c r="L111" s="27"/>
      <c r="M111" s="27"/>
      <c r="N111" s="27"/>
      <c r="O111" s="27"/>
      <c r="P111" s="27"/>
      <c r="Q111" s="27"/>
      <c r="R111" s="27"/>
      <c r="S111" s="27"/>
      <c r="T111" s="27"/>
    </row>
    <row r="112" spans="2:20">
      <c r="B112"/>
      <c r="C112"/>
      <c r="D112"/>
      <c r="E112"/>
      <c r="F112"/>
      <c r="G112"/>
      <c r="H112"/>
      <c r="I112" s="27"/>
      <c r="J112" s="27"/>
      <c r="K112" s="27"/>
      <c r="L112" s="27"/>
      <c r="M112" s="27"/>
      <c r="N112" s="27"/>
      <c r="O112" s="27"/>
      <c r="P112" s="27"/>
      <c r="Q112" s="27"/>
      <c r="R112" s="27"/>
      <c r="S112" s="27"/>
      <c r="T112" s="27"/>
    </row>
    <row r="113" spans="2:20">
      <c r="B113"/>
      <c r="C113"/>
      <c r="D113"/>
      <c r="E113"/>
      <c r="F113"/>
      <c r="G113"/>
      <c r="H113"/>
      <c r="I113" s="27"/>
      <c r="J113" s="27"/>
      <c r="K113" s="27"/>
      <c r="L113" s="27"/>
      <c r="M113" s="27"/>
      <c r="N113" s="27"/>
      <c r="O113" s="27"/>
      <c r="P113" s="27"/>
      <c r="Q113" s="27"/>
      <c r="R113" s="27"/>
      <c r="S113" s="27"/>
      <c r="T113" s="27"/>
    </row>
    <row r="114" spans="2:20">
      <c r="B114"/>
      <c r="C114"/>
      <c r="D114"/>
      <c r="E114"/>
      <c r="F114"/>
      <c r="G114"/>
      <c r="H114"/>
      <c r="I114" s="27"/>
      <c r="J114" s="27"/>
      <c r="K114" s="27"/>
      <c r="L114" s="27"/>
      <c r="M114" s="27"/>
      <c r="N114" s="27"/>
      <c r="O114" s="27"/>
      <c r="P114" s="27"/>
      <c r="Q114" s="27"/>
      <c r="R114" s="27"/>
      <c r="S114" s="27"/>
      <c r="T114" s="27"/>
    </row>
    <row r="115" spans="2:20">
      <c r="B115"/>
      <c r="C115"/>
      <c r="D115"/>
      <c r="E115"/>
      <c r="F115"/>
      <c r="G115"/>
      <c r="H115"/>
      <c r="I115" s="27"/>
      <c r="J115" s="27"/>
      <c r="K115" s="27"/>
      <c r="L115" s="27"/>
      <c r="M115" s="27"/>
      <c r="N115" s="27"/>
      <c r="O115" s="27"/>
      <c r="P115" s="27"/>
      <c r="Q115" s="27"/>
      <c r="R115" s="27"/>
      <c r="S115" s="27"/>
      <c r="T115" s="27"/>
    </row>
    <row r="116" spans="2:20">
      <c r="B116"/>
      <c r="C116"/>
      <c r="D116"/>
      <c r="E116"/>
      <c r="F116"/>
      <c r="G116"/>
      <c r="H116"/>
      <c r="I116" s="27"/>
      <c r="J116" s="27"/>
      <c r="K116" s="27"/>
      <c r="L116" s="27"/>
      <c r="M116" s="27"/>
      <c r="N116" s="27"/>
      <c r="O116" s="27"/>
      <c r="P116" s="27"/>
      <c r="Q116" s="27"/>
      <c r="R116" s="27"/>
      <c r="S116" s="27"/>
      <c r="T116" s="27"/>
    </row>
    <row r="117" spans="2:20">
      <c r="B117"/>
      <c r="C117"/>
      <c r="D117"/>
      <c r="E117"/>
      <c r="F117"/>
      <c r="G117"/>
      <c r="H117"/>
      <c r="I117" s="27"/>
      <c r="J117" s="27"/>
      <c r="K117" s="27"/>
      <c r="L117" s="27"/>
      <c r="M117" s="27"/>
      <c r="N117" s="27"/>
      <c r="O117" s="27"/>
      <c r="P117" s="27"/>
      <c r="Q117" s="27"/>
      <c r="R117" s="27"/>
      <c r="S117" s="27"/>
      <c r="T117" s="27"/>
    </row>
    <row r="118" spans="2:20">
      <c r="B118"/>
      <c r="C118"/>
      <c r="D118"/>
      <c r="E118"/>
      <c r="F118"/>
      <c r="G118"/>
      <c r="H118"/>
      <c r="I118" s="27"/>
      <c r="J118" s="27"/>
      <c r="K118" s="27"/>
      <c r="L118" s="27"/>
      <c r="M118" s="27"/>
      <c r="N118" s="27"/>
      <c r="O118" s="27"/>
      <c r="P118" s="27"/>
      <c r="Q118" s="27"/>
      <c r="R118" s="27"/>
      <c r="S118" s="27"/>
      <c r="T118" s="27"/>
    </row>
    <row r="119" spans="2:20">
      <c r="B119"/>
      <c r="C119"/>
      <c r="D119"/>
      <c r="E119"/>
      <c r="F119"/>
      <c r="G119"/>
      <c r="H119"/>
      <c r="I119" s="27"/>
      <c r="J119" s="27"/>
      <c r="K119" s="27"/>
      <c r="L119" s="27"/>
      <c r="M119" s="27"/>
      <c r="N119" s="27"/>
      <c r="O119" s="27"/>
      <c r="P119" s="27"/>
      <c r="Q119" s="27"/>
      <c r="R119" s="27"/>
      <c r="S119" s="27"/>
      <c r="T119" s="27"/>
    </row>
    <row r="121" spans="2:20">
      <c r="B121" s="35" t="s">
        <v>0</v>
      </c>
    </row>
  </sheetData>
  <mergeCells count="2">
    <mergeCell ref="B6:H6"/>
    <mergeCell ref="J6:P6"/>
  </mergeCells>
  <phoneticPr fontId="0" type="noConversion"/>
  <pageMargins left="0.2" right="0.2" top="0.48" bottom="0.48" header="0.31" footer="0.2"/>
  <pageSetup scale="43" orientation="landscape" r:id="rId1"/>
  <headerFooter alignWithMargins="0">
    <oddFooter>&amp;R&amp;16&amp;P</oddFooter>
  </headerFooter>
</worksheet>
</file>

<file path=xl/worksheets/sheet71.xml><?xml version="1.0" encoding="utf-8"?>
<worksheet xmlns="http://schemas.openxmlformats.org/spreadsheetml/2006/main" xmlns:r="http://schemas.openxmlformats.org/officeDocument/2006/relationships">
  <dimension ref="A1:N45"/>
  <sheetViews>
    <sheetView workbookViewId="0">
      <selection activeCell="C26" sqref="C26"/>
    </sheetView>
  </sheetViews>
  <sheetFormatPr baseColWidth="10" defaultColWidth="9" defaultRowHeight="15.75"/>
  <cols>
    <col min="1" max="1" width="50" customWidth="1"/>
    <col min="2" max="2" width="15.75" customWidth="1"/>
    <col min="4" max="4" width="15.75" customWidth="1"/>
    <col min="5" max="5" width="6.125" customWidth="1"/>
    <col min="6" max="6" width="16" customWidth="1"/>
    <col min="8" max="8" width="16" customWidth="1"/>
    <col min="10" max="10" width="15.875" customWidth="1"/>
    <col min="12" max="12" width="15.875" customWidth="1"/>
  </cols>
  <sheetData>
    <row r="1" spans="1:14">
      <c r="A1" s="111" t="s">
        <v>394</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+somfindétvan!B8</f>
        <v xml:space="preserve">     CUMUL (Octobre - Décembre )</v>
      </c>
      <c r="C8" s="39"/>
      <c r="D8" s="39"/>
      <c r="E8" s="11"/>
      <c r="F8" s="111" t="s">
        <v>214</v>
      </c>
      <c r="G8" s="111"/>
      <c r="H8" s="111"/>
      <c r="I8" s="111"/>
      <c r="J8" s="111"/>
      <c r="K8" s="111"/>
      <c r="L8" s="111"/>
    </row>
    <row r="9" spans="1:14" ht="16.5" thickBot="1">
      <c r="B9" s="223" t="str">
        <f>+somfindétvan!B9</f>
        <v xml:space="preserve"> 2015</v>
      </c>
      <c r="C9" s="203" t="s">
        <v>196</v>
      </c>
      <c r="D9" s="223" t="str">
        <f>+somfindétvan!D9</f>
        <v xml:space="preserve"> 2014</v>
      </c>
      <c r="E9" s="11"/>
      <c r="F9" s="223" t="str">
        <f>+somfindétvan!F9</f>
        <v>2014</v>
      </c>
      <c r="G9" s="203" t="s">
        <v>196</v>
      </c>
      <c r="H9" s="223" t="str">
        <f>+somfindétvan!H9</f>
        <v>2013</v>
      </c>
      <c r="I9" s="203" t="s">
        <v>196</v>
      </c>
      <c r="J9" s="223" t="str">
        <f>+somfindétvan!J9</f>
        <v>2012</v>
      </c>
      <c r="K9" s="203" t="s">
        <v>196</v>
      </c>
      <c r="L9" s="223" t="str">
        <f>+somfindétvan!L9</f>
        <v>2011</v>
      </c>
    </row>
    <row r="10" spans="1:14">
      <c r="A10" t="s">
        <v>300</v>
      </c>
    </row>
    <row r="11" spans="1:14">
      <c r="A11" t="s">
        <v>301</v>
      </c>
      <c r="B11" s="20" t="str">
        <f>+'bncrésult '!R49</f>
        <v xml:space="preserve"> </v>
      </c>
      <c r="C11" s="52" t="s">
        <v>0</v>
      </c>
      <c r="D11" s="20" t="str">
        <f>+'bncrésult '!T49</f>
        <v xml:space="preserve"> </v>
      </c>
      <c r="E11" s="49" t="s">
        <v>0</v>
      </c>
      <c r="F11" s="24" t="s">
        <v>0</v>
      </c>
      <c r="G11" s="52" t="s">
        <v>0</v>
      </c>
      <c r="H11" s="24" t="s">
        <v>0</v>
      </c>
      <c r="J11" s="24" t="s">
        <v>0</v>
      </c>
      <c r="L11" s="24" t="s">
        <v>0</v>
      </c>
      <c r="M11" s="48"/>
      <c r="N11" s="48"/>
    </row>
    <row r="12" spans="1:14">
      <c r="A12" t="s">
        <v>302</v>
      </c>
      <c r="B12" s="20">
        <f>+'bncrésult '!R50</f>
        <v>218076.92975999997</v>
      </c>
      <c r="C12" s="51">
        <f t="shared" ref="C12:C17" si="0">+(B12-D12)/ABS(D12)</f>
        <v>0.11537445479772682</v>
      </c>
      <c r="D12" s="20">
        <f>+'bncrésult '!T50</f>
        <v>195519.02844999998</v>
      </c>
      <c r="E12" s="49"/>
      <c r="F12" s="20">
        <f>+'bncrésult '!U50</f>
        <v>804680.38911999995</v>
      </c>
      <c r="G12" s="51">
        <f t="shared" ref="G12:G17" si="1">+(F12-H12)/ABS(H12)</f>
        <v>8.128977635555211E-2</v>
      </c>
      <c r="H12" s="20">
        <v>744185.7</v>
      </c>
      <c r="I12" s="51">
        <f t="shared" ref="I12:I17" si="2">+(H12-J12)/ABS(J12)</f>
        <v>0.20183649193776579</v>
      </c>
      <c r="J12" s="20">
        <v>619207.10927999998</v>
      </c>
      <c r="K12" s="51">
        <f t="shared" ref="K12:K17" si="3">+(J12-L12)/ABS(L12)</f>
        <v>6.9007652668063371E-2</v>
      </c>
      <c r="L12" s="20">
        <v>579235.43178999994</v>
      </c>
      <c r="M12" s="48"/>
      <c r="N12" s="48"/>
    </row>
    <row r="13" spans="1:14">
      <c r="A13" t="s">
        <v>322</v>
      </c>
      <c r="B13" s="20">
        <f>+'bncrésult '!R51</f>
        <v>45895.919750000001</v>
      </c>
      <c r="C13" s="51">
        <f t="shared" si="0"/>
        <v>5.5544099941796599E-2</v>
      </c>
      <c r="D13" s="20">
        <f>+'bncrésult '!T51</f>
        <v>43480.816910000001</v>
      </c>
      <c r="E13" s="49"/>
      <c r="F13" s="20">
        <f>+'bncrésult '!U51</f>
        <v>120121.91687999999</v>
      </c>
      <c r="G13" s="51">
        <f t="shared" si="1"/>
        <v>0.23823113567650642</v>
      </c>
      <c r="H13" s="20">
        <v>97010.9</v>
      </c>
      <c r="I13" s="51">
        <f t="shared" si="2"/>
        <v>2.845164949444523</v>
      </c>
      <c r="J13" s="20">
        <v>25229.320789999998</v>
      </c>
      <c r="K13" s="51">
        <f t="shared" si="3"/>
        <v>-1.7684179971387309E-2</v>
      </c>
      <c r="L13" s="20">
        <v>25683.512650000001</v>
      </c>
      <c r="M13" s="48"/>
      <c r="N13" s="48"/>
    </row>
    <row r="14" spans="1:14">
      <c r="A14" t="s">
        <v>304</v>
      </c>
      <c r="B14" s="199">
        <f>+'bncrésult '!R52</f>
        <v>85732.536760000003</v>
      </c>
      <c r="C14" s="51">
        <f t="shared" si="0"/>
        <v>0.67482713342132084</v>
      </c>
      <c r="D14" s="217">
        <f>+'bncrésult '!T52</f>
        <v>51188.886929999993</v>
      </c>
      <c r="E14" s="49"/>
      <c r="F14" s="217">
        <f>+'bncrésult '!U52</f>
        <v>267068.11580000003</v>
      </c>
      <c r="G14" s="51">
        <f t="shared" si="1"/>
        <v>0.45757500530760364</v>
      </c>
      <c r="H14" s="217">
        <v>183227.7</v>
      </c>
      <c r="I14" s="51">
        <f t="shared" si="2"/>
        <v>1.6646977670674989</v>
      </c>
      <c r="J14" s="217">
        <v>68761.156430000003</v>
      </c>
      <c r="K14" s="51">
        <f t="shared" si="3"/>
        <v>3.4087599773165547</v>
      </c>
      <c r="L14" s="217">
        <v>15596.48445</v>
      </c>
      <c r="M14" s="48"/>
      <c r="N14" s="48"/>
    </row>
    <row r="15" spans="1:14">
      <c r="B15" s="20">
        <f>+'bncrésult '!R53</f>
        <v>349705.38626999996</v>
      </c>
      <c r="C15" s="51">
        <f t="shared" si="0"/>
        <v>0.20509636439130263</v>
      </c>
      <c r="D15" s="20">
        <f>SUM(D12:D14)</f>
        <v>290188.73228999996</v>
      </c>
      <c r="E15" s="49"/>
      <c r="F15" s="20">
        <f>SUM(F12:F14)</f>
        <v>1191870.4218000001</v>
      </c>
      <c r="G15" s="51">
        <f t="shared" si="1"/>
        <v>0.16345387531318817</v>
      </c>
      <c r="H15" s="20">
        <f>SUM(H12:H14)</f>
        <v>1024424.3</v>
      </c>
      <c r="I15" s="51">
        <f t="shared" si="2"/>
        <v>0.43638217429665976</v>
      </c>
      <c r="J15" s="20">
        <f>SUM(J12:J14)</f>
        <v>713197.58649999998</v>
      </c>
      <c r="K15" s="51">
        <f t="shared" si="3"/>
        <v>0.14936317985806272</v>
      </c>
      <c r="L15" s="20">
        <f>SUM(L12:L14)</f>
        <v>620515.42888999998</v>
      </c>
      <c r="M15" s="48"/>
      <c r="N15" s="48"/>
    </row>
    <row r="16" spans="1:14">
      <c r="A16" t="s">
        <v>305</v>
      </c>
      <c r="B16" s="217">
        <f>+'bncrésult '!R54</f>
        <v>22417.47796</v>
      </c>
      <c r="C16" s="51">
        <f t="shared" si="0"/>
        <v>0.13637392181523281</v>
      </c>
      <c r="D16" s="217">
        <f>+'bncrésult '!T54</f>
        <v>19727.20205</v>
      </c>
      <c r="E16" s="49" t="s">
        <v>0</v>
      </c>
      <c r="F16" s="217">
        <f>+'bncrésult '!U54</f>
        <v>77843.747040000002</v>
      </c>
      <c r="G16" s="51">
        <f t="shared" si="1"/>
        <v>0.90777599513766005</v>
      </c>
      <c r="H16" s="217">
        <v>40803.4</v>
      </c>
      <c r="I16" s="51">
        <f t="shared" si="2"/>
        <v>2.6174346535593151E-2</v>
      </c>
      <c r="J16" s="217">
        <v>39762.638910000001</v>
      </c>
      <c r="K16" s="51">
        <f t="shared" si="3"/>
        <v>0.21038597544743845</v>
      </c>
      <c r="L16" s="217">
        <v>32851.205909999997</v>
      </c>
      <c r="M16" s="48"/>
      <c r="N16" s="48"/>
    </row>
    <row r="17" spans="1:14" s="187" customFormat="1">
      <c r="B17" s="24">
        <f>+B15-B16</f>
        <v>327287.90830999997</v>
      </c>
      <c r="C17" s="51">
        <f t="shared" si="0"/>
        <v>0.21010891278909022</v>
      </c>
      <c r="D17" s="24">
        <f>+D15-D16</f>
        <v>270461.53023999993</v>
      </c>
      <c r="E17" s="49" t="s">
        <v>0</v>
      </c>
      <c r="F17" s="24">
        <f>+F15-F16</f>
        <v>1114026.6747600001</v>
      </c>
      <c r="G17" s="51">
        <f t="shared" si="1"/>
        <v>0.13257727114175802</v>
      </c>
      <c r="H17" s="24">
        <f>+H15-H16</f>
        <v>983620.9</v>
      </c>
      <c r="I17" s="51">
        <f t="shared" si="2"/>
        <v>0.4606026959546019</v>
      </c>
      <c r="J17" s="24">
        <f>+J15-J16</f>
        <v>673434.94759</v>
      </c>
      <c r="K17" s="51">
        <f t="shared" si="3"/>
        <v>0.14595192502116822</v>
      </c>
      <c r="L17" s="24">
        <f>+L15-L16</f>
        <v>587664.22297999996</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0">
        <f>+'bncrésult '!R58</f>
        <v>83769.663910000003</v>
      </c>
      <c r="C20" s="51">
        <f>+(B20-D20)/ABS(D20)</f>
        <v>-4.0836125540667234E-2</v>
      </c>
      <c r="D20" s="20">
        <f>+'bncrésult '!T58</f>
        <v>87336.13321</v>
      </c>
      <c r="E20" s="49" t="s">
        <v>0</v>
      </c>
      <c r="F20" s="20">
        <f>+'bncrésult '!U58</f>
        <v>404585.78060999996</v>
      </c>
      <c r="G20" s="51">
        <f>+(F20-H20)/ABS(H20)</f>
        <v>5.8264063191518445E-2</v>
      </c>
      <c r="H20" s="20">
        <v>382310.8</v>
      </c>
      <c r="I20" s="51">
        <f>+(H20-J20)/ABS(J20)</f>
        <v>0.16611357452704203</v>
      </c>
      <c r="J20" s="20">
        <v>327850.39841000002</v>
      </c>
      <c r="K20" s="51">
        <f>+(J20-L20)/ABS(L20)</f>
        <v>0.40460933012920824</v>
      </c>
      <c r="L20" s="20">
        <v>233410.38065000001</v>
      </c>
      <c r="M20" s="48"/>
      <c r="N20" s="48"/>
    </row>
    <row r="21" spans="1:14">
      <c r="A21" t="s">
        <v>308</v>
      </c>
      <c r="B21" s="20">
        <f>+'bncrésult '!R59</f>
        <v>16188.303319999999</v>
      </c>
      <c r="C21" s="51">
        <f>+(B21-D21)/ABS(D21)</f>
        <v>-0.2804831852279932</v>
      </c>
      <c r="D21" s="20">
        <f>+'bncrésult '!T59</f>
        <v>22498.85338</v>
      </c>
      <c r="E21" s="49" t="s">
        <v>0</v>
      </c>
      <c r="F21" s="20">
        <f>+'bncrésult '!U59</f>
        <v>77213.998340000006</v>
      </c>
      <c r="G21" s="51">
        <f>+(F21-H21)/ABS(H21)</f>
        <v>0.40508903665125368</v>
      </c>
      <c r="H21" s="20">
        <v>54953.1</v>
      </c>
      <c r="I21" s="51">
        <f>+(H21-J21)/ABS(J21)</f>
        <v>-0.29267002999865732</v>
      </c>
      <c r="J21" s="20">
        <v>77690.897219999999</v>
      </c>
      <c r="K21" s="51">
        <f>+(J21-L21)/ABS(L21)</f>
        <v>0.39459376502336446</v>
      </c>
      <c r="L21" s="20">
        <v>55708.622230000001</v>
      </c>
      <c r="M21" s="48"/>
      <c r="N21" s="48"/>
    </row>
    <row r="22" spans="1:14">
      <c r="A22" t="s">
        <v>274</v>
      </c>
      <c r="B22" s="217">
        <f>+'bncrésult '!R60</f>
        <v>15537.174139999999</v>
      </c>
      <c r="C22" s="51">
        <f>+(B22-D22)/ABS(D22)</f>
        <v>0.12898430896960913</v>
      </c>
      <c r="D22" s="217">
        <f>+'bncrésult '!T60</f>
        <v>13762.081559999999</v>
      </c>
      <c r="E22" s="49" t="s">
        <v>0</v>
      </c>
      <c r="F22" s="217">
        <f>+'bncrésult '!U60</f>
        <v>48822.15511</v>
      </c>
      <c r="G22" s="51">
        <f>+(F22-H22)/ABS(H22)</f>
        <v>-0.30943641197188082</v>
      </c>
      <c r="H22" s="217">
        <v>70699</v>
      </c>
      <c r="I22" s="51">
        <f>+(H22-J22)/ABS(J22)</f>
        <v>-0.50790454213298863</v>
      </c>
      <c r="J22" s="217">
        <v>143669.27975000002</v>
      </c>
      <c r="K22" s="51">
        <f>+(J22-L22)/ABS(L22)</f>
        <v>1.3942221327723912E-2</v>
      </c>
      <c r="L22" s="217">
        <v>141693.75407</v>
      </c>
      <c r="M22" s="48"/>
      <c r="N22" s="48"/>
    </row>
    <row r="23" spans="1:14" s="187" customFormat="1">
      <c r="B23" s="24">
        <f>SUM(B20:B22)</f>
        <v>115495.14137000001</v>
      </c>
      <c r="C23" s="51">
        <f>+(B23-D23)/ABS(D23)</f>
        <v>-6.5551124320904805E-2</v>
      </c>
      <c r="D23" s="24">
        <f>SUM(D20:D22)</f>
        <v>123597.06815000001</v>
      </c>
      <c r="E23" s="49" t="s">
        <v>0</v>
      </c>
      <c r="F23" s="24">
        <f>SUM(F20:F22)</f>
        <v>530621.93406</v>
      </c>
      <c r="G23" s="51">
        <f>+(F23-H23)/ABS(H23)</f>
        <v>4.4607655519724052E-2</v>
      </c>
      <c r="H23" s="24">
        <f>SUM(H20:H22)</f>
        <v>507962.89999999997</v>
      </c>
      <c r="I23" s="51">
        <f>+(H23-J23)/ABS(J23)</f>
        <v>-7.5103570887105967E-2</v>
      </c>
      <c r="J23" s="24">
        <f>SUM(J20:J22)</f>
        <v>549210.57538000005</v>
      </c>
      <c r="K23" s="51">
        <f>+(J23-L23)/ABS(L23)</f>
        <v>0.27482430944759911</v>
      </c>
      <c r="L23" s="24">
        <f>SUM(L20:L22)</f>
        <v>430812.75694999995</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442783.04968</v>
      </c>
      <c r="C25" s="51">
        <f>+(B25-D25)/ABS(D25)</f>
        <v>0.12364773028446253</v>
      </c>
      <c r="D25" s="24">
        <f>+D17+D23</f>
        <v>394058.59838999994</v>
      </c>
      <c r="E25" s="49" t="s">
        <v>0</v>
      </c>
      <c r="F25" s="24">
        <f>+F17+F23</f>
        <v>1644648.6088200002</v>
      </c>
      <c r="G25" s="51">
        <f>+(F25-H25)/ABS(H25)</f>
        <v>0.10261898045554003</v>
      </c>
      <c r="H25" s="24">
        <f>+H17+H23</f>
        <v>1491583.8</v>
      </c>
      <c r="I25" s="51">
        <f>+(H25-J25)/ABS(J25)</f>
        <v>0.2199642267340956</v>
      </c>
      <c r="J25" s="24">
        <f>+J17+J23</f>
        <v>1222645.52297</v>
      </c>
      <c r="K25" s="51">
        <f>+(J25-L25)/ABS(L25)</f>
        <v>0.20046456332673585</v>
      </c>
      <c r="L25" s="24">
        <f>+L17+L23</f>
        <v>1018476.9799299999</v>
      </c>
      <c r="M25" s="49"/>
      <c r="N25" s="49"/>
    </row>
    <row r="26" spans="1:14">
      <c r="B26" s="20"/>
      <c r="C26" s="51"/>
      <c r="D26" s="20"/>
      <c r="E26" s="49" t="s">
        <v>0</v>
      </c>
      <c r="F26" s="20"/>
      <c r="G26" s="51"/>
      <c r="H26" s="20"/>
      <c r="I26" s="51"/>
      <c r="J26" s="20"/>
      <c r="K26" s="51"/>
      <c r="L26" s="20"/>
      <c r="M26" s="48"/>
      <c r="N26" s="48"/>
    </row>
    <row r="27" spans="1:14">
      <c r="A27" t="s">
        <v>310</v>
      </c>
      <c r="B27" s="20">
        <f>+'bncrésult '!R65</f>
        <v>0</v>
      </c>
      <c r="C27" s="48">
        <v>0</v>
      </c>
      <c r="D27" s="20">
        <f>+'bncrésult '!T65</f>
        <v>25263.932779999999</v>
      </c>
      <c r="E27" s="49" t="s">
        <v>0</v>
      </c>
      <c r="F27" s="20">
        <f>+'bncrésult '!U65</f>
        <v>121852.87374000001</v>
      </c>
      <c r="G27" s="51">
        <f>+(F27-H27)/ABS(H27)</f>
        <v>0.87465959600000021</v>
      </c>
      <c r="H27" s="20">
        <v>65000</v>
      </c>
      <c r="I27" s="51">
        <f>+(H27-J27)/ABS(J27)</f>
        <v>3.1816366632284647</v>
      </c>
      <c r="J27" s="20">
        <v>15544.152980000001</v>
      </c>
      <c r="K27" s="51">
        <f>+(J27-L27)/ABS(L27)</f>
        <v>-0.55970653580544039</v>
      </c>
      <c r="L27" s="20">
        <v>35304.073860000004</v>
      </c>
      <c r="M27" s="48"/>
      <c r="N27" s="48"/>
    </row>
    <row r="28" spans="1:14">
      <c r="B28" s="20"/>
      <c r="C28" s="51"/>
      <c r="D28" s="20"/>
      <c r="E28" s="49" t="s">
        <v>0</v>
      </c>
      <c r="F28" s="20"/>
      <c r="G28" s="51"/>
      <c r="H28" s="20"/>
      <c r="I28" s="51"/>
      <c r="J28" s="20"/>
      <c r="K28" s="51"/>
      <c r="L28" s="20"/>
      <c r="M28" s="48"/>
      <c r="N28" s="48"/>
    </row>
    <row r="29" spans="1:14">
      <c r="A29" t="s">
        <v>311</v>
      </c>
      <c r="B29" s="217"/>
      <c r="C29" s="51"/>
      <c r="D29" s="217"/>
      <c r="E29" s="49" t="s">
        <v>0</v>
      </c>
      <c r="F29" s="217"/>
      <c r="G29" s="51"/>
      <c r="H29" s="217"/>
      <c r="I29" s="51"/>
      <c r="J29" s="217"/>
      <c r="K29" s="51"/>
      <c r="L29" s="217"/>
      <c r="M29" s="48"/>
      <c r="N29" s="48"/>
    </row>
    <row r="30" spans="1:14" s="187" customFormat="1">
      <c r="A30" s="187" t="s">
        <v>312</v>
      </c>
      <c r="B30" s="24">
        <f>+B25-B27</f>
        <v>442783.04968</v>
      </c>
      <c r="C30" s="51">
        <f>+(B30-D30)/ABS(D30)</f>
        <v>0.20062216449801548</v>
      </c>
      <c r="D30" s="24">
        <f>+D25-D27</f>
        <v>368794.66560999997</v>
      </c>
      <c r="E30" s="49" t="s">
        <v>0</v>
      </c>
      <c r="F30" s="24">
        <f>+F25-F27</f>
        <v>1522795.7350800002</v>
      </c>
      <c r="G30" s="51">
        <f>+(F30-H30)/ABS(H30)</f>
        <v>6.7442189572039304E-2</v>
      </c>
      <c r="H30" s="24">
        <f>+H25-H27</f>
        <v>1426583.8</v>
      </c>
      <c r="I30" s="51">
        <f>+(H30-J30)/ABS(J30)</f>
        <v>0.18182601351187122</v>
      </c>
      <c r="J30" s="24">
        <f>+J25-J27</f>
        <v>1207101.36999</v>
      </c>
      <c r="K30" s="51">
        <f>+(J30-L30)/ABS(L30)</f>
        <v>0.22776101999708367</v>
      </c>
      <c r="L30" s="24">
        <f>+L25-L27</f>
        <v>983172.90606999991</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0">
        <f>+'bncrésult '!R71</f>
        <v>145709.69511</v>
      </c>
      <c r="C33" s="51">
        <f>+(B33-D33)/ABS(D33)</f>
        <v>6.9406971303458923E-2</v>
      </c>
      <c r="D33" s="20">
        <f>+'bncrésult '!T71</f>
        <v>136252.80087000001</v>
      </c>
      <c r="E33" s="49" t="s">
        <v>0</v>
      </c>
      <c r="F33" s="20">
        <f>+'bncrésult '!U71</f>
        <v>604526.50866999989</v>
      </c>
      <c r="G33" s="51">
        <f>+(F33-H33)/ABS(H33)</f>
        <v>6.4951641812131464E-2</v>
      </c>
      <c r="H33" s="20">
        <v>567656.30000000005</v>
      </c>
      <c r="I33" s="51">
        <f>+(H33-J33)/ABS(J33)</f>
        <v>0.16631374888174008</v>
      </c>
      <c r="J33" s="20">
        <v>486709.77302999992</v>
      </c>
      <c r="K33" s="51">
        <f>+(J33-L33)/ABS(L33)</f>
        <v>8.6088266242695638E-2</v>
      </c>
      <c r="L33" s="20">
        <v>448130.95597999997</v>
      </c>
      <c r="M33" s="48"/>
      <c r="N33" s="48"/>
    </row>
    <row r="34" spans="1:14">
      <c r="A34" t="s">
        <v>315</v>
      </c>
      <c r="B34" s="20">
        <f>+'bncrésult '!R72</f>
        <v>23555.664809999998</v>
      </c>
      <c r="C34" s="51">
        <f>+(B34-D34)/ABS(D34)</f>
        <v>0.6335445806203962</v>
      </c>
      <c r="D34" s="20">
        <f>+'bncrésult '!T72</f>
        <v>14419.970590000001</v>
      </c>
      <c r="E34" s="49" t="s">
        <v>0</v>
      </c>
      <c r="F34" s="20">
        <f>+'bncrésult '!U72</f>
        <v>71935.933610000007</v>
      </c>
      <c r="G34" s="51">
        <f>+(F34-H34)/ABS(H34)</f>
        <v>0.4445024600500404</v>
      </c>
      <c r="H34" s="20">
        <v>49799.8</v>
      </c>
      <c r="I34" s="51">
        <f>+(H34-J34)/ABS(J34)</f>
        <v>0.25842906946315336</v>
      </c>
      <c r="J34" s="20">
        <v>39572.989220000003</v>
      </c>
      <c r="K34" s="51">
        <f>+(J34-L34)/ABS(L34)</f>
        <v>-3.5251625817268019E-2</v>
      </c>
      <c r="L34" s="20">
        <v>41018.974770000001</v>
      </c>
      <c r="M34" s="48"/>
      <c r="N34" s="48"/>
    </row>
    <row r="35" spans="1:14">
      <c r="A35" t="s">
        <v>316</v>
      </c>
      <c r="B35" s="20">
        <f>+'bncrésult '!R73</f>
        <v>18150.975989999999</v>
      </c>
      <c r="C35" s="51">
        <f>+(B35-D35)/ABS(D35)</f>
        <v>0.11501853762389852</v>
      </c>
      <c r="D35" s="20">
        <f>+'bncrésult '!T73</f>
        <v>16278.631590000001</v>
      </c>
      <c r="E35" s="49" t="s">
        <v>0</v>
      </c>
      <c r="F35" s="20">
        <f>+'bncrésult '!U73</f>
        <v>67496.331059999997</v>
      </c>
      <c r="G35" s="51">
        <f>+(F35-H35)/ABS(H35)</f>
        <v>0.11531000793152445</v>
      </c>
      <c r="H35" s="20">
        <v>60518</v>
      </c>
      <c r="I35" s="51">
        <f>+(H35-J35)/ABS(J35)</f>
        <v>0.18375737667496062</v>
      </c>
      <c r="J35" s="20">
        <v>51123.651850000002</v>
      </c>
      <c r="K35" s="51">
        <f>+(J35-L35)/ABS(L35)</f>
        <v>0.23218137760318183</v>
      </c>
      <c r="L35" s="20">
        <v>41490.362359999999</v>
      </c>
      <c r="M35" s="48"/>
      <c r="N35" s="48"/>
    </row>
    <row r="36" spans="1:14">
      <c r="A36" t="s">
        <v>317</v>
      </c>
      <c r="B36" s="217">
        <f>+'bncrésult '!R74</f>
        <v>75081.059910000011</v>
      </c>
      <c r="C36" s="51">
        <f>+(B36-D36)/ABS(D36)</f>
        <v>-8.4163505642510295E-2</v>
      </c>
      <c r="D36" s="217">
        <f>+'bncrésult '!T74</f>
        <v>81980.856159999996</v>
      </c>
      <c r="E36" s="49" t="s">
        <v>0</v>
      </c>
      <c r="F36" s="217">
        <f>+'bncrésult '!U74</f>
        <v>368693.41050999996</v>
      </c>
      <c r="G36" s="51">
        <f>+(F36-H36)/ABS(H36)</f>
        <v>0.18087054970874844</v>
      </c>
      <c r="H36" s="217">
        <v>312221.7</v>
      </c>
      <c r="I36" s="51">
        <f>+(H36-J36)/ABS(J36)</f>
        <v>0.36410418807202583</v>
      </c>
      <c r="J36" s="217">
        <v>228884.05645999999</v>
      </c>
      <c r="K36" s="51">
        <f>+(J36-L36)/ABS(L36)</f>
        <v>7.524771712437904E-2</v>
      </c>
      <c r="L36" s="217">
        <v>212866.34960000002</v>
      </c>
      <c r="M36" s="48"/>
      <c r="N36" s="48"/>
    </row>
    <row r="37" spans="1:14" s="187" customFormat="1">
      <c r="B37" s="24">
        <f>SUM(B33:B36)</f>
        <v>262497.39581999998</v>
      </c>
      <c r="C37" s="51">
        <f>+(B37-D37)/ABS(D37)</f>
        <v>5.449328525378612E-2</v>
      </c>
      <c r="D37" s="24">
        <f>SUM(D33:D36)</f>
        <v>248932.25921000002</v>
      </c>
      <c r="E37" s="49" t="s">
        <v>0</v>
      </c>
      <c r="F37" s="24">
        <f>SUM(F33:F36)</f>
        <v>1112652.1838499997</v>
      </c>
      <c r="G37" s="51">
        <f>+(F37-H37)/ABS(H37)</f>
        <v>0.12366885806827259</v>
      </c>
      <c r="H37" s="24">
        <f>SUM(H33:H36)</f>
        <v>990195.8</v>
      </c>
      <c r="I37" s="51">
        <f>+(H37-J37)/ABS(J37)</f>
        <v>0.22808818428955355</v>
      </c>
      <c r="J37" s="24">
        <f>SUM(J33:J36)</f>
        <v>806290.47055999993</v>
      </c>
      <c r="K37" s="51">
        <f>+(J37-L37)/ABS(L37)</f>
        <v>8.4442860686704466E-2</v>
      </c>
      <c r="L37" s="24">
        <f>SUM(L33:L36)</f>
        <v>743506.64271000004</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180285.65386000002</v>
      </c>
      <c r="C39" s="51">
        <f>+(B39-D39)/ABS(D39)</f>
        <v>0.50410507576794406</v>
      </c>
      <c r="D39" s="24">
        <f>+D30-D37</f>
        <v>119862.40639999995</v>
      </c>
      <c r="E39" s="49" t="s">
        <v>0</v>
      </c>
      <c r="F39" s="24">
        <f>+F30-F37</f>
        <v>410143.55123000056</v>
      </c>
      <c r="G39" s="51">
        <f>+(F39-H39)/ABS(H39)</f>
        <v>-6.0140170605056588E-2</v>
      </c>
      <c r="H39" s="24">
        <f>+H30-H37</f>
        <v>436388</v>
      </c>
      <c r="I39" s="51">
        <f>+(H39-J39)/ABS(J39)</f>
        <v>8.8762807150690473E-2</v>
      </c>
      <c r="J39" s="24">
        <f>+J30-J37</f>
        <v>400810.89943000011</v>
      </c>
      <c r="K39" s="51">
        <f>+(J39-L39)/ABS(L39)</f>
        <v>0.67237096206547342</v>
      </c>
      <c r="L39" s="24">
        <f>+L30-L37</f>
        <v>239666.26335999987</v>
      </c>
      <c r="M39" s="49"/>
      <c r="N39" s="49"/>
    </row>
    <row r="40" spans="1:14">
      <c r="B40" s="20"/>
      <c r="C40" s="51"/>
      <c r="D40" s="20"/>
      <c r="E40" s="49" t="s">
        <v>0</v>
      </c>
      <c r="F40" s="20"/>
      <c r="G40" s="51"/>
      <c r="H40" s="20"/>
      <c r="I40" s="51"/>
      <c r="J40" s="20"/>
      <c r="K40" s="51"/>
      <c r="L40" s="20"/>
      <c r="M40" s="48"/>
      <c r="N40" s="48"/>
    </row>
    <row r="41" spans="1:14">
      <c r="A41" t="s">
        <v>319</v>
      </c>
      <c r="B41" s="20">
        <f>+'bncrésult '!R79</f>
        <v>0</v>
      </c>
      <c r="C41" s="48">
        <v>0</v>
      </c>
      <c r="D41" s="20">
        <f>+'bncrésult '!T79</f>
        <v>0</v>
      </c>
      <c r="E41" s="49" t="s">
        <v>0</v>
      </c>
      <c r="F41" s="20">
        <f>+'bncrésult '!U79</f>
        <v>0</v>
      </c>
      <c r="G41" s="48">
        <v>0</v>
      </c>
      <c r="H41" s="20">
        <v>0</v>
      </c>
      <c r="I41" s="48">
        <v>0</v>
      </c>
      <c r="J41" s="20">
        <f>+'bncrésult '!Y79</f>
        <v>0</v>
      </c>
      <c r="K41" s="48">
        <v>0</v>
      </c>
      <c r="L41" s="20">
        <f>+'bncrésult '!AA79</f>
        <v>0</v>
      </c>
      <c r="M41" s="48"/>
      <c r="N41" s="48"/>
    </row>
    <row r="42" spans="1:14" ht="16.5" thickBot="1">
      <c r="B42" s="79"/>
      <c r="C42" s="51"/>
      <c r="D42" s="79"/>
      <c r="E42" s="49" t="s">
        <v>0</v>
      </c>
      <c r="F42" s="79"/>
      <c r="G42" s="51"/>
      <c r="H42" s="79"/>
      <c r="I42" s="51"/>
      <c r="J42" s="79"/>
      <c r="K42" s="51"/>
      <c r="L42" s="79"/>
      <c r="M42" s="48"/>
      <c r="N42" s="48"/>
    </row>
    <row r="43" spans="1:14">
      <c r="A43" s="11" t="s">
        <v>372</v>
      </c>
      <c r="B43" s="13">
        <f>+B39-B41</f>
        <v>180285.65386000002</v>
      </c>
      <c r="C43" s="109">
        <f>+(B43-D43)/ABS(D43)</f>
        <v>0.50410507576794406</v>
      </c>
      <c r="D43" s="13">
        <f>+D39-D41</f>
        <v>119862.40639999995</v>
      </c>
      <c r="E43" s="47" t="s">
        <v>0</v>
      </c>
      <c r="F43" s="13">
        <f>+F39-F41</f>
        <v>410143.55123000056</v>
      </c>
      <c r="G43" s="109">
        <f>+(F43-H43)/ABS(H43)</f>
        <v>-6.0140170605056588E-2</v>
      </c>
      <c r="H43" s="13">
        <f>+H39-H41</f>
        <v>436388</v>
      </c>
      <c r="I43" s="109">
        <f>+(H43-J43)/ABS(J43)</f>
        <v>8.8762807150690473E-2</v>
      </c>
      <c r="J43" s="13">
        <f>+J39-J41</f>
        <v>400810.89943000011</v>
      </c>
      <c r="K43" s="109">
        <f>+(J43-L43)/ABS(L43)</f>
        <v>0.67237096206547342</v>
      </c>
      <c r="L43" s="13">
        <f>+L39-L41</f>
        <v>239666.26335999987</v>
      </c>
      <c r="M43" s="48"/>
      <c r="N43" s="48"/>
    </row>
    <row r="44" spans="1:14">
      <c r="E44" t="s">
        <v>0</v>
      </c>
    </row>
    <row r="45" spans="1:14">
      <c r="E45" t="s">
        <v>0</v>
      </c>
    </row>
  </sheetData>
  <phoneticPr fontId="0" type="noConversion"/>
  <pageMargins left="0.18" right="0.16" top="0.56999999999999995" bottom="0.75" header="0.34" footer="0.5"/>
  <pageSetup scale="62" orientation="landscape" r:id="rId1"/>
  <headerFooter alignWithMargins="0">
    <oddFooter>&amp;R&amp;P</oddFooter>
  </headerFooter>
</worksheet>
</file>

<file path=xl/worksheets/sheet72.xml><?xml version="1.0" encoding="utf-8"?>
<worksheet xmlns="http://schemas.openxmlformats.org/spreadsheetml/2006/main" xmlns:r="http://schemas.openxmlformats.org/officeDocument/2006/relationships">
  <sheetPr>
    <pageSetUpPr fitToPage="1"/>
  </sheetPr>
  <dimension ref="A1:AA80"/>
  <sheetViews>
    <sheetView workbookViewId="0">
      <selection activeCell="N66" sqref="N66"/>
    </sheetView>
  </sheetViews>
  <sheetFormatPr baseColWidth="10" defaultColWidth="9" defaultRowHeight="15.75"/>
  <cols>
    <col min="1" max="1" width="34.5" customWidth="1"/>
    <col min="2" max="2" width="14.875" customWidth="1"/>
    <col min="3" max="3" width="12.75" customWidth="1"/>
    <col min="4" max="4" width="13.875" customWidth="1"/>
    <col min="5" max="5" width="14.625" customWidth="1"/>
    <col min="6" max="6" width="14.75" customWidth="1"/>
    <col min="7" max="7" width="10.25" customWidth="1"/>
    <col min="8" max="8" width="14.75" customWidth="1"/>
    <col min="9" max="9" width="12.75" customWidth="1"/>
    <col min="10" max="10" width="13.75" customWidth="1"/>
    <col min="11" max="11" width="13.25" customWidth="1"/>
    <col min="12" max="12" width="14.5" customWidth="1"/>
    <col min="14" max="14" width="14.25" customWidth="1"/>
    <col min="15" max="15" width="14" customWidth="1"/>
    <col min="16" max="16" width="15.125" customWidth="1"/>
    <col min="17" max="17" width="9.625" customWidth="1"/>
    <col min="18" max="18" width="15.875" customWidth="1"/>
    <col min="19" max="19" width="9.875" customWidth="1"/>
    <col min="20" max="20" width="15.875" customWidth="1"/>
  </cols>
  <sheetData>
    <row r="1" spans="1:27">
      <c r="A1" s="111" t="s">
        <v>398</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+'bncinfin '!I4</f>
        <v>Var. déc. 14</v>
      </c>
      <c r="J4" s="156" t="s">
        <v>195</v>
      </c>
      <c r="K4" s="157"/>
      <c r="L4" s="157"/>
      <c r="M4" s="157"/>
      <c r="N4" s="157"/>
      <c r="O4" s="157"/>
      <c r="P4" s="157"/>
    </row>
    <row r="5" spans="1:27" ht="16.5" thickBot="1">
      <c r="B5" s="1" t="str">
        <f>+'bncinfin '!B5</f>
        <v>Déc. 14</v>
      </c>
      <c r="C5" s="1" t="s">
        <v>196</v>
      </c>
      <c r="D5" s="1" t="str">
        <f>+'bncinfin '!D5</f>
        <v>Mars 15</v>
      </c>
      <c r="E5" s="1" t="s">
        <v>196</v>
      </c>
      <c r="F5" s="1" t="str">
        <f>+'bncinfin '!F5</f>
        <v>Juin 15</v>
      </c>
      <c r="G5" s="1" t="s">
        <v>196</v>
      </c>
      <c r="H5" s="1" t="str">
        <f>+'bncinfin '!H5</f>
        <v>Sept. 15</v>
      </c>
      <c r="I5" s="155" t="str">
        <f>+'bncinfin '!I5</f>
        <v>/sept. 14</v>
      </c>
      <c r="J5" s="1" t="str">
        <f>+'bncinfin '!J5</f>
        <v>2014</v>
      </c>
      <c r="K5" s="1" t="s">
        <v>196</v>
      </c>
      <c r="L5" s="1" t="str">
        <f>+'bncinfin '!L5</f>
        <v>2013</v>
      </c>
      <c r="M5" s="1" t="s">
        <v>196</v>
      </c>
      <c r="N5" s="1" t="str">
        <f>+'bncinfin '!N5</f>
        <v>2012</v>
      </c>
      <c r="O5" s="1" t="s">
        <v>196</v>
      </c>
      <c r="P5" s="1" t="str">
        <f>+'bncinfin '!P5</f>
        <v>2011</v>
      </c>
    </row>
    <row r="6" spans="1:27">
      <c r="B6" s="3"/>
      <c r="D6" s="3"/>
      <c r="F6" s="3"/>
      <c r="H6" s="3"/>
      <c r="J6" s="53"/>
      <c r="L6" s="53"/>
      <c r="N6" s="53"/>
      <c r="P6" s="53"/>
    </row>
    <row r="7" spans="1:27">
      <c r="A7" s="11" t="s">
        <v>197</v>
      </c>
    </row>
    <row r="8" spans="1:27">
      <c r="A8" s="11" t="s">
        <v>198</v>
      </c>
    </row>
    <row r="10" spans="1:27">
      <c r="A10" s="11" t="s">
        <v>18</v>
      </c>
    </row>
    <row r="11" spans="1:27">
      <c r="A11" t="s">
        <v>199</v>
      </c>
      <c r="B11" s="20">
        <f>+bphvar!B23</f>
        <v>3198879.3044799999</v>
      </c>
      <c r="C11" s="48">
        <v>0</v>
      </c>
      <c r="D11" s="20">
        <f>+bphvar!D23</f>
        <v>0</v>
      </c>
      <c r="E11" s="48">
        <v>0</v>
      </c>
      <c r="F11" s="48">
        <f>+bphvar!F23</f>
        <v>0</v>
      </c>
      <c r="G11" s="48">
        <v>0</v>
      </c>
      <c r="H11" s="48">
        <f>+bphvar!H23</f>
        <v>0</v>
      </c>
      <c r="I11" s="51">
        <f>+(B11-J11)/ABS(J11)</f>
        <v>4.3738174666666782E-2</v>
      </c>
      <c r="J11" s="20">
        <f>+bphvar!J23</f>
        <v>3064829.2666900004</v>
      </c>
      <c r="K11" s="51">
        <f>+(-L11+J11)/L11</f>
        <v>0.12880135989900551</v>
      </c>
      <c r="L11" s="20">
        <f>+bphvar!L23</f>
        <v>2715118.3330999995</v>
      </c>
      <c r="M11" s="51">
        <f>+(-N11+L11)/ABS(N11)</f>
        <v>0.29218589180313498</v>
      </c>
      <c r="N11" s="20">
        <f>+bphvar!N23</f>
        <v>2101182.4616900003</v>
      </c>
      <c r="O11" s="51">
        <f>+(-P11+N11)/ABS(P11)</f>
        <v>0.35150263004936683</v>
      </c>
      <c r="P11" s="20">
        <f>+bphvar!P23</f>
        <v>1554700.9787271</v>
      </c>
      <c r="Q11" s="48"/>
      <c r="R11" s="48"/>
      <c r="S11" s="48"/>
      <c r="T11" s="48"/>
      <c r="U11" s="48"/>
      <c r="V11" s="48"/>
      <c r="W11" s="48"/>
      <c r="X11" s="48"/>
      <c r="Y11" s="48"/>
      <c r="Z11" s="48"/>
      <c r="AA11" s="48"/>
    </row>
    <row r="12" spans="1:27">
      <c r="A12" t="s">
        <v>200</v>
      </c>
      <c r="B12" s="20">
        <f>+bphvar!B17</f>
        <v>223000</v>
      </c>
      <c r="C12" s="48">
        <v>0</v>
      </c>
      <c r="D12" s="20">
        <f>+bphvar!D17</f>
        <v>0</v>
      </c>
      <c r="E12" s="48">
        <v>0</v>
      </c>
      <c r="F12" s="20">
        <f>+bphvar!F17</f>
        <v>0</v>
      </c>
      <c r="G12" s="48">
        <v>0</v>
      </c>
      <c r="H12" s="20">
        <f>+bphvar!H17</f>
        <v>0</v>
      </c>
      <c r="I12" s="51">
        <f>+(B12-J12)/ABS(J12)</f>
        <v>1.23</v>
      </c>
      <c r="J12" s="20">
        <f>+bphvar!J17</f>
        <v>100000</v>
      </c>
      <c r="K12" s="48">
        <v>0</v>
      </c>
      <c r="L12" s="20">
        <f>+bphvar!L17</f>
        <v>0</v>
      </c>
      <c r="M12" s="48">
        <v>0</v>
      </c>
      <c r="N12" s="20">
        <f>+bphvar!N17</f>
        <v>0</v>
      </c>
      <c r="O12" s="48">
        <v>0</v>
      </c>
      <c r="P12" s="20">
        <f>+bphvar!P17</f>
        <v>170000</v>
      </c>
      <c r="Q12" s="48"/>
      <c r="R12" s="48"/>
      <c r="S12" s="48"/>
      <c r="T12" s="48"/>
      <c r="U12" s="48"/>
      <c r="V12" s="48"/>
      <c r="W12" s="48"/>
      <c r="X12" s="48"/>
      <c r="Y12" s="48"/>
      <c r="Z12" s="48"/>
      <c r="AA12" s="48"/>
    </row>
    <row r="13" spans="1:27">
      <c r="A13" t="s">
        <v>382</v>
      </c>
      <c r="B13" s="20">
        <f>+bphvar!B20</f>
        <v>858993.53526000003</v>
      </c>
      <c r="C13" s="48">
        <v>0</v>
      </c>
      <c r="D13" s="20">
        <f>+bphvar!D20</f>
        <v>0</v>
      </c>
      <c r="E13" s="48">
        <v>0</v>
      </c>
      <c r="F13" s="48">
        <f>+bphvar!F20</f>
        <v>0</v>
      </c>
      <c r="G13" s="48">
        <v>0</v>
      </c>
      <c r="H13" s="48">
        <f>+bphvar!H20</f>
        <v>0</v>
      </c>
      <c r="I13" s="51">
        <f>+(B13-J13)/ABS(J13)</f>
        <v>-0.10398476933662312</v>
      </c>
      <c r="J13" s="20">
        <f>+bphvar!J20</f>
        <v>958681.84587000008</v>
      </c>
      <c r="K13" s="51">
        <f>+(-L13+J13)/L13</f>
        <v>-0.12193940204639263</v>
      </c>
      <c r="L13" s="20">
        <f>+bphvar!L20</f>
        <v>1091817.4077099999</v>
      </c>
      <c r="M13" s="51">
        <f>+(-N13+L13)/ABS(N13)</f>
        <v>0.25277593719222724</v>
      </c>
      <c r="N13" s="20">
        <f>+bphvar!N20</f>
        <v>871518.50167000003</v>
      </c>
      <c r="O13" s="51">
        <f>+(-P13+N13)/ABS(P13)</f>
        <v>1.0467919032748421</v>
      </c>
      <c r="P13" s="20">
        <f>+bphvar!P20</f>
        <v>425797.31738999998</v>
      </c>
      <c r="Q13" s="48"/>
      <c r="R13" s="48"/>
      <c r="S13" s="48"/>
      <c r="T13" s="48"/>
      <c r="U13" s="48"/>
      <c r="V13" s="48"/>
      <c r="W13" s="48"/>
      <c r="X13" s="48"/>
      <c r="Y13" s="48"/>
      <c r="Z13" s="48"/>
      <c r="AA13" s="48"/>
    </row>
    <row r="14" spans="1:27">
      <c r="A14" t="s">
        <v>202</v>
      </c>
      <c r="B14" s="20">
        <f>+bphvar!B30</f>
        <v>2877905.6299900003</v>
      </c>
      <c r="C14" s="48">
        <v>0</v>
      </c>
      <c r="D14" s="20">
        <f>+bphvar!D30</f>
        <v>0</v>
      </c>
      <c r="E14" s="48">
        <v>0</v>
      </c>
      <c r="F14" s="48">
        <f>+bphvar!F30</f>
        <v>0</v>
      </c>
      <c r="G14" s="48">
        <v>0</v>
      </c>
      <c r="H14" s="48">
        <f>+bphvar!H30</f>
        <v>0</v>
      </c>
      <c r="I14" s="51">
        <f>+(B14-J14)/ABS(J14)</f>
        <v>4.4283199343757212E-2</v>
      </c>
      <c r="J14" s="20">
        <f>+bphvar!J30</f>
        <v>2755867.0213200003</v>
      </c>
      <c r="K14" s="51">
        <f>+(-L14+J14)/L14</f>
        <v>0.18667727716084431</v>
      </c>
      <c r="L14" s="20">
        <f>+bphvar!L30</f>
        <v>2322339.0844000001</v>
      </c>
      <c r="M14" s="51">
        <f>+(-N14+L14)/ABS(N14)</f>
        <v>0.26730206802465656</v>
      </c>
      <c r="N14" s="20">
        <f>+bphvar!N30</f>
        <v>1832506.3479300002</v>
      </c>
      <c r="O14" s="51">
        <f>+(-P14+N14)/ABS(P14)</f>
        <v>0.26709421169119918</v>
      </c>
      <c r="P14" s="20">
        <f>+bphvar!P30</f>
        <v>1446227.38469</v>
      </c>
      <c r="Q14" s="48"/>
      <c r="R14" s="48"/>
      <c r="S14" s="48"/>
      <c r="T14" s="48"/>
      <c r="U14" s="48"/>
      <c r="V14" s="48"/>
      <c r="W14" s="48"/>
      <c r="X14" s="48"/>
      <c r="Y14" s="48"/>
      <c r="Z14" s="48"/>
      <c r="AA14" s="48"/>
    </row>
    <row r="15" spans="1:27">
      <c r="A15" t="s">
        <v>203</v>
      </c>
      <c r="B15" s="20">
        <f>+bphvar!B52</f>
        <v>127762.48477000001</v>
      </c>
      <c r="C15" s="48">
        <v>0</v>
      </c>
      <c r="D15" s="20">
        <f>+bphvar!D52</f>
        <v>0</v>
      </c>
      <c r="E15" s="48">
        <v>0</v>
      </c>
      <c r="F15" s="48">
        <f>+bphvar!F52</f>
        <v>0</v>
      </c>
      <c r="G15" s="48">
        <v>0</v>
      </c>
      <c r="H15" s="48">
        <f>+bphvar!H52</f>
        <v>0</v>
      </c>
      <c r="I15" s="51">
        <f>+(B15-J15)/ABS(J15)</f>
        <v>-1.189824147553349E-2</v>
      </c>
      <c r="J15" s="20">
        <f>+bphvar!J52</f>
        <v>129300.93856000001</v>
      </c>
      <c r="K15" s="51">
        <f>+(-L15+J15)/L15</f>
        <v>-0.3385225961306505</v>
      </c>
      <c r="L15" s="20">
        <f>+bphvar!L52</f>
        <v>195472.94858999999</v>
      </c>
      <c r="M15" s="51">
        <f>+(-N15+L15)/ABS(N15)</f>
        <v>27.179588867081435</v>
      </c>
      <c r="N15" s="20">
        <f>+bphvar!N52</f>
        <v>6936.6856100000005</v>
      </c>
      <c r="O15" s="51">
        <f>+(-P15+N15)/ABS(P15)</f>
        <v>0.78540408145759177</v>
      </c>
      <c r="P15" s="20">
        <f>+bphvar!P52</f>
        <v>3885.2188599999936</v>
      </c>
      <c r="Q15" s="48"/>
      <c r="R15" s="48"/>
      <c r="S15" s="48"/>
      <c r="T15" s="48"/>
      <c r="U15" s="48"/>
      <c r="V15" s="48"/>
      <c r="W15" s="48"/>
      <c r="X15" s="48"/>
      <c r="Y15" s="48"/>
      <c r="Z15" s="48"/>
      <c r="AA15" s="48"/>
    </row>
    <row r="16" spans="1:27">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27" ht="16.5" thickBot="1">
      <c r="B17" s="168"/>
      <c r="C17" s="168"/>
      <c r="D17" s="168"/>
      <c r="E17" s="168"/>
      <c r="F17" s="168"/>
      <c r="G17" s="168"/>
      <c r="H17" s="168"/>
      <c r="I17" s="168"/>
      <c r="J17" s="168"/>
      <c r="K17" s="168"/>
      <c r="L17" s="168"/>
      <c r="M17" s="168"/>
      <c r="N17" s="168"/>
      <c r="O17" s="168"/>
      <c r="P17" s="168"/>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+'bncinfin '!B19</f>
        <v>2015</v>
      </c>
      <c r="C19" s="48"/>
      <c r="D19" s="56" t="str">
        <f>+'bncinfin '!D19</f>
        <v>2014</v>
      </c>
      <c r="E19" s="48"/>
      <c r="F19" s="56" t="str">
        <f>+'bncinfin '!F19</f>
        <v>2015</v>
      </c>
      <c r="G19" s="48"/>
      <c r="H19" s="56" t="str">
        <f>+'bncinfin '!H19</f>
        <v>2014</v>
      </c>
      <c r="I19" s="48"/>
      <c r="J19" s="56" t="str">
        <f>+'bncinfin '!J19</f>
        <v>2015</v>
      </c>
      <c r="K19" s="48"/>
      <c r="L19" s="56" t="str">
        <f>+'bncinfin '!L19</f>
        <v>2014</v>
      </c>
      <c r="M19" s="48"/>
      <c r="N19" s="56" t="str">
        <f>+'bncinfin '!N19</f>
        <v>2015</v>
      </c>
      <c r="O19" s="48"/>
      <c r="P19" s="56" t="str">
        <f>+'bncinfin '!P19</f>
        <v>2014</v>
      </c>
      <c r="Q19" s="48"/>
      <c r="R19" s="56" t="str">
        <f>+'bncinfin '!R19</f>
        <v>2015</v>
      </c>
      <c r="S19" s="48"/>
      <c r="T19" s="56" t="str">
        <f>+'bncinfin '!T19</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292" t="str">
        <f>+'bncinfin '!B21</f>
        <v>(oct. - déc. 14)</v>
      </c>
      <c r="C21" s="292"/>
      <c r="D21" s="292" t="str">
        <f>+'bncinfin '!D21</f>
        <v>(oct. - déc. 13)</v>
      </c>
      <c r="E21" s="186"/>
      <c r="F21" s="292" t="str">
        <f>+'bncinfin '!F21</f>
        <v>(janv. - mars 15)</v>
      </c>
      <c r="G21" s="292"/>
      <c r="H21" s="292" t="str">
        <f>+'bncinfin '!H21</f>
        <v>(janv. - mars 14)</v>
      </c>
      <c r="I21" s="186"/>
      <c r="J21" s="292" t="str">
        <f>+'bncinfin '!J21</f>
        <v>(avril - juin 15)</v>
      </c>
      <c r="K21" s="292"/>
      <c r="L21" s="292" t="str">
        <f>+'bncinfin '!L21</f>
        <v>(avril - juin 14)</v>
      </c>
      <c r="M21" s="186"/>
      <c r="N21" s="292" t="str">
        <f>+'bncinfin '!N21</f>
        <v>(juil. - sept. 15)</v>
      </c>
      <c r="O21" s="292"/>
      <c r="P21" s="292" t="str">
        <f>+'bncinfin '!P21</f>
        <v>(juil. - sept. 14)</v>
      </c>
      <c r="Q21" s="186"/>
      <c r="R21" s="292" t="str">
        <f>+'bncinfin '!R21</f>
        <v>(oct. - déc. 14)</v>
      </c>
      <c r="S21" s="292"/>
      <c r="T21" s="292" t="str">
        <f>+'bncinfin '!T21</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+'BPHRÉSULT  '!B15</f>
        <v>25237.194809999997</v>
      </c>
      <c r="C23" s="51">
        <f>+(-D23+B23)/ABS(D23)</f>
        <v>-0.23230012004826753</v>
      </c>
      <c r="D23" s="20">
        <f>+'BPHRÉSULT  '!D55</f>
        <v>32873.777199999997</v>
      </c>
      <c r="E23" s="48"/>
      <c r="F23" s="20">
        <f>+'BPHRÉSULT  '!D15</f>
        <v>0</v>
      </c>
      <c r="G23" s="48">
        <v>0</v>
      </c>
      <c r="H23" s="20">
        <f>+'BPHRÉSULT  '!H55</f>
        <v>24143.661899999999</v>
      </c>
      <c r="I23" s="48"/>
      <c r="J23" s="20">
        <f>+'BPHRÉSULT  '!F15</f>
        <v>0</v>
      </c>
      <c r="K23" s="48">
        <v>0</v>
      </c>
      <c r="L23" s="20">
        <f>+'BPHRÉSULT  '!L55</f>
        <v>27162.289390000002</v>
      </c>
      <c r="M23" s="48"/>
      <c r="N23" s="20">
        <f>+'BPHRÉSULT  '!H15</f>
        <v>0</v>
      </c>
      <c r="O23" s="48">
        <v>0</v>
      </c>
      <c r="P23" s="20">
        <f>+'BPHRÉSULT  '!P55</f>
        <v>21769.40166</v>
      </c>
      <c r="Q23" s="48"/>
      <c r="R23" s="20">
        <f>+'BPHRÉSULT  '!R55</f>
        <v>25237.194809999997</v>
      </c>
      <c r="S23" s="51">
        <f>+(-T23+R23)/ABS(T23)</f>
        <v>-0.23230012004826753</v>
      </c>
      <c r="T23" s="20">
        <f>+'BPHRÉSULT  '!T55</f>
        <v>32873.777199999997</v>
      </c>
      <c r="U23" s="48"/>
      <c r="V23" s="48"/>
      <c r="W23" s="48"/>
      <c r="X23" s="48"/>
      <c r="Y23" s="48"/>
      <c r="Z23" s="48"/>
      <c r="AA23" s="48"/>
    </row>
    <row r="24" spans="1:27">
      <c r="A24" t="s">
        <v>210</v>
      </c>
      <c r="B24" s="20">
        <f>+'BPHRÉSULT  '!B21</f>
        <v>18608.140829999997</v>
      </c>
      <c r="C24" s="51">
        <f>+(-D24+B24)/ABS(D24)</f>
        <v>0.69131143299624853</v>
      </c>
      <c r="D24" s="20">
        <f>+'BPHRÉSULT  '!D61</f>
        <v>11002.19656</v>
      </c>
      <c r="E24" s="48"/>
      <c r="F24" s="20">
        <f>+'BPHRÉSULT  '!D21</f>
        <v>0</v>
      </c>
      <c r="G24" s="48">
        <v>0</v>
      </c>
      <c r="H24" s="20">
        <f>+'BPHRÉSULT  '!H61</f>
        <v>12453.89266</v>
      </c>
      <c r="I24" s="48"/>
      <c r="J24" s="20">
        <f>+'BPHRÉSULT  '!F21</f>
        <v>0</v>
      </c>
      <c r="K24" s="48">
        <v>0</v>
      </c>
      <c r="L24" s="20">
        <f>+'BPHRÉSULT  '!L61</f>
        <v>8816.0112699999991</v>
      </c>
      <c r="M24" s="48"/>
      <c r="N24" s="20">
        <f>+'BPHRÉSULT  '!H21</f>
        <v>0</v>
      </c>
      <c r="O24" s="48">
        <v>0</v>
      </c>
      <c r="P24" s="20">
        <f>+'BPHRÉSULT  '!P61</f>
        <v>20101.714330000003</v>
      </c>
      <c r="Q24" s="48"/>
      <c r="R24" s="20">
        <f>+'BPHRÉSULT  '!R61</f>
        <v>18608.140829999997</v>
      </c>
      <c r="S24" s="51">
        <f>+(-T24+R24)/ABS(T24)</f>
        <v>0.69131143299624853</v>
      </c>
      <c r="T24" s="20">
        <f>+'BPHRÉSULT  '!T61</f>
        <v>11002.19656</v>
      </c>
      <c r="U24" s="48"/>
      <c r="V24" s="48"/>
      <c r="W24" s="48"/>
      <c r="X24" s="48"/>
      <c r="Y24" s="48"/>
      <c r="Z24" s="48"/>
      <c r="AA24" s="48"/>
    </row>
    <row r="25" spans="1:27">
      <c r="A25" t="s">
        <v>643</v>
      </c>
      <c r="B25" s="20">
        <f>+'BPHRÉSULT  '!B25</f>
        <v>11500.414280000001</v>
      </c>
      <c r="C25" s="51">
        <f>+(-D25+B25)/ABS(D25)</f>
        <v>1.788602081554876</v>
      </c>
      <c r="D25" s="20">
        <f>+'BPHRÉSULT  '!D65</f>
        <v>4124.0786399999997</v>
      </c>
      <c r="E25" s="48"/>
      <c r="F25" s="20">
        <f>+'BPHRÉSULT  '!D25</f>
        <v>0</v>
      </c>
      <c r="G25" s="48">
        <v>0</v>
      </c>
      <c r="H25" s="20">
        <f>+'BPHRÉSULT  '!H65</f>
        <v>13007.77253</v>
      </c>
      <c r="I25" s="48"/>
      <c r="J25" s="20">
        <f>+'BPHRÉSULT  '!F25</f>
        <v>0</v>
      </c>
      <c r="K25" s="48">
        <v>0</v>
      </c>
      <c r="L25" s="20">
        <f>+'BPHRÉSULT  '!L65</f>
        <v>11905.994049999999</v>
      </c>
      <c r="M25" s="48"/>
      <c r="N25" s="20">
        <f>+'BPHRÉSULT  '!H25</f>
        <v>0</v>
      </c>
      <c r="O25" s="48">
        <v>0</v>
      </c>
      <c r="P25" s="20">
        <f>+'BPHRÉSULT  '!P65</f>
        <v>8806.7321800000009</v>
      </c>
      <c r="Q25" s="48"/>
      <c r="R25" s="20">
        <f>+'BPHRÉSULT  '!R65</f>
        <v>11500.414280000001</v>
      </c>
      <c r="S25" s="51">
        <f>+(-T25+R25)/ABS(T25)</f>
        <v>1.788602081554876</v>
      </c>
      <c r="T25" s="20">
        <f>+'BPHRÉSULT  '!T65</f>
        <v>4124.0786399999997</v>
      </c>
      <c r="U25" s="48"/>
      <c r="V25" s="48"/>
      <c r="W25" s="48"/>
      <c r="X25" s="48"/>
      <c r="Y25" s="48"/>
      <c r="Z25" s="48"/>
      <c r="AA25" s="48"/>
    </row>
    <row r="26" spans="1:27">
      <c r="A26" t="s">
        <v>212</v>
      </c>
      <c r="B26" s="20">
        <f>+'BPHRÉSULT  '!B35</f>
        <v>33873.008179999997</v>
      </c>
      <c r="C26" s="51">
        <f>+(-D26+B26)/ABS(D26)</f>
        <v>2.8027357748301146E-2</v>
      </c>
      <c r="D26" s="20">
        <f>+'BPHRÉSULT  '!D75</f>
        <v>32949.520189999996</v>
      </c>
      <c r="E26" s="48"/>
      <c r="F26" s="20">
        <f>+'BPHRÉSULT  '!D35</f>
        <v>0</v>
      </c>
      <c r="G26" s="48">
        <v>0</v>
      </c>
      <c r="H26" s="20">
        <f>+'BPHRÉSULT  '!H75</f>
        <v>30551.348469999997</v>
      </c>
      <c r="I26" s="48"/>
      <c r="J26" s="20">
        <f>+'BPHRÉSULT  '!F35</f>
        <v>0</v>
      </c>
      <c r="K26" s="48">
        <v>0</v>
      </c>
      <c r="L26" s="20">
        <f>+'BPHRÉSULT  '!L75</f>
        <v>31704.777109999999</v>
      </c>
      <c r="M26" s="48"/>
      <c r="N26" s="20">
        <f>+'BPHRÉSULT  '!H35</f>
        <v>0</v>
      </c>
      <c r="O26" s="48">
        <v>0</v>
      </c>
      <c r="P26" s="20">
        <f>+'BPHRÉSULT  '!P75</f>
        <v>30803.37182</v>
      </c>
      <c r="Q26" s="48"/>
      <c r="R26" s="20">
        <f>+'BPHRÉSULT  '!R75</f>
        <v>33873.008179999997</v>
      </c>
      <c r="S26" s="51">
        <f>+(-T26+R26)/ABS(T26)</f>
        <v>2.8027357748301146E-2</v>
      </c>
      <c r="T26" s="20">
        <f>+'BPHRÉSULT  '!T75</f>
        <v>32949.520189999996</v>
      </c>
      <c r="U26" s="48"/>
      <c r="V26" s="48"/>
      <c r="W26" s="48"/>
      <c r="X26" s="48"/>
      <c r="Y26" s="48"/>
      <c r="Z26" s="48"/>
      <c r="AA26" s="48"/>
    </row>
    <row r="27" spans="1:27">
      <c r="A27" t="s">
        <v>383</v>
      </c>
      <c r="B27" s="20">
        <f>+'BPHRÉSULT  '!B41</f>
        <v>-1528.0868200000077</v>
      </c>
      <c r="C27" s="51">
        <f>+(-D27+B27)/ABS(D27)</f>
        <v>-1.2246401934213891</v>
      </c>
      <c r="D27" s="20">
        <f>+'BPHRÉSULT  '!D81</f>
        <v>6802.3749299999981</v>
      </c>
      <c r="E27" s="48"/>
      <c r="F27" s="20">
        <f>+'BPHRÉSULT  '!D41</f>
        <v>0</v>
      </c>
      <c r="G27" s="48">
        <v>0</v>
      </c>
      <c r="H27" s="20">
        <f>+'BPHRÉSULT  '!H81</f>
        <v>-6961.5664400000023</v>
      </c>
      <c r="I27" s="48"/>
      <c r="J27" s="20">
        <f>+'BPHRÉSULT  '!F41</f>
        <v>0</v>
      </c>
      <c r="K27" s="48">
        <v>0</v>
      </c>
      <c r="L27" s="20">
        <f>+'BPHRÉSULT  '!L81</f>
        <v>-7632.4704999999994</v>
      </c>
      <c r="M27" s="48"/>
      <c r="N27" s="20">
        <f>+'BPHRÉSULT  '!H41</f>
        <v>0</v>
      </c>
      <c r="O27" s="48">
        <v>0</v>
      </c>
      <c r="P27" s="20">
        <f>+'BPHRÉSULT  '!P81</f>
        <v>2261.0119900000063</v>
      </c>
      <c r="Q27" s="48"/>
      <c r="R27" s="20">
        <f>+'BPHRÉSULT  '!R81</f>
        <v>-1528.0868200000077</v>
      </c>
      <c r="S27" s="51">
        <f>+(-T27+R27)/ABS(T27)</f>
        <v>-1.2246401934213891</v>
      </c>
      <c r="T27" s="20">
        <f>+'BPHRÉSULT  '!T81</f>
        <v>6802.3749299999981</v>
      </c>
      <c r="U27" s="48"/>
      <c r="V27" s="48"/>
      <c r="W27" s="48"/>
      <c r="X27" s="48"/>
      <c r="Y27" s="48"/>
      <c r="Z27" s="48"/>
      <c r="AA27" s="48"/>
    </row>
    <row r="28" spans="1:27">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56" t="str">
        <f>+'bncinfin '!B32</f>
        <v>2015</v>
      </c>
      <c r="C31" s="56" t="str">
        <f>+'bncinfin '!C32</f>
        <v>2014</v>
      </c>
      <c r="D31" s="48"/>
      <c r="E31" s="56" t="str">
        <f>+'bncinfin '!E32</f>
        <v>2015</v>
      </c>
      <c r="F31" s="56" t="str">
        <f>+'bncinfin '!F32</f>
        <v>2014</v>
      </c>
      <c r="G31" s="48"/>
      <c r="H31" s="56" t="str">
        <f>+'bncinfin '!H32</f>
        <v>2015</v>
      </c>
      <c r="I31" s="56" t="str">
        <f>+'bncinfin '!I32</f>
        <v>2014</v>
      </c>
      <c r="J31" s="48"/>
      <c r="K31" s="56" t="str">
        <f>+'bncinfin '!K32</f>
        <v>2015</v>
      </c>
      <c r="L31" s="56" t="str">
        <f>+'bncinfin '!L32</f>
        <v>2014</v>
      </c>
      <c r="M31" s="48"/>
      <c r="N31" s="56" t="str">
        <f>+'bncinfin '!N32</f>
        <v>2015</v>
      </c>
      <c r="O31" s="56" t="str">
        <f>+'bncinfin '!O32</f>
        <v>2014</v>
      </c>
      <c r="P31" s="48"/>
      <c r="U31" s="48"/>
      <c r="V31" s="48"/>
      <c r="W31" s="48"/>
      <c r="X31" s="48"/>
      <c r="Y31" s="48"/>
      <c r="Z31" s="48"/>
      <c r="AA31" s="48"/>
    </row>
    <row r="32" spans="1:27" ht="16.5" thickBot="1">
      <c r="B32" s="55" t="s">
        <v>204</v>
      </c>
      <c r="C32" s="55" t="s">
        <v>204</v>
      </c>
      <c r="D32" s="48"/>
      <c r="E32" s="55" t="s">
        <v>205</v>
      </c>
      <c r="F32" s="55" t="s">
        <v>205</v>
      </c>
      <c r="G32" s="48"/>
      <c r="H32" s="55" t="s">
        <v>206</v>
      </c>
      <c r="I32" s="55" t="s">
        <v>206</v>
      </c>
      <c r="J32" s="48"/>
      <c r="K32" s="55" t="s">
        <v>207</v>
      </c>
      <c r="L32" s="55" t="s">
        <v>207</v>
      </c>
      <c r="M32" s="48"/>
      <c r="N32" s="55" t="s">
        <v>208</v>
      </c>
      <c r="O32" s="55" t="s">
        <v>208</v>
      </c>
      <c r="P32" s="48"/>
      <c r="Q32" s="111" t="s">
        <v>214</v>
      </c>
      <c r="R32" s="111"/>
      <c r="S32" s="111"/>
      <c r="T32" s="111"/>
      <c r="U32" s="48"/>
      <c r="V32" s="48"/>
      <c r="W32" s="48"/>
      <c r="X32" s="48"/>
      <c r="Y32" s="48"/>
      <c r="Z32" s="48"/>
      <c r="AA32" s="48"/>
    </row>
    <row r="33" spans="1:27" ht="16.5" thickBot="1">
      <c r="B33" s="292" t="str">
        <f>+'bncinfin '!B34</f>
        <v>(oct. - déc. 14)</v>
      </c>
      <c r="C33" s="292" t="str">
        <f>+'bncinfin '!C34</f>
        <v>(oct. - déc. 13)</v>
      </c>
      <c r="D33" s="186"/>
      <c r="E33" s="292" t="str">
        <f>+'bncinfin '!E34</f>
        <v>(janv. - mars 15)</v>
      </c>
      <c r="F33" s="292" t="str">
        <f>+'bncinfin '!F34</f>
        <v>(janv. - mars 14)</v>
      </c>
      <c r="G33" s="186"/>
      <c r="H33" s="292" t="str">
        <f>+'bncinfin '!H34</f>
        <v>(avril - juin 15)</v>
      </c>
      <c r="I33" s="292" t="str">
        <f>+'bncinfin '!I34</f>
        <v>(avril - juin 14)</v>
      </c>
      <c r="J33" s="186"/>
      <c r="K33" s="292" t="str">
        <f>+'bncinfin '!K34</f>
        <v>(juil. - sept. 15)</v>
      </c>
      <c r="L33" s="292" t="str">
        <f>+'bncinfin '!L34</f>
        <v>(juil. - sept. 14)</v>
      </c>
      <c r="M33" s="186"/>
      <c r="N33" s="162" t="str">
        <f>+'bncinfin '!N34</f>
        <v>(oct. - déc. 14)</v>
      </c>
      <c r="O33" s="162" t="str">
        <f>+'bncinfin '!O34</f>
        <v>(oct. - déc. 13)</v>
      </c>
      <c r="P33" s="48"/>
      <c r="Q33" s="163" t="str">
        <f>+'bncinfin '!Q34</f>
        <v>2014</v>
      </c>
      <c r="R33" s="163" t="str">
        <f>+'bncinfin '!R34</f>
        <v>2013</v>
      </c>
      <c r="S33" s="163" t="str">
        <f>+'bncinfin '!S34</f>
        <v>2012</v>
      </c>
      <c r="T33" s="163" t="str">
        <f>+'bncinfin '!T34</f>
        <v>2011</v>
      </c>
      <c r="U33" s="48"/>
      <c r="V33" s="48"/>
      <c r="W33" s="48"/>
      <c r="X33" s="48"/>
      <c r="Y33" s="48"/>
      <c r="Z33" s="48"/>
      <c r="AA33" s="48"/>
    </row>
    <row r="34" spans="1:27">
      <c r="B34" s="315"/>
      <c r="C34" s="315"/>
      <c r="D34" s="186"/>
      <c r="E34" s="315"/>
      <c r="F34" s="315"/>
      <c r="G34" s="186"/>
      <c r="H34" s="315"/>
      <c r="I34" s="315"/>
      <c r="J34" s="186"/>
      <c r="K34" s="315"/>
      <c r="L34" s="315"/>
      <c r="M34" s="186"/>
      <c r="N34" s="315"/>
      <c r="O34" s="315"/>
      <c r="P34" s="48"/>
      <c r="Q34" s="316"/>
      <c r="R34" s="316"/>
      <c r="S34" s="316"/>
      <c r="T34" s="316"/>
      <c r="U34" s="48"/>
      <c r="V34" s="48"/>
      <c r="W34" s="48"/>
      <c r="X34" s="48"/>
      <c r="Y34" s="48"/>
      <c r="Z34" s="48"/>
      <c r="AA34" s="48"/>
    </row>
    <row r="35" spans="1:27">
      <c r="A35" s="11" t="s">
        <v>215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spans="1:27">
      <c r="A36" s="164" t="s">
        <v>216</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1" t="s">
        <v>384</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1"/>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t="s">
        <v>218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s="11"/>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row>
    <row r="41" spans="1:27">
      <c r="A41" t="s">
        <v>219</v>
      </c>
      <c r="B41" s="61"/>
      <c r="C41" s="61"/>
      <c r="D41" s="61"/>
      <c r="E41" s="61"/>
      <c r="F41" s="61"/>
      <c r="G41" s="61"/>
      <c r="H41" s="61"/>
      <c r="I41" s="61"/>
      <c r="J41" s="61"/>
      <c r="K41" s="61"/>
      <c r="L41" s="61"/>
      <c r="M41" s="61"/>
      <c r="N41" s="61"/>
      <c r="O41" s="61"/>
      <c r="P41" s="61"/>
      <c r="Q41" s="63"/>
      <c r="R41" s="63"/>
      <c r="S41" s="63"/>
      <c r="T41" s="63"/>
      <c r="U41" s="48"/>
      <c r="V41" s="48"/>
      <c r="W41" s="48"/>
      <c r="X41" s="48"/>
      <c r="Y41" s="48"/>
      <c r="Z41" s="48"/>
      <c r="AA41" s="48"/>
    </row>
    <row r="42" spans="1:27">
      <c r="A42" t="s">
        <v>220</v>
      </c>
      <c r="B42" s="62">
        <f>+bphvar!B52/bphvar!B23</f>
        <v>3.9939764088963867E-2</v>
      </c>
      <c r="C42" s="63">
        <v>6.9873517845933028E-2</v>
      </c>
      <c r="D42" s="63"/>
      <c r="E42" s="321">
        <v>0</v>
      </c>
      <c r="F42" s="62">
        <v>4.4185734457917347E-2</v>
      </c>
      <c r="G42" s="63"/>
      <c r="H42" s="321">
        <v>0</v>
      </c>
      <c r="I42" s="62">
        <v>3.8863119571471115E-2</v>
      </c>
      <c r="J42" s="63"/>
      <c r="K42" s="321">
        <v>0</v>
      </c>
      <c r="L42" s="63">
        <v>4.2188626937657882E-2</v>
      </c>
      <c r="M42" s="61"/>
      <c r="N42" s="63">
        <f>+B42</f>
        <v>3.9939764088963867E-2</v>
      </c>
      <c r="O42" s="63">
        <f>+C42</f>
        <v>6.9873517845933028E-2</v>
      </c>
      <c r="P42" s="61"/>
      <c r="Q42" s="63">
        <v>4.2200000000000001E-2</v>
      </c>
      <c r="R42" s="63">
        <v>7.1999999999999995E-2</v>
      </c>
      <c r="S42" s="63">
        <v>3.3E-3</v>
      </c>
      <c r="T42" s="63">
        <v>2.4990135808501185E-3</v>
      </c>
      <c r="U42" s="48"/>
      <c r="V42" s="48"/>
      <c r="W42" s="48"/>
      <c r="X42" s="48"/>
      <c r="Y42" s="48"/>
      <c r="Z42" s="48"/>
      <c r="AA42" s="48"/>
    </row>
    <row r="43" spans="1:27">
      <c r="B43" s="62"/>
      <c r="C43" s="63"/>
      <c r="D43" s="63"/>
      <c r="E43" s="61"/>
      <c r="F43" s="61"/>
      <c r="G43" s="63"/>
      <c r="H43" s="61"/>
      <c r="I43" s="63"/>
      <c r="J43" s="63"/>
      <c r="K43" s="61"/>
      <c r="L43" s="63"/>
      <c r="M43" s="61"/>
      <c r="N43" s="62" t="s">
        <v>0</v>
      </c>
      <c r="O43" s="62" t="s">
        <v>0</v>
      </c>
      <c r="P43" s="61"/>
      <c r="Q43" s="63" t="s">
        <v>0</v>
      </c>
      <c r="R43" s="63" t="s">
        <v>0</v>
      </c>
      <c r="S43" s="63" t="s">
        <v>0</v>
      </c>
      <c r="T43" s="63" t="s">
        <v>0</v>
      </c>
      <c r="U43" s="48"/>
      <c r="V43" s="48"/>
      <c r="W43" s="48"/>
      <c r="X43" s="48"/>
      <c r="Y43" s="48"/>
      <c r="Z43" s="48"/>
      <c r="AA43" s="48"/>
    </row>
    <row r="44" spans="1:27">
      <c r="A44" t="s">
        <v>221</v>
      </c>
      <c r="B44" s="62">
        <f>+bphvar!B30/bphvar!B23</f>
        <v>0.89966058611824484</v>
      </c>
      <c r="C44" s="63">
        <v>0.86628158103503294</v>
      </c>
      <c r="D44" s="63"/>
      <c r="E44" s="321">
        <v>0</v>
      </c>
      <c r="F44" s="62">
        <v>0.86804106997588648</v>
      </c>
      <c r="G44" s="63"/>
      <c r="H44" s="321">
        <v>0</v>
      </c>
      <c r="I44" s="62">
        <v>0.87248261195119647</v>
      </c>
      <c r="J44" s="63"/>
      <c r="K44" s="321">
        <v>0</v>
      </c>
      <c r="L44" s="63">
        <v>0.89919104182149834</v>
      </c>
      <c r="M44" s="61"/>
      <c r="N44" s="63">
        <f>+B44</f>
        <v>0.89966058611824484</v>
      </c>
      <c r="O44" s="63">
        <f>+C44</f>
        <v>0.86628158103503294</v>
      </c>
      <c r="P44" s="61"/>
      <c r="Q44" s="63">
        <v>0.8992</v>
      </c>
      <c r="R44" s="63">
        <v>0.85529999999999995</v>
      </c>
      <c r="S44" s="63">
        <v>0.87209999999999999</v>
      </c>
      <c r="T44" s="63">
        <v>0.93022864491542812</v>
      </c>
      <c r="U44" s="48"/>
      <c r="V44" s="48"/>
      <c r="W44" s="48"/>
      <c r="X44" s="48"/>
      <c r="Y44" s="48"/>
      <c r="Z44" s="48"/>
      <c r="AA44" s="48"/>
    </row>
    <row r="45" spans="1:27">
      <c r="A45" t="s">
        <v>0</v>
      </c>
      <c r="B45" s="61"/>
      <c r="C45" s="63"/>
      <c r="D45" s="63"/>
      <c r="E45" s="61"/>
      <c r="F45" s="61"/>
      <c r="G45" s="63"/>
      <c r="H45" s="61"/>
      <c r="I45" s="63"/>
      <c r="J45" s="63"/>
      <c r="K45" s="61"/>
      <c r="L45" s="63"/>
      <c r="M45" s="61"/>
      <c r="N45" s="63"/>
      <c r="O45" s="62" t="s">
        <v>0</v>
      </c>
      <c r="P45" s="61"/>
      <c r="Q45" s="63"/>
      <c r="R45" s="63"/>
      <c r="S45" s="63"/>
      <c r="T45" s="63"/>
      <c r="U45" s="48"/>
      <c r="V45" s="48"/>
      <c r="W45" s="48"/>
      <c r="X45" s="48"/>
      <c r="Y45" s="48"/>
      <c r="Z45" s="48"/>
      <c r="AA45" s="48"/>
    </row>
    <row r="46" spans="1:27">
      <c r="A46" s="11" t="s">
        <v>222</v>
      </c>
      <c r="B46" s="61"/>
      <c r="C46" s="63"/>
      <c r="D46" s="63"/>
      <c r="E46" s="61"/>
      <c r="F46" s="61"/>
      <c r="G46" s="63"/>
      <c r="H46" s="61"/>
      <c r="I46" s="63"/>
      <c r="J46" s="63"/>
      <c r="K46" s="61"/>
      <c r="L46" s="63"/>
      <c r="M46" s="61"/>
      <c r="N46" s="63"/>
      <c r="O46" s="62" t="s">
        <v>0</v>
      </c>
      <c r="P46" s="61"/>
      <c r="Q46" s="63"/>
      <c r="R46" s="63"/>
      <c r="S46" s="63"/>
      <c r="T46" s="63"/>
      <c r="U46" s="48"/>
      <c r="V46" s="48"/>
      <c r="W46" s="48"/>
      <c r="X46" s="48"/>
      <c r="Y46" s="48"/>
      <c r="Z46" s="48"/>
      <c r="AA46" s="48"/>
    </row>
    <row r="47" spans="1:27">
      <c r="A47" s="11"/>
      <c r="B47" s="61"/>
      <c r="C47" s="63"/>
      <c r="D47" s="63"/>
      <c r="E47" s="61"/>
      <c r="F47" s="61"/>
      <c r="G47" s="63"/>
      <c r="H47" s="61"/>
      <c r="I47" s="63"/>
      <c r="J47" s="63"/>
      <c r="K47" s="61"/>
      <c r="L47" s="63"/>
      <c r="M47" s="61"/>
      <c r="N47" s="63"/>
      <c r="O47" s="62" t="s">
        <v>0</v>
      </c>
      <c r="P47" s="61"/>
      <c r="Q47" s="63"/>
      <c r="R47" s="63"/>
      <c r="S47" s="63"/>
      <c r="T47" s="63"/>
      <c r="U47" s="48"/>
      <c r="V47" s="48"/>
      <c r="W47" s="48"/>
      <c r="X47" s="48"/>
      <c r="Y47" s="48"/>
      <c r="Z47" s="48"/>
      <c r="AA47" s="48"/>
    </row>
    <row r="48" spans="1:27">
      <c r="A48" t="s">
        <v>223</v>
      </c>
      <c r="B48" s="61"/>
      <c r="C48" s="63"/>
      <c r="D48" s="63"/>
      <c r="E48" s="61"/>
      <c r="F48" s="61"/>
      <c r="G48" s="63"/>
      <c r="H48" s="61"/>
      <c r="I48" s="63"/>
      <c r="J48" s="63"/>
      <c r="K48" s="61"/>
      <c r="L48" s="63"/>
      <c r="M48" s="61"/>
      <c r="N48" s="63"/>
      <c r="O48" s="62" t="s">
        <v>0</v>
      </c>
      <c r="P48" s="61"/>
      <c r="Q48" s="63"/>
      <c r="R48" s="63"/>
      <c r="S48" s="63"/>
      <c r="T48" s="63"/>
      <c r="U48" s="48"/>
      <c r="V48" s="48"/>
      <c r="W48" s="48"/>
      <c r="X48" s="48"/>
      <c r="Y48" s="48"/>
      <c r="Z48" s="48"/>
      <c r="AA48" s="48"/>
    </row>
    <row r="49" spans="1:27">
      <c r="A49" t="s">
        <v>224</v>
      </c>
      <c r="B49" s="63">
        <f>+bphvar!B63/bphvar!B61</f>
        <v>0.42149904261516191</v>
      </c>
      <c r="C49" s="63">
        <v>0.26520396111000499</v>
      </c>
      <c r="D49" s="63"/>
      <c r="E49" s="61">
        <v>0</v>
      </c>
      <c r="F49" s="63">
        <v>0.31478098996230286</v>
      </c>
      <c r="G49" s="63"/>
      <c r="H49" s="61">
        <v>0</v>
      </c>
      <c r="I49" s="63">
        <v>0.32612986204396305</v>
      </c>
      <c r="J49" s="63"/>
      <c r="K49" s="61">
        <v>0</v>
      </c>
      <c r="L49" s="63">
        <v>0.37448527940987691</v>
      </c>
      <c r="M49" s="61"/>
      <c r="N49" s="63">
        <f>+B49</f>
        <v>0.42149904261516191</v>
      </c>
      <c r="O49" s="63">
        <f>+C49</f>
        <v>0.26520396111000499</v>
      </c>
      <c r="P49" s="61"/>
      <c r="Q49" s="62">
        <v>0.3745</v>
      </c>
      <c r="R49" s="62">
        <v>0.33979999999999999</v>
      </c>
      <c r="S49" s="62">
        <v>0.30630000000000002</v>
      </c>
      <c r="T49" s="62">
        <v>0.45874064471304349</v>
      </c>
      <c r="U49" s="48"/>
      <c r="V49" s="48"/>
      <c r="W49" s="48"/>
      <c r="X49" s="48"/>
      <c r="Y49" s="48"/>
      <c r="Z49" s="48"/>
      <c r="AA49" s="48"/>
    </row>
    <row r="50" spans="1:27">
      <c r="B50" s="61"/>
      <c r="C50" s="63"/>
      <c r="D50" s="63"/>
      <c r="E50" s="61"/>
      <c r="F50" s="61"/>
      <c r="G50" s="63"/>
      <c r="H50" s="61"/>
      <c r="I50" s="63"/>
      <c r="J50" s="63"/>
      <c r="K50" s="61"/>
      <c r="L50" s="63"/>
      <c r="M50" s="61"/>
      <c r="N50" s="63"/>
      <c r="O50" s="62" t="s">
        <v>0</v>
      </c>
      <c r="P50" s="61"/>
      <c r="Q50" s="63"/>
      <c r="R50" s="63"/>
      <c r="S50" s="63"/>
      <c r="T50" s="63"/>
      <c r="U50" s="48"/>
      <c r="V50" s="48"/>
      <c r="W50" s="48"/>
      <c r="X50" s="48"/>
      <c r="Y50" s="48"/>
      <c r="Z50" s="48"/>
      <c r="AA50" s="48"/>
    </row>
    <row r="51" spans="1:27">
      <c r="A51" t="s">
        <v>225</v>
      </c>
      <c r="B51" s="61"/>
      <c r="C51" s="63"/>
      <c r="D51" s="63"/>
      <c r="E51" s="61"/>
      <c r="F51" s="61"/>
      <c r="G51" s="63"/>
      <c r="H51" s="61"/>
      <c r="I51" s="63"/>
      <c r="J51" s="63"/>
      <c r="K51" s="61"/>
      <c r="L51" s="63"/>
      <c r="M51" s="61"/>
      <c r="N51" s="63"/>
      <c r="O51" s="62" t="s">
        <v>0</v>
      </c>
      <c r="P51" s="61"/>
      <c r="Q51" s="63"/>
      <c r="R51" s="63"/>
      <c r="S51" s="63"/>
      <c r="T51" s="63"/>
      <c r="U51" s="48"/>
      <c r="V51" s="48"/>
      <c r="W51" s="48"/>
      <c r="X51" s="48"/>
      <c r="Y51" s="48"/>
      <c r="Z51" s="48"/>
      <c r="AA51" s="48"/>
    </row>
    <row r="52" spans="1:27">
      <c r="A52" t="s">
        <v>226</v>
      </c>
      <c r="B52" s="63">
        <f>+bphvar!B62/bphvar!B63</f>
        <v>0.78210492856796243</v>
      </c>
      <c r="C52" s="63">
        <v>0.8820343312270964</v>
      </c>
      <c r="D52" s="63"/>
      <c r="E52" s="61">
        <v>0</v>
      </c>
      <c r="F52" s="63">
        <v>0.88276095821598211</v>
      </c>
      <c r="G52" s="63"/>
      <c r="H52" s="61">
        <v>0</v>
      </c>
      <c r="I52" s="63">
        <v>0.88237344601231438</v>
      </c>
      <c r="J52" s="63"/>
      <c r="K52" s="61">
        <v>0</v>
      </c>
      <c r="L52" s="63">
        <v>0.80118869579563157</v>
      </c>
      <c r="M52" s="61"/>
      <c r="N52" s="63">
        <f>+B52</f>
        <v>0.78210492856796243</v>
      </c>
      <c r="O52" s="63">
        <f>+C52</f>
        <v>0.8820343312270964</v>
      </c>
      <c r="P52" s="61"/>
      <c r="Q52" s="63">
        <v>0.80120000000000002</v>
      </c>
      <c r="R52" s="63">
        <v>0.6845</v>
      </c>
      <c r="S52" s="63">
        <v>0.89329999999999998</v>
      </c>
      <c r="T52" s="63">
        <v>0.83088609974300143</v>
      </c>
      <c r="U52" s="48"/>
      <c r="V52" s="48"/>
      <c r="W52" s="48"/>
      <c r="X52" s="48"/>
      <c r="Y52" s="48"/>
      <c r="Z52" s="48"/>
      <c r="AA52" s="48"/>
    </row>
    <row r="53" spans="1:27">
      <c r="B53" s="61"/>
      <c r="C53" s="63"/>
      <c r="D53" s="63"/>
      <c r="E53" s="61"/>
      <c r="F53" s="61"/>
      <c r="G53" s="63"/>
      <c r="H53" s="61"/>
      <c r="I53" s="63"/>
      <c r="J53" s="63"/>
      <c r="K53" s="61"/>
      <c r="L53" s="61"/>
      <c r="M53" s="61"/>
      <c r="N53" s="63"/>
      <c r="O53" s="62" t="s">
        <v>0</v>
      </c>
      <c r="P53" s="61"/>
      <c r="Q53" s="63"/>
      <c r="R53" s="63"/>
      <c r="S53" s="63"/>
      <c r="T53" s="63"/>
      <c r="U53" s="48"/>
      <c r="V53" s="48"/>
      <c r="W53" s="48"/>
      <c r="X53" s="48"/>
      <c r="Y53" s="48"/>
      <c r="Z53" s="48"/>
      <c r="AA53" s="48"/>
    </row>
    <row r="54" spans="1:27">
      <c r="A54" t="s">
        <v>227</v>
      </c>
      <c r="B54" s="61"/>
      <c r="C54" s="63"/>
      <c r="D54" s="63"/>
      <c r="E54" s="61"/>
      <c r="F54" s="61"/>
      <c r="G54" s="63"/>
      <c r="H54" s="61"/>
      <c r="I54" s="63"/>
      <c r="J54" s="63"/>
      <c r="K54" s="61"/>
      <c r="L54" s="61"/>
      <c r="M54" s="61"/>
      <c r="N54" s="63"/>
      <c r="O54" s="62" t="s">
        <v>0</v>
      </c>
      <c r="P54" s="61"/>
      <c r="Q54" s="63"/>
      <c r="R54" s="63"/>
      <c r="S54" s="63"/>
      <c r="T54" s="63"/>
      <c r="U54" s="48"/>
      <c r="V54" s="48"/>
      <c r="W54" s="48"/>
      <c r="X54" s="48"/>
      <c r="Y54" s="48"/>
      <c r="Z54" s="48"/>
      <c r="AA54" s="48"/>
    </row>
    <row r="55" spans="1:27">
      <c r="A55" t="s">
        <v>228</v>
      </c>
      <c r="B55" s="62">
        <f>+(bphvar!B63-bphvar!B62)/bphvar!B52</f>
        <v>0.92115588061449161</v>
      </c>
      <c r="C55" s="63">
        <v>0.22116966381111081</v>
      </c>
      <c r="D55" s="63"/>
      <c r="E55" s="321">
        <v>0</v>
      </c>
      <c r="F55" s="63">
        <v>0.39601902281196266</v>
      </c>
      <c r="G55" s="63"/>
      <c r="H55" s="321">
        <v>0</v>
      </c>
      <c r="I55" s="63">
        <v>0.43387749357918248</v>
      </c>
      <c r="J55" s="63"/>
      <c r="K55" s="321">
        <v>0</v>
      </c>
      <c r="L55" s="63">
        <v>0.78862640958988361</v>
      </c>
      <c r="M55" s="61"/>
      <c r="N55" s="63">
        <f>+B55</f>
        <v>0.92115588061449161</v>
      </c>
      <c r="O55" s="63">
        <f>+C55</f>
        <v>0.22116966381111081</v>
      </c>
      <c r="P55" s="61"/>
      <c r="Q55" s="63">
        <v>0.78859999999999997</v>
      </c>
      <c r="R55" s="63">
        <v>0.7802</v>
      </c>
      <c r="S55" s="63">
        <v>5.6512000000000002</v>
      </c>
      <c r="T55" s="63">
        <v>13.739041689404358</v>
      </c>
      <c r="U55" s="48"/>
      <c r="V55" s="48"/>
      <c r="W55" s="48"/>
      <c r="X55" s="48"/>
      <c r="Y55" s="48"/>
      <c r="Z55" s="48"/>
      <c r="AA55" s="48"/>
    </row>
    <row r="56" spans="1:27">
      <c r="A56" t="s">
        <v>0</v>
      </c>
      <c r="B56" s="61"/>
      <c r="C56" s="63"/>
      <c r="D56" s="63"/>
      <c r="E56" s="61"/>
      <c r="F56" s="61"/>
      <c r="G56" s="63"/>
      <c r="H56" s="61"/>
      <c r="I56" s="63"/>
      <c r="J56" s="63"/>
      <c r="K56" s="61"/>
      <c r="L56" s="61"/>
      <c r="M56" s="61"/>
      <c r="N56" s="61"/>
      <c r="O56" s="63"/>
      <c r="P56" s="61"/>
      <c r="Q56" s="63"/>
      <c r="R56" s="63"/>
      <c r="S56" s="63"/>
      <c r="T56" s="63"/>
      <c r="U56" s="48"/>
      <c r="V56" s="48"/>
      <c r="W56" s="48"/>
      <c r="X56" s="48"/>
      <c r="Y56" s="48"/>
      <c r="Z56" s="48"/>
      <c r="AA56" s="48"/>
    </row>
    <row r="57" spans="1:27">
      <c r="A57" s="11" t="s">
        <v>229</v>
      </c>
      <c r="B57" s="61"/>
      <c r="C57" s="63"/>
      <c r="D57" s="63"/>
      <c r="E57" s="61"/>
      <c r="F57" s="61"/>
      <c r="G57" s="63"/>
      <c r="H57" s="61"/>
      <c r="I57" s="63"/>
      <c r="J57" s="63"/>
      <c r="K57" s="61"/>
      <c r="L57" s="61"/>
      <c r="M57" s="61"/>
      <c r="N57" s="61"/>
      <c r="O57" s="63"/>
      <c r="P57" s="61"/>
      <c r="Q57" s="63"/>
      <c r="R57" s="63"/>
      <c r="S57" s="63"/>
      <c r="T57" s="63"/>
      <c r="U57" s="48"/>
      <c r="V57" s="48"/>
      <c r="W57" s="48"/>
      <c r="X57" s="48"/>
      <c r="Y57" s="48"/>
      <c r="Z57" s="48"/>
      <c r="AA57" s="48"/>
    </row>
    <row r="58" spans="1:27">
      <c r="A58" s="11"/>
      <c r="B58" s="61"/>
      <c r="C58" s="63"/>
      <c r="D58" s="63"/>
      <c r="E58" s="61"/>
      <c r="F58" s="61"/>
      <c r="G58" s="63"/>
      <c r="H58" s="61"/>
      <c r="I58" s="63"/>
      <c r="J58" s="63"/>
      <c r="K58" s="61"/>
      <c r="L58" s="61"/>
      <c r="M58" s="61"/>
      <c r="N58" s="61"/>
      <c r="O58" s="63"/>
      <c r="P58" s="61"/>
      <c r="Q58" s="63"/>
      <c r="R58" s="63"/>
      <c r="S58" s="63"/>
      <c r="T58" s="63"/>
      <c r="U58" s="48"/>
      <c r="V58" s="48"/>
      <c r="W58" s="48"/>
      <c r="X58" s="48"/>
      <c r="Y58" s="48"/>
      <c r="Z58" s="48"/>
      <c r="AA58" s="48"/>
    </row>
    <row r="59" spans="1:27">
      <c r="A59" t="s">
        <v>230</v>
      </c>
      <c r="B59" s="63">
        <f>+('BPHRÉSULT  '!B41/((bphvar!B23+bphvar!J23)/2)*4)</f>
        <v>-1.9516703916058161E-3</v>
      </c>
      <c r="C59" s="62">
        <v>9.7003623778287792E-3</v>
      </c>
      <c r="D59" s="63"/>
      <c r="E59" s="61">
        <v>0</v>
      </c>
      <c r="F59" s="63">
        <v>-9.3715104071115402E-3</v>
      </c>
      <c r="G59" s="63"/>
      <c r="H59" s="61">
        <v>0</v>
      </c>
      <c r="I59" s="63">
        <v>-9.6662836636660799E-3</v>
      </c>
      <c r="J59" s="63"/>
      <c r="K59" s="61">
        <v>0</v>
      </c>
      <c r="L59" s="63">
        <v>2.855833419768662E-3</v>
      </c>
      <c r="M59" s="61"/>
      <c r="N59" s="317">
        <f>+'sysratfinclédéc. 14'!C37</f>
        <v>-1.9516703916058161E-3</v>
      </c>
      <c r="O59" s="317">
        <f>+'sysratfinclédéc. 14'!C38</f>
        <v>9.7000000000000003E-3</v>
      </c>
      <c r="P59" s="61"/>
      <c r="Q59" s="63">
        <v>-1.9E-3</v>
      </c>
      <c r="R59" s="63">
        <v>1.29E-2</v>
      </c>
      <c r="S59" s="63">
        <v>1.3899999999999999E-2</v>
      </c>
      <c r="T59" s="63">
        <v>1.3343949342911986E-2</v>
      </c>
      <c r="U59" s="48"/>
      <c r="V59" s="48"/>
      <c r="W59" s="48"/>
      <c r="X59" s="48"/>
      <c r="Y59" s="48"/>
      <c r="Z59" s="48"/>
      <c r="AA59" s="48"/>
    </row>
    <row r="60" spans="1:27" ht="7.15" customHeight="1">
      <c r="B60" s="61"/>
      <c r="C60" s="63"/>
      <c r="D60" s="63"/>
      <c r="E60" s="61"/>
      <c r="F60" s="61"/>
      <c r="G60" s="63"/>
      <c r="H60" s="61"/>
      <c r="I60" s="63"/>
      <c r="J60" s="63"/>
      <c r="K60" s="61"/>
      <c r="L60" s="63"/>
      <c r="M60" s="61"/>
      <c r="N60" s="61"/>
      <c r="O60" s="61"/>
      <c r="P60" s="61"/>
      <c r="Q60" s="63"/>
      <c r="R60" s="63"/>
      <c r="S60" s="63"/>
      <c r="T60" s="63"/>
      <c r="U60" s="48"/>
      <c r="V60" s="48"/>
      <c r="W60" s="48"/>
      <c r="X60" s="48"/>
      <c r="Y60" s="48"/>
      <c r="Z60" s="48"/>
      <c r="AA60" s="48"/>
    </row>
    <row r="61" spans="1:27">
      <c r="A61" t="s">
        <v>390</v>
      </c>
      <c r="B61" s="63">
        <f>+('BPHRÉSULT  '!B41/((bphvar!B52+bphvar!J52)/2)*4)</f>
        <v>-4.7555169077114698E-2</v>
      </c>
      <c r="C61" s="63">
        <v>0.13681768877552919</v>
      </c>
      <c r="D61" s="63"/>
      <c r="E61" s="61">
        <v>0</v>
      </c>
      <c r="F61" s="63">
        <v>-0.16528537797747711</v>
      </c>
      <c r="G61" s="63"/>
      <c r="H61" s="61">
        <v>0</v>
      </c>
      <c r="I61" s="62">
        <v>-0.23330870763270256</v>
      </c>
      <c r="J61" s="63"/>
      <c r="K61" s="61">
        <v>0</v>
      </c>
      <c r="L61" s="63">
        <v>7.0562670180686571E-2</v>
      </c>
      <c r="M61" s="61"/>
      <c r="N61" s="317">
        <f>+'sysratfinclédéc. 14'!C43</f>
        <v>-4.7555169077114698E-2</v>
      </c>
      <c r="O61" s="317">
        <f>+'sysratfinclédéc. 14'!C44</f>
        <v>0.1368</v>
      </c>
      <c r="P61" s="61"/>
      <c r="Q61" s="63">
        <v>-3.4099999999999998E-2</v>
      </c>
      <c r="R61" s="63">
        <v>0.307</v>
      </c>
      <c r="S61" s="63">
        <v>4.7069000000000001</v>
      </c>
      <c r="T61" s="63">
        <v>0.7968048827680545</v>
      </c>
      <c r="U61" s="48"/>
      <c r="V61" s="48"/>
      <c r="W61" s="48"/>
      <c r="X61" s="48"/>
      <c r="Y61" s="48"/>
      <c r="Z61" s="48"/>
      <c r="AA61" s="48"/>
    </row>
    <row r="62" spans="1:27" ht="7.15" customHeight="1">
      <c r="B62" s="61"/>
      <c r="C62" s="63"/>
      <c r="D62" s="63"/>
      <c r="E62" s="61"/>
      <c r="F62" s="61"/>
      <c r="G62" s="63"/>
      <c r="H62" s="61"/>
      <c r="I62" s="62"/>
      <c r="J62" s="63"/>
      <c r="K62" s="61"/>
      <c r="L62" s="63"/>
      <c r="M62" s="61"/>
      <c r="N62" s="61"/>
      <c r="O62" s="61"/>
      <c r="P62" s="61"/>
      <c r="Q62" s="63"/>
      <c r="R62" s="63"/>
      <c r="S62" s="63"/>
      <c r="T62" s="63"/>
      <c r="U62" s="48"/>
      <c r="V62" s="48"/>
      <c r="W62" s="48"/>
      <c r="X62" s="48"/>
      <c r="Y62" s="48"/>
      <c r="Z62" s="48"/>
      <c r="AA62" s="48"/>
    </row>
    <row r="63" spans="1:27">
      <c r="A63" t="s">
        <v>209</v>
      </c>
      <c r="B63" s="61"/>
      <c r="C63" s="63"/>
      <c r="D63" s="63"/>
      <c r="E63" s="61"/>
      <c r="F63" s="61"/>
      <c r="G63" s="63"/>
      <c r="H63" s="61"/>
      <c r="I63" s="63"/>
      <c r="J63" s="63"/>
      <c r="K63" s="61"/>
      <c r="L63" s="63"/>
      <c r="M63" s="61"/>
      <c r="N63" s="61"/>
      <c r="O63" s="61"/>
      <c r="P63" s="61"/>
      <c r="Q63" s="63"/>
      <c r="R63" s="63"/>
      <c r="S63" s="63"/>
      <c r="T63" s="63"/>
      <c r="U63" s="48"/>
      <c r="V63" s="48"/>
      <c r="W63" s="48"/>
      <c r="X63" s="48"/>
      <c r="Y63" s="48"/>
      <c r="Z63" s="48"/>
      <c r="AA63" s="48"/>
    </row>
    <row r="64" spans="1:27">
      <c r="A64" t="s">
        <v>233</v>
      </c>
      <c r="B64" s="63">
        <f>+'BPHRÉSULT  '!B15/'BPHRÉSULT  '!B13</f>
        <v>0.86782008472664585</v>
      </c>
      <c r="C64" s="63">
        <v>0.93785010685086212</v>
      </c>
      <c r="D64" s="63"/>
      <c r="E64" s="61">
        <v>0</v>
      </c>
      <c r="F64" s="63">
        <v>0.88494060756366844</v>
      </c>
      <c r="G64" s="63"/>
      <c r="H64" s="61">
        <v>0</v>
      </c>
      <c r="I64" s="63">
        <v>0.91945332057157547</v>
      </c>
      <c r="J64" s="63"/>
      <c r="K64" s="61">
        <v>0</v>
      </c>
      <c r="L64" s="63">
        <v>0.88584206716912439</v>
      </c>
      <c r="M64" s="61"/>
      <c r="N64" s="317">
        <f>+'sysratfinclédéc. 14'!C50</f>
        <v>0.86782008472664585</v>
      </c>
      <c r="O64" s="317">
        <f>+'sysratfinclédéc. 14'!C51</f>
        <v>0.93785010685086212</v>
      </c>
      <c r="P64" s="61"/>
      <c r="Q64" s="63">
        <v>0.90980000000000005</v>
      </c>
      <c r="R64" s="63">
        <v>0.93689999999999996</v>
      </c>
      <c r="S64" s="63">
        <v>0.95830000000000004</v>
      </c>
      <c r="T64" s="63">
        <v>0.95859470368067357</v>
      </c>
      <c r="U64" s="48"/>
      <c r="V64" s="48"/>
      <c r="W64" s="48"/>
      <c r="X64" s="48"/>
      <c r="Y64" s="48"/>
      <c r="Z64" s="48"/>
      <c r="AA64" s="48"/>
    </row>
    <row r="65" spans="1:27" ht="7.15" customHeight="1">
      <c r="B65" s="61"/>
      <c r="C65" s="63"/>
      <c r="D65" s="63"/>
      <c r="E65" s="61"/>
      <c r="F65" s="61"/>
      <c r="G65" s="63"/>
      <c r="H65" s="61"/>
      <c r="I65" s="63"/>
      <c r="J65" s="63"/>
      <c r="K65" s="61"/>
      <c r="L65" s="63"/>
      <c r="M65" s="61"/>
      <c r="N65" s="61"/>
      <c r="O65" s="61"/>
      <c r="P65" s="61"/>
      <c r="Q65" s="63"/>
      <c r="R65" s="63"/>
      <c r="S65" s="63"/>
      <c r="T65" s="63"/>
      <c r="U65" s="48"/>
      <c r="V65" s="48"/>
      <c r="W65" s="48"/>
      <c r="X65" s="48"/>
      <c r="Y65" s="48"/>
      <c r="Z65" s="48"/>
      <c r="AA65" s="48"/>
    </row>
    <row r="66" spans="1:27">
      <c r="A66" t="s">
        <v>234</v>
      </c>
      <c r="B66" s="63">
        <f>+('BPHRÉSULT  '!B10/((bphvar!B61+bphvar!J61)/2)*4)</f>
        <v>7.8262741450539769E-2</v>
      </c>
      <c r="C66" s="60">
        <v>9.8016638818426732E-2</v>
      </c>
      <c r="D66" s="60"/>
      <c r="E66" s="61">
        <v>0</v>
      </c>
      <c r="F66" s="60">
        <v>7.3741853225727585E-2</v>
      </c>
      <c r="G66" s="60"/>
      <c r="H66" s="61">
        <v>0</v>
      </c>
      <c r="I66" s="60">
        <v>7.6887791440000533E-2</v>
      </c>
      <c r="J66" s="60"/>
      <c r="K66" s="61">
        <v>0</v>
      </c>
      <c r="L66" s="60">
        <v>6.465529767455018E-2</v>
      </c>
      <c r="M66" s="17"/>
      <c r="N66" s="317">
        <f>+'sysratfinclédéc. 14'!C56</f>
        <v>7.8262741450539769E-2</v>
      </c>
      <c r="O66" s="317">
        <f>+'sysratfinclédéc. 14'!C57</f>
        <v>9.8000000000000004E-2</v>
      </c>
      <c r="P66" s="17"/>
      <c r="Q66" s="60">
        <v>8.0100000000000005E-2</v>
      </c>
      <c r="R66" s="60">
        <v>9.6600000000000005E-2</v>
      </c>
      <c r="S66" s="60">
        <v>0.126</v>
      </c>
      <c r="T66" s="60">
        <v>0.1356268137295043</v>
      </c>
    </row>
    <row r="67" spans="1:27" ht="7.15" customHeight="1">
      <c r="B67" s="17"/>
      <c r="C67" s="60"/>
      <c r="D67" s="60"/>
      <c r="E67" s="54"/>
      <c r="F67" s="54"/>
      <c r="G67" s="60"/>
      <c r="H67" s="54"/>
      <c r="I67" s="60"/>
      <c r="J67" s="60"/>
      <c r="K67" s="54"/>
      <c r="L67" s="60"/>
      <c r="M67" s="17"/>
      <c r="N67" s="54"/>
      <c r="O67" s="17"/>
      <c r="P67" s="17"/>
      <c r="Q67" s="60"/>
      <c r="R67" s="60"/>
      <c r="S67" s="60"/>
      <c r="T67" s="60"/>
    </row>
    <row r="68" spans="1:27" ht="15.75" customHeight="1">
      <c r="A68" t="s">
        <v>630</v>
      </c>
      <c r="B68" s="984">
        <f>+('BPHRÉSULT  '!B10/((bphvar!B61-bphvar!B63+bphvar!J61-bphvar!J63)/2)*4)</f>
        <v>0.12983421517045293</v>
      </c>
      <c r="C68" s="984">
        <v>0.14050721769351976</v>
      </c>
      <c r="D68" s="60"/>
      <c r="E68" s="54">
        <v>0</v>
      </c>
      <c r="F68" s="60">
        <v>0.10387979225175298</v>
      </c>
      <c r="G68" s="60"/>
      <c r="H68" s="54">
        <v>0</v>
      </c>
      <c r="I68" s="60">
        <v>0.11314333844997787</v>
      </c>
      <c r="J68" s="60"/>
      <c r="K68" s="54">
        <v>0</v>
      </c>
      <c r="L68" s="60">
        <v>9.9428128417788433E-2</v>
      </c>
      <c r="M68" s="17"/>
      <c r="N68" s="317">
        <f>+'sysratfinclédéc. 14'!C62</f>
        <v>0.12983421517045296</v>
      </c>
      <c r="O68" s="317">
        <f>+'sysratfinclédéc. 14'!C63</f>
        <v>0.14050000000000001</v>
      </c>
      <c r="P68" s="17"/>
      <c r="Q68" s="60">
        <v>0.1245</v>
      </c>
      <c r="R68" s="60">
        <v>0.14299999999999999</v>
      </c>
      <c r="S68" s="60">
        <v>0.19750000000000001</v>
      </c>
      <c r="T68" s="60">
        <v>0.24032906586922684</v>
      </c>
    </row>
    <row r="69" spans="1:27" ht="7.15" customHeight="1">
      <c r="B69" s="17"/>
      <c r="C69" s="60"/>
      <c r="D69" s="60"/>
      <c r="E69" s="54"/>
      <c r="F69" s="54"/>
      <c r="G69" s="60"/>
      <c r="H69" s="54"/>
      <c r="I69" s="60"/>
      <c r="J69" s="60"/>
      <c r="K69" s="54"/>
      <c r="L69" s="60"/>
      <c r="M69" s="17"/>
      <c r="N69" s="54"/>
      <c r="O69" s="17"/>
      <c r="P69" s="17"/>
      <c r="Q69" s="60"/>
      <c r="R69" s="60"/>
      <c r="S69" s="60"/>
      <c r="T69" s="60"/>
    </row>
    <row r="70" spans="1:27">
      <c r="A70" t="s">
        <v>235</v>
      </c>
      <c r="B70" s="63">
        <f>+('BPHRÉSULT  '!B14/((bphvar!B30+bphvar!J30)/2)*4)</f>
        <v>5.4584271931614877E-3</v>
      </c>
      <c r="C70" s="60">
        <v>3.6081845241800036E-3</v>
      </c>
      <c r="D70" s="60"/>
      <c r="E70" s="61">
        <v>0</v>
      </c>
      <c r="F70" s="60">
        <v>4.8730679724535344E-3</v>
      </c>
      <c r="G70" s="60"/>
      <c r="H70" s="61">
        <v>0</v>
      </c>
      <c r="I70" s="60">
        <v>3.4625018131110514E-3</v>
      </c>
      <c r="J70" s="60"/>
      <c r="K70" s="61">
        <v>0</v>
      </c>
      <c r="L70" s="60">
        <v>4.0020597359762588E-3</v>
      </c>
      <c r="M70" s="17"/>
      <c r="N70" s="317">
        <f>+'sysratfinclédéc. 14'!C68</f>
        <v>5.4584271931614877E-3</v>
      </c>
      <c r="O70" s="317">
        <f>+'sysratfinclédéc. 14'!C69</f>
        <v>3.5999999999999999E-3</v>
      </c>
      <c r="P70" s="17"/>
      <c r="Q70" s="60">
        <v>4.1000000000000003E-3</v>
      </c>
      <c r="R70" s="60">
        <v>4.0000000000000001E-3</v>
      </c>
      <c r="S70" s="60">
        <v>3.0000000000000001E-3</v>
      </c>
      <c r="T70" s="60">
        <v>2.9093426087123285E-3</v>
      </c>
    </row>
    <row r="71" spans="1:27" ht="6" customHeight="1">
      <c r="B71" s="17"/>
      <c r="C71" s="60"/>
      <c r="D71" s="60"/>
      <c r="E71" s="54"/>
      <c r="F71" s="54"/>
      <c r="G71" s="60"/>
      <c r="H71" s="54"/>
      <c r="I71" s="60"/>
      <c r="J71" s="60"/>
      <c r="K71" s="54"/>
      <c r="L71" s="60"/>
      <c r="M71" s="17"/>
      <c r="N71" s="54"/>
      <c r="O71" s="17"/>
      <c r="P71" s="17"/>
      <c r="Q71" s="60"/>
      <c r="R71" s="60"/>
      <c r="S71" s="60"/>
      <c r="T71" s="60"/>
    </row>
    <row r="72" spans="1:27">
      <c r="A72" t="s">
        <v>212</v>
      </c>
      <c r="B72" s="17"/>
      <c r="C72" s="60"/>
      <c r="D72" s="60"/>
      <c r="E72" s="54"/>
      <c r="F72" s="54"/>
      <c r="G72" s="60"/>
      <c r="H72" s="54"/>
      <c r="I72" s="60"/>
      <c r="J72" s="60"/>
      <c r="K72" s="54"/>
      <c r="L72" s="60"/>
      <c r="M72" s="17"/>
      <c r="N72" s="54"/>
      <c r="O72" s="17"/>
      <c r="P72" s="17"/>
      <c r="Q72" s="60"/>
      <c r="R72" s="60"/>
      <c r="S72" s="60"/>
      <c r="T72" s="60"/>
    </row>
    <row r="73" spans="1:27">
      <c r="A73" t="s">
        <v>236</v>
      </c>
      <c r="B73" s="63">
        <f>+'BPHRÉSULT  '!B35/'BPHRÉSULT  '!B23</f>
        <v>0.77255670838331403</v>
      </c>
      <c r="C73" s="60">
        <v>0.75096954816849637</v>
      </c>
      <c r="D73" s="60"/>
      <c r="E73" s="61">
        <v>0</v>
      </c>
      <c r="F73" s="63">
        <v>0.83479207387784549</v>
      </c>
      <c r="G73" s="60"/>
      <c r="H73" s="61">
        <v>0</v>
      </c>
      <c r="I73" s="63">
        <v>0.88121941638140722</v>
      </c>
      <c r="J73" s="60"/>
      <c r="K73" s="61">
        <v>0</v>
      </c>
      <c r="L73" s="60">
        <v>0.73567114445568416</v>
      </c>
      <c r="M73" s="17"/>
      <c r="N73" s="317">
        <f>+'sysratfinclédéc. 14'!C76</f>
        <v>0.77255670838331403</v>
      </c>
      <c r="O73" s="317">
        <f>+'sysratfinclédéc. 14'!C77</f>
        <v>0.75096954816849637</v>
      </c>
      <c r="P73" s="17"/>
      <c r="Q73" s="60">
        <v>0.79590000000000005</v>
      </c>
      <c r="R73" s="60">
        <v>0.65820000000000001</v>
      </c>
      <c r="S73" s="60">
        <v>0.64039999999999997</v>
      </c>
      <c r="T73" s="60">
        <v>0.75830646466932616</v>
      </c>
    </row>
    <row r="74" spans="1:27">
      <c r="A74" t="s">
        <v>385</v>
      </c>
      <c r="B74" s="17"/>
      <c r="C74" s="60"/>
      <c r="D74" s="60"/>
      <c r="E74" s="54"/>
      <c r="F74" s="54"/>
      <c r="G74" s="60"/>
      <c r="H74" s="54"/>
      <c r="I74" s="54"/>
      <c r="J74" s="60"/>
      <c r="K74" s="54"/>
      <c r="L74" s="54"/>
      <c r="M74" s="17"/>
      <c r="N74" s="54"/>
      <c r="O74" s="17"/>
      <c r="P74" s="17"/>
      <c r="Q74" s="60"/>
      <c r="R74" s="60"/>
      <c r="S74" s="60"/>
      <c r="T74" s="60"/>
    </row>
    <row r="75" spans="1:27">
      <c r="B75" s="17"/>
      <c r="C75" s="60"/>
      <c r="D75" s="60"/>
      <c r="E75" s="54"/>
      <c r="F75" s="54"/>
      <c r="G75" s="60"/>
      <c r="H75" s="54"/>
      <c r="I75" s="54"/>
      <c r="J75" s="60"/>
      <c r="K75" s="54"/>
      <c r="L75" s="54"/>
      <c r="M75" s="17"/>
      <c r="N75" s="54"/>
      <c r="O75" s="17"/>
      <c r="P75" s="17"/>
      <c r="Q75" s="60"/>
      <c r="R75" s="60"/>
      <c r="S75" s="60"/>
      <c r="T75" s="60"/>
    </row>
    <row r="76" spans="1:27">
      <c r="A76" t="s">
        <v>238</v>
      </c>
      <c r="B76" s="1311">
        <f>+('BPHRÉSULT  '!B23/((+employés!G138+employés!G136)/2)*4)</f>
        <v>1131.492532645161</v>
      </c>
      <c r="C76" s="54">
        <v>1235.9429228169013</v>
      </c>
      <c r="D76" s="60"/>
      <c r="E76" s="54">
        <f>+('BPHRÉSULT  '!D23/((employés!G130+employés!G132)/2)*4)</f>
        <v>0</v>
      </c>
      <c r="F76" s="54">
        <v>1023.7078198601398</v>
      </c>
      <c r="G76" s="60"/>
      <c r="H76" s="54">
        <v>0</v>
      </c>
      <c r="I76" s="54">
        <v>975.68272976271192</v>
      </c>
      <c r="J76" s="60"/>
      <c r="K76" s="54">
        <f>+('BPHRÉSULT  '!H23/((employés!G134+employés!G136)/2)*4)</f>
        <v>0</v>
      </c>
      <c r="L76" s="54">
        <v>1091.1039997394139</v>
      </c>
      <c r="M76" s="17"/>
      <c r="N76" s="662">
        <f>+'sysratfinclédéc. 14'!C82</f>
        <v>1131.492532645161</v>
      </c>
      <c r="O76" s="662">
        <f>+'sysratfinclédéc. 14'!C83</f>
        <v>1235.94</v>
      </c>
      <c r="P76" s="17"/>
      <c r="Q76" s="54">
        <v>1069.75</v>
      </c>
      <c r="R76" s="54">
        <v>1295.8900000000001</v>
      </c>
      <c r="S76" s="54">
        <v>1179.46</v>
      </c>
      <c r="T76" s="54">
        <v>1041.9257682071714</v>
      </c>
    </row>
    <row r="77" spans="1:27" ht="16.5" thickBot="1">
      <c r="B77" s="25"/>
      <c r="C77" s="25"/>
      <c r="D77" s="25"/>
      <c r="E77" s="25"/>
      <c r="F77" s="25"/>
      <c r="G77" s="25"/>
      <c r="H77" s="25"/>
      <c r="I77" s="25"/>
      <c r="J77" s="25"/>
      <c r="K77" s="25"/>
      <c r="L77" s="25"/>
      <c r="M77" s="25"/>
      <c r="N77" s="25"/>
      <c r="O77" s="25"/>
      <c r="P77" s="25"/>
      <c r="Q77" s="25"/>
      <c r="R77" s="25"/>
      <c r="S77" s="25"/>
      <c r="T77" s="25"/>
    </row>
    <row r="79" spans="1:27">
      <c r="E79" t="s">
        <v>0</v>
      </c>
    </row>
    <row r="80" spans="1:27">
      <c r="E80" t="s">
        <v>0</v>
      </c>
    </row>
  </sheetData>
  <phoneticPr fontId="0" type="noConversion"/>
  <pageMargins left="0.2" right="0.2" top="0.5" bottom="0.39" header="0.39" footer="0.2"/>
  <pageSetup scale="43" orientation="landscape" r:id="rId1"/>
  <headerFooter alignWithMargins="0">
    <oddFooter>&amp;R&amp;16&amp;P</oddFooter>
  </headerFooter>
</worksheet>
</file>

<file path=xl/worksheets/sheet73.xml><?xml version="1.0" encoding="utf-8"?>
<worksheet xmlns="http://schemas.openxmlformats.org/spreadsheetml/2006/main" xmlns:r="http://schemas.openxmlformats.org/officeDocument/2006/relationships">
  <sheetPr>
    <pageSetUpPr fitToPage="1"/>
  </sheetPr>
  <dimension ref="A1:U172"/>
  <sheetViews>
    <sheetView topLeftCell="A6" workbookViewId="0">
      <pane xSplit="1" ySplit="2" topLeftCell="B8"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7.87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11.3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11" t="s">
        <v>398</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ht="16.5" thickBot="1">
      <c r="B6" s="215" t="s">
        <v>0</v>
      </c>
      <c r="C6" s="193"/>
      <c r="D6" s="194"/>
      <c r="E6" s="193"/>
      <c r="F6" s="194"/>
      <c r="G6" s="193"/>
      <c r="H6" s="194"/>
      <c r="I6" s="402" t="str">
        <f>+bncvar!I6</f>
        <v>Var. déc. 14</v>
      </c>
      <c r="J6" s="118" t="s">
        <v>195</v>
      </c>
      <c r="K6" s="43"/>
      <c r="L6" s="42"/>
      <c r="M6" s="43"/>
      <c r="N6" s="42"/>
      <c r="O6" s="43"/>
      <c r="P6" s="42"/>
    </row>
    <row r="7" spans="1:21" s="11" customFormat="1" ht="16.5" thickBot="1">
      <c r="B7" s="200" t="str">
        <f>+bncvar!B7</f>
        <v>Déc. 14</v>
      </c>
      <c r="C7" s="201" t="s">
        <v>196</v>
      </c>
      <c r="D7" s="200" t="str">
        <f>+bncvar!D7</f>
        <v>Mars 15</v>
      </c>
      <c r="E7" s="201" t="s">
        <v>196</v>
      </c>
      <c r="F7" s="200" t="str">
        <f>+bncvar!F7</f>
        <v>Juin 15</v>
      </c>
      <c r="G7" s="201" t="s">
        <v>196</v>
      </c>
      <c r="H7" s="200" t="str">
        <f>+bncvar!H7</f>
        <v>Sept. 15</v>
      </c>
      <c r="I7" s="376" t="str">
        <f>+bncvar!I7</f>
        <v>/sept. 14</v>
      </c>
      <c r="J7" s="1020" t="str">
        <f>+bncvar!J7</f>
        <v>2014</v>
      </c>
      <c r="K7" s="204" t="s">
        <v>196</v>
      </c>
      <c r="L7" s="1020" t="str">
        <f>+bncvar!L7</f>
        <v>2013</v>
      </c>
      <c r="M7" s="204" t="s">
        <v>196</v>
      </c>
      <c r="N7" s="1020" t="str">
        <f>+bncvar!N7</f>
        <v>2012</v>
      </c>
      <c r="O7" s="204" t="s">
        <v>196</v>
      </c>
      <c r="P7" s="1020" t="str">
        <f>+bncvar!P7</f>
        <v>2011</v>
      </c>
      <c r="Q7" s="2"/>
      <c r="R7" s="2"/>
      <c r="S7" s="3"/>
      <c r="T7" s="3"/>
      <c r="U7" s="3"/>
    </row>
    <row r="8" spans="1:21">
      <c r="A8" s="86" t="s">
        <v>244</v>
      </c>
      <c r="B8" s="120"/>
      <c r="C8" s="119"/>
      <c r="D8" s="120"/>
      <c r="E8" s="119"/>
      <c r="F8" s="120"/>
      <c r="G8" s="119"/>
      <c r="H8" s="120"/>
      <c r="I8" s="119"/>
      <c r="J8" s="197"/>
      <c r="K8" s="119"/>
      <c r="L8" s="197"/>
      <c r="M8" s="119"/>
      <c r="N8" s="197"/>
      <c r="O8" s="119"/>
      <c r="P8" s="197"/>
      <c r="Q8" s="22"/>
      <c r="R8" s="22"/>
      <c r="S8" s="17"/>
      <c r="T8" s="17"/>
      <c r="U8" s="17"/>
    </row>
    <row r="9" spans="1:21">
      <c r="A9" s="10" t="s">
        <v>255</v>
      </c>
      <c r="B9" t="s">
        <v>0</v>
      </c>
    </row>
    <row r="10" spans="1:21">
      <c r="A10" s="10" t="s">
        <v>256</v>
      </c>
      <c r="B10" s="20">
        <v>158344.90801000001</v>
      </c>
      <c r="C10" s="49">
        <v>0</v>
      </c>
      <c r="D10" s="12">
        <v>0</v>
      </c>
      <c r="E10" s="49">
        <v>0</v>
      </c>
      <c r="F10" s="20">
        <v>0</v>
      </c>
      <c r="G10" s="49">
        <v>0</v>
      </c>
      <c r="H10" s="20">
        <v>0</v>
      </c>
      <c r="I10" s="52">
        <f>+(B10-J10)/ABS(J10)</f>
        <v>1.3312991431918935</v>
      </c>
      <c r="J10" s="20">
        <v>67921.316949999993</v>
      </c>
      <c r="K10" s="52">
        <f>+(J10-L10)/L10</f>
        <v>-0.24401173249894093</v>
      </c>
      <c r="L10" s="20">
        <v>89844.406149999995</v>
      </c>
      <c r="M10" s="52">
        <f>+(L10-N10)/N10</f>
        <v>-6.8120219358550865E-2</v>
      </c>
      <c r="N10" s="20">
        <v>96412.01367</v>
      </c>
      <c r="O10" s="52">
        <f>+(N10-P10)/P10</f>
        <v>5.3500044306121992E-2</v>
      </c>
      <c r="P10" s="20">
        <v>91515.908509999994</v>
      </c>
    </row>
    <row r="11" spans="1:21">
      <c r="A11" s="10" t="s">
        <v>257</v>
      </c>
      <c r="B11" s="20">
        <v>1474128.9915499999</v>
      </c>
      <c r="C11" s="49">
        <v>0</v>
      </c>
      <c r="D11" s="20">
        <v>0</v>
      </c>
      <c r="E11" s="49">
        <v>0</v>
      </c>
      <c r="F11" s="20">
        <v>0</v>
      </c>
      <c r="G11" s="49">
        <v>0</v>
      </c>
      <c r="H11" s="20">
        <v>0</v>
      </c>
      <c r="I11" s="52">
        <f>+(B11-J11)/ABS(J11)</f>
        <v>0.52648983631071555</v>
      </c>
      <c r="J11" s="20">
        <v>965698.53037000005</v>
      </c>
      <c r="K11" s="52">
        <f>+(J11-L11)/L11</f>
        <v>0.11672795423767481</v>
      </c>
      <c r="L11" s="20">
        <v>864757.19238999998</v>
      </c>
      <c r="M11" s="52">
        <f>+(L11-N11)/N11</f>
        <v>0.12775653192490491</v>
      </c>
      <c r="N11" s="20">
        <v>766794.2219</v>
      </c>
      <c r="O11" s="52">
        <f>+(N11-P11)/P11</f>
        <v>0.42179257133929288</v>
      </c>
      <c r="P11" s="20">
        <v>539315.11343999999</v>
      </c>
    </row>
    <row r="12" spans="1:21">
      <c r="A12" s="10" t="s">
        <v>258</v>
      </c>
      <c r="B12" s="20">
        <v>58764.294320000001</v>
      </c>
      <c r="C12" s="49">
        <v>0</v>
      </c>
      <c r="D12" s="20">
        <v>0</v>
      </c>
      <c r="E12" s="49">
        <v>0</v>
      </c>
      <c r="F12" s="20">
        <v>0</v>
      </c>
      <c r="G12" s="49">
        <v>0</v>
      </c>
      <c r="H12" s="20">
        <v>0</v>
      </c>
      <c r="I12" s="52">
        <f>+(B12-J12)/ABS(J12)</f>
        <v>-0.90613281294063364</v>
      </c>
      <c r="J12" s="20">
        <v>626036.59661000001</v>
      </c>
      <c r="K12" s="52">
        <f>+(J12-L12)/L12</f>
        <v>0.62315883049867993</v>
      </c>
      <c r="L12" s="20">
        <v>385690.28788000002</v>
      </c>
      <c r="M12" s="52">
        <f>+(L12-N12)/N12</f>
        <v>5.8441589809875882</v>
      </c>
      <c r="N12" s="20">
        <v>56353.204089999999</v>
      </c>
      <c r="O12" s="52">
        <f>+(N12-P12)/P12</f>
        <v>-0.33063466423007432</v>
      </c>
      <c r="P12" s="20">
        <v>84189.008719999998</v>
      </c>
    </row>
    <row r="13" spans="1:21">
      <c r="A13" s="10" t="s">
        <v>259</v>
      </c>
      <c r="B13" s="20">
        <v>0</v>
      </c>
      <c r="C13" s="49">
        <v>0</v>
      </c>
      <c r="D13" s="20">
        <v>0</v>
      </c>
      <c r="E13" s="49">
        <v>0</v>
      </c>
      <c r="F13" s="20">
        <v>0</v>
      </c>
      <c r="G13" s="49">
        <v>0</v>
      </c>
      <c r="H13" s="20">
        <v>0</v>
      </c>
      <c r="I13" s="49">
        <v>0</v>
      </c>
      <c r="J13" s="20">
        <v>0</v>
      </c>
      <c r="K13" s="49">
        <v>0</v>
      </c>
      <c r="L13" s="20">
        <v>0</v>
      </c>
      <c r="M13" s="49">
        <v>0</v>
      </c>
      <c r="N13" s="20">
        <v>0</v>
      </c>
      <c r="O13" s="49">
        <v>0</v>
      </c>
      <c r="P13" s="20">
        <v>0</v>
      </c>
    </row>
    <row r="14" spans="1:21">
      <c r="A14" s="10" t="s">
        <v>260</v>
      </c>
      <c r="B14" s="199">
        <v>28204.022360000003</v>
      </c>
      <c r="C14" s="49">
        <v>0</v>
      </c>
      <c r="D14" s="199">
        <v>0</v>
      </c>
      <c r="E14" s="49">
        <v>0</v>
      </c>
      <c r="F14" s="199">
        <v>0</v>
      </c>
      <c r="G14" s="49">
        <v>0</v>
      </c>
      <c r="H14" s="199">
        <v>0</v>
      </c>
      <c r="I14" s="52">
        <f>+(B14-J14)/ABS(J14)</f>
        <v>-0.58055038938265136</v>
      </c>
      <c r="J14" s="199">
        <v>67240.549629999994</v>
      </c>
      <c r="K14" s="52">
        <f>+(J14-L14)/L14</f>
        <v>-0.23232294937267009</v>
      </c>
      <c r="L14" s="199">
        <v>87589.631049999996</v>
      </c>
      <c r="M14" s="52">
        <f>+(L14-N14)/N14</f>
        <v>2.0752243918605093</v>
      </c>
      <c r="N14" s="199">
        <v>28482.354420000003</v>
      </c>
      <c r="O14" s="52">
        <f>+(N14-P14)/P14</f>
        <v>-0.64916306008914182</v>
      </c>
      <c r="P14" s="199">
        <v>81184.023630000011</v>
      </c>
    </row>
    <row r="15" spans="1:21" ht="15.6" customHeight="1">
      <c r="A15" s="10"/>
      <c r="B15" s="20">
        <f>SUM(B10:B14)</f>
        <v>1719442.21624</v>
      </c>
      <c r="C15" s="49">
        <v>0</v>
      </c>
      <c r="D15" s="20">
        <f>SUM(D10:D14)</f>
        <v>0</v>
      </c>
      <c r="E15" s="49">
        <v>0</v>
      </c>
      <c r="F15" s="20">
        <f>SUM(F10:F14)</f>
        <v>0</v>
      </c>
      <c r="G15" s="49">
        <v>0</v>
      </c>
      <c r="H15" s="20">
        <f>SUM(H10:H14)</f>
        <v>0</v>
      </c>
      <c r="I15" s="52">
        <f>+(B15-J15)/ABS(J15)</f>
        <v>-4.3168627589258105E-3</v>
      </c>
      <c r="J15" s="20">
        <f>SUM(J10:J14)</f>
        <v>1726896.9935600001</v>
      </c>
      <c r="K15" s="52">
        <f>+(J15-L15)/L15</f>
        <v>0.20941196621118294</v>
      </c>
      <c r="L15" s="20">
        <f>SUM(L10:L14)</f>
        <v>1427881.5174699998</v>
      </c>
      <c r="M15" s="52">
        <f>+(L15-N15)/N15</f>
        <v>0.50613773188728095</v>
      </c>
      <c r="N15" s="20">
        <f>SUM(N10:N14)</f>
        <v>948041.79408000002</v>
      </c>
      <c r="O15" s="52">
        <f>+(N15-P15)/P15</f>
        <v>0.19070204297501536</v>
      </c>
      <c r="P15" s="20">
        <f>SUM(P10:P14)</f>
        <v>796204.05429999996</v>
      </c>
    </row>
    <row r="16" spans="1:21" ht="7.9" customHeight="1">
      <c r="A16" s="10"/>
      <c r="C16" s="49" t="s">
        <v>0</v>
      </c>
      <c r="E16" s="49" t="s">
        <v>0</v>
      </c>
      <c r="G16" s="49" t="s">
        <v>0</v>
      </c>
      <c r="I16" s="52" t="s">
        <v>0</v>
      </c>
      <c r="K16" s="52" t="s">
        <v>0</v>
      </c>
      <c r="M16" s="52" t="s">
        <v>0</v>
      </c>
      <c r="N16" s="24" t="s">
        <v>0</v>
      </c>
      <c r="O16" s="52" t="s">
        <v>0</v>
      </c>
    </row>
    <row r="17" spans="1:16" ht="15.6" customHeight="1">
      <c r="A17" s="10" t="s">
        <v>261</v>
      </c>
      <c r="B17" s="20">
        <v>223000</v>
      </c>
      <c r="C17" s="49">
        <v>0</v>
      </c>
      <c r="D17" s="20">
        <v>0</v>
      </c>
      <c r="E17" s="49">
        <v>0</v>
      </c>
      <c r="F17" s="20">
        <v>0</v>
      </c>
      <c r="G17" s="49">
        <v>0</v>
      </c>
      <c r="H17" s="20">
        <v>0</v>
      </c>
      <c r="I17" s="52">
        <f>+(B17-J17)/ABS(J17)</f>
        <v>1.23</v>
      </c>
      <c r="J17" s="20">
        <v>100000</v>
      </c>
      <c r="K17" s="49">
        <v>0</v>
      </c>
      <c r="L17" s="20">
        <v>0</v>
      </c>
      <c r="M17" s="49">
        <v>0</v>
      </c>
      <c r="N17" s="20">
        <v>0</v>
      </c>
      <c r="O17" s="49">
        <v>0</v>
      </c>
      <c r="P17" s="20">
        <v>170000</v>
      </c>
    </row>
    <row r="18" spans="1:16" ht="15.6"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row>
    <row r="19" spans="1:16">
      <c r="A19" s="10" t="s">
        <v>262</v>
      </c>
      <c r="B19" s="20">
        <v>66410.106130000029</v>
      </c>
      <c r="C19" s="49">
        <v>0</v>
      </c>
      <c r="D19" s="20">
        <v>0</v>
      </c>
      <c r="E19" s="49">
        <v>0</v>
      </c>
      <c r="F19" s="20">
        <v>0</v>
      </c>
      <c r="G19" s="49">
        <v>0</v>
      </c>
      <c r="H19" s="20">
        <v>0</v>
      </c>
      <c r="I19" s="52">
        <f>+(B19-J19)/ABS(J19)</f>
        <v>-2.0599991122588097E-2</v>
      </c>
      <c r="J19" s="20">
        <v>67806.928249999997</v>
      </c>
      <c r="K19" s="52">
        <f>+(J19-L19)/L19</f>
        <v>1.6983157722043845</v>
      </c>
      <c r="L19" s="20">
        <v>25129.35252</v>
      </c>
      <c r="M19" s="52">
        <f t="shared" ref="M19:M23" si="0">+(L19-N19)/N19</f>
        <v>3.4242475126634253E-2</v>
      </c>
      <c r="N19" s="20">
        <v>24297.35108</v>
      </c>
      <c r="O19" s="52">
        <f t="shared" ref="O19:O23" si="1">+(N19-P19)/P19</f>
        <v>3.6622906276718735E-2</v>
      </c>
      <c r="P19" s="20">
        <v>23438.948659999998</v>
      </c>
    </row>
    <row r="20" spans="1:16">
      <c r="A20" s="10" t="s">
        <v>263</v>
      </c>
      <c r="B20" s="20">
        <v>858993.53526000003</v>
      </c>
      <c r="C20" s="49">
        <v>0</v>
      </c>
      <c r="D20" s="20">
        <v>0</v>
      </c>
      <c r="E20" s="49">
        <v>0</v>
      </c>
      <c r="F20" s="20">
        <v>0</v>
      </c>
      <c r="G20" s="49">
        <v>0</v>
      </c>
      <c r="H20" s="20">
        <v>0</v>
      </c>
      <c r="I20" s="52">
        <f>+(B20-J20)/ABS(J20)</f>
        <v>-0.10398476933662312</v>
      </c>
      <c r="J20" s="20">
        <v>958681.84587000008</v>
      </c>
      <c r="K20" s="52">
        <f>+(J20-L20)/L20</f>
        <v>-0.12193940204639263</v>
      </c>
      <c r="L20" s="20">
        <v>1091817.4077099999</v>
      </c>
      <c r="M20" s="52">
        <f t="shared" si="0"/>
        <v>0.25277593719222724</v>
      </c>
      <c r="N20" s="20">
        <v>871518.50167000003</v>
      </c>
      <c r="O20" s="52">
        <f t="shared" si="1"/>
        <v>1.0467919032748421</v>
      </c>
      <c r="P20" s="20">
        <v>425797.31738999998</v>
      </c>
    </row>
    <row r="21" spans="1:16">
      <c r="A21" s="10" t="s">
        <v>264</v>
      </c>
      <c r="B21" s="20">
        <v>305443.18223999999</v>
      </c>
      <c r="C21" s="49">
        <v>0</v>
      </c>
      <c r="D21" s="20">
        <v>0</v>
      </c>
      <c r="E21" s="49">
        <v>0</v>
      </c>
      <c r="F21" s="20">
        <v>0</v>
      </c>
      <c r="G21" s="49">
        <v>0</v>
      </c>
      <c r="H21" s="20">
        <v>0</v>
      </c>
      <c r="I21" s="52">
        <f>+(B21-J21)/ABS(J21)</f>
        <v>0.65381057622695449</v>
      </c>
      <c r="J21" s="20">
        <v>184690.54837999999</v>
      </c>
      <c r="K21" s="52">
        <f>+(J21-L21)/L21</f>
        <v>0.34037238497497024</v>
      </c>
      <c r="L21" s="20">
        <v>137790.47558</v>
      </c>
      <c r="M21" s="52">
        <f t="shared" si="0"/>
        <v>6.3615559514417969E-2</v>
      </c>
      <c r="N21" s="20">
        <v>129549.13488</v>
      </c>
      <c r="O21" s="52">
        <f t="shared" si="1"/>
        <v>7.3220752180257628E-2</v>
      </c>
      <c r="P21" s="20">
        <v>120710.61300000001</v>
      </c>
    </row>
    <row r="22" spans="1:16" ht="16.5" thickBot="1">
      <c r="A22" s="10" t="s">
        <v>265</v>
      </c>
      <c r="B22" s="97">
        <v>25590.264609999998</v>
      </c>
      <c r="C22" s="49">
        <v>0</v>
      </c>
      <c r="D22" s="97">
        <v>0</v>
      </c>
      <c r="E22" s="49">
        <v>0</v>
      </c>
      <c r="F22" s="97">
        <v>0</v>
      </c>
      <c r="G22" s="49">
        <v>0</v>
      </c>
      <c r="H22" s="97">
        <v>0</v>
      </c>
      <c r="I22" s="52">
        <f>+(B22-J22)/ABS(J22)</f>
        <v>-4.3460104123849479E-2</v>
      </c>
      <c r="J22" s="97">
        <v>26752.950630000003</v>
      </c>
      <c r="K22" s="52">
        <f>+(J22-L22)/L22</f>
        <v>-0.17682164575135717</v>
      </c>
      <c r="L22" s="97">
        <v>32499.579819999999</v>
      </c>
      <c r="M22" s="52">
        <f t="shared" si="0"/>
        <v>-0.74565128649609247</v>
      </c>
      <c r="N22" s="97">
        <v>127775.67998000002</v>
      </c>
      <c r="O22" s="52">
        <f t="shared" si="1"/>
        <v>5.8881599684785071</v>
      </c>
      <c r="P22" s="97">
        <v>18550.045377099999</v>
      </c>
    </row>
    <row r="23" spans="1:16">
      <c r="A23" s="10" t="s">
        <v>54</v>
      </c>
      <c r="B23" s="13">
        <f>SUM(B15:B22)</f>
        <v>3198879.3044799999</v>
      </c>
      <c r="C23" s="49">
        <v>0</v>
      </c>
      <c r="D23" s="13">
        <f>SUM(D15:D22)</f>
        <v>0</v>
      </c>
      <c r="E23" s="49">
        <v>0</v>
      </c>
      <c r="F23" s="13">
        <f>SUM(F15:F22)</f>
        <v>0</v>
      </c>
      <c r="G23" s="49">
        <v>0</v>
      </c>
      <c r="H23" s="13">
        <f>SUM(H15:H22)</f>
        <v>0</v>
      </c>
      <c r="I23" s="52">
        <f>+(B23-J23)/ABS(J23)</f>
        <v>4.3738174666666782E-2</v>
      </c>
      <c r="J23" s="13">
        <f>SUM(J15:J22)</f>
        <v>3064829.2666900004</v>
      </c>
      <c r="K23" s="52">
        <f>+(J23-L23)/L23</f>
        <v>0.12880135989900551</v>
      </c>
      <c r="L23" s="13">
        <f>SUM(L15:L22)</f>
        <v>2715118.3330999995</v>
      </c>
      <c r="M23" s="52">
        <f t="shared" si="0"/>
        <v>0.29218589180313498</v>
      </c>
      <c r="N23" s="13">
        <f>SUM(N15:N22)</f>
        <v>2101182.4616900003</v>
      </c>
      <c r="O23" s="52">
        <f t="shared" si="1"/>
        <v>0.35150263004936683</v>
      </c>
      <c r="P23" s="13">
        <f>SUM(P15:P22)</f>
        <v>1554700.9787271</v>
      </c>
    </row>
    <row r="24" spans="1:16" ht="7.9" customHeight="1">
      <c r="A24" s="10"/>
      <c r="C24" s="49" t="s">
        <v>0</v>
      </c>
      <c r="E24" s="49" t="s">
        <v>0</v>
      </c>
      <c r="G24" s="49" t="s">
        <v>0</v>
      </c>
      <c r="I24" s="52" t="s">
        <v>0</v>
      </c>
      <c r="K24" s="52" t="s">
        <v>0</v>
      </c>
      <c r="M24" s="52" t="s">
        <v>0</v>
      </c>
      <c r="O24" s="52" t="s">
        <v>0</v>
      </c>
    </row>
    <row r="25" spans="1:16">
      <c r="A25" s="86" t="s">
        <v>266</v>
      </c>
      <c r="C25" s="49" t="s">
        <v>0</v>
      </c>
      <c r="E25" s="49" t="s">
        <v>0</v>
      </c>
      <c r="G25" s="49" t="s">
        <v>0</v>
      </c>
      <c r="I25" s="52" t="s">
        <v>0</v>
      </c>
      <c r="K25" s="52" t="s">
        <v>0</v>
      </c>
      <c r="M25" s="52" t="s">
        <v>0</v>
      </c>
      <c r="O25" s="52" t="s">
        <v>0</v>
      </c>
    </row>
    <row r="26" spans="1:16">
      <c r="A26" s="10" t="s">
        <v>267</v>
      </c>
      <c r="C26" s="49" t="s">
        <v>0</v>
      </c>
      <c r="E26" s="49" t="s">
        <v>0</v>
      </c>
      <c r="G26" s="49" t="s">
        <v>0</v>
      </c>
      <c r="I26" s="52" t="s">
        <v>0</v>
      </c>
      <c r="K26" s="52" t="s">
        <v>0</v>
      </c>
      <c r="M26" s="52" t="s">
        <v>0</v>
      </c>
      <c r="O26" s="52" t="s">
        <v>0</v>
      </c>
    </row>
    <row r="27" spans="1:16">
      <c r="A27" s="10" t="s">
        <v>399</v>
      </c>
      <c r="B27" s="20">
        <v>1426485.50697</v>
      </c>
      <c r="C27" s="49">
        <v>0</v>
      </c>
      <c r="D27" s="20">
        <v>0</v>
      </c>
      <c r="E27" s="49">
        <v>0</v>
      </c>
      <c r="F27" s="20">
        <v>0</v>
      </c>
      <c r="G27" s="49">
        <v>0</v>
      </c>
      <c r="H27" s="20">
        <v>0</v>
      </c>
      <c r="I27" s="52">
        <f>+(B27-J27)/ABS(J27)</f>
        <v>5.7254098055108539E-2</v>
      </c>
      <c r="J27" s="20">
        <v>1349236.20499</v>
      </c>
      <c r="K27" s="52">
        <f>+(J27-L27)/L27</f>
        <v>0.41651698909308638</v>
      </c>
      <c r="L27" s="20">
        <v>952502.66348999995</v>
      </c>
      <c r="M27" s="52">
        <f>+(L27-N27)/N27</f>
        <v>0.28241391510726621</v>
      </c>
      <c r="N27" s="20">
        <v>742741.99014000001</v>
      </c>
      <c r="O27" s="52">
        <f>+(N27-P27)/P27</f>
        <v>0.34061587034164909</v>
      </c>
      <c r="P27" s="20">
        <v>554030.43226000003</v>
      </c>
    </row>
    <row r="28" spans="1:16">
      <c r="A28" s="10" t="s">
        <v>269</v>
      </c>
      <c r="B28" s="20">
        <v>579932.58106</v>
      </c>
      <c r="C28" s="49">
        <v>0</v>
      </c>
      <c r="D28" s="20">
        <v>0</v>
      </c>
      <c r="E28" s="49">
        <v>0</v>
      </c>
      <c r="F28" s="20">
        <v>0</v>
      </c>
      <c r="G28" s="49">
        <v>0</v>
      </c>
      <c r="H28" s="20">
        <v>0</v>
      </c>
      <c r="I28" s="52">
        <f>+(B28-J28)/ABS(J28)</f>
        <v>7.6213825683322245E-2</v>
      </c>
      <c r="J28" s="20">
        <v>538863.71576000005</v>
      </c>
      <c r="K28" s="52">
        <f>+(J28-L28)/L28</f>
        <v>2.1815786242403736E-2</v>
      </c>
      <c r="L28" s="20">
        <v>527358.96530000004</v>
      </c>
      <c r="M28" s="52">
        <f>+(L28-N28)/N28</f>
        <v>9.1952368485469477E-2</v>
      </c>
      <c r="N28" s="20">
        <v>482950.52103</v>
      </c>
      <c r="O28" s="52">
        <f>+(N28-P28)/P28</f>
        <v>3.738100936258161E-2</v>
      </c>
      <c r="P28" s="20">
        <v>465547.87167999998</v>
      </c>
    </row>
    <row r="29" spans="1:16">
      <c r="A29" s="10" t="s">
        <v>270</v>
      </c>
      <c r="B29" s="199">
        <v>871487.54196000006</v>
      </c>
      <c r="C29" s="49">
        <v>0</v>
      </c>
      <c r="D29" s="199">
        <v>0</v>
      </c>
      <c r="E29" s="49">
        <v>0</v>
      </c>
      <c r="F29" s="199">
        <v>0</v>
      </c>
      <c r="G29" s="49">
        <v>0</v>
      </c>
      <c r="H29" s="199">
        <v>0</v>
      </c>
      <c r="I29" s="52">
        <f>+(B29-J29)/ABS(J29)</f>
        <v>4.2873731760010815E-3</v>
      </c>
      <c r="J29" s="199">
        <v>867767.10057000001</v>
      </c>
      <c r="K29" s="52">
        <f>+(J29-L29)/L29</f>
        <v>3.0018185996073747E-2</v>
      </c>
      <c r="L29" s="199">
        <v>842477.45561000006</v>
      </c>
      <c r="M29" s="52">
        <f>+(L29-N29)/N29</f>
        <v>0.38836230252806025</v>
      </c>
      <c r="N29" s="199">
        <v>606813.83675999998</v>
      </c>
      <c r="O29" s="52">
        <f>+(N29-P29)/P29</f>
        <v>0.42227855195021408</v>
      </c>
      <c r="P29" s="199">
        <v>426649.08075000002</v>
      </c>
    </row>
    <row r="30" spans="1:16">
      <c r="A30" s="10"/>
      <c r="B30" s="20">
        <f>SUM(B27:B29)</f>
        <v>2877905.6299900003</v>
      </c>
      <c r="C30" s="49">
        <v>0</v>
      </c>
      <c r="D30" s="20">
        <f>SUM(D27:D29)</f>
        <v>0</v>
      </c>
      <c r="E30" s="49">
        <v>0</v>
      </c>
      <c r="F30" s="20">
        <f>SUM(F27:F29)</f>
        <v>0</v>
      </c>
      <c r="G30" s="49">
        <v>0</v>
      </c>
      <c r="H30" s="20">
        <f>SUM(H27:H29)</f>
        <v>0</v>
      </c>
      <c r="I30" s="52">
        <f>+(B30-J30)/ABS(J30)</f>
        <v>4.4283199343757212E-2</v>
      </c>
      <c r="J30" s="20">
        <f>SUM(J27:J29)</f>
        <v>2755867.0213200003</v>
      </c>
      <c r="K30" s="52">
        <f>+(J30-L30)/L30</f>
        <v>0.18667727716084431</v>
      </c>
      <c r="L30" s="20">
        <f>SUM(L27:L29)</f>
        <v>2322339.0844000001</v>
      </c>
      <c r="M30" s="52">
        <f>+(L30-N30)/N30</f>
        <v>0.26730206802465656</v>
      </c>
      <c r="N30" s="20">
        <f>SUM(N27:N29)</f>
        <v>1832506.3479300002</v>
      </c>
      <c r="O30" s="52">
        <f>+(N30-P30)/P30</f>
        <v>0.26709421169119918</v>
      </c>
      <c r="P30" s="20">
        <f>SUM(P27:P29)</f>
        <v>1446227.38469</v>
      </c>
    </row>
    <row r="31" spans="1:16" ht="7.9" customHeight="1">
      <c r="A31" s="10"/>
      <c r="C31" s="49" t="s">
        <v>0</v>
      </c>
      <c r="E31" s="49" t="s">
        <v>0</v>
      </c>
      <c r="G31" s="49" t="s">
        <v>0</v>
      </c>
      <c r="I31" s="52" t="s">
        <v>0</v>
      </c>
      <c r="K31" s="52" t="s">
        <v>0</v>
      </c>
      <c r="M31" s="52" t="s">
        <v>0</v>
      </c>
      <c r="O31" s="52" t="s">
        <v>0</v>
      </c>
    </row>
    <row r="32" spans="1:16">
      <c r="A32" s="10" t="s">
        <v>271</v>
      </c>
      <c r="C32" s="49" t="s">
        <v>0</v>
      </c>
      <c r="E32" s="49" t="s">
        <v>0</v>
      </c>
      <c r="G32" s="49" t="s">
        <v>0</v>
      </c>
      <c r="I32" s="52" t="s">
        <v>0</v>
      </c>
      <c r="K32" s="52" t="s">
        <v>0</v>
      </c>
      <c r="M32" s="52" t="s">
        <v>0</v>
      </c>
      <c r="O32" s="52" t="s">
        <v>0</v>
      </c>
    </row>
    <row r="33" spans="1:21">
      <c r="A33" s="10" t="s">
        <v>272</v>
      </c>
      <c r="B33" s="20">
        <v>0</v>
      </c>
      <c r="C33" s="49">
        <v>0</v>
      </c>
      <c r="D33" s="20">
        <v>0</v>
      </c>
      <c r="E33" s="49">
        <v>0</v>
      </c>
      <c r="F33" s="20">
        <v>0</v>
      </c>
      <c r="G33" s="49">
        <v>0</v>
      </c>
      <c r="H33" s="20">
        <v>0</v>
      </c>
      <c r="I33" s="49">
        <v>0</v>
      </c>
      <c r="J33" s="20">
        <v>0</v>
      </c>
      <c r="K33" s="49">
        <v>0</v>
      </c>
      <c r="L33" s="20">
        <v>0</v>
      </c>
      <c r="M33" s="49">
        <v>0</v>
      </c>
      <c r="N33" s="20">
        <v>0</v>
      </c>
      <c r="O33" s="49">
        <v>0</v>
      </c>
      <c r="P33" s="20">
        <v>0</v>
      </c>
    </row>
    <row r="34" spans="1:21">
      <c r="A34" s="10" t="s">
        <v>273</v>
      </c>
      <c r="B34" s="20">
        <v>0</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199">
        <v>180382.06825130701</v>
      </c>
      <c r="C35" s="49">
        <v>0</v>
      </c>
      <c r="D35" s="199">
        <v>0</v>
      </c>
      <c r="E35" s="49">
        <v>0</v>
      </c>
      <c r="F35" s="199">
        <v>0</v>
      </c>
      <c r="G35" s="49">
        <v>0</v>
      </c>
      <c r="H35" s="199">
        <v>0</v>
      </c>
      <c r="I35" s="52">
        <f>+(B35-J35)/ABS(J35)</f>
        <v>0.11095110740270619</v>
      </c>
      <c r="J35" s="199">
        <v>162367.24285105799</v>
      </c>
      <c r="K35" s="52">
        <f>+(J35-L35)/L35</f>
        <v>-3.5567962728310927E-2</v>
      </c>
      <c r="L35" s="199">
        <v>168355.29780862899</v>
      </c>
      <c r="M35" s="52">
        <f>+(L35-N35)/N35</f>
        <v>0.54489552680996334</v>
      </c>
      <c r="N35" s="199">
        <v>108975.199220276</v>
      </c>
      <c r="O35" s="52">
        <f>+(N35-P35)/P35</f>
        <v>0.27263105420467204</v>
      </c>
      <c r="P35" s="199">
        <v>85629.844455099999</v>
      </c>
      <c r="Q35" s="14"/>
      <c r="R35" s="14"/>
      <c r="S35" s="15"/>
      <c r="T35" s="15"/>
      <c r="U35" s="15"/>
    </row>
    <row r="36" spans="1:21">
      <c r="A36" s="10"/>
      <c r="B36" s="20">
        <f>SUM(B33:B35)</f>
        <v>180382.06825130701</v>
      </c>
      <c r="C36" s="49">
        <v>0</v>
      </c>
      <c r="D36" s="20">
        <f>SUM(D33:D35)</f>
        <v>0</v>
      </c>
      <c r="E36" s="49">
        <v>0</v>
      </c>
      <c r="F36" s="20">
        <f>SUM(F33:F35)</f>
        <v>0</v>
      </c>
      <c r="G36" s="49">
        <v>0</v>
      </c>
      <c r="H36" s="20">
        <f>SUM(H33:H35)</f>
        <v>0</v>
      </c>
      <c r="I36" s="52">
        <f>+(B36-J36)/ABS(J36)</f>
        <v>0.11095110740270619</v>
      </c>
      <c r="J36" s="20">
        <f>SUM(J33:J35)</f>
        <v>162367.24285105799</v>
      </c>
      <c r="K36" s="52">
        <f>+(J36-L36)/L36</f>
        <v>-3.5567962728310927E-2</v>
      </c>
      <c r="L36" s="20">
        <f>SUM(L33:L35)</f>
        <v>168355.29780862899</v>
      </c>
      <c r="M36" s="52">
        <f>+(L36-N36)/N36</f>
        <v>0.54489552680996334</v>
      </c>
      <c r="N36" s="20">
        <f>SUM(N33:N35)</f>
        <v>108975.199220276</v>
      </c>
      <c r="O36" s="52">
        <f>+(N36-P36)/P36</f>
        <v>0.27263105420467204</v>
      </c>
      <c r="P36" s="20">
        <f>SUM(P33:P35)</f>
        <v>85629.844455099999</v>
      </c>
    </row>
    <row r="37" spans="1:21" ht="7.15" customHeight="1">
      <c r="A37" s="10"/>
      <c r="C37" s="49" t="s">
        <v>0</v>
      </c>
      <c r="E37" s="49" t="s">
        <v>0</v>
      </c>
      <c r="G37" s="49" t="s">
        <v>0</v>
      </c>
      <c r="I37" s="52" t="s">
        <v>0</v>
      </c>
      <c r="K37" s="52" t="s">
        <v>0</v>
      </c>
      <c r="M37" s="52" t="s">
        <v>0</v>
      </c>
      <c r="O37" s="52" t="s">
        <v>0</v>
      </c>
    </row>
    <row r="38" spans="1:21">
      <c r="A38" s="10" t="s">
        <v>275</v>
      </c>
      <c r="C38" s="49" t="s">
        <v>0</v>
      </c>
      <c r="E38" s="49" t="s">
        <v>0</v>
      </c>
      <c r="G38" s="49" t="s">
        <v>0</v>
      </c>
      <c r="I38" s="52" t="s">
        <v>0</v>
      </c>
      <c r="K38" s="52" t="s">
        <v>0</v>
      </c>
      <c r="M38" s="52" t="s">
        <v>0</v>
      </c>
      <c r="O38" s="52" t="s">
        <v>0</v>
      </c>
    </row>
    <row r="39" spans="1:21">
      <c r="A39" s="10" t="s">
        <v>272</v>
      </c>
      <c r="B39" s="20">
        <v>7132.5</v>
      </c>
      <c r="C39" s="49">
        <v>0</v>
      </c>
      <c r="D39" s="20">
        <v>0</v>
      </c>
      <c r="E39" s="49">
        <v>0</v>
      </c>
      <c r="F39" s="12">
        <v>0</v>
      </c>
      <c r="G39" s="49">
        <v>0</v>
      </c>
      <c r="H39" s="20">
        <v>0</v>
      </c>
      <c r="I39" s="52">
        <f>+(B39-J39)/ABS(J39)</f>
        <v>-0.25</v>
      </c>
      <c r="J39" s="20">
        <v>9510</v>
      </c>
      <c r="K39" s="52">
        <f>+(J39-L39)/L39</f>
        <v>-0.5</v>
      </c>
      <c r="L39" s="20">
        <v>19020</v>
      </c>
      <c r="M39" s="52">
        <f>+(L39-N39)/N39</f>
        <v>-0.33333333333333331</v>
      </c>
      <c r="N39" s="20">
        <v>28530</v>
      </c>
      <c r="O39" s="49">
        <v>0</v>
      </c>
      <c r="P39" s="20">
        <v>0</v>
      </c>
    </row>
    <row r="40" spans="1:21">
      <c r="A40" s="10" t="s">
        <v>276</v>
      </c>
      <c r="B40" s="20">
        <v>0</v>
      </c>
      <c r="C40" s="49">
        <v>0</v>
      </c>
      <c r="D40" s="20">
        <v>0</v>
      </c>
      <c r="E40" s="49">
        <v>0</v>
      </c>
      <c r="F40" s="20">
        <v>0</v>
      </c>
      <c r="G40" s="49">
        <v>0</v>
      </c>
      <c r="H40" s="20">
        <v>0</v>
      </c>
      <c r="I40" s="49">
        <v>0</v>
      </c>
      <c r="J40" s="20">
        <v>0</v>
      </c>
      <c r="K40" s="49">
        <v>0</v>
      </c>
      <c r="L40" s="20">
        <v>0</v>
      </c>
      <c r="M40" s="49">
        <v>0</v>
      </c>
      <c r="N40" s="20">
        <v>0</v>
      </c>
      <c r="O40" s="49">
        <v>0</v>
      </c>
      <c r="P40" s="20">
        <v>0</v>
      </c>
    </row>
    <row r="41" spans="1:21">
      <c r="A41" s="10" t="s">
        <v>274</v>
      </c>
      <c r="B41" s="199">
        <v>4534.2293600000003</v>
      </c>
      <c r="C41" s="49">
        <v>0</v>
      </c>
      <c r="D41" s="199">
        <v>0</v>
      </c>
      <c r="E41" s="49">
        <v>0</v>
      </c>
      <c r="F41" s="199">
        <v>0</v>
      </c>
      <c r="G41" s="49">
        <v>0</v>
      </c>
      <c r="H41" s="199">
        <v>0</v>
      </c>
      <c r="I41" s="52">
        <f>+(B41-J41)/ABS(J41)</f>
        <v>-0.37869481924873966</v>
      </c>
      <c r="J41" s="199">
        <v>7297.9101099999998</v>
      </c>
      <c r="K41" s="52">
        <f>+(J41-L41)/L41</f>
        <v>-0.26513861371791109</v>
      </c>
      <c r="L41" s="199">
        <v>9931.0022900000004</v>
      </c>
      <c r="M41" s="52">
        <f>+(L41-N41)/N41</f>
        <v>-0.92006226966325821</v>
      </c>
      <c r="N41" s="199">
        <v>124234.22891999999</v>
      </c>
      <c r="O41" s="52">
        <f>+(N41-P41)/P41</f>
        <v>5.6256116959237312</v>
      </c>
      <c r="P41" s="199">
        <v>18750.605170000003</v>
      </c>
    </row>
    <row r="42" spans="1:21">
      <c r="A42" s="10"/>
      <c r="B42" s="20">
        <f>SUM(B39:B41)</f>
        <v>11666.729360000001</v>
      </c>
      <c r="C42" s="49">
        <v>0</v>
      </c>
      <c r="D42" s="20">
        <f>SUM(D39:D41)</f>
        <v>0</v>
      </c>
      <c r="E42" s="49">
        <v>0</v>
      </c>
      <c r="F42" s="20">
        <f>SUM(F39:F41)</f>
        <v>0</v>
      </c>
      <c r="G42" s="49">
        <v>0</v>
      </c>
      <c r="H42" s="20">
        <f>SUM(H39:H41)</f>
        <v>0</v>
      </c>
      <c r="I42" s="52">
        <f>+(B42-J42)/ABS(J42)</f>
        <v>-0.30587864382623114</v>
      </c>
      <c r="J42" s="20">
        <f>SUM(J39:J41)</f>
        <v>16807.910110000001</v>
      </c>
      <c r="K42" s="52">
        <f>+(J42-L42)/L42</f>
        <v>-0.41943598561333262</v>
      </c>
      <c r="L42" s="20">
        <f>SUM(L39:L41)</f>
        <v>28951.00229</v>
      </c>
      <c r="M42" s="52">
        <f>+(L42-N42)/N42</f>
        <v>-0.81048572368888039</v>
      </c>
      <c r="N42" s="20">
        <f>SUM(N39:N41)</f>
        <v>152764.22891999999</v>
      </c>
      <c r="O42" s="52">
        <f>+(N42-P42)/P42</f>
        <v>7.147162586752926</v>
      </c>
      <c r="P42" s="20">
        <f>SUM(P39:P41)</f>
        <v>18750.605170000003</v>
      </c>
    </row>
    <row r="43" spans="1:21" ht="8.4499999999999993" customHeight="1">
      <c r="A43" s="10"/>
      <c r="C43" s="49" t="s">
        <v>0</v>
      </c>
      <c r="E43" s="49" t="s">
        <v>0</v>
      </c>
      <c r="G43" s="49" t="s">
        <v>0</v>
      </c>
      <c r="I43" s="52" t="s">
        <v>0</v>
      </c>
      <c r="K43" s="52" t="s">
        <v>0</v>
      </c>
      <c r="M43" s="52" t="s">
        <v>0</v>
      </c>
      <c r="O43" s="52" t="s">
        <v>0</v>
      </c>
    </row>
    <row r="44" spans="1:21" ht="18">
      <c r="A44" s="10" t="s">
        <v>277</v>
      </c>
      <c r="B44" s="199">
        <v>1162.3920700000001</v>
      </c>
      <c r="C44" s="49">
        <v>0</v>
      </c>
      <c r="D44" s="199">
        <v>0</v>
      </c>
      <c r="E44" s="49">
        <v>0</v>
      </c>
      <c r="F44" s="199">
        <v>0</v>
      </c>
      <c r="G44" s="49">
        <v>0</v>
      </c>
      <c r="H44" s="199">
        <v>0</v>
      </c>
      <c r="I44" s="52">
        <f>+(B44-J44)/ABS(J44)</f>
        <v>1.3909963767847646</v>
      </c>
      <c r="J44" s="199">
        <v>486.15384</v>
      </c>
      <c r="K44" s="267">
        <v>0</v>
      </c>
      <c r="L44" s="199">
        <v>0</v>
      </c>
      <c r="M44" s="88">
        <v>0</v>
      </c>
      <c r="N44" s="199">
        <v>0</v>
      </c>
      <c r="O44" s="102">
        <f>+(N44-P44)/P44</f>
        <v>-1</v>
      </c>
      <c r="P44" s="199">
        <v>207.92537999999999</v>
      </c>
      <c r="Q44" s="14"/>
      <c r="R44" s="14"/>
    </row>
    <row r="45" spans="1:21">
      <c r="A45" s="10"/>
      <c r="B45" s="20">
        <f>+B30+B36+B42+B44</f>
        <v>3071116.8196713077</v>
      </c>
      <c r="C45" s="49">
        <v>0</v>
      </c>
      <c r="D45" s="20">
        <f>+D30+D36+D42+D44</f>
        <v>0</v>
      </c>
      <c r="E45" s="49">
        <v>0</v>
      </c>
      <c r="F45" s="20">
        <f>+F30+F36+F42+F44</f>
        <v>0</v>
      </c>
      <c r="G45" s="49">
        <v>0</v>
      </c>
      <c r="H45" s="20">
        <f>+H30+H36+H42+H44</f>
        <v>0</v>
      </c>
      <c r="I45" s="52">
        <f>+(B45-J45)/ABS(J45)</f>
        <v>4.6188786615128853E-2</v>
      </c>
      <c r="J45" s="20">
        <f>+J30+J36+J42+J44</f>
        <v>2935528.3281210582</v>
      </c>
      <c r="K45" s="52">
        <f>+(J45-L45)/L45</f>
        <v>0.16505614090817119</v>
      </c>
      <c r="L45" s="20">
        <f>+L30+L36+L42+L44</f>
        <v>2519645.3844986293</v>
      </c>
      <c r="M45" s="52">
        <f>+(L45-N45)/N45</f>
        <v>0.20312783403416457</v>
      </c>
      <c r="N45" s="20">
        <f>+N30+N36+N42+N44</f>
        <v>2094245.776070276</v>
      </c>
      <c r="O45" s="52">
        <f>+(N45-P45)/P45</f>
        <v>0.35041558803994738</v>
      </c>
      <c r="P45" s="20">
        <f>+P30+P36+P42+P44</f>
        <v>1550815.7596950999</v>
      </c>
    </row>
    <row r="46" spans="1:21" ht="8.4499999999999993" customHeight="1">
      <c r="A46" s="10"/>
      <c r="C46" s="49" t="s">
        <v>0</v>
      </c>
      <c r="E46" s="49" t="s">
        <v>0</v>
      </c>
      <c r="G46" s="49" t="s">
        <v>0</v>
      </c>
      <c r="I46" s="52" t="s">
        <v>0</v>
      </c>
      <c r="K46" s="52" t="s">
        <v>0</v>
      </c>
      <c r="M46" s="52" t="s">
        <v>0</v>
      </c>
      <c r="O46" s="52" t="s">
        <v>0</v>
      </c>
    </row>
    <row r="47" spans="1:21">
      <c r="A47" s="86" t="s">
        <v>278</v>
      </c>
      <c r="C47" s="49" t="s">
        <v>0</v>
      </c>
      <c r="E47" s="49" t="s">
        <v>0</v>
      </c>
      <c r="G47" s="49" t="s">
        <v>0</v>
      </c>
      <c r="I47" s="52" t="s">
        <v>0</v>
      </c>
      <c r="K47" s="52" t="s">
        <v>0</v>
      </c>
      <c r="M47" s="52" t="s">
        <v>0</v>
      </c>
      <c r="O47" s="52" t="s">
        <v>0</v>
      </c>
    </row>
    <row r="48" spans="1:21">
      <c r="A48" s="10" t="s">
        <v>279</v>
      </c>
      <c r="B48" s="20">
        <v>165000</v>
      </c>
      <c r="C48" s="49">
        <v>0</v>
      </c>
      <c r="D48" s="20">
        <v>0</v>
      </c>
      <c r="E48" s="49">
        <v>0</v>
      </c>
      <c r="F48" s="20">
        <v>0</v>
      </c>
      <c r="G48" s="49">
        <v>0</v>
      </c>
      <c r="H48" s="20">
        <v>0</v>
      </c>
      <c r="I48" s="52">
        <f t="shared" ref="I48:I53" si="2">+(B48-J48)/ABS(J48)</f>
        <v>0</v>
      </c>
      <c r="J48" s="20">
        <v>165000</v>
      </c>
      <c r="K48" s="52">
        <f t="shared" ref="K48:K53" si="3">+(J48-L48)/L48</f>
        <v>0</v>
      </c>
      <c r="L48" s="20">
        <v>165000</v>
      </c>
      <c r="M48" s="52">
        <f t="shared" ref="M48:M53" si="4">+(L48-N48)/N48</f>
        <v>32</v>
      </c>
      <c r="N48" s="20">
        <v>5000</v>
      </c>
      <c r="O48" s="52">
        <f t="shared" ref="O48:O53" si="5">+(N48-P48)/P48</f>
        <v>0</v>
      </c>
      <c r="P48" s="20">
        <v>5000</v>
      </c>
    </row>
    <row r="49" spans="1:21">
      <c r="A49" s="10" t="s">
        <v>280</v>
      </c>
      <c r="B49" s="20">
        <v>87983</v>
      </c>
      <c r="C49" s="49">
        <v>0</v>
      </c>
      <c r="D49" s="20">
        <v>0</v>
      </c>
      <c r="E49" s="49">
        <v>0</v>
      </c>
      <c r="F49" s="20">
        <v>0</v>
      </c>
      <c r="G49" s="49">
        <v>0</v>
      </c>
      <c r="H49" s="20">
        <v>0</v>
      </c>
      <c r="I49" s="52">
        <f t="shared" si="2"/>
        <v>0</v>
      </c>
      <c r="J49" s="20">
        <v>87983</v>
      </c>
      <c r="K49" s="52">
        <f t="shared" si="3"/>
        <v>5.7799183170224246</v>
      </c>
      <c r="L49" s="20">
        <v>12977</v>
      </c>
      <c r="M49" s="52">
        <f t="shared" si="4"/>
        <v>-0.72185189154431462</v>
      </c>
      <c r="N49" s="20">
        <v>46655</v>
      </c>
      <c r="O49" s="52">
        <f t="shared" si="5"/>
        <v>-0.13544214661626269</v>
      </c>
      <c r="P49" s="20">
        <v>53964</v>
      </c>
    </row>
    <row r="50" spans="1:21">
      <c r="A50" s="10" t="s">
        <v>290</v>
      </c>
      <c r="B50" s="20">
        <v>14325</v>
      </c>
      <c r="C50" s="49">
        <v>0</v>
      </c>
      <c r="D50" s="20">
        <v>0</v>
      </c>
      <c r="E50" s="49">
        <v>0</v>
      </c>
      <c r="F50" s="20">
        <v>0</v>
      </c>
      <c r="G50" s="49">
        <v>0</v>
      </c>
      <c r="H50" s="20">
        <v>0</v>
      </c>
      <c r="I50" s="52">
        <f t="shared" si="2"/>
        <v>0</v>
      </c>
      <c r="J50" s="20">
        <v>14325</v>
      </c>
      <c r="K50" s="52">
        <f t="shared" si="3"/>
        <v>0</v>
      </c>
      <c r="L50" s="20">
        <v>14325</v>
      </c>
      <c r="M50" s="52">
        <f t="shared" si="4"/>
        <v>0</v>
      </c>
      <c r="N50" s="20">
        <v>14325</v>
      </c>
      <c r="O50" s="52">
        <f t="shared" si="5"/>
        <v>0</v>
      </c>
      <c r="P50" s="20">
        <v>14325</v>
      </c>
    </row>
    <row r="51" spans="1:21" ht="18">
      <c r="A51" s="10" t="s">
        <v>282</v>
      </c>
      <c r="B51" s="224">
        <v>-139545.51522999999</v>
      </c>
      <c r="C51" s="49">
        <v>0</v>
      </c>
      <c r="D51" s="199">
        <v>0</v>
      </c>
      <c r="E51" s="49">
        <v>0</v>
      </c>
      <c r="F51" s="199">
        <v>0</v>
      </c>
      <c r="G51" s="49">
        <v>0</v>
      </c>
      <c r="H51" s="199">
        <v>0</v>
      </c>
      <c r="I51" s="52">
        <f t="shared" si="2"/>
        <v>-1.1147645446163335E-2</v>
      </c>
      <c r="J51" s="199">
        <v>-138007.06143999999</v>
      </c>
      <c r="K51" s="52">
        <f t="shared" si="3"/>
        <v>-44.522327001838903</v>
      </c>
      <c r="L51" s="199">
        <v>3170.94859</v>
      </c>
      <c r="M51" s="52">
        <f t="shared" si="4"/>
        <v>-1.0537054639083245</v>
      </c>
      <c r="N51" s="199">
        <v>-59043.31439</v>
      </c>
      <c r="O51" s="52">
        <f t="shared" si="5"/>
        <v>-0.14927813124620787</v>
      </c>
      <c r="P51" s="199">
        <v>-69403.781140000006</v>
      </c>
      <c r="Q51" s="14"/>
      <c r="R51" s="14"/>
      <c r="S51" s="15"/>
      <c r="T51" s="15"/>
      <c r="U51" s="15"/>
    </row>
    <row r="52" spans="1:21" ht="16.5" thickBot="1">
      <c r="A52" s="10" t="s">
        <v>54</v>
      </c>
      <c r="B52" s="79">
        <f>SUM(B48:B51)</f>
        <v>127762.48477000001</v>
      </c>
      <c r="C52" s="49">
        <v>0</v>
      </c>
      <c r="D52" s="79">
        <f>SUM(D48:D51)</f>
        <v>0</v>
      </c>
      <c r="E52" s="49">
        <v>0</v>
      </c>
      <c r="F52" s="79">
        <f>SUM(F48:F51)</f>
        <v>0</v>
      </c>
      <c r="G52" s="49">
        <v>0</v>
      </c>
      <c r="H52" s="79">
        <f>SUM(H48:H51)</f>
        <v>0</v>
      </c>
      <c r="I52" s="52">
        <f t="shared" si="2"/>
        <v>-1.189824147553349E-2</v>
      </c>
      <c r="J52" s="79">
        <f>SUM(J48:J51)</f>
        <v>129300.93856000001</v>
      </c>
      <c r="K52" s="272">
        <f t="shared" si="3"/>
        <v>-0.3385225961306505</v>
      </c>
      <c r="L52" s="79">
        <f>SUM(L48:L51)</f>
        <v>195472.94858999999</v>
      </c>
      <c r="M52" s="272">
        <f t="shared" si="4"/>
        <v>27.179588867081435</v>
      </c>
      <c r="N52" s="79">
        <f>SUM(N48:N51)</f>
        <v>6936.6856100000005</v>
      </c>
      <c r="O52" s="272">
        <f t="shared" si="5"/>
        <v>0.78540408145759177</v>
      </c>
      <c r="P52" s="79">
        <f>SUM(P48:P51)</f>
        <v>3885.2188599999936</v>
      </c>
    </row>
    <row r="53" spans="1:21">
      <c r="A53" s="10" t="s">
        <v>0</v>
      </c>
      <c r="B53" s="13">
        <f>+B30+B36+B42+B44+B52</f>
        <v>3198879.3044413077</v>
      </c>
      <c r="C53" s="49">
        <v>0</v>
      </c>
      <c r="D53" s="13">
        <f>+D30+D36+D42+D44+D52</f>
        <v>0</v>
      </c>
      <c r="E53" s="49">
        <v>0</v>
      </c>
      <c r="F53" s="13">
        <f>+F30+F36+F42+F44+F52</f>
        <v>0</v>
      </c>
      <c r="G53" s="49">
        <v>0</v>
      </c>
      <c r="H53" s="13">
        <f>+H30+H36+H42+H44+H52</f>
        <v>0</v>
      </c>
      <c r="I53" s="52">
        <f t="shared" si="2"/>
        <v>4.3738174657087438E-2</v>
      </c>
      <c r="J53" s="13">
        <f>+J30+J36+J42+J44+J52</f>
        <v>3064829.2666810583</v>
      </c>
      <c r="K53" s="52">
        <f t="shared" si="3"/>
        <v>0.12880135990043912</v>
      </c>
      <c r="L53" s="13">
        <f>+L30+L36+L42+L44+L52</f>
        <v>2715118.3330886294</v>
      </c>
      <c r="M53" s="52">
        <f t="shared" si="4"/>
        <v>0.29218589180370402</v>
      </c>
      <c r="N53" s="13">
        <f>+N30+N36+N42+N44+N52</f>
        <v>2101182.4616802759</v>
      </c>
      <c r="O53" s="52">
        <f t="shared" si="5"/>
        <v>0.35150263019263184</v>
      </c>
      <c r="P53" s="13">
        <f>+P30+P36+P42+P44+P52</f>
        <v>1554700.9785550998</v>
      </c>
    </row>
    <row r="54" spans="1:21">
      <c r="C54" s="48"/>
      <c r="E54" s="48"/>
      <c r="G54" s="48"/>
    </row>
    <row r="55" spans="1:21">
      <c r="C55" s="48"/>
      <c r="E55" s="48"/>
      <c r="G55" s="48"/>
    </row>
    <row r="56" spans="1:21">
      <c r="A56" s="166" t="s">
        <v>283</v>
      </c>
      <c r="C56" s="48"/>
      <c r="E56" s="48"/>
      <c r="G56" s="48"/>
    </row>
    <row r="57" spans="1:21">
      <c r="A57" t="s">
        <v>284</v>
      </c>
      <c r="B57" s="48">
        <v>0</v>
      </c>
      <c r="C57" s="48"/>
      <c r="D57" s="48">
        <v>0</v>
      </c>
      <c r="E57" s="48"/>
      <c r="F57" s="48">
        <v>0</v>
      </c>
      <c r="G57" s="48"/>
      <c r="H57" s="48">
        <v>0</v>
      </c>
      <c r="J57" s="48">
        <v>0</v>
      </c>
      <c r="K57" s="20"/>
      <c r="L57" s="48">
        <v>0</v>
      </c>
      <c r="M57" s="20"/>
      <c r="N57" s="48">
        <v>0</v>
      </c>
      <c r="O57" s="20"/>
      <c r="P57" s="48">
        <v>0</v>
      </c>
    </row>
    <row r="58" spans="1:21">
      <c r="A58" t="s">
        <v>285</v>
      </c>
      <c r="B58" s="20">
        <v>0</v>
      </c>
      <c r="C58" s="48"/>
      <c r="D58" s="20">
        <v>0</v>
      </c>
      <c r="E58" s="48"/>
      <c r="F58" s="20">
        <v>0</v>
      </c>
      <c r="G58" s="48"/>
      <c r="H58" s="20">
        <v>0</v>
      </c>
      <c r="J58" s="20">
        <v>0</v>
      </c>
      <c r="K58" s="20"/>
      <c r="L58" s="20">
        <v>0</v>
      </c>
      <c r="M58" s="20"/>
      <c r="N58" s="20">
        <v>0</v>
      </c>
      <c r="O58" s="20"/>
      <c r="P58" s="20">
        <v>0</v>
      </c>
    </row>
    <row r="59" spans="1:21">
      <c r="A59" t="s">
        <v>274</v>
      </c>
      <c r="B59" s="20">
        <v>246480.986180593</v>
      </c>
      <c r="C59" s="49" t="s">
        <v>0</v>
      </c>
      <c r="D59" s="20">
        <v>0</v>
      </c>
      <c r="E59" s="49" t="s">
        <v>0</v>
      </c>
      <c r="F59" s="20">
        <v>0</v>
      </c>
      <c r="G59" s="49" t="s">
        <v>0</v>
      </c>
      <c r="H59" s="20">
        <v>0</v>
      </c>
      <c r="I59" s="52"/>
      <c r="J59" s="20">
        <v>219300.77508037502</v>
      </c>
      <c r="K59" s="20"/>
      <c r="L59" s="20">
        <v>180466.19122378898</v>
      </c>
      <c r="M59" s="20"/>
      <c r="N59" s="20">
        <v>174516.15533920599</v>
      </c>
      <c r="O59" s="20"/>
      <c r="P59" s="20">
        <v>18741373.979716074</v>
      </c>
    </row>
    <row r="60" spans="1:21">
      <c r="B60" s="48"/>
      <c r="C60" s="48"/>
      <c r="D60" s="46" t="s">
        <v>0</v>
      </c>
      <c r="E60" s="48"/>
      <c r="F60" s="48"/>
      <c r="G60" s="48"/>
      <c r="H60" s="48"/>
      <c r="J60" s="48"/>
      <c r="K60" s="20"/>
      <c r="L60" s="48"/>
      <c r="M60" s="20"/>
      <c r="N60" s="48"/>
      <c r="O60" s="20"/>
      <c r="P60" s="48"/>
    </row>
    <row r="61" spans="1:21">
      <c r="A61" t="s">
        <v>286</v>
      </c>
      <c r="B61" s="20">
        <v>1281422.89417</v>
      </c>
      <c r="C61" s="49">
        <v>0</v>
      </c>
      <c r="D61" s="20">
        <v>0</v>
      </c>
      <c r="E61" s="49">
        <v>0</v>
      </c>
      <c r="F61" s="20">
        <v>0</v>
      </c>
      <c r="G61" s="49">
        <v>0</v>
      </c>
      <c r="H61" s="20">
        <v>0</v>
      </c>
      <c r="I61" s="52">
        <f>+(B61-J61)/ABS(J61)</f>
        <v>-6.4389019816210424E-2</v>
      </c>
      <c r="J61" s="20">
        <v>1369610.7905000001</v>
      </c>
      <c r="K61" s="52">
        <f>+(J61-L61)/L61</f>
        <v>-3.7359305018572209E-2</v>
      </c>
      <c r="L61" s="20">
        <v>1422764.2750200001</v>
      </c>
      <c r="M61" s="52">
        <f>+(L61-N61)/N61</f>
        <v>0.18576251560995455</v>
      </c>
      <c r="N61" s="20">
        <v>1199872.8719200001</v>
      </c>
      <c r="O61" s="52">
        <f>+(N61-P61)/P61</f>
        <v>0.74385283277761816</v>
      </c>
      <c r="P61" s="20">
        <v>688058.56169</v>
      </c>
    </row>
    <row r="62" spans="1:21">
      <c r="A62" t="s">
        <v>225</v>
      </c>
      <c r="B62" s="24">
        <v>422429.35891000001</v>
      </c>
      <c r="C62" s="49">
        <v>0</v>
      </c>
      <c r="D62" s="20">
        <v>0</v>
      </c>
      <c r="E62" s="49">
        <v>0</v>
      </c>
      <c r="F62" s="20">
        <v>0</v>
      </c>
      <c r="G62" s="49">
        <v>0</v>
      </c>
      <c r="H62" s="20">
        <v>0</v>
      </c>
      <c r="I62" s="52">
        <f>+(B62-J62)/ABS(J62)</f>
        <v>2.7986381661080088E-2</v>
      </c>
      <c r="J62" s="20">
        <v>410928.94462999998</v>
      </c>
      <c r="K62" s="52">
        <f>+(J62-L62)/L62</f>
        <v>0.24167649015719575</v>
      </c>
      <c r="L62" s="20">
        <v>330946.86731</v>
      </c>
      <c r="M62" s="52">
        <f>+(L62-N62)/N62</f>
        <v>7.8954242577193891E-3</v>
      </c>
      <c r="N62" s="20">
        <v>328354.37024999998</v>
      </c>
      <c r="O62" s="52">
        <f>+(N62-P62)/P62</f>
        <v>0.25201255384267218</v>
      </c>
      <c r="P62" s="20">
        <v>262261.24430000002</v>
      </c>
    </row>
    <row r="63" spans="1:21">
      <c r="A63" t="s">
        <v>287</v>
      </c>
      <c r="B63" s="20">
        <v>540118.52307780494</v>
      </c>
      <c r="C63" s="49">
        <v>0</v>
      </c>
      <c r="D63" s="20">
        <v>0</v>
      </c>
      <c r="E63" s="49">
        <v>0</v>
      </c>
      <c r="F63" s="20">
        <v>0</v>
      </c>
      <c r="G63" s="49">
        <v>0</v>
      </c>
      <c r="H63" s="20">
        <v>0</v>
      </c>
      <c r="I63" s="52">
        <f>+(B63-J63)/ABS(J63)</f>
        <v>5.3069784289362022E-2</v>
      </c>
      <c r="J63" s="20">
        <v>512899.07956317492</v>
      </c>
      <c r="K63" s="52">
        <f>+(J63-L63)/L63</f>
        <v>6.0896549866760248E-2</v>
      </c>
      <c r="L63" s="20">
        <v>483458.14643999998</v>
      </c>
      <c r="M63" s="52">
        <f>+(L63-N63)/N63</f>
        <v>0.31533596773242317</v>
      </c>
      <c r="N63" s="20">
        <v>367554.87442000001</v>
      </c>
      <c r="O63" s="52">
        <f>+(N63-P63)/P63</f>
        <v>0.16447337411020765</v>
      </c>
      <c r="P63" s="20">
        <v>315640.42819000001</v>
      </c>
    </row>
    <row r="68" spans="2:15">
      <c r="B68"/>
      <c r="C68"/>
      <c r="D68"/>
      <c r="E68"/>
      <c r="F68"/>
      <c r="G68"/>
      <c r="H68"/>
      <c r="I68"/>
      <c r="J68"/>
      <c r="K68"/>
      <c r="L68"/>
      <c r="M68"/>
      <c r="N68"/>
      <c r="O68"/>
    </row>
    <row r="69" spans="2:15">
      <c r="B69"/>
      <c r="C69"/>
      <c r="D69"/>
      <c r="E69"/>
      <c r="F69"/>
      <c r="G69"/>
      <c r="H69"/>
      <c r="I69"/>
      <c r="J69"/>
      <c r="K69"/>
      <c r="L69"/>
      <c r="M69"/>
      <c r="N69"/>
      <c r="O69"/>
    </row>
    <row r="70" spans="2:15">
      <c r="B70"/>
      <c r="C70"/>
      <c r="D70"/>
      <c r="E70"/>
      <c r="F70"/>
      <c r="G70"/>
      <c r="H70"/>
      <c r="I70"/>
      <c r="J70"/>
      <c r="K70"/>
      <c r="L70"/>
      <c r="M70"/>
      <c r="N70"/>
      <c r="O70"/>
    </row>
    <row r="71" spans="2:15">
      <c r="B71"/>
      <c r="C71"/>
      <c r="D71"/>
      <c r="E71"/>
      <c r="F71"/>
      <c r="G71"/>
      <c r="H71"/>
      <c r="I71"/>
      <c r="J71"/>
      <c r="K71"/>
      <c r="L71"/>
      <c r="M71"/>
      <c r="N71"/>
      <c r="O71"/>
    </row>
    <row r="72" spans="2:15">
      <c r="B72"/>
      <c r="C72"/>
      <c r="D72"/>
      <c r="E72"/>
      <c r="F72"/>
      <c r="G72"/>
      <c r="H72"/>
      <c r="I72"/>
      <c r="J72"/>
      <c r="K72"/>
      <c r="L72"/>
      <c r="M72"/>
      <c r="N72"/>
      <c r="O72"/>
    </row>
    <row r="73" spans="2:15">
      <c r="B73"/>
      <c r="C73"/>
      <c r="D73"/>
      <c r="E73"/>
      <c r="F73"/>
      <c r="G73"/>
      <c r="H73"/>
      <c r="I73"/>
      <c r="J73"/>
      <c r="K73"/>
      <c r="L73"/>
      <c r="M73"/>
      <c r="N73"/>
      <c r="O73"/>
    </row>
    <row r="74" spans="2:15">
      <c r="B74"/>
      <c r="C74"/>
      <c r="D74"/>
      <c r="E74"/>
      <c r="F74"/>
      <c r="G74"/>
      <c r="H74"/>
      <c r="I74"/>
      <c r="J74"/>
      <c r="K74"/>
      <c r="L74"/>
      <c r="M74"/>
      <c r="N74"/>
      <c r="O74"/>
    </row>
    <row r="75" spans="2:15">
      <c r="B75"/>
      <c r="C75"/>
      <c r="D75"/>
      <c r="E75"/>
      <c r="F75"/>
      <c r="G75"/>
      <c r="H75"/>
      <c r="I75"/>
      <c r="J75"/>
      <c r="K75"/>
      <c r="L75"/>
      <c r="M75"/>
      <c r="N75"/>
      <c r="O75"/>
    </row>
    <row r="76" spans="2:15">
      <c r="B76"/>
      <c r="C76"/>
      <c r="D76"/>
      <c r="E76"/>
      <c r="F76"/>
      <c r="G76"/>
      <c r="H76"/>
      <c r="I76"/>
      <c r="J76"/>
      <c r="K76"/>
      <c r="L76"/>
      <c r="M76"/>
      <c r="N76"/>
      <c r="O76"/>
    </row>
    <row r="77" spans="2:15">
      <c r="B77"/>
      <c r="C77"/>
      <c r="D77"/>
      <c r="E77"/>
      <c r="F77"/>
      <c r="G77"/>
      <c r="H77"/>
      <c r="I77"/>
      <c r="J77"/>
      <c r="K77"/>
      <c r="L77"/>
      <c r="M77"/>
      <c r="N77"/>
      <c r="O77"/>
    </row>
    <row r="78" spans="2:15">
      <c r="B78"/>
      <c r="C78"/>
      <c r="D78"/>
      <c r="E78"/>
      <c r="F78"/>
      <c r="G78"/>
      <c r="H78"/>
      <c r="I78"/>
      <c r="J78"/>
      <c r="K78"/>
      <c r="L78"/>
      <c r="M78"/>
      <c r="N78"/>
      <c r="O78"/>
    </row>
    <row r="79" spans="2:15">
      <c r="B79"/>
      <c r="C79"/>
      <c r="D79"/>
      <c r="E79"/>
      <c r="F79"/>
      <c r="G79"/>
      <c r="H79"/>
      <c r="I79"/>
      <c r="J79"/>
      <c r="K79"/>
      <c r="L79"/>
      <c r="M79"/>
      <c r="N79"/>
      <c r="O79"/>
    </row>
    <row r="80" spans="2:15">
      <c r="B80"/>
      <c r="C80"/>
      <c r="D80"/>
      <c r="E80"/>
      <c r="F80"/>
      <c r="G80"/>
      <c r="H80"/>
      <c r="I80"/>
      <c r="J80"/>
      <c r="K80"/>
      <c r="L80"/>
      <c r="M80"/>
      <c r="N80"/>
      <c r="O80"/>
    </row>
    <row r="81" spans="2:15">
      <c r="B81"/>
      <c r="C81"/>
      <c r="D81"/>
      <c r="E81"/>
      <c r="F81"/>
      <c r="G81"/>
      <c r="H81"/>
      <c r="I81"/>
      <c r="J81"/>
      <c r="K81"/>
      <c r="L81"/>
      <c r="M81"/>
      <c r="N81"/>
      <c r="O81"/>
    </row>
    <row r="82" spans="2:15">
      <c r="B82"/>
      <c r="C82"/>
      <c r="D82"/>
      <c r="E82"/>
      <c r="F82"/>
      <c r="G82"/>
      <c r="H82"/>
      <c r="I82"/>
      <c r="J82"/>
      <c r="K82"/>
      <c r="L82"/>
      <c r="M82"/>
      <c r="N82"/>
      <c r="O82"/>
    </row>
    <row r="83" spans="2:15">
      <c r="B83"/>
      <c r="C83"/>
      <c r="D83"/>
      <c r="E83"/>
      <c r="F83"/>
      <c r="G83"/>
      <c r="H83"/>
      <c r="I83"/>
      <c r="J83"/>
      <c r="K83"/>
      <c r="L83"/>
      <c r="M83"/>
      <c r="N83"/>
      <c r="O83"/>
    </row>
    <row r="84" spans="2:15">
      <c r="B84"/>
      <c r="C84"/>
      <c r="D84"/>
      <c r="E84"/>
      <c r="F84"/>
      <c r="G84"/>
      <c r="H84"/>
      <c r="I84"/>
      <c r="J84"/>
      <c r="K84"/>
      <c r="L84"/>
      <c r="M84"/>
      <c r="N84"/>
      <c r="O84"/>
    </row>
    <row r="85" spans="2:15">
      <c r="B85"/>
      <c r="C85"/>
      <c r="D85"/>
      <c r="E85"/>
      <c r="F85"/>
      <c r="G85"/>
      <c r="H85"/>
      <c r="I85"/>
      <c r="J85"/>
      <c r="K85"/>
      <c r="L85"/>
      <c r="M85"/>
      <c r="N85"/>
      <c r="O85"/>
    </row>
    <row r="86" spans="2:15">
      <c r="B86"/>
      <c r="C86"/>
      <c r="D86"/>
      <c r="E86"/>
      <c r="F86"/>
      <c r="G86"/>
      <c r="H86"/>
      <c r="I86"/>
      <c r="J86"/>
      <c r="K86"/>
      <c r="L86"/>
      <c r="M86"/>
      <c r="N86"/>
      <c r="O86"/>
    </row>
    <row r="87" spans="2:15">
      <c r="B87"/>
      <c r="C87"/>
      <c r="D87"/>
      <c r="E87"/>
      <c r="F87"/>
      <c r="G87"/>
      <c r="H87"/>
      <c r="I87"/>
      <c r="J87"/>
      <c r="K87"/>
      <c r="L87"/>
      <c r="M87"/>
      <c r="N87"/>
      <c r="O87"/>
    </row>
    <row r="88" spans="2:15">
      <c r="B88"/>
      <c r="C88"/>
      <c r="D88"/>
      <c r="E88"/>
      <c r="F88"/>
      <c r="G88"/>
      <c r="H88"/>
      <c r="I88"/>
      <c r="J88"/>
      <c r="K88"/>
      <c r="L88"/>
      <c r="M88"/>
      <c r="N88"/>
      <c r="O88"/>
    </row>
    <row r="89" spans="2:15">
      <c r="B89"/>
      <c r="C89"/>
      <c r="D89"/>
      <c r="E89"/>
      <c r="F89"/>
      <c r="G89"/>
      <c r="H89"/>
      <c r="I89"/>
      <c r="J89"/>
      <c r="K89"/>
      <c r="L89"/>
      <c r="M89"/>
      <c r="N89"/>
      <c r="O89"/>
    </row>
    <row r="90" spans="2:15">
      <c r="B90"/>
      <c r="C90"/>
      <c r="D90"/>
      <c r="E90"/>
      <c r="F90"/>
      <c r="G90"/>
      <c r="H90"/>
      <c r="I90"/>
      <c r="J90"/>
      <c r="K90"/>
      <c r="L90"/>
      <c r="M90"/>
      <c r="N90"/>
      <c r="O90"/>
    </row>
    <row r="91" spans="2:15">
      <c r="B91"/>
      <c r="C91"/>
      <c r="D91"/>
      <c r="E91"/>
      <c r="F91"/>
      <c r="G91"/>
      <c r="H91"/>
      <c r="I91"/>
      <c r="J91"/>
      <c r="K91"/>
      <c r="L91"/>
      <c r="M91"/>
      <c r="N91"/>
      <c r="O91"/>
    </row>
    <row r="92" spans="2:15">
      <c r="B92"/>
      <c r="C92"/>
      <c r="D92"/>
      <c r="E92"/>
      <c r="F92"/>
      <c r="G92"/>
      <c r="H92"/>
      <c r="I92"/>
      <c r="J92"/>
      <c r="K92"/>
      <c r="L92"/>
      <c r="M92"/>
      <c r="N92"/>
      <c r="O92"/>
    </row>
    <row r="93" spans="2:15">
      <c r="B93"/>
      <c r="C93"/>
      <c r="D93"/>
      <c r="E93"/>
      <c r="F93"/>
      <c r="G93"/>
      <c r="H93"/>
      <c r="I93"/>
      <c r="J93"/>
      <c r="K93"/>
      <c r="L93"/>
      <c r="M93"/>
      <c r="N93"/>
      <c r="O93"/>
    </row>
    <row r="94" spans="2:15">
      <c r="B94"/>
      <c r="C94"/>
      <c r="D94"/>
      <c r="E94"/>
      <c r="F94"/>
      <c r="G94"/>
      <c r="H94"/>
      <c r="I94"/>
      <c r="J94"/>
      <c r="K94"/>
      <c r="L94"/>
      <c r="M94"/>
      <c r="N94"/>
      <c r="O94"/>
    </row>
    <row r="95" spans="2:15">
      <c r="B95"/>
      <c r="C95"/>
      <c r="D95"/>
      <c r="E95"/>
      <c r="F95"/>
      <c r="G95"/>
      <c r="H95"/>
      <c r="I95"/>
      <c r="J95"/>
      <c r="K95"/>
      <c r="L95"/>
      <c r="M95"/>
      <c r="N95"/>
      <c r="O95"/>
    </row>
    <row r="96" spans="2:15">
      <c r="B96"/>
      <c r="C96"/>
      <c r="D96"/>
      <c r="E96"/>
      <c r="F96"/>
      <c r="G96"/>
      <c r="H96"/>
      <c r="I96"/>
      <c r="J96"/>
      <c r="K96"/>
      <c r="L96"/>
      <c r="M96"/>
      <c r="N96"/>
      <c r="O96"/>
    </row>
    <row r="97" spans="2:15">
      <c r="B97"/>
      <c r="C97"/>
      <c r="D97"/>
      <c r="E97"/>
      <c r="F97"/>
      <c r="G97"/>
      <c r="H97"/>
      <c r="I97"/>
      <c r="J97"/>
      <c r="K97"/>
      <c r="L97"/>
      <c r="M97"/>
      <c r="N97"/>
      <c r="O97"/>
    </row>
    <row r="98" spans="2:15">
      <c r="B98"/>
      <c r="C98"/>
      <c r="D98"/>
      <c r="E98"/>
      <c r="F98"/>
      <c r="G98"/>
      <c r="H98"/>
      <c r="I98"/>
      <c r="J98"/>
      <c r="K98"/>
      <c r="L98"/>
      <c r="M98"/>
      <c r="N98"/>
      <c r="O98"/>
    </row>
    <row r="99" spans="2:15">
      <c r="B99"/>
      <c r="C99"/>
      <c r="D99"/>
      <c r="E99"/>
      <c r="F99"/>
      <c r="G99"/>
      <c r="H99"/>
      <c r="I99"/>
      <c r="J99"/>
      <c r="K99"/>
      <c r="L99"/>
      <c r="M99"/>
      <c r="N99"/>
      <c r="O99"/>
    </row>
    <row r="100" spans="2:15">
      <c r="B100"/>
      <c r="C100"/>
      <c r="D100"/>
      <c r="E100"/>
      <c r="F100"/>
      <c r="G100"/>
      <c r="H100"/>
      <c r="I100"/>
      <c r="J100"/>
      <c r="K100"/>
      <c r="L100"/>
      <c r="M100"/>
      <c r="N100"/>
      <c r="O100"/>
    </row>
    <row r="101" spans="2:15">
      <c r="B101"/>
      <c r="C101"/>
      <c r="D101"/>
      <c r="E101"/>
      <c r="F101"/>
      <c r="G101"/>
      <c r="H101"/>
      <c r="I101"/>
      <c r="J101"/>
      <c r="K101"/>
      <c r="L101"/>
      <c r="M101"/>
      <c r="N101"/>
      <c r="O101"/>
    </row>
    <row r="102" spans="2:15">
      <c r="B102"/>
      <c r="C102"/>
      <c r="D102"/>
      <c r="E102"/>
      <c r="F102"/>
      <c r="G102"/>
      <c r="H102"/>
      <c r="I102"/>
      <c r="J102"/>
      <c r="K102"/>
      <c r="L102"/>
      <c r="M102"/>
      <c r="N102"/>
      <c r="O102"/>
    </row>
    <row r="103" spans="2:15">
      <c r="B103"/>
      <c r="C103"/>
      <c r="D103"/>
      <c r="E103"/>
      <c r="F103"/>
      <c r="G103"/>
      <c r="H103"/>
      <c r="I103"/>
      <c r="J103"/>
      <c r="K103"/>
      <c r="L103"/>
      <c r="M103"/>
      <c r="N103"/>
      <c r="O103"/>
    </row>
    <row r="104" spans="2:15">
      <c r="B104"/>
      <c r="C104"/>
      <c r="D104"/>
      <c r="E104"/>
      <c r="F104"/>
      <c r="G104"/>
      <c r="H104"/>
      <c r="I104"/>
      <c r="J104"/>
      <c r="K104"/>
      <c r="L104"/>
      <c r="M104"/>
      <c r="N104"/>
      <c r="O104"/>
    </row>
    <row r="105" spans="2:15">
      <c r="B105"/>
      <c r="C105"/>
      <c r="D105"/>
      <c r="E105"/>
      <c r="F105"/>
      <c r="G105"/>
      <c r="H105"/>
      <c r="I105"/>
      <c r="J105"/>
      <c r="K105"/>
      <c r="L105"/>
      <c r="M105"/>
      <c r="N105"/>
      <c r="O105"/>
    </row>
    <row r="106" spans="2:15">
      <c r="B106"/>
      <c r="C106"/>
      <c r="D106"/>
      <c r="E106"/>
      <c r="F106"/>
      <c r="G106"/>
      <c r="H106"/>
      <c r="I106"/>
      <c r="J106"/>
      <c r="K106"/>
      <c r="L106"/>
      <c r="M106"/>
      <c r="N106"/>
      <c r="O106"/>
    </row>
    <row r="107" spans="2:15">
      <c r="B107"/>
      <c r="C107"/>
      <c r="D107"/>
      <c r="E107"/>
      <c r="F107"/>
      <c r="G107"/>
      <c r="H107"/>
      <c r="I107"/>
      <c r="J107"/>
      <c r="K107"/>
      <c r="L107"/>
      <c r="M107"/>
      <c r="N107"/>
      <c r="O107"/>
    </row>
    <row r="108" spans="2:15">
      <c r="B108"/>
      <c r="C108"/>
      <c r="D108"/>
      <c r="E108"/>
      <c r="F108"/>
      <c r="G108"/>
      <c r="H108"/>
      <c r="I108"/>
      <c r="J108"/>
      <c r="K108"/>
      <c r="L108"/>
      <c r="M108"/>
      <c r="N108"/>
      <c r="O108"/>
    </row>
    <row r="109" spans="2:15">
      <c r="B109"/>
      <c r="C109"/>
      <c r="D109"/>
      <c r="E109"/>
      <c r="F109"/>
      <c r="G109"/>
      <c r="H109"/>
      <c r="I109"/>
      <c r="J109"/>
      <c r="K109"/>
      <c r="L109"/>
      <c r="M109"/>
      <c r="N109"/>
      <c r="O109"/>
    </row>
    <row r="110" spans="2:15">
      <c r="B110"/>
      <c r="C110"/>
      <c r="D110"/>
      <c r="E110"/>
      <c r="F110"/>
      <c r="G110"/>
      <c r="H110"/>
      <c r="I110"/>
      <c r="J110"/>
      <c r="K110"/>
      <c r="L110"/>
      <c r="M110"/>
      <c r="N110"/>
      <c r="O110"/>
    </row>
    <row r="111" spans="2:15">
      <c r="B111"/>
      <c r="C111"/>
      <c r="D111"/>
      <c r="E111"/>
      <c r="F111"/>
      <c r="G111"/>
      <c r="H111"/>
      <c r="I111"/>
      <c r="J111"/>
      <c r="K111"/>
      <c r="L111"/>
      <c r="M111"/>
      <c r="N111"/>
      <c r="O111"/>
    </row>
    <row r="112" spans="2:15">
      <c r="B112"/>
      <c r="C112"/>
      <c r="D112"/>
      <c r="E112"/>
      <c r="F112"/>
      <c r="G112"/>
      <c r="H112"/>
      <c r="I112"/>
      <c r="J112"/>
      <c r="K112"/>
      <c r="L112"/>
      <c r="M112"/>
      <c r="N112"/>
      <c r="O112"/>
    </row>
    <row r="113" spans="2:15">
      <c r="B113"/>
      <c r="C113"/>
      <c r="D113"/>
      <c r="E113"/>
      <c r="F113"/>
      <c r="G113"/>
      <c r="H113"/>
      <c r="I113"/>
      <c r="J113"/>
      <c r="K113"/>
      <c r="L113"/>
      <c r="M113"/>
      <c r="N113"/>
      <c r="O113"/>
    </row>
    <row r="114" spans="2:15">
      <c r="B114"/>
      <c r="C114"/>
      <c r="D114"/>
      <c r="E114"/>
      <c r="F114"/>
      <c r="G114"/>
      <c r="H114"/>
      <c r="I114"/>
      <c r="J114"/>
      <c r="K114"/>
      <c r="L114"/>
      <c r="M114"/>
      <c r="N114"/>
      <c r="O114"/>
    </row>
    <row r="115" spans="2:15">
      <c r="B115"/>
      <c r="C115"/>
      <c r="D115"/>
      <c r="E115"/>
      <c r="F115"/>
      <c r="G115"/>
      <c r="H115"/>
      <c r="I115"/>
      <c r="J115"/>
      <c r="K115"/>
      <c r="L115"/>
      <c r="M115"/>
      <c r="N115"/>
      <c r="O115"/>
    </row>
    <row r="116" spans="2:15">
      <c r="B116"/>
      <c r="C116"/>
      <c r="D116"/>
      <c r="E116"/>
      <c r="F116"/>
      <c r="G116"/>
      <c r="H116"/>
      <c r="I116"/>
      <c r="J116"/>
      <c r="K116"/>
      <c r="L116"/>
      <c r="M116"/>
      <c r="N116"/>
      <c r="O116"/>
    </row>
    <row r="117" spans="2:15">
      <c r="B117"/>
      <c r="C117"/>
      <c r="D117"/>
      <c r="E117"/>
      <c r="F117"/>
      <c r="G117"/>
      <c r="H117"/>
      <c r="I117"/>
      <c r="J117"/>
      <c r="K117"/>
      <c r="L117"/>
      <c r="M117"/>
      <c r="N117"/>
      <c r="O117"/>
    </row>
    <row r="118" spans="2:15">
      <c r="B118"/>
      <c r="C118"/>
      <c r="D118"/>
      <c r="E118"/>
      <c r="F118"/>
      <c r="G118"/>
      <c r="H118"/>
      <c r="I118"/>
      <c r="J118"/>
      <c r="K118"/>
      <c r="L118"/>
      <c r="M118"/>
      <c r="N118"/>
      <c r="O118"/>
    </row>
    <row r="119" spans="2:15">
      <c r="B119"/>
      <c r="C119"/>
      <c r="D119"/>
      <c r="E119"/>
      <c r="F119"/>
      <c r="G119"/>
      <c r="H119"/>
      <c r="I119"/>
      <c r="J119"/>
      <c r="K119"/>
      <c r="L119"/>
      <c r="M119"/>
      <c r="N119"/>
      <c r="O119"/>
    </row>
    <row r="120" spans="2:15">
      <c r="B120"/>
      <c r="C120"/>
      <c r="D120"/>
      <c r="E120"/>
      <c r="F120"/>
      <c r="G120"/>
      <c r="H120"/>
      <c r="I120"/>
      <c r="J120"/>
      <c r="K120"/>
      <c r="L120"/>
      <c r="M120"/>
      <c r="N120"/>
      <c r="O120"/>
    </row>
    <row r="121" spans="2:15">
      <c r="B121"/>
      <c r="C121"/>
      <c r="D121"/>
      <c r="E121"/>
      <c r="F121"/>
      <c r="G121"/>
      <c r="H121"/>
      <c r="I121"/>
      <c r="J121"/>
      <c r="K121"/>
      <c r="L121"/>
      <c r="M121"/>
      <c r="N121"/>
      <c r="O121"/>
    </row>
    <row r="122" spans="2:15">
      <c r="B122"/>
      <c r="C122"/>
      <c r="D122"/>
      <c r="E122"/>
      <c r="F122"/>
      <c r="G122"/>
      <c r="H122"/>
      <c r="I122"/>
      <c r="J122"/>
      <c r="K122"/>
      <c r="L122"/>
      <c r="M122"/>
      <c r="N122"/>
      <c r="O122"/>
    </row>
    <row r="123" spans="2:15">
      <c r="B123"/>
      <c r="C123"/>
      <c r="D123"/>
      <c r="E123"/>
      <c r="F123"/>
      <c r="G123"/>
      <c r="H123"/>
      <c r="I123"/>
      <c r="J123"/>
      <c r="K123"/>
      <c r="L123"/>
      <c r="M123"/>
      <c r="N123"/>
      <c r="O123"/>
    </row>
    <row r="124" spans="2:15">
      <c r="B124"/>
      <c r="C124"/>
      <c r="D124"/>
      <c r="E124"/>
      <c r="F124"/>
      <c r="G124"/>
      <c r="H124"/>
      <c r="I124"/>
      <c r="J124"/>
      <c r="K124"/>
      <c r="L124"/>
      <c r="M124"/>
      <c r="N124"/>
      <c r="O124"/>
    </row>
    <row r="125" spans="2:15">
      <c r="B125"/>
      <c r="C125"/>
      <c r="D125"/>
      <c r="E125"/>
      <c r="F125"/>
      <c r="G125"/>
      <c r="H125"/>
      <c r="I125"/>
      <c r="J125"/>
      <c r="K125"/>
      <c r="L125"/>
      <c r="M125"/>
      <c r="N125"/>
      <c r="O125"/>
    </row>
    <row r="126" spans="2:15">
      <c r="B126"/>
      <c r="C126"/>
      <c r="D126"/>
      <c r="E126"/>
      <c r="F126"/>
      <c r="G126"/>
      <c r="H126"/>
      <c r="I126"/>
      <c r="J126"/>
      <c r="K126"/>
      <c r="L126"/>
      <c r="M126"/>
      <c r="N126"/>
      <c r="O126"/>
    </row>
    <row r="127" spans="2:15">
      <c r="B127"/>
      <c r="C127"/>
      <c r="D127"/>
      <c r="E127"/>
      <c r="F127"/>
      <c r="G127"/>
      <c r="H127"/>
      <c r="I127"/>
      <c r="J127"/>
      <c r="K127"/>
      <c r="L127"/>
      <c r="M127"/>
      <c r="N127"/>
      <c r="O127"/>
    </row>
    <row r="128" spans="2:15">
      <c r="B128"/>
      <c r="C128"/>
      <c r="D128"/>
      <c r="E128"/>
      <c r="F128"/>
      <c r="G128"/>
      <c r="H128"/>
      <c r="I128"/>
      <c r="J128"/>
      <c r="K128"/>
      <c r="L128"/>
      <c r="M128"/>
      <c r="N128"/>
      <c r="O128"/>
    </row>
    <row r="129" spans="2:15">
      <c r="B129"/>
      <c r="C129"/>
      <c r="D129"/>
      <c r="E129"/>
      <c r="F129"/>
      <c r="G129"/>
      <c r="H129"/>
      <c r="I129"/>
      <c r="J129"/>
      <c r="K129"/>
      <c r="L129"/>
      <c r="M129"/>
      <c r="N129"/>
      <c r="O129"/>
    </row>
    <row r="130" spans="2:15">
      <c r="B130"/>
      <c r="C130"/>
      <c r="D130"/>
      <c r="E130"/>
      <c r="F130"/>
      <c r="G130"/>
      <c r="H130"/>
      <c r="I130"/>
      <c r="J130"/>
      <c r="K130"/>
      <c r="L130"/>
      <c r="M130"/>
      <c r="N130"/>
      <c r="O130"/>
    </row>
    <row r="131" spans="2:15">
      <c r="B131"/>
      <c r="C131"/>
      <c r="D131"/>
      <c r="E131"/>
      <c r="F131"/>
      <c r="G131"/>
      <c r="H131"/>
      <c r="I131"/>
      <c r="J131"/>
      <c r="K131"/>
      <c r="L131"/>
      <c r="M131"/>
      <c r="N131"/>
      <c r="O131"/>
    </row>
    <row r="132" spans="2:15">
      <c r="B132"/>
      <c r="C132"/>
      <c r="D132"/>
      <c r="E132"/>
      <c r="F132"/>
      <c r="G132"/>
      <c r="H132"/>
      <c r="I132"/>
      <c r="J132"/>
      <c r="K132"/>
      <c r="L132"/>
      <c r="M132"/>
      <c r="N132"/>
      <c r="O132"/>
    </row>
    <row r="133" spans="2:15">
      <c r="B133"/>
      <c r="C133"/>
      <c r="D133"/>
      <c r="E133"/>
      <c r="F133"/>
      <c r="G133"/>
      <c r="H133"/>
      <c r="I133"/>
      <c r="J133"/>
      <c r="K133"/>
      <c r="L133"/>
      <c r="M133"/>
      <c r="N133"/>
      <c r="O133"/>
    </row>
    <row r="134" spans="2:15">
      <c r="B134"/>
      <c r="C134"/>
      <c r="D134"/>
      <c r="E134"/>
      <c r="F134"/>
      <c r="G134"/>
      <c r="H134"/>
      <c r="I134"/>
      <c r="J134"/>
      <c r="K134"/>
      <c r="L134"/>
      <c r="M134"/>
      <c r="N134"/>
      <c r="O134"/>
    </row>
    <row r="135" spans="2:15">
      <c r="B135"/>
      <c r="C135"/>
      <c r="D135"/>
      <c r="E135"/>
      <c r="F135"/>
      <c r="G135"/>
      <c r="H135"/>
      <c r="I135"/>
      <c r="J135"/>
      <c r="K135"/>
      <c r="L135"/>
      <c r="M135"/>
      <c r="N135"/>
      <c r="O135"/>
    </row>
    <row r="136" spans="2:15">
      <c r="B136"/>
      <c r="C136"/>
      <c r="D136"/>
      <c r="E136"/>
      <c r="F136"/>
      <c r="G136"/>
      <c r="H136"/>
      <c r="I136"/>
      <c r="J136"/>
      <c r="K136"/>
      <c r="L136"/>
      <c r="M136"/>
      <c r="N136"/>
      <c r="O136"/>
    </row>
    <row r="137" spans="2:15">
      <c r="B137"/>
      <c r="C137"/>
      <c r="D137"/>
      <c r="E137"/>
      <c r="F137"/>
      <c r="G137"/>
      <c r="H137"/>
      <c r="I137"/>
      <c r="J137"/>
      <c r="K137"/>
      <c r="L137"/>
      <c r="M137"/>
      <c r="N137"/>
      <c r="O137"/>
    </row>
    <row r="138" spans="2:15">
      <c r="B138"/>
      <c r="C138"/>
      <c r="D138"/>
      <c r="E138"/>
      <c r="F138"/>
      <c r="G138"/>
      <c r="H138"/>
      <c r="I138"/>
      <c r="J138"/>
      <c r="K138"/>
      <c r="L138"/>
      <c r="M138"/>
      <c r="N138"/>
      <c r="O138"/>
    </row>
    <row r="139" spans="2:15">
      <c r="B139"/>
      <c r="C139"/>
      <c r="D139"/>
      <c r="E139"/>
      <c r="F139"/>
      <c r="G139"/>
      <c r="H139"/>
      <c r="I139"/>
      <c r="J139"/>
      <c r="K139"/>
      <c r="L139"/>
      <c r="M139"/>
      <c r="N139"/>
      <c r="O139"/>
    </row>
    <row r="140" spans="2:15">
      <c r="B140"/>
      <c r="C140"/>
      <c r="D140"/>
      <c r="E140"/>
      <c r="F140"/>
      <c r="G140"/>
      <c r="H140"/>
      <c r="I140"/>
      <c r="J140"/>
      <c r="K140"/>
      <c r="L140"/>
      <c r="M140"/>
      <c r="N140"/>
      <c r="O140"/>
    </row>
    <row r="141" spans="2:15">
      <c r="B141"/>
      <c r="C141"/>
      <c r="D141"/>
      <c r="E141"/>
      <c r="F141"/>
      <c r="G141"/>
      <c r="H141"/>
      <c r="I141"/>
      <c r="J141"/>
      <c r="K141"/>
      <c r="L141"/>
      <c r="M141"/>
      <c r="N141"/>
      <c r="O141"/>
    </row>
    <row r="142" spans="2:15">
      <c r="B142"/>
      <c r="C142"/>
      <c r="D142"/>
      <c r="E142"/>
      <c r="F142"/>
      <c r="G142"/>
      <c r="H142"/>
      <c r="I142"/>
      <c r="J142"/>
      <c r="K142"/>
      <c r="L142"/>
      <c r="M142"/>
      <c r="N142"/>
      <c r="O142"/>
    </row>
    <row r="143" spans="2:15">
      <c r="B143"/>
      <c r="C143"/>
      <c r="D143"/>
      <c r="E143"/>
      <c r="F143"/>
      <c r="G143"/>
      <c r="H143"/>
      <c r="I143"/>
      <c r="J143"/>
      <c r="K143"/>
      <c r="L143"/>
      <c r="M143"/>
      <c r="N143"/>
      <c r="O143"/>
    </row>
    <row r="144" spans="2:15">
      <c r="B144"/>
      <c r="C144"/>
      <c r="D144"/>
      <c r="E144"/>
      <c r="F144"/>
      <c r="G144"/>
      <c r="H144"/>
      <c r="I144"/>
      <c r="J144"/>
      <c r="K144"/>
      <c r="L144"/>
      <c r="M144"/>
      <c r="N144"/>
      <c r="O144"/>
    </row>
    <row r="145" spans="2:15">
      <c r="B145"/>
      <c r="C145"/>
      <c r="D145"/>
      <c r="E145"/>
      <c r="F145"/>
      <c r="G145"/>
      <c r="H145"/>
      <c r="I145"/>
      <c r="J145"/>
      <c r="K145"/>
      <c r="L145"/>
      <c r="M145"/>
      <c r="N145"/>
      <c r="O145"/>
    </row>
    <row r="146" spans="2:15">
      <c r="B146"/>
      <c r="C146"/>
      <c r="D146"/>
      <c r="E146"/>
      <c r="F146"/>
      <c r="G146"/>
      <c r="H146"/>
      <c r="I146"/>
      <c r="J146"/>
      <c r="K146"/>
      <c r="L146"/>
      <c r="M146"/>
      <c r="N146"/>
      <c r="O146"/>
    </row>
    <row r="147" spans="2:15">
      <c r="B147"/>
      <c r="C147"/>
      <c r="D147"/>
      <c r="E147"/>
      <c r="F147"/>
      <c r="G147"/>
      <c r="H147"/>
      <c r="I147"/>
      <c r="J147"/>
      <c r="K147"/>
      <c r="L147"/>
      <c r="M147"/>
      <c r="N147"/>
      <c r="O147"/>
    </row>
    <row r="148" spans="2:15">
      <c r="B148"/>
      <c r="C148"/>
      <c r="D148"/>
      <c r="E148"/>
      <c r="F148"/>
      <c r="G148"/>
      <c r="H148"/>
      <c r="I148"/>
      <c r="J148"/>
      <c r="K148"/>
      <c r="L148"/>
      <c r="M148"/>
      <c r="N148"/>
      <c r="O148"/>
    </row>
    <row r="149" spans="2:15">
      <c r="B149"/>
      <c r="C149"/>
      <c r="D149"/>
      <c r="E149"/>
      <c r="F149"/>
      <c r="G149"/>
      <c r="H149"/>
      <c r="I149"/>
      <c r="J149"/>
      <c r="K149"/>
      <c r="L149"/>
      <c r="M149"/>
      <c r="N149"/>
      <c r="O149"/>
    </row>
    <row r="150" spans="2:15">
      <c r="B150"/>
      <c r="C150"/>
      <c r="D150"/>
      <c r="E150"/>
      <c r="F150"/>
      <c r="G150"/>
      <c r="H150"/>
      <c r="I150"/>
      <c r="J150"/>
      <c r="K150"/>
      <c r="L150"/>
      <c r="M150"/>
      <c r="N150"/>
      <c r="O150"/>
    </row>
    <row r="151" spans="2:15">
      <c r="B151"/>
      <c r="C151"/>
      <c r="D151"/>
      <c r="E151"/>
      <c r="F151"/>
      <c r="G151"/>
      <c r="H151"/>
      <c r="I151"/>
      <c r="J151"/>
      <c r="K151"/>
      <c r="L151"/>
      <c r="M151"/>
      <c r="N151"/>
      <c r="O151"/>
    </row>
    <row r="152" spans="2:15">
      <c r="B152"/>
      <c r="C152"/>
      <c r="D152"/>
      <c r="E152"/>
      <c r="F152"/>
      <c r="G152"/>
      <c r="H152"/>
      <c r="I152"/>
      <c r="J152"/>
      <c r="K152"/>
      <c r="L152"/>
      <c r="M152"/>
      <c r="N152"/>
      <c r="O152"/>
    </row>
    <row r="153" spans="2:15">
      <c r="B153"/>
      <c r="C153"/>
      <c r="D153"/>
      <c r="E153"/>
      <c r="F153"/>
      <c r="G153"/>
      <c r="H153"/>
      <c r="I153"/>
      <c r="J153"/>
      <c r="K153"/>
      <c r="L153"/>
      <c r="M153"/>
      <c r="N153"/>
      <c r="O153"/>
    </row>
    <row r="154" spans="2:15">
      <c r="B154"/>
      <c r="C154"/>
      <c r="D154"/>
      <c r="E154"/>
      <c r="F154"/>
      <c r="G154"/>
      <c r="H154"/>
      <c r="I154"/>
      <c r="J154"/>
      <c r="K154"/>
      <c r="L154"/>
      <c r="M154"/>
      <c r="N154"/>
      <c r="O154"/>
    </row>
    <row r="155" spans="2:15">
      <c r="B155"/>
      <c r="C155"/>
      <c r="D155"/>
      <c r="E155"/>
      <c r="F155"/>
      <c r="G155"/>
      <c r="H155"/>
      <c r="I155"/>
      <c r="J155"/>
      <c r="K155"/>
      <c r="L155"/>
      <c r="M155"/>
      <c r="N155"/>
      <c r="O155"/>
    </row>
    <row r="156" spans="2:15">
      <c r="B156"/>
      <c r="C156"/>
      <c r="D156"/>
      <c r="E156"/>
      <c r="F156"/>
      <c r="G156"/>
      <c r="H156"/>
      <c r="I156"/>
      <c r="J156"/>
      <c r="K156"/>
      <c r="L156"/>
      <c r="M156"/>
      <c r="N156"/>
      <c r="O156"/>
    </row>
    <row r="157" spans="2:15">
      <c r="B157"/>
      <c r="C157"/>
      <c r="D157"/>
      <c r="E157"/>
      <c r="F157"/>
      <c r="G157"/>
      <c r="H157"/>
      <c r="I157"/>
      <c r="J157"/>
      <c r="K157"/>
      <c r="L157"/>
      <c r="M157"/>
      <c r="N157"/>
      <c r="O157"/>
    </row>
    <row r="158" spans="2:15">
      <c r="B158"/>
      <c r="C158"/>
      <c r="D158"/>
      <c r="E158"/>
      <c r="F158"/>
      <c r="G158"/>
      <c r="H158"/>
      <c r="I158"/>
      <c r="J158"/>
      <c r="K158"/>
      <c r="L158"/>
      <c r="M158"/>
      <c r="N158"/>
      <c r="O158"/>
    </row>
    <row r="159" spans="2:15">
      <c r="B159"/>
      <c r="C159"/>
      <c r="D159"/>
      <c r="E159"/>
      <c r="F159"/>
      <c r="G159"/>
      <c r="H159"/>
      <c r="I159"/>
      <c r="J159"/>
      <c r="K159"/>
      <c r="L159"/>
      <c r="M159"/>
      <c r="N159"/>
      <c r="O159"/>
    </row>
    <row r="160" spans="2:15">
      <c r="B160"/>
      <c r="C160"/>
      <c r="D160"/>
      <c r="E160"/>
      <c r="F160"/>
      <c r="G160"/>
      <c r="H160"/>
      <c r="I160"/>
      <c r="J160"/>
      <c r="K160"/>
      <c r="L160"/>
      <c r="M160"/>
      <c r="N160"/>
      <c r="O160"/>
    </row>
    <row r="161" spans="2:15">
      <c r="B161"/>
      <c r="C161"/>
      <c r="D161"/>
      <c r="E161"/>
      <c r="F161"/>
      <c r="G161"/>
      <c r="H161"/>
      <c r="I161"/>
      <c r="J161"/>
      <c r="K161"/>
      <c r="L161"/>
      <c r="M161"/>
      <c r="N161"/>
      <c r="O161"/>
    </row>
    <row r="162" spans="2:15">
      <c r="B162"/>
      <c r="C162"/>
      <c r="D162"/>
      <c r="E162"/>
      <c r="F162"/>
      <c r="G162"/>
      <c r="H162"/>
      <c r="I162"/>
      <c r="J162"/>
      <c r="K162"/>
      <c r="L162"/>
      <c r="M162"/>
      <c r="N162"/>
      <c r="O162"/>
    </row>
    <row r="163" spans="2:15">
      <c r="B163"/>
      <c r="C163"/>
      <c r="D163"/>
      <c r="E163"/>
      <c r="F163"/>
      <c r="G163"/>
      <c r="H163"/>
      <c r="I163"/>
      <c r="J163"/>
      <c r="K163"/>
      <c r="L163"/>
      <c r="M163"/>
      <c r="N163"/>
      <c r="O163"/>
    </row>
    <row r="164" spans="2:15">
      <c r="B164"/>
      <c r="C164"/>
      <c r="D164"/>
      <c r="E164"/>
      <c r="F164"/>
      <c r="G164"/>
      <c r="H164"/>
      <c r="I164"/>
      <c r="J164"/>
      <c r="K164"/>
      <c r="L164"/>
      <c r="M164"/>
      <c r="N164"/>
      <c r="O164"/>
    </row>
    <row r="165" spans="2:15">
      <c r="B165"/>
      <c r="C165"/>
      <c r="D165"/>
      <c r="E165"/>
      <c r="F165"/>
      <c r="G165"/>
      <c r="H165"/>
      <c r="I165"/>
      <c r="J165"/>
      <c r="K165"/>
      <c r="L165"/>
      <c r="M165"/>
      <c r="N165"/>
      <c r="O165"/>
    </row>
    <row r="166" spans="2:15">
      <c r="B166"/>
      <c r="C166"/>
      <c r="D166"/>
      <c r="E166"/>
      <c r="F166"/>
      <c r="G166"/>
      <c r="H166"/>
      <c r="I166"/>
      <c r="J166"/>
      <c r="K166"/>
      <c r="L166"/>
      <c r="M166"/>
      <c r="N166"/>
      <c r="O166"/>
    </row>
    <row r="167" spans="2:15">
      <c r="B167"/>
      <c r="C167"/>
      <c r="D167"/>
      <c r="E167"/>
      <c r="F167"/>
      <c r="G167"/>
      <c r="H167"/>
      <c r="I167"/>
      <c r="J167"/>
      <c r="K167"/>
      <c r="L167"/>
      <c r="M167"/>
      <c r="N167"/>
      <c r="O167"/>
    </row>
    <row r="168" spans="2:15">
      <c r="B168"/>
      <c r="C168"/>
      <c r="D168"/>
      <c r="E168"/>
      <c r="F168"/>
      <c r="G168"/>
      <c r="H168"/>
      <c r="I168"/>
      <c r="J168"/>
      <c r="K168"/>
      <c r="L168"/>
      <c r="M168"/>
      <c r="N168"/>
      <c r="O168"/>
    </row>
    <row r="169" spans="2:15">
      <c r="B169"/>
      <c r="C169"/>
      <c r="D169"/>
      <c r="E169"/>
      <c r="F169"/>
      <c r="G169"/>
      <c r="H169"/>
      <c r="I169"/>
      <c r="J169"/>
      <c r="K169"/>
      <c r="L169"/>
      <c r="M169"/>
      <c r="N169"/>
      <c r="O169"/>
    </row>
    <row r="170" spans="2:15">
      <c r="B170"/>
      <c r="C170"/>
      <c r="D170"/>
      <c r="E170"/>
      <c r="F170"/>
      <c r="G170"/>
      <c r="H170"/>
      <c r="I170"/>
      <c r="J170"/>
      <c r="K170"/>
      <c r="L170"/>
      <c r="M170"/>
      <c r="N170"/>
      <c r="O170"/>
    </row>
    <row r="171" spans="2:15">
      <c r="B171"/>
      <c r="C171"/>
      <c r="D171"/>
      <c r="E171"/>
      <c r="F171"/>
      <c r="G171"/>
      <c r="H171"/>
      <c r="I171"/>
      <c r="J171"/>
      <c r="K171"/>
      <c r="L171"/>
      <c r="M171"/>
      <c r="N171"/>
      <c r="O171"/>
    </row>
    <row r="172" spans="2:15">
      <c r="B172"/>
      <c r="C172"/>
      <c r="D172"/>
      <c r="E172"/>
      <c r="F172"/>
      <c r="G172"/>
      <c r="H172"/>
      <c r="I172"/>
      <c r="J172"/>
      <c r="K172"/>
      <c r="L172"/>
      <c r="M172"/>
      <c r="N172"/>
      <c r="O172"/>
    </row>
  </sheetData>
  <phoneticPr fontId="0" type="noConversion"/>
  <pageMargins left="0.27" right="0.25" top="0.55000000000000004" bottom="0.56999999999999995" header="0.36" footer="0.28999999999999998"/>
  <pageSetup scale="54" orientation="landscape" r:id="rId1"/>
  <headerFooter alignWithMargins="0">
    <oddFooter>&amp;R&amp;P</oddFooter>
  </headerFooter>
</worksheet>
</file>

<file path=xl/worksheets/sheet74.xml><?xml version="1.0" encoding="utf-8"?>
<worksheet xmlns="http://schemas.openxmlformats.org/spreadsheetml/2006/main" xmlns:r="http://schemas.openxmlformats.org/officeDocument/2006/relationships">
  <sheetPr>
    <pageSetUpPr fitToPage="1"/>
  </sheetPr>
  <dimension ref="A1:U157"/>
  <sheetViews>
    <sheetView workbookViewId="0">
      <selection activeCell="D6" sqref="D6"/>
    </sheetView>
  </sheetViews>
  <sheetFormatPr baseColWidth="10" defaultColWidth="9" defaultRowHeight="15.75"/>
  <cols>
    <col min="1" max="1" width="33.25" customWidth="1"/>
    <col min="2" max="2" width="17.37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9.75" style="21" customWidth="1"/>
    <col min="18" max="18" width="15.75" style="20" customWidth="1"/>
    <col min="19" max="21" width="15.75" customWidth="1"/>
  </cols>
  <sheetData>
    <row r="1" spans="1:21">
      <c r="A1" s="111" t="s">
        <v>398</v>
      </c>
      <c r="B1" s="42"/>
      <c r="C1" s="43"/>
      <c r="D1" s="42"/>
      <c r="E1" s="43"/>
      <c r="F1" s="42"/>
      <c r="G1" s="43"/>
      <c r="H1" s="42"/>
      <c r="I1" s="43"/>
      <c r="J1" s="42"/>
      <c r="K1" s="43"/>
      <c r="L1" s="42"/>
      <c r="M1" s="43"/>
      <c r="N1" s="42"/>
      <c r="O1" s="43"/>
      <c r="P1" s="42"/>
      <c r="Q1" s="43"/>
    </row>
    <row r="2" spans="1:21">
      <c r="A2" s="111" t="s">
        <v>291</v>
      </c>
      <c r="B2" s="42"/>
      <c r="C2" s="43"/>
      <c r="D2" s="42"/>
      <c r="E2" s="43"/>
      <c r="F2" s="42"/>
      <c r="G2" s="43"/>
      <c r="H2" s="42"/>
      <c r="I2" s="43"/>
      <c r="J2" s="42"/>
      <c r="K2" s="43"/>
      <c r="L2" s="42"/>
      <c r="M2" s="43"/>
      <c r="N2" s="42"/>
      <c r="O2" s="43"/>
      <c r="P2" s="42"/>
      <c r="Q2" s="43"/>
    </row>
    <row r="3" spans="1:21">
      <c r="A3" s="111" t="s">
        <v>387</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6" spans="1:21" s="11" customFormat="1" ht="16.5" thickBot="1">
      <c r="B6" s="346" t="s">
        <v>0</v>
      </c>
      <c r="C6" s="345"/>
      <c r="D6" s="346"/>
      <c r="E6" s="345"/>
      <c r="F6" s="346"/>
      <c r="G6" s="345"/>
      <c r="H6" s="346"/>
      <c r="I6" s="19"/>
      <c r="J6" s="118" t="s">
        <v>195</v>
      </c>
      <c r="K6" s="207"/>
      <c r="L6" s="118"/>
      <c r="M6" s="207"/>
      <c r="N6" s="118"/>
      <c r="O6" s="207"/>
      <c r="P6" s="118"/>
      <c r="Q6" s="207"/>
      <c r="R6" s="13"/>
    </row>
    <row r="7" spans="1:21" s="11" customFormat="1" ht="16.5" thickBot="1">
      <c r="B7" s="200" t="str">
        <f>+'bnccomp '!B7</f>
        <v>Déc. 14</v>
      </c>
      <c r="C7" s="201" t="s">
        <v>289</v>
      </c>
      <c r="D7" s="200" t="str">
        <f>+'bnccomp '!D7</f>
        <v>Mars 15</v>
      </c>
      <c r="E7" s="201" t="s">
        <v>289</v>
      </c>
      <c r="F7" s="200" t="str">
        <f>+'bnccomp '!F7</f>
        <v>Juin 15</v>
      </c>
      <c r="G7" s="201" t="s">
        <v>289</v>
      </c>
      <c r="H7" s="200" t="str">
        <f>+'bnccomp '!H7</f>
        <v>Sept. 15</v>
      </c>
      <c r="I7" s="201" t="s">
        <v>289</v>
      </c>
      <c r="J7" s="205" t="str">
        <f>+'bnccomp '!J7</f>
        <v>2014</v>
      </c>
      <c r="K7" s="204" t="s">
        <v>289</v>
      </c>
      <c r="L7" s="205" t="str">
        <f>+'bnccomp '!L7</f>
        <v>2013</v>
      </c>
      <c r="M7" s="204" t="s">
        <v>289</v>
      </c>
      <c r="N7" s="205" t="str">
        <f>+'bnccomp '!N7</f>
        <v>2012</v>
      </c>
      <c r="O7" s="204" t="s">
        <v>289</v>
      </c>
      <c r="P7" s="205" t="str">
        <f>+'bnccomp '!P7</f>
        <v>2011</v>
      </c>
      <c r="Q7" s="204" t="s">
        <v>289</v>
      </c>
      <c r="R7" s="2"/>
      <c r="S7" s="3"/>
      <c r="T7" s="3"/>
      <c r="U7" s="3"/>
    </row>
    <row r="8" spans="1:21">
      <c r="A8" s="356" t="s">
        <v>244</v>
      </c>
      <c r="B8" s="120"/>
      <c r="C8" s="119"/>
      <c r="D8" s="120"/>
      <c r="E8" s="119"/>
      <c r="F8" s="120"/>
      <c r="G8" s="119"/>
      <c r="H8" s="120"/>
      <c r="I8" s="119"/>
      <c r="J8" s="197"/>
      <c r="K8" s="119"/>
      <c r="L8" s="197"/>
      <c r="M8" s="119"/>
      <c r="N8" s="197"/>
      <c r="O8" s="119"/>
      <c r="P8" s="197"/>
      <c r="Q8" s="119"/>
      <c r="R8" s="22"/>
      <c r="S8" s="17"/>
      <c r="T8" s="17"/>
      <c r="U8" s="17"/>
    </row>
    <row r="9" spans="1:21">
      <c r="A9" s="10" t="s">
        <v>255</v>
      </c>
      <c r="B9"/>
    </row>
    <row r="10" spans="1:21">
      <c r="A10" s="10" t="s">
        <v>256</v>
      </c>
      <c r="B10" s="20">
        <f>+bphvar!B10</f>
        <v>158344.90801000001</v>
      </c>
      <c r="C10" s="52">
        <f t="shared" ref="C10:C15" si="0">+B10/$B$23</f>
        <v>4.9500119553819825E-2</v>
      </c>
      <c r="D10" s="20">
        <f>+bphvar!D10</f>
        <v>0</v>
      </c>
      <c r="E10" s="49">
        <v>0</v>
      </c>
      <c r="F10" s="20">
        <f>+bphvar!F10</f>
        <v>0</v>
      </c>
      <c r="G10" s="49">
        <v>0</v>
      </c>
      <c r="H10" s="20">
        <f>+bphvar!H10</f>
        <v>0</v>
      </c>
      <c r="I10" s="49">
        <v>0</v>
      </c>
      <c r="J10" s="20">
        <f>+bphvar!J10</f>
        <v>67921.316949999993</v>
      </c>
      <c r="K10" s="52">
        <f t="shared" ref="K10:K15" si="1">+J10/$J$23</f>
        <v>2.216153365807377E-2</v>
      </c>
      <c r="L10" s="20">
        <f>+bphvar!L10</f>
        <v>89844.406149999995</v>
      </c>
      <c r="M10" s="52">
        <f t="shared" ref="M10:M15" si="2">+L10/$L$23</f>
        <v>3.3090420058200454E-2</v>
      </c>
      <c r="N10" s="20">
        <f>+bphvar!N10</f>
        <v>96412.01367</v>
      </c>
      <c r="O10" s="52">
        <f t="shared" ref="O10:O15" si="3">+N10/$N$23</f>
        <v>4.5884646111340056E-2</v>
      </c>
      <c r="P10" s="20">
        <f>+bphvar!P10</f>
        <v>91515.908509999994</v>
      </c>
      <c r="Q10" s="52">
        <f t="shared" ref="Q10:Q15" si="4">+P10/$P$23</f>
        <v>5.8863993631063365E-2</v>
      </c>
    </row>
    <row r="11" spans="1:21">
      <c r="A11" s="10" t="s">
        <v>257</v>
      </c>
      <c r="B11" s="20">
        <f>+bphvar!B11</f>
        <v>1474128.9915499999</v>
      </c>
      <c r="C11" s="52">
        <f t="shared" si="0"/>
        <v>0.46082669936483578</v>
      </c>
      <c r="D11" s="20">
        <f>+bphvar!D11</f>
        <v>0</v>
      </c>
      <c r="E11" s="49">
        <v>0</v>
      </c>
      <c r="F11" s="20">
        <f>+bphvar!F11</f>
        <v>0</v>
      </c>
      <c r="G11" s="49">
        <v>0</v>
      </c>
      <c r="H11" s="20">
        <f>+bphvar!H11</f>
        <v>0</v>
      </c>
      <c r="I11" s="49">
        <v>0</v>
      </c>
      <c r="J11" s="20">
        <f>+bphvar!J11</f>
        <v>965698.53037000005</v>
      </c>
      <c r="K11" s="52">
        <f t="shared" si="1"/>
        <v>0.31509048183064026</v>
      </c>
      <c r="L11" s="20">
        <f>+bphvar!L11</f>
        <v>864757.19238999998</v>
      </c>
      <c r="M11" s="52">
        <f t="shared" si="2"/>
        <v>0.31849705474997081</v>
      </c>
      <c r="N11" s="20">
        <f>+bphvar!N11</f>
        <v>766794.2219</v>
      </c>
      <c r="O11" s="52">
        <f t="shared" si="3"/>
        <v>0.36493461937772903</v>
      </c>
      <c r="P11" s="20">
        <f>+bphvar!P11</f>
        <v>539315.11343999999</v>
      </c>
      <c r="Q11" s="52">
        <f t="shared" si="4"/>
        <v>0.34689314589713599</v>
      </c>
    </row>
    <row r="12" spans="1:21">
      <c r="A12" s="10" t="s">
        <v>258</v>
      </c>
      <c r="B12" s="20">
        <f>+bphvar!B12</f>
        <v>58764.294320000001</v>
      </c>
      <c r="C12" s="52">
        <f t="shared" si="0"/>
        <v>1.8370275564226875E-2</v>
      </c>
      <c r="D12" s="20">
        <f>+bphvar!D12</f>
        <v>0</v>
      </c>
      <c r="E12" s="49">
        <v>0</v>
      </c>
      <c r="F12" s="20">
        <f>+bphvar!F12</f>
        <v>0</v>
      </c>
      <c r="G12" s="49">
        <v>0</v>
      </c>
      <c r="H12" s="20">
        <f>+bphvar!H12</f>
        <v>0</v>
      </c>
      <c r="I12" s="49">
        <v>0</v>
      </c>
      <c r="J12" s="20">
        <f>+bphvar!J12</f>
        <v>626036.59661000001</v>
      </c>
      <c r="K12" s="52">
        <f t="shared" si="1"/>
        <v>0.20426475412971903</v>
      </c>
      <c r="L12" s="20">
        <f>+bphvar!L12</f>
        <v>385690.28788000002</v>
      </c>
      <c r="M12" s="52">
        <f t="shared" si="2"/>
        <v>0.14205284652902633</v>
      </c>
      <c r="N12" s="20">
        <f>+bphvar!N12</f>
        <v>56353.204089999999</v>
      </c>
      <c r="O12" s="52">
        <f t="shared" si="3"/>
        <v>2.6819757502008941E-2</v>
      </c>
      <c r="P12" s="20">
        <f>+bphvar!P12</f>
        <v>84189.008719999998</v>
      </c>
      <c r="Q12" s="52">
        <f t="shared" si="4"/>
        <v>5.415125472483405E-2</v>
      </c>
    </row>
    <row r="13" spans="1:21">
      <c r="A13" s="10" t="s">
        <v>259</v>
      </c>
      <c r="B13" s="20">
        <f>+bphvar!B13</f>
        <v>0</v>
      </c>
      <c r="C13" s="52">
        <f t="shared" si="0"/>
        <v>0</v>
      </c>
      <c r="D13" s="20">
        <f>+bphvar!D13</f>
        <v>0</v>
      </c>
      <c r="E13" s="49">
        <v>0</v>
      </c>
      <c r="F13" s="20">
        <f>+bphvar!F13</f>
        <v>0</v>
      </c>
      <c r="G13" s="49">
        <v>0</v>
      </c>
      <c r="H13" s="20">
        <f>+bphvar!H13</f>
        <v>0</v>
      </c>
      <c r="I13" s="49">
        <v>0</v>
      </c>
      <c r="J13" s="20">
        <f>+bphvar!J13</f>
        <v>0</v>
      </c>
      <c r="K13" s="52">
        <f t="shared" si="1"/>
        <v>0</v>
      </c>
      <c r="L13" s="20">
        <f>+bphvar!L13</f>
        <v>0</v>
      </c>
      <c r="M13" s="52">
        <f t="shared" si="2"/>
        <v>0</v>
      </c>
      <c r="N13" s="20">
        <f>+bphvar!N13</f>
        <v>0</v>
      </c>
      <c r="O13" s="52">
        <f t="shared" si="3"/>
        <v>0</v>
      </c>
      <c r="P13" s="20">
        <f>+bphvar!P13</f>
        <v>0</v>
      </c>
      <c r="Q13" s="52">
        <f t="shared" si="4"/>
        <v>0</v>
      </c>
    </row>
    <row r="14" spans="1:21">
      <c r="A14" s="10" t="s">
        <v>260</v>
      </c>
      <c r="B14" s="199">
        <f>+bphvar!B14</f>
        <v>28204.022360000003</v>
      </c>
      <c r="C14" s="213">
        <f t="shared" si="0"/>
        <v>8.8168447995210508E-3</v>
      </c>
      <c r="D14" s="199">
        <f>+bphvar!D14</f>
        <v>0</v>
      </c>
      <c r="E14" s="1524">
        <v>0</v>
      </c>
      <c r="F14" s="199">
        <f>+bphvar!F14</f>
        <v>0</v>
      </c>
      <c r="G14" s="1524">
        <v>0</v>
      </c>
      <c r="H14" s="199">
        <f>+bphvar!H14</f>
        <v>0</v>
      </c>
      <c r="I14" s="1524">
        <v>0</v>
      </c>
      <c r="J14" s="199">
        <f>+bphvar!J14</f>
        <v>67240.549629999994</v>
      </c>
      <c r="K14" s="213">
        <f t="shared" si="1"/>
        <v>2.193941122946122E-2</v>
      </c>
      <c r="L14" s="199">
        <f>+bphvar!L14</f>
        <v>87589.631049999996</v>
      </c>
      <c r="M14" s="213">
        <f t="shared" si="2"/>
        <v>3.2259968187093382E-2</v>
      </c>
      <c r="N14" s="199">
        <f>+bphvar!N14</f>
        <v>28482.354420000003</v>
      </c>
      <c r="O14" s="213">
        <f t="shared" si="3"/>
        <v>1.3555393184222272E-2</v>
      </c>
      <c r="P14" s="199">
        <f>+bphvar!P14</f>
        <v>81184.023630000011</v>
      </c>
      <c r="Q14" s="213">
        <f t="shared" si="4"/>
        <v>5.2218416750768909E-2</v>
      </c>
    </row>
    <row r="15" spans="1:21" ht="15.6" customHeight="1">
      <c r="A15" s="10"/>
      <c r="B15" s="20">
        <f>SUM(B10:B14)</f>
        <v>1719442.21624</v>
      </c>
      <c r="C15" s="52">
        <f t="shared" si="0"/>
        <v>0.53751393928240354</v>
      </c>
      <c r="D15" s="20">
        <f>SUM(D10:D14)</f>
        <v>0</v>
      </c>
      <c r="E15" s="49">
        <v>0</v>
      </c>
      <c r="F15" s="20">
        <f>SUM(F10:F14)</f>
        <v>0</v>
      </c>
      <c r="G15" s="49">
        <v>0</v>
      </c>
      <c r="H15" s="20">
        <f>SUM(H10:H14)</f>
        <v>0</v>
      </c>
      <c r="I15" s="49">
        <v>0</v>
      </c>
      <c r="J15" s="20">
        <f>SUM(J10:J14)</f>
        <v>1726896.9935600001</v>
      </c>
      <c r="K15" s="52">
        <f t="shared" si="1"/>
        <v>0.56345618084789428</v>
      </c>
      <c r="L15" s="20">
        <f>SUM(L10:L14)</f>
        <v>1427881.5174699998</v>
      </c>
      <c r="M15" s="52">
        <f t="shared" si="2"/>
        <v>0.52590028952429091</v>
      </c>
      <c r="N15" s="20">
        <f>SUM(N10:N14)</f>
        <v>948041.79408000002</v>
      </c>
      <c r="O15" s="52">
        <f t="shared" si="3"/>
        <v>0.45119441617530032</v>
      </c>
      <c r="P15" s="20">
        <f>SUM(P10:P14)</f>
        <v>796204.05429999996</v>
      </c>
      <c r="Q15" s="52">
        <f t="shared" si="4"/>
        <v>0.51212681100380231</v>
      </c>
    </row>
    <row r="16" spans="1:21" ht="7.9" customHeight="1">
      <c r="A16" s="10"/>
      <c r="C16" s="52" t="s">
        <v>0</v>
      </c>
      <c r="E16" s="49" t="s">
        <v>0</v>
      </c>
      <c r="G16" s="46" t="s">
        <v>0</v>
      </c>
      <c r="I16" s="49" t="s">
        <v>0</v>
      </c>
      <c r="K16" s="52" t="s">
        <v>0</v>
      </c>
      <c r="M16" s="52" t="s">
        <v>0</v>
      </c>
      <c r="O16" s="52" t="s">
        <v>0</v>
      </c>
      <c r="Q16" s="52" t="s">
        <v>0</v>
      </c>
    </row>
    <row r="17" spans="1:17" ht="15.6" customHeight="1">
      <c r="A17" s="10" t="s">
        <v>261</v>
      </c>
      <c r="B17" s="20">
        <f>+bphvar!B17</f>
        <v>223000</v>
      </c>
      <c r="C17" s="52">
        <f t="shared" ref="C17:C23" si="5">+B17/$B$23</f>
        <v>6.9711914321897245E-2</v>
      </c>
      <c r="D17" s="20">
        <f>+bphvar!D17</f>
        <v>0</v>
      </c>
      <c r="E17" s="49">
        <v>0</v>
      </c>
      <c r="F17" s="20">
        <f>+bphvar!F17</f>
        <v>0</v>
      </c>
      <c r="G17" s="49">
        <v>0</v>
      </c>
      <c r="H17" s="20">
        <f>+bphvar!H17</f>
        <v>0</v>
      </c>
      <c r="I17" s="49">
        <v>0</v>
      </c>
      <c r="J17" s="20">
        <f>+bphvar!J17</f>
        <v>100000</v>
      </c>
      <c r="K17" s="52">
        <f t="shared" ref="K17:K23" si="6">+J17/$J$23</f>
        <v>3.2628244935809909E-2</v>
      </c>
      <c r="L17" s="20">
        <f>+bphvar!L17</f>
        <v>0</v>
      </c>
      <c r="M17" s="52">
        <f t="shared" ref="M17:M23" si="7">+L17/$L$23</f>
        <v>0</v>
      </c>
      <c r="N17" s="20">
        <f>+bphvar!N17</f>
        <v>0</v>
      </c>
      <c r="O17" s="52">
        <f t="shared" ref="O17:O23" si="8">+N17/$N$23</f>
        <v>0</v>
      </c>
      <c r="P17" s="20">
        <f>+bphvar!P17</f>
        <v>170000</v>
      </c>
      <c r="Q17" s="52">
        <f t="shared" ref="Q17:Q23" si="9">+P17/$P$23</f>
        <v>0.1093457856694644</v>
      </c>
    </row>
    <row r="18" spans="1:17" ht="15.6" customHeight="1">
      <c r="A18" s="10" t="s">
        <v>909</v>
      </c>
      <c r="B18" s="20">
        <v>0</v>
      </c>
      <c r="C18" s="52">
        <f t="shared" si="5"/>
        <v>0</v>
      </c>
      <c r="D18" s="20">
        <v>0</v>
      </c>
      <c r="E18" s="49">
        <v>0</v>
      </c>
      <c r="F18" s="20">
        <v>0</v>
      </c>
      <c r="G18" s="49">
        <v>0</v>
      </c>
      <c r="H18" s="20">
        <v>0</v>
      </c>
      <c r="I18" s="49">
        <v>0</v>
      </c>
      <c r="J18" s="20">
        <v>0</v>
      </c>
      <c r="K18" s="52">
        <v>0</v>
      </c>
      <c r="L18" s="20">
        <v>0</v>
      </c>
      <c r="M18" s="52">
        <v>0</v>
      </c>
      <c r="N18" s="20">
        <v>0</v>
      </c>
      <c r="O18" s="52">
        <v>0</v>
      </c>
      <c r="P18" s="20">
        <v>0</v>
      </c>
      <c r="Q18" s="52">
        <v>0</v>
      </c>
    </row>
    <row r="19" spans="1:17">
      <c r="A19" s="10" t="s">
        <v>262</v>
      </c>
      <c r="B19" s="20">
        <f>+bphvar!B19</f>
        <v>66410.106130000029</v>
      </c>
      <c r="C19" s="52">
        <f t="shared" si="5"/>
        <v>2.0760428827994015E-2</v>
      </c>
      <c r="D19" s="20">
        <f>+bphvar!D19</f>
        <v>0</v>
      </c>
      <c r="E19" s="49">
        <v>0</v>
      </c>
      <c r="F19" s="20">
        <f>+bphvar!F19</f>
        <v>0</v>
      </c>
      <c r="G19" s="49">
        <v>0</v>
      </c>
      <c r="H19" s="20">
        <f>+bphvar!H19</f>
        <v>0</v>
      </c>
      <c r="I19" s="49">
        <v>0</v>
      </c>
      <c r="J19" s="20">
        <f>+bphvar!J19</f>
        <v>67806.928249999997</v>
      </c>
      <c r="K19" s="52">
        <f t="shared" si="6"/>
        <v>2.2124210632858882E-2</v>
      </c>
      <c r="L19" s="20">
        <f>+bphvar!L19</f>
        <v>25129.35252</v>
      </c>
      <c r="M19" s="52">
        <f t="shared" si="7"/>
        <v>9.2553433909852625E-3</v>
      </c>
      <c r="N19" s="20">
        <f>+bphvar!N19</f>
        <v>24297.35108</v>
      </c>
      <c r="O19" s="52">
        <f t="shared" si="8"/>
        <v>1.156365595230479E-2</v>
      </c>
      <c r="P19" s="20">
        <f>+bphvar!P19</f>
        <v>23438.948659999998</v>
      </c>
      <c r="Q19" s="52">
        <f t="shared" si="9"/>
        <v>1.5076177979376115E-2</v>
      </c>
    </row>
    <row r="20" spans="1:17">
      <c r="A20" s="10" t="s">
        <v>263</v>
      </c>
      <c r="B20" s="20">
        <f>+bphvar!B20</f>
        <v>858993.53526000003</v>
      </c>
      <c r="C20" s="52">
        <f t="shared" si="5"/>
        <v>0.26852952346685532</v>
      </c>
      <c r="D20" s="20">
        <f>+bphvar!D20</f>
        <v>0</v>
      </c>
      <c r="E20" s="49">
        <v>0</v>
      </c>
      <c r="F20" s="20">
        <f>+bphvar!F20</f>
        <v>0</v>
      </c>
      <c r="G20" s="49">
        <v>0</v>
      </c>
      <c r="H20" s="20">
        <f>+bphvar!H20</f>
        <v>0</v>
      </c>
      <c r="I20" s="49">
        <v>0</v>
      </c>
      <c r="J20" s="20">
        <f>+bphvar!J20</f>
        <v>958681.84587000008</v>
      </c>
      <c r="K20" s="52">
        <f t="shared" si="6"/>
        <v>0.31280106082560727</v>
      </c>
      <c r="L20" s="20">
        <f>+bphvar!L20</f>
        <v>1091817.4077099999</v>
      </c>
      <c r="M20" s="52">
        <f t="shared" si="7"/>
        <v>0.40212516500649609</v>
      </c>
      <c r="N20" s="20">
        <f>+bphvar!N20</f>
        <v>871518.50167000003</v>
      </c>
      <c r="O20" s="52">
        <f t="shared" si="8"/>
        <v>0.41477525991199721</v>
      </c>
      <c r="P20" s="20">
        <f>+bphvar!P20</f>
        <v>425797.31738999998</v>
      </c>
      <c r="Q20" s="52">
        <f t="shared" si="9"/>
        <v>0.27387730709388142</v>
      </c>
    </row>
    <row r="21" spans="1:17">
      <c r="A21" s="10" t="s">
        <v>264</v>
      </c>
      <c r="B21" s="20">
        <f>+bphvar!B21</f>
        <v>305443.18223999999</v>
      </c>
      <c r="C21" s="52">
        <f t="shared" si="5"/>
        <v>9.5484434755706393E-2</v>
      </c>
      <c r="D21" s="20">
        <f>+bphvar!D21</f>
        <v>0</v>
      </c>
      <c r="E21" s="49">
        <v>0</v>
      </c>
      <c r="F21" s="20">
        <f>+bphvar!F21</f>
        <v>0</v>
      </c>
      <c r="G21" s="49">
        <v>0</v>
      </c>
      <c r="H21" s="20">
        <f>+bphvar!H21</f>
        <v>0</v>
      </c>
      <c r="I21" s="49">
        <v>0</v>
      </c>
      <c r="J21" s="20">
        <f>+bphvar!J21</f>
        <v>184690.54837999999</v>
      </c>
      <c r="K21" s="52">
        <f t="shared" si="6"/>
        <v>6.0261284498716892E-2</v>
      </c>
      <c r="L21" s="20">
        <f>+bphvar!L21</f>
        <v>137790.47558</v>
      </c>
      <c r="M21" s="52">
        <f t="shared" si="7"/>
        <v>5.074934447614924E-2</v>
      </c>
      <c r="N21" s="20">
        <f>+bphvar!N21</f>
        <v>129549.13488</v>
      </c>
      <c r="O21" s="52">
        <f t="shared" si="8"/>
        <v>6.1655347520749075E-2</v>
      </c>
      <c r="P21" s="20">
        <f>+bphvar!P21</f>
        <v>120710.61300000001</v>
      </c>
      <c r="Q21" s="52">
        <f t="shared" si="9"/>
        <v>7.7642334218398029E-2</v>
      </c>
    </row>
    <row r="22" spans="1:17" ht="16.5" thickBot="1">
      <c r="A22" s="10" t="s">
        <v>265</v>
      </c>
      <c r="B22" s="97">
        <f>+bphvar!B22</f>
        <v>25590.264609999998</v>
      </c>
      <c r="C22" s="295">
        <f t="shared" si="5"/>
        <v>7.999759345143494E-3</v>
      </c>
      <c r="D22" s="97">
        <f>+bphvar!D22</f>
        <v>0</v>
      </c>
      <c r="E22" s="209">
        <v>0</v>
      </c>
      <c r="F22" s="97">
        <f>+bphvar!F22</f>
        <v>0</v>
      </c>
      <c r="G22" s="209">
        <v>0</v>
      </c>
      <c r="H22" s="97">
        <f>+bphvar!H22</f>
        <v>0</v>
      </c>
      <c r="I22" s="209">
        <v>0</v>
      </c>
      <c r="J22" s="97">
        <f>+bphvar!J22</f>
        <v>26752.950630000003</v>
      </c>
      <c r="K22" s="295">
        <f t="shared" si="6"/>
        <v>8.7290182591127016E-3</v>
      </c>
      <c r="L22" s="97">
        <f>+bphvar!L22</f>
        <v>32499.579819999999</v>
      </c>
      <c r="M22" s="295">
        <f t="shared" si="7"/>
        <v>1.1969857602078597E-2</v>
      </c>
      <c r="N22" s="97">
        <f>+bphvar!N22</f>
        <v>127775.67998000002</v>
      </c>
      <c r="O22" s="295">
        <f t="shared" si="8"/>
        <v>6.0811320439648479E-2</v>
      </c>
      <c r="P22" s="97">
        <f>+bphvar!P22</f>
        <v>18550.045377099999</v>
      </c>
      <c r="Q22" s="295">
        <f t="shared" si="9"/>
        <v>1.1931584035077738E-2</v>
      </c>
    </row>
    <row r="23" spans="1:17">
      <c r="A23" s="10" t="s">
        <v>54</v>
      </c>
      <c r="B23" s="13">
        <f>SUM(B15:B22)</f>
        <v>3198879.3044799999</v>
      </c>
      <c r="C23" s="109">
        <f t="shared" si="5"/>
        <v>1</v>
      </c>
      <c r="D23" s="13">
        <f>SUM(D15:D22)</f>
        <v>0</v>
      </c>
      <c r="E23" s="1526">
        <v>0</v>
      </c>
      <c r="F23" s="13">
        <f>SUM(F15:F22)</f>
        <v>0</v>
      </c>
      <c r="G23" s="47">
        <v>0</v>
      </c>
      <c r="H23" s="13">
        <f>SUM(H15:H22)</f>
        <v>0</v>
      </c>
      <c r="I23" s="47">
        <v>0</v>
      </c>
      <c r="J23" s="13">
        <f>SUM(J15:J22)</f>
        <v>3064829.2666900004</v>
      </c>
      <c r="K23" s="52">
        <f t="shared" si="6"/>
        <v>1</v>
      </c>
      <c r="L23" s="13">
        <f>SUM(L15:L22)</f>
        <v>2715118.3330999995</v>
      </c>
      <c r="M23" s="52">
        <f t="shared" si="7"/>
        <v>1</v>
      </c>
      <c r="N23" s="13">
        <f>SUM(N15:N22)</f>
        <v>2101182.4616900003</v>
      </c>
      <c r="O23" s="52">
        <f t="shared" si="8"/>
        <v>1</v>
      </c>
      <c r="P23" s="13">
        <f>SUM(P15:P22)</f>
        <v>1554700.9787271</v>
      </c>
      <c r="Q23" s="52">
        <f t="shared" si="9"/>
        <v>1</v>
      </c>
    </row>
    <row r="24" spans="1:17" ht="7.9" customHeight="1">
      <c r="A24" s="10"/>
      <c r="C24" s="52" t="s">
        <v>0</v>
      </c>
      <c r="E24" s="49" t="s">
        <v>0</v>
      </c>
      <c r="G24" s="49" t="s">
        <v>0</v>
      </c>
      <c r="I24" s="49" t="s">
        <v>0</v>
      </c>
      <c r="K24" s="52" t="s">
        <v>0</v>
      </c>
      <c r="M24" s="52" t="s">
        <v>0</v>
      </c>
      <c r="O24" s="52" t="s">
        <v>0</v>
      </c>
      <c r="Q24" s="52" t="s">
        <v>0</v>
      </c>
    </row>
    <row r="25" spans="1:17">
      <c r="A25" s="86" t="s">
        <v>266</v>
      </c>
      <c r="C25" s="52" t="s">
        <v>0</v>
      </c>
      <c r="E25" s="49" t="s">
        <v>0</v>
      </c>
      <c r="G25" s="49" t="s">
        <v>0</v>
      </c>
      <c r="I25" s="49" t="s">
        <v>0</v>
      </c>
      <c r="K25" s="52" t="s">
        <v>0</v>
      </c>
      <c r="M25" s="52" t="s">
        <v>0</v>
      </c>
      <c r="O25" s="52" t="s">
        <v>0</v>
      </c>
      <c r="Q25" s="52" t="s">
        <v>0</v>
      </c>
    </row>
    <row r="26" spans="1:17">
      <c r="A26" s="10" t="s">
        <v>267</v>
      </c>
      <c r="B26" s="24" t="s">
        <v>0</v>
      </c>
      <c r="C26" s="52" t="s">
        <v>0</v>
      </c>
      <c r="E26" s="49" t="s">
        <v>0</v>
      </c>
      <c r="G26" s="49" t="s">
        <v>0</v>
      </c>
      <c r="I26" s="49" t="s">
        <v>0</v>
      </c>
      <c r="K26" s="52" t="s">
        <v>0</v>
      </c>
      <c r="M26" s="52" t="s">
        <v>0</v>
      </c>
      <c r="O26" s="52" t="s">
        <v>0</v>
      </c>
      <c r="Q26" s="52" t="s">
        <v>0</v>
      </c>
    </row>
    <row r="27" spans="1:17">
      <c r="A27" s="10" t="s">
        <v>268</v>
      </c>
      <c r="B27" s="20">
        <f>+bphvar!B27</f>
        <v>1426485.50697</v>
      </c>
      <c r="C27" s="52">
        <f>+B27/$B$23</f>
        <v>0.44593289436466721</v>
      </c>
      <c r="D27" s="20">
        <f>+bphvar!D27</f>
        <v>0</v>
      </c>
      <c r="E27" s="49">
        <v>0</v>
      </c>
      <c r="F27" s="20">
        <f>+bphvar!F27</f>
        <v>0</v>
      </c>
      <c r="G27" s="49">
        <v>0</v>
      </c>
      <c r="H27" s="20">
        <f>+bphvar!H27</f>
        <v>0</v>
      </c>
      <c r="I27" s="49">
        <v>0</v>
      </c>
      <c r="J27" s="20">
        <f>+bphvar!J27</f>
        <v>1349236.20499</v>
      </c>
      <c r="K27" s="52">
        <f>+J27/$J$23</f>
        <v>0.44023209372676347</v>
      </c>
      <c r="L27" s="20">
        <f>+bphvar!L27</f>
        <v>952502.66348999995</v>
      </c>
      <c r="M27" s="52">
        <f>+L27/$L$23</f>
        <v>0.35081442008550523</v>
      </c>
      <c r="N27" s="20">
        <f>+bphvar!N27</f>
        <v>742741.99014000001</v>
      </c>
      <c r="O27" s="52">
        <f>+N27/$N$23</f>
        <v>0.35348762122381594</v>
      </c>
      <c r="P27" s="20">
        <f>+bphvar!P27</f>
        <v>554030.43226000003</v>
      </c>
      <c r="Q27" s="52">
        <f>+P27/$P$23</f>
        <v>0.35635819353095693</v>
      </c>
    </row>
    <row r="28" spans="1:17">
      <c r="A28" s="10" t="s">
        <v>269</v>
      </c>
      <c r="B28" s="20">
        <f>+bphvar!B28</f>
        <v>579932.58106</v>
      </c>
      <c r="C28" s="52">
        <f>+B28/$B$23</f>
        <v>0.18129242333332488</v>
      </c>
      <c r="D28" s="20">
        <f>+bphvar!D28</f>
        <v>0</v>
      </c>
      <c r="E28" s="49">
        <v>0</v>
      </c>
      <c r="F28" s="20">
        <f>+bphvar!F28</f>
        <v>0</v>
      </c>
      <c r="G28" s="49">
        <v>0</v>
      </c>
      <c r="H28" s="20">
        <f>+bphvar!H28</f>
        <v>0</v>
      </c>
      <c r="I28" s="49">
        <v>0</v>
      </c>
      <c r="J28" s="20">
        <f>+bphvar!J28</f>
        <v>538863.71576000005</v>
      </c>
      <c r="K28" s="52">
        <f>+J28/$J$23</f>
        <v>0.17582177304837932</v>
      </c>
      <c r="L28" s="20">
        <f>+bphvar!L28</f>
        <v>527358.96530000004</v>
      </c>
      <c r="M28" s="52">
        <f>+L28/$L$23</f>
        <v>0.19423056404981268</v>
      </c>
      <c r="N28" s="20">
        <f>+bphvar!N28</f>
        <v>482950.52103</v>
      </c>
      <c r="O28" s="52">
        <f>+N28/$N$23</f>
        <v>0.22984701701800733</v>
      </c>
      <c r="P28" s="20">
        <f>+bphvar!P28</f>
        <v>465547.87167999998</v>
      </c>
      <c r="Q28" s="52">
        <f>+P28/$P$23</f>
        <v>0.29944528115056818</v>
      </c>
    </row>
    <row r="29" spans="1:17">
      <c r="A29" s="10" t="s">
        <v>270</v>
      </c>
      <c r="B29" s="199">
        <f>+bphvar!B29</f>
        <v>871487.54196000006</v>
      </c>
      <c r="C29" s="294">
        <f>+B29/$B$23</f>
        <v>0.27243526842025273</v>
      </c>
      <c r="D29" s="199">
        <f>+bphvar!D29</f>
        <v>0</v>
      </c>
      <c r="E29" s="1524">
        <v>0</v>
      </c>
      <c r="F29" s="199">
        <f>+bphvar!F29</f>
        <v>0</v>
      </c>
      <c r="G29" s="1524">
        <v>0</v>
      </c>
      <c r="H29" s="199">
        <f>+bphvar!H29</f>
        <v>0</v>
      </c>
      <c r="I29" s="1524">
        <v>0</v>
      </c>
      <c r="J29" s="199">
        <f>+bphvar!J29</f>
        <v>867767.10057000001</v>
      </c>
      <c r="K29" s="294">
        <f>+J29/$J$23</f>
        <v>0.28313717504635549</v>
      </c>
      <c r="L29" s="199">
        <f>+bphvar!L29</f>
        <v>842477.45561000006</v>
      </c>
      <c r="M29" s="294">
        <f>+L29/$L$23</f>
        <v>0.31029124783968343</v>
      </c>
      <c r="N29" s="199">
        <f>+bphvar!N29</f>
        <v>606813.83675999998</v>
      </c>
      <c r="O29" s="294">
        <f>+N29/$N$23</f>
        <v>0.2887963553017352</v>
      </c>
      <c r="P29" s="199">
        <f>+bphvar!P29</f>
        <v>426649.08075000002</v>
      </c>
      <c r="Q29" s="294">
        <f>+P29/$P$23</f>
        <v>0.274425170233903</v>
      </c>
    </row>
    <row r="30" spans="1:17">
      <c r="A30" s="10"/>
      <c r="B30" s="20">
        <f>SUM(B27:B29)</f>
        <v>2877905.6299900003</v>
      </c>
      <c r="C30" s="52">
        <f>+B30/$B$23</f>
        <v>0.89966058611824484</v>
      </c>
      <c r="D30" s="20">
        <f>SUM(D27:D29)</f>
        <v>0</v>
      </c>
      <c r="E30" s="49">
        <v>0</v>
      </c>
      <c r="F30" s="20">
        <f>SUM(F27:F29)</f>
        <v>0</v>
      </c>
      <c r="G30" s="49">
        <v>0</v>
      </c>
      <c r="H30" s="20">
        <f>SUM(H27:H29)</f>
        <v>0</v>
      </c>
      <c r="I30" s="49">
        <v>0</v>
      </c>
      <c r="J30" s="20">
        <f>SUM(J27:J29)</f>
        <v>2755867.0213200003</v>
      </c>
      <c r="K30" s="52">
        <f>+J30/$J$23</f>
        <v>0.89919104182149834</v>
      </c>
      <c r="L30" s="20">
        <f>SUM(L27:L29)</f>
        <v>2322339.0844000001</v>
      </c>
      <c r="M30" s="52">
        <f>+L30/$L$23</f>
        <v>0.8553362319750013</v>
      </c>
      <c r="N30" s="20">
        <f>SUM(N27:N29)</f>
        <v>1832506.3479300002</v>
      </c>
      <c r="O30" s="52">
        <f>+N30/$N$23</f>
        <v>0.87213099354355861</v>
      </c>
      <c r="P30" s="20">
        <f>SUM(P27:P29)</f>
        <v>1446227.38469</v>
      </c>
      <c r="Q30" s="52">
        <f>+P30/$P$23</f>
        <v>0.93022864491542812</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+bphvar!B33</f>
        <v>0</v>
      </c>
      <c r="C33" s="52">
        <f>+B33/$B$23</f>
        <v>0</v>
      </c>
      <c r="D33" s="20">
        <f>+bphvar!D33</f>
        <v>0</v>
      </c>
      <c r="E33" s="49">
        <v>0</v>
      </c>
      <c r="F33" s="20">
        <f>+bphvar!F33</f>
        <v>0</v>
      </c>
      <c r="G33" s="49">
        <v>0</v>
      </c>
      <c r="H33" s="20">
        <f>+bphvar!H33</f>
        <v>0</v>
      </c>
      <c r="I33" s="49">
        <v>0</v>
      </c>
      <c r="J33" s="20">
        <f>+bphvar!J33</f>
        <v>0</v>
      </c>
      <c r="K33" s="52">
        <f>+J33/$J$23</f>
        <v>0</v>
      </c>
      <c r="L33" s="20">
        <f>+bphvar!L33</f>
        <v>0</v>
      </c>
      <c r="M33" s="52">
        <f>+L33/$L$23</f>
        <v>0</v>
      </c>
      <c r="N33" s="20">
        <f>+bphvar!N33</f>
        <v>0</v>
      </c>
      <c r="O33" s="52">
        <f>+N33/$N$23</f>
        <v>0</v>
      </c>
      <c r="P33" s="20">
        <f>+bphvar!P33</f>
        <v>0</v>
      </c>
      <c r="Q33" s="52">
        <f>+P33/$P$23</f>
        <v>0</v>
      </c>
    </row>
    <row r="34" spans="1:21">
      <c r="A34" s="10" t="s">
        <v>273</v>
      </c>
      <c r="B34" s="20">
        <f>+bphvar!B34</f>
        <v>0</v>
      </c>
      <c r="C34" s="52">
        <f>+B34/$B$23</f>
        <v>0</v>
      </c>
      <c r="D34" s="20">
        <f>+bphvar!D34</f>
        <v>0</v>
      </c>
      <c r="E34" s="49">
        <v>0</v>
      </c>
      <c r="F34" s="20">
        <f>+bphvar!F34</f>
        <v>0</v>
      </c>
      <c r="G34" s="49">
        <v>0</v>
      </c>
      <c r="H34" s="20">
        <f>+bphvar!H34</f>
        <v>0</v>
      </c>
      <c r="I34" s="49">
        <v>0</v>
      </c>
      <c r="J34" s="20">
        <f>+bphvar!J34</f>
        <v>0</v>
      </c>
      <c r="K34" s="52">
        <f>+J34/$J$23</f>
        <v>0</v>
      </c>
      <c r="L34" s="20">
        <f>+bphvar!L34</f>
        <v>0</v>
      </c>
      <c r="M34" s="52">
        <f>+L34/$L$23</f>
        <v>0</v>
      </c>
      <c r="N34" s="20">
        <f>+bphvar!N34</f>
        <v>0</v>
      </c>
      <c r="O34" s="52">
        <f>+N34/$N$23</f>
        <v>0</v>
      </c>
      <c r="P34" s="20">
        <f>+bphvar!P34</f>
        <v>0</v>
      </c>
      <c r="Q34" s="52">
        <f>+P34/$P$23</f>
        <v>0</v>
      </c>
    </row>
    <row r="35" spans="1:21" ht="18">
      <c r="A35" s="10" t="s">
        <v>274</v>
      </c>
      <c r="B35" s="199">
        <f>+bphvar!B35</f>
        <v>180382.06825130701</v>
      </c>
      <c r="C35" s="294">
        <f>+B35/$B$23</f>
        <v>5.6389144785388944E-2</v>
      </c>
      <c r="D35" s="199">
        <f>+bphvar!D35</f>
        <v>0</v>
      </c>
      <c r="E35" s="1524">
        <v>0</v>
      </c>
      <c r="F35" s="199">
        <f>+bphvar!F35</f>
        <v>0</v>
      </c>
      <c r="G35" s="1524">
        <v>0</v>
      </c>
      <c r="H35" s="199">
        <f>+bphvar!H35</f>
        <v>0</v>
      </c>
      <c r="I35" s="1524">
        <v>0</v>
      </c>
      <c r="J35" s="199">
        <f>+bphvar!J35</f>
        <v>162367.24285105799</v>
      </c>
      <c r="K35" s="294">
        <f>+J35/$J$23</f>
        <v>5.2977581692964501E-2</v>
      </c>
      <c r="L35" s="199">
        <f>+bphvar!L35</f>
        <v>168355.29780862899</v>
      </c>
      <c r="M35" s="294">
        <f>+L35/$L$23</f>
        <v>6.2006615238905084E-2</v>
      </c>
      <c r="N35" s="199">
        <f>+bphvar!N35</f>
        <v>108975.199220276</v>
      </c>
      <c r="O35" s="294">
        <f>+N35/$N$23</f>
        <v>5.1863748725860893E-2</v>
      </c>
      <c r="P35" s="199">
        <f>+bphvar!P35</f>
        <v>85629.844455099999</v>
      </c>
      <c r="Q35" s="294">
        <f>+P35/$P$23</f>
        <v>5.5078015404099644E-2</v>
      </c>
      <c r="R35" s="14"/>
      <c r="S35" s="15"/>
      <c r="T35" s="15"/>
      <c r="U35" s="15"/>
    </row>
    <row r="36" spans="1:21">
      <c r="A36" s="10"/>
      <c r="B36" s="20">
        <f>SUM(B33:B35)</f>
        <v>180382.06825130701</v>
      </c>
      <c r="C36" s="52">
        <f>+B36/$B$23</f>
        <v>5.6389144785388944E-2</v>
      </c>
      <c r="D36" s="20">
        <f>SUM(D33:D35)</f>
        <v>0</v>
      </c>
      <c r="E36" s="49">
        <v>0</v>
      </c>
      <c r="F36" s="20">
        <f>SUM(F33:F35)</f>
        <v>0</v>
      </c>
      <c r="G36" s="49">
        <v>0</v>
      </c>
      <c r="H36" s="20">
        <f>SUM(H33:H35)</f>
        <v>0</v>
      </c>
      <c r="I36" s="49">
        <v>0</v>
      </c>
      <c r="J36" s="20">
        <f>SUM(J33:J35)</f>
        <v>162367.24285105799</v>
      </c>
      <c r="K36" s="52">
        <f>+J36/$J$23</f>
        <v>5.2977581692964501E-2</v>
      </c>
      <c r="L36" s="20">
        <f>SUM(L33:L35)</f>
        <v>168355.29780862899</v>
      </c>
      <c r="M36" s="52">
        <f>+L36/$L$23</f>
        <v>6.2006615238905084E-2</v>
      </c>
      <c r="N36" s="20">
        <f>SUM(N33:N35)</f>
        <v>108975.199220276</v>
      </c>
      <c r="O36" s="52">
        <f>+N36/$N$23</f>
        <v>5.1863748725860893E-2</v>
      </c>
      <c r="P36" s="20">
        <f>SUM(P33:P35)</f>
        <v>85629.844455099999</v>
      </c>
      <c r="Q36" s="52">
        <f>+P36/$P$23</f>
        <v>5.5078015404099644E-2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+bphvar!B39</f>
        <v>7132.5</v>
      </c>
      <c r="C39" s="52">
        <f>+B39/$B$23</f>
        <v>2.2296871251162873E-3</v>
      </c>
      <c r="D39" s="20">
        <f>+bphvar!D39</f>
        <v>0</v>
      </c>
      <c r="E39" s="49">
        <v>0</v>
      </c>
      <c r="F39" s="20">
        <f>+bphvar!F39</f>
        <v>0</v>
      </c>
      <c r="G39" s="49">
        <v>0</v>
      </c>
      <c r="H39" s="20">
        <f>+bphvar!H39</f>
        <v>0</v>
      </c>
      <c r="I39" s="49">
        <v>0</v>
      </c>
      <c r="J39" s="20">
        <f>+bphvar!J39</f>
        <v>9510</v>
      </c>
      <c r="K39" s="52">
        <f>+J39/$J$23</f>
        <v>3.1029460933955223E-3</v>
      </c>
      <c r="L39" s="20">
        <f>+bphvar!L39</f>
        <v>19020</v>
      </c>
      <c r="M39" s="52">
        <f>+L39/$L$23</f>
        <v>7.0052195398363441E-3</v>
      </c>
      <c r="N39" s="20">
        <f>+bphvar!N39</f>
        <v>28530</v>
      </c>
      <c r="O39" s="52">
        <f>+N39/$N$23</f>
        <v>1.3578068787540259E-2</v>
      </c>
      <c r="P39" s="20">
        <f>+bphvar!P39</f>
        <v>0</v>
      </c>
      <c r="Q39" s="52">
        <f>+P39/$P$23</f>
        <v>0</v>
      </c>
    </row>
    <row r="40" spans="1:21">
      <c r="A40" s="10" t="s">
        <v>276</v>
      </c>
      <c r="B40" s="20">
        <f>+bphvar!B40</f>
        <v>0</v>
      </c>
      <c r="C40" s="52">
        <f>+B40/$B$23</f>
        <v>0</v>
      </c>
      <c r="D40" s="20">
        <f>+bphvar!D40</f>
        <v>0</v>
      </c>
      <c r="E40" s="49">
        <v>0</v>
      </c>
      <c r="F40" s="20">
        <f>+bphvar!F40</f>
        <v>0</v>
      </c>
      <c r="G40" s="49">
        <v>0</v>
      </c>
      <c r="H40" s="20">
        <f>+bphvar!H40</f>
        <v>0</v>
      </c>
      <c r="I40" s="49">
        <v>0</v>
      </c>
      <c r="J40" s="20">
        <f>+bphvar!J40</f>
        <v>0</v>
      </c>
      <c r="K40" s="52">
        <f>+J40/$L$23</f>
        <v>0</v>
      </c>
      <c r="L40" s="20">
        <f>+bphvar!L40</f>
        <v>0</v>
      </c>
      <c r="M40" s="52">
        <f>+L40/$L$23</f>
        <v>0</v>
      </c>
      <c r="N40" s="20">
        <f>+bphvar!N40</f>
        <v>0</v>
      </c>
      <c r="O40" s="52">
        <f>+N40/$N$23</f>
        <v>0</v>
      </c>
      <c r="P40" s="20">
        <f>+bphvar!P40</f>
        <v>0</v>
      </c>
      <c r="Q40" s="52">
        <f>+P40/$P$23</f>
        <v>0</v>
      </c>
    </row>
    <row r="41" spans="1:21">
      <c r="A41" s="10" t="s">
        <v>274</v>
      </c>
      <c r="B41" s="199">
        <f>+bphvar!B41</f>
        <v>4534.2293600000003</v>
      </c>
      <c r="C41" s="294">
        <f>+B41/$B$23</f>
        <v>1.4174430881621122E-3</v>
      </c>
      <c r="D41" s="199">
        <f>+bphvar!D41</f>
        <v>0</v>
      </c>
      <c r="E41" s="1524">
        <v>0</v>
      </c>
      <c r="F41" s="199">
        <f>+bphvar!F41</f>
        <v>0</v>
      </c>
      <c r="G41" s="1524">
        <v>0</v>
      </c>
      <c r="H41" s="199">
        <f>+bphvar!H41</f>
        <v>0</v>
      </c>
      <c r="I41" s="1524">
        <v>0</v>
      </c>
      <c r="J41" s="199">
        <f>+bphvar!J41</f>
        <v>7297.9101099999998</v>
      </c>
      <c r="K41" s="294">
        <f>+J41/$J$23</f>
        <v>2.381179985886034E-3</v>
      </c>
      <c r="L41" s="199">
        <f>+bphvar!L41</f>
        <v>9931.0022900000004</v>
      </c>
      <c r="M41" s="294">
        <f>+L41/$L$23</f>
        <v>3.6576683118857774E-3</v>
      </c>
      <c r="N41" s="199">
        <f>+bphvar!N41</f>
        <v>124234.22891999999</v>
      </c>
      <c r="O41" s="294">
        <f>+N41/$N$23</f>
        <v>5.9125864214608602E-2</v>
      </c>
      <c r="P41" s="199">
        <f>+bphvar!P41</f>
        <v>18750.605170000003</v>
      </c>
      <c r="Q41" s="294">
        <f>+P41/$P$23</f>
        <v>1.2060586200538655E-2</v>
      </c>
    </row>
    <row r="42" spans="1:21">
      <c r="A42" s="10"/>
      <c r="B42" s="20">
        <f>SUM(B39:B41)</f>
        <v>11666.729360000001</v>
      </c>
      <c r="C42" s="52">
        <f>+B42/$B$23</f>
        <v>3.6471302132783999E-3</v>
      </c>
      <c r="D42" s="20">
        <f>SUM(D39:D41)</f>
        <v>0</v>
      </c>
      <c r="E42" s="49">
        <v>0</v>
      </c>
      <c r="F42" s="20">
        <f>SUM(F39:F41)</f>
        <v>0</v>
      </c>
      <c r="G42" s="49">
        <v>0</v>
      </c>
      <c r="H42" s="20">
        <f>SUM(H39:H41)</f>
        <v>0</v>
      </c>
      <c r="I42" s="49">
        <v>0</v>
      </c>
      <c r="J42" s="20">
        <f>SUM(J39:J41)</f>
        <v>16807.910110000001</v>
      </c>
      <c r="K42" s="52">
        <f>+J42/$J$23</f>
        <v>5.4841260792815568E-3</v>
      </c>
      <c r="L42" s="20">
        <f>SUM(L39:L41)</f>
        <v>28951.00229</v>
      </c>
      <c r="M42" s="52">
        <f>+L42/$L$23</f>
        <v>1.0662887851722121E-2</v>
      </c>
      <c r="N42" s="20">
        <f>SUM(N39:N41)</f>
        <v>152764.22891999999</v>
      </c>
      <c r="O42" s="52">
        <f>+N42/$N$23</f>
        <v>7.2703933002148863E-2</v>
      </c>
      <c r="P42" s="20">
        <f>SUM(P39:P41)</f>
        <v>18750.605170000003</v>
      </c>
      <c r="Q42" s="52">
        <f>+P42/$P$23</f>
        <v>1.2060586200538655E-2</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+bphvar!B44</f>
        <v>1162.3920700000001</v>
      </c>
      <c r="C44" s="294">
        <f>+B44/$B$23</f>
        <v>3.6337478202821879E-4</v>
      </c>
      <c r="D44" s="199">
        <f>+bphvar!D44</f>
        <v>0</v>
      </c>
      <c r="E44" s="1524">
        <v>0</v>
      </c>
      <c r="F44" s="199">
        <f>+bphvar!F44</f>
        <v>0</v>
      </c>
      <c r="G44" s="1524">
        <v>0</v>
      </c>
      <c r="H44" s="199">
        <f>+bphvar!H44</f>
        <v>0</v>
      </c>
      <c r="I44" s="1524">
        <v>0</v>
      </c>
      <c r="J44" s="199">
        <f>+bphvar!J44</f>
        <v>486.15384</v>
      </c>
      <c r="K44" s="294">
        <f>+J44/$J$23</f>
        <v>1.586234656800454E-4</v>
      </c>
      <c r="L44" s="199">
        <f>+bphvar!L44</f>
        <v>0</v>
      </c>
      <c r="M44" s="294">
        <f>+L44/$L$23</f>
        <v>0</v>
      </c>
      <c r="N44" s="199">
        <f>+bphvar!N44</f>
        <v>0</v>
      </c>
      <c r="O44" s="294">
        <f>+N44/$N$23</f>
        <v>0</v>
      </c>
      <c r="P44" s="199">
        <f>+bphvar!P44</f>
        <v>207.92537999999999</v>
      </c>
      <c r="Q44" s="294">
        <f>+P44/$P$23</f>
        <v>1.3373978845130551E-4</v>
      </c>
      <c r="R44" s="14"/>
    </row>
    <row r="45" spans="1:21">
      <c r="A45" s="10"/>
      <c r="B45" s="20">
        <f>+B30+B36+B42+B44</f>
        <v>3071116.8196713077</v>
      </c>
      <c r="C45" s="52">
        <f>+B45/$B$23</f>
        <v>0.96006023589894063</v>
      </c>
      <c r="D45" s="20">
        <f t="shared" ref="D45:J45" si="10">+D30+D36+D42+D44</f>
        <v>0</v>
      </c>
      <c r="E45" s="49">
        <v>0</v>
      </c>
      <c r="F45" s="20">
        <f t="shared" si="10"/>
        <v>0</v>
      </c>
      <c r="G45" s="49">
        <v>0</v>
      </c>
      <c r="H45" s="20">
        <f t="shared" si="10"/>
        <v>0</v>
      </c>
      <c r="I45" s="49">
        <v>0</v>
      </c>
      <c r="J45" s="20">
        <f t="shared" si="10"/>
        <v>2935528.3281210582</v>
      </c>
      <c r="K45" s="52">
        <f>+J45/$J$23</f>
        <v>0.95781137305942443</v>
      </c>
      <c r="L45" s="20">
        <f>+L30+L36+L42+L44</f>
        <v>2519645.3844986293</v>
      </c>
      <c r="M45" s="52">
        <f>+L45/$L$23</f>
        <v>0.92800573506562856</v>
      </c>
      <c r="N45" s="20">
        <f>+N30+N36+N42+N44</f>
        <v>2094245.776070276</v>
      </c>
      <c r="O45" s="52">
        <f>+N45/$N$23</f>
        <v>0.9966986752715683</v>
      </c>
      <c r="P45" s="20">
        <f>+P30+P36+P42+P44</f>
        <v>1550815.7596950999</v>
      </c>
      <c r="Q45" s="52">
        <f>+P45/$P$23</f>
        <v>0.99750098630851769</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+bphvar!B48</f>
        <v>165000</v>
      </c>
      <c r="C48" s="52">
        <f t="shared" ref="C48:C53" si="11">+B48/$B$23</f>
        <v>5.158056440857868E-2</v>
      </c>
      <c r="D48" s="20">
        <f>+bphvar!D48</f>
        <v>0</v>
      </c>
      <c r="E48" s="49">
        <v>0</v>
      </c>
      <c r="F48" s="20">
        <f>+bphvar!F48</f>
        <v>0</v>
      </c>
      <c r="G48" s="49">
        <v>0</v>
      </c>
      <c r="H48" s="20">
        <f>+bphvar!H48</f>
        <v>0</v>
      </c>
      <c r="I48" s="49">
        <v>0</v>
      </c>
      <c r="J48" s="20">
        <f>+bphvar!J48</f>
        <v>165000</v>
      </c>
      <c r="K48" s="52">
        <f t="shared" ref="K48:K53" si="12">+J48/$J$23</f>
        <v>5.383660414408635E-2</v>
      </c>
      <c r="L48" s="20">
        <f>+bphvar!L48</f>
        <v>165000</v>
      </c>
      <c r="M48" s="52">
        <f t="shared" ref="M48:M53" si="13">+L48/$L$23</f>
        <v>6.0770831970189107E-2</v>
      </c>
      <c r="N48" s="20">
        <f>+bphvar!N48</f>
        <v>5000</v>
      </c>
      <c r="O48" s="52">
        <f t="shared" ref="O48:O53" si="14">+N48/$N$23</f>
        <v>2.3796124759096144E-3</v>
      </c>
      <c r="P48" s="20">
        <f>+bphvar!P48</f>
        <v>5000</v>
      </c>
      <c r="Q48" s="52">
        <f t="shared" ref="Q48:Q53" si="15">+P48/$P$23</f>
        <v>3.2160525196901295E-3</v>
      </c>
    </row>
    <row r="49" spans="1:21">
      <c r="A49" s="10" t="s">
        <v>280</v>
      </c>
      <c r="B49" s="20">
        <f>+bphvar!B49</f>
        <v>87983</v>
      </c>
      <c r="C49" s="52">
        <f t="shared" si="11"/>
        <v>2.750431999006047E-2</v>
      </c>
      <c r="D49" s="20">
        <f>+bphvar!D49</f>
        <v>0</v>
      </c>
      <c r="E49" s="49">
        <v>0</v>
      </c>
      <c r="F49" s="20">
        <f>+bphvar!F49</f>
        <v>0</v>
      </c>
      <c r="G49" s="49">
        <v>0</v>
      </c>
      <c r="H49" s="20">
        <f>+bphvar!H49</f>
        <v>0</v>
      </c>
      <c r="I49" s="49">
        <v>0</v>
      </c>
      <c r="J49" s="20">
        <f>+bphvar!J49</f>
        <v>87983</v>
      </c>
      <c r="K49" s="52">
        <f t="shared" si="12"/>
        <v>2.8707308741873633E-2</v>
      </c>
      <c r="L49" s="20">
        <f>+bphvar!L49</f>
        <v>12977</v>
      </c>
      <c r="M49" s="52">
        <f t="shared" si="13"/>
        <v>4.7795338574372365E-3</v>
      </c>
      <c r="N49" s="20">
        <f>+bphvar!N49</f>
        <v>46655</v>
      </c>
      <c r="O49" s="52">
        <f t="shared" si="14"/>
        <v>2.2204164012712611E-2</v>
      </c>
      <c r="P49" s="20">
        <f>+bphvar!P49</f>
        <v>53964</v>
      </c>
      <c r="Q49" s="52">
        <f t="shared" si="15"/>
        <v>3.4710211634511628E-2</v>
      </c>
    </row>
    <row r="50" spans="1:21">
      <c r="A50" s="10" t="s">
        <v>290</v>
      </c>
      <c r="B50" s="20">
        <f>+bphvar!B50</f>
        <v>14325</v>
      </c>
      <c r="C50" s="52">
        <f t="shared" si="11"/>
        <v>4.4781308191084212E-3</v>
      </c>
      <c r="D50" s="20">
        <f>+bphvar!D50</f>
        <v>0</v>
      </c>
      <c r="E50" s="49">
        <v>0</v>
      </c>
      <c r="F50" s="20">
        <f>+bphvar!F50</f>
        <v>0</v>
      </c>
      <c r="G50" s="49">
        <v>0</v>
      </c>
      <c r="H50" s="20">
        <f>+bphvar!H50</f>
        <v>0</v>
      </c>
      <c r="I50" s="49">
        <v>0</v>
      </c>
      <c r="J50" s="20">
        <f>+bphvar!J50</f>
        <v>14325</v>
      </c>
      <c r="K50" s="52">
        <f t="shared" si="12"/>
        <v>4.6739960870547693E-3</v>
      </c>
      <c r="L50" s="20">
        <f>+bphvar!L50</f>
        <v>14325</v>
      </c>
      <c r="M50" s="52">
        <f t="shared" si="13"/>
        <v>5.2760131392300541E-3</v>
      </c>
      <c r="N50" s="20">
        <f>+bphvar!N50</f>
        <v>14325</v>
      </c>
      <c r="O50" s="52">
        <f t="shared" si="14"/>
        <v>6.8175897434810456E-3</v>
      </c>
      <c r="P50" s="20">
        <f>+bphvar!P50</f>
        <v>14325</v>
      </c>
      <c r="Q50" s="52">
        <f t="shared" si="15"/>
        <v>9.2139904689122198E-3</v>
      </c>
    </row>
    <row r="51" spans="1:21" ht="18">
      <c r="A51" s="10" t="s">
        <v>282</v>
      </c>
      <c r="B51" s="199">
        <f>+bphvar!B51</f>
        <v>-139545.51522999999</v>
      </c>
      <c r="C51" s="294">
        <f t="shared" si="11"/>
        <v>-4.3623251128783708E-2</v>
      </c>
      <c r="D51" s="199">
        <f>+bphvar!D51</f>
        <v>0</v>
      </c>
      <c r="E51" s="49">
        <v>0</v>
      </c>
      <c r="F51" s="199">
        <f>+bphvar!F51</f>
        <v>0</v>
      </c>
      <c r="G51" s="49">
        <v>0</v>
      </c>
      <c r="H51" s="199">
        <f>+bphvar!H51</f>
        <v>0</v>
      </c>
      <c r="I51" s="49">
        <v>0</v>
      </c>
      <c r="J51" s="199">
        <f>+bphvar!J51</f>
        <v>-138007.06143999999</v>
      </c>
      <c r="K51" s="294">
        <f t="shared" si="12"/>
        <v>-4.5029282035356867E-2</v>
      </c>
      <c r="L51" s="199">
        <f>+bphvar!L51</f>
        <v>3170.94859</v>
      </c>
      <c r="M51" s="294">
        <f t="shared" si="13"/>
        <v>1.1678859633272611E-3</v>
      </c>
      <c r="N51" s="199">
        <f>+bphvar!N51</f>
        <v>-59043.31439</v>
      </c>
      <c r="O51" s="294">
        <f t="shared" si="14"/>
        <v>-2.8100041508299534E-2</v>
      </c>
      <c r="P51" s="199">
        <f>+bphvar!P51</f>
        <v>-69403.781140000006</v>
      </c>
      <c r="Q51" s="294">
        <f t="shared" si="15"/>
        <v>-4.4641241042263857E-2</v>
      </c>
      <c r="R51" s="14"/>
      <c r="S51" s="15"/>
      <c r="T51" s="15"/>
      <c r="U51" s="15"/>
    </row>
    <row r="52" spans="1:21" ht="16.5" thickBot="1">
      <c r="A52" s="10" t="s">
        <v>54</v>
      </c>
      <c r="B52" s="79">
        <f>SUM(B48:B51)</f>
        <v>127762.48477000001</v>
      </c>
      <c r="C52" s="208">
        <f t="shared" si="11"/>
        <v>3.9939764088963867E-2</v>
      </c>
      <c r="D52" s="79">
        <f>SUM(D48:D51)</f>
        <v>0</v>
      </c>
      <c r="E52" s="1525">
        <v>0</v>
      </c>
      <c r="F52" s="79">
        <f>SUM(F48:F51)</f>
        <v>0</v>
      </c>
      <c r="G52" s="1525">
        <v>0</v>
      </c>
      <c r="H52" s="79">
        <f>SUM(H48:H51)</f>
        <v>0</v>
      </c>
      <c r="I52" s="1525">
        <v>0</v>
      </c>
      <c r="J52" s="79">
        <f>SUM(J48:J51)</f>
        <v>129300.93856000001</v>
      </c>
      <c r="K52" s="208">
        <f t="shared" si="12"/>
        <v>4.2188626937657882E-2</v>
      </c>
      <c r="L52" s="79">
        <f>SUM(L48:L51)</f>
        <v>195472.94858999999</v>
      </c>
      <c r="M52" s="208">
        <f t="shared" si="13"/>
        <v>7.1994264930183655E-2</v>
      </c>
      <c r="N52" s="79">
        <f>SUM(N48:N51)</f>
        <v>6936.6856100000005</v>
      </c>
      <c r="O52" s="208">
        <f t="shared" si="14"/>
        <v>3.3013247238037392E-3</v>
      </c>
      <c r="P52" s="79">
        <f>SUM(P48:P51)</f>
        <v>3885.2188599999936</v>
      </c>
      <c r="Q52" s="208">
        <f t="shared" si="15"/>
        <v>2.4990135808501185E-3</v>
      </c>
    </row>
    <row r="53" spans="1:21">
      <c r="A53" s="10" t="s">
        <v>0</v>
      </c>
      <c r="B53" s="13">
        <f>+B30+B36+B42+B44+B52</f>
        <v>3198879.3044413077</v>
      </c>
      <c r="C53" s="109">
        <f t="shared" si="11"/>
        <v>0.99999999998790445</v>
      </c>
      <c r="D53" s="13">
        <f>+D30+D36+D42+D44+D52</f>
        <v>0</v>
      </c>
      <c r="E53" s="47">
        <v>0</v>
      </c>
      <c r="F53" s="13">
        <f>+F30+F36+F42+F44+F52</f>
        <v>0</v>
      </c>
      <c r="G53" s="47">
        <v>0</v>
      </c>
      <c r="H53" s="13">
        <f>+H30+H36+H42+H44+H52</f>
        <v>0</v>
      </c>
      <c r="I53" s="47">
        <v>0</v>
      </c>
      <c r="J53" s="13">
        <f>+J30+J36+J42+J44+J52</f>
        <v>3064829.2666810583</v>
      </c>
      <c r="K53" s="52">
        <f t="shared" si="12"/>
        <v>0.99999999999708233</v>
      </c>
      <c r="L53" s="13">
        <f>+L30+L36+L42+L44+L52</f>
        <v>2715118.3330886294</v>
      </c>
      <c r="M53" s="52">
        <f t="shared" si="13"/>
        <v>0.99999999999581235</v>
      </c>
      <c r="N53" s="13">
        <f>+N30+N36+N42+N44+N52</f>
        <v>2101182.4616802759</v>
      </c>
      <c r="O53" s="52">
        <f t="shared" si="14"/>
        <v>0.99999999999537192</v>
      </c>
      <c r="P53" s="13">
        <f>+P30+P36+P42+P44+P52</f>
        <v>1554700.9785550998</v>
      </c>
      <c r="Q53" s="52">
        <f t="shared" si="15"/>
        <v>0.99999999988936772</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row r="157" spans="2:18">
      <c r="B157"/>
      <c r="C157"/>
      <c r="D157"/>
      <c r="E157"/>
      <c r="F157"/>
      <c r="G157"/>
      <c r="H157"/>
      <c r="I157"/>
      <c r="J157"/>
      <c r="K157"/>
      <c r="L157"/>
      <c r="M157"/>
      <c r="N157"/>
      <c r="O157"/>
      <c r="P157"/>
      <c r="Q157"/>
      <c r="R157"/>
    </row>
  </sheetData>
  <phoneticPr fontId="0" type="noConversion"/>
  <pageMargins left="0.2" right="0.2" top="0.47" bottom="0.56999999999999995" header="0.31" footer="0.34"/>
  <pageSetup scale="53" orientation="landscape" r:id="rId1"/>
  <headerFooter alignWithMargins="0">
    <oddFooter>&amp;R&amp;P</oddFooter>
  </headerFooter>
</worksheet>
</file>

<file path=xl/worksheets/sheet75.xml><?xml version="1.0" encoding="utf-8"?>
<worksheet xmlns="http://schemas.openxmlformats.org/spreadsheetml/2006/main" xmlns:r="http://schemas.openxmlformats.org/officeDocument/2006/relationships">
  <sheetPr>
    <pageSetUpPr fitToPage="1"/>
  </sheetPr>
  <dimension ref="A1:O172"/>
  <sheetViews>
    <sheetView topLeftCell="A7" workbookViewId="0">
      <pane xSplit="1" ySplit="2" topLeftCell="B9"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7.75" style="20" customWidth="1"/>
    <col min="3" max="3" width="15.75" style="21" customWidth="1"/>
    <col min="4" max="4" width="15.75" style="20" customWidth="1"/>
    <col min="5" max="5" width="14.75" style="21" customWidth="1"/>
    <col min="6" max="6" width="12.5" style="20" customWidth="1"/>
    <col min="7" max="7" width="8.125" style="21" customWidth="1"/>
    <col min="8" max="8" width="17.75" style="20" customWidth="1"/>
    <col min="9" max="9" width="15.75" style="20" customWidth="1"/>
    <col min="10" max="10" width="15.75" style="21" customWidth="1"/>
    <col min="11" max="12" width="15.75" style="20" customWidth="1"/>
    <col min="13" max="15" width="15.75" customWidth="1"/>
  </cols>
  <sheetData>
    <row r="1" spans="1:15">
      <c r="A1" s="111" t="s">
        <v>398</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193"/>
      <c r="D6" s="194"/>
      <c r="E6" s="119" t="s">
        <v>0</v>
      </c>
    </row>
    <row r="7" spans="1:15" ht="16.5" thickBot="1">
      <c r="B7" s="367" t="str">
        <f>+'bncgdes&amp;$ '!B7</f>
        <v>Décembre 14</v>
      </c>
      <c r="C7" s="43"/>
      <c r="D7" s="42"/>
      <c r="E7" s="355" t="s">
        <v>0</v>
      </c>
      <c r="H7" s="332" t="str">
        <f>+'bncgdes&amp;$ '!H7</f>
        <v>Septembre 14</v>
      </c>
      <c r="I7" s="193"/>
      <c r="J7" s="194"/>
      <c r="K7" s="42"/>
    </row>
    <row r="8" spans="1:15" ht="16.5" thickTop="1">
      <c r="A8" s="86" t="s">
        <v>244</v>
      </c>
      <c r="B8" s="348" t="s">
        <v>297</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t="s">
        <v>0</v>
      </c>
      <c r="C9" s="122"/>
      <c r="D9" s="322"/>
      <c r="E9" s="328" t="s">
        <v>0</v>
      </c>
      <c r="H9" s="128"/>
      <c r="I9" s="81"/>
      <c r="J9" s="326" t="s">
        <v>0</v>
      </c>
      <c r="K9" s="328" t="s">
        <v>0</v>
      </c>
    </row>
    <row r="10" spans="1:15">
      <c r="A10" s="10" t="s">
        <v>256</v>
      </c>
      <c r="B10" s="124">
        <v>59246.619460000002</v>
      </c>
      <c r="C10" s="91">
        <v>99098.288549999997</v>
      </c>
      <c r="D10" s="323">
        <f t="shared" ref="D10:D15" si="0">SUM(B10:C10)</f>
        <v>158344.90801000001</v>
      </c>
      <c r="E10" s="329">
        <f>+B10/D10</f>
        <v>0.37416182310237839</v>
      </c>
      <c r="F10" s="87" t="s">
        <v>0</v>
      </c>
      <c r="G10" s="98" t="s">
        <v>0</v>
      </c>
      <c r="H10" s="124">
        <v>23968.48</v>
      </c>
      <c r="I10" s="91">
        <v>43952.836949999997</v>
      </c>
      <c r="J10" s="323">
        <f t="shared" ref="J10:J15" si="1">SUM(H10:I10)</f>
        <v>67921.316949999993</v>
      </c>
      <c r="K10" s="329">
        <f>+H10/J10</f>
        <v>0.35288597271522726</v>
      </c>
    </row>
    <row r="11" spans="1:15">
      <c r="A11" s="10" t="s">
        <v>257</v>
      </c>
      <c r="B11" s="124">
        <v>1253698.0629799999</v>
      </c>
      <c r="C11" s="91">
        <v>220430.92856999999</v>
      </c>
      <c r="D11" s="323">
        <f t="shared" si="0"/>
        <v>1474128.9915499999</v>
      </c>
      <c r="E11" s="329">
        <f>+B11/D11</f>
        <v>0.8504670013048018</v>
      </c>
      <c r="F11" s="87" t="s">
        <v>0</v>
      </c>
      <c r="G11" s="98" t="s">
        <v>0</v>
      </c>
      <c r="H11" s="124">
        <v>611681.09059000004</v>
      </c>
      <c r="I11" s="91">
        <v>354017.43978000002</v>
      </c>
      <c r="J11" s="323">
        <f t="shared" si="1"/>
        <v>965698.53037000005</v>
      </c>
      <c r="K11" s="329">
        <f>+H11/J11</f>
        <v>0.63340791287695042</v>
      </c>
    </row>
    <row r="12" spans="1:15">
      <c r="A12" s="10" t="s">
        <v>258</v>
      </c>
      <c r="B12" s="124">
        <v>58764.294320000001</v>
      </c>
      <c r="C12" s="91">
        <v>0</v>
      </c>
      <c r="D12" s="323">
        <f t="shared" si="0"/>
        <v>58764.294320000001</v>
      </c>
      <c r="E12" s="329">
        <f>+B12/D12</f>
        <v>1</v>
      </c>
      <c r="F12" s="87" t="s">
        <v>0</v>
      </c>
      <c r="G12" s="98" t="s">
        <v>0</v>
      </c>
      <c r="H12" s="124">
        <v>626036.59661000001</v>
      </c>
      <c r="I12" s="91">
        <v>0</v>
      </c>
      <c r="J12" s="323">
        <f t="shared" si="1"/>
        <v>626036.59661000001</v>
      </c>
      <c r="K12" s="329">
        <f>+H12/J12</f>
        <v>1</v>
      </c>
    </row>
    <row r="13" spans="1:15">
      <c r="A13" s="10" t="s">
        <v>259</v>
      </c>
      <c r="B13" s="124">
        <v>0</v>
      </c>
      <c r="C13" s="91">
        <v>0</v>
      </c>
      <c r="D13" s="323">
        <f t="shared" si="0"/>
        <v>0</v>
      </c>
      <c r="E13" s="129">
        <v>0</v>
      </c>
      <c r="F13" s="87" t="s">
        <v>0</v>
      </c>
      <c r="G13" s="98" t="s">
        <v>0</v>
      </c>
      <c r="H13" s="124">
        <v>0</v>
      </c>
      <c r="I13" s="91">
        <v>0</v>
      </c>
      <c r="J13" s="323">
        <f t="shared" si="1"/>
        <v>0</v>
      </c>
      <c r="K13" s="129">
        <v>0</v>
      </c>
    </row>
    <row r="14" spans="1:15">
      <c r="A14" s="10" t="s">
        <v>260</v>
      </c>
      <c r="B14" s="685">
        <v>5627.40679</v>
      </c>
      <c r="C14" s="224">
        <v>22576.615570000002</v>
      </c>
      <c r="D14" s="684">
        <f t="shared" si="0"/>
        <v>28204.022360000003</v>
      </c>
      <c r="E14" s="329">
        <f>+B14/D14</f>
        <v>0.19952497265003585</v>
      </c>
      <c r="F14" s="87" t="s">
        <v>0</v>
      </c>
      <c r="G14" s="98" t="s">
        <v>0</v>
      </c>
      <c r="H14" s="685">
        <v>8410.2566599999991</v>
      </c>
      <c r="I14" s="224">
        <v>58830.292970000002</v>
      </c>
      <c r="J14" s="684">
        <f t="shared" si="1"/>
        <v>67240.549629999994</v>
      </c>
      <c r="K14" s="329">
        <f>+H14/J14</f>
        <v>0.12507715517315887</v>
      </c>
    </row>
    <row r="15" spans="1:15" ht="15.6" customHeight="1">
      <c r="A15" s="10"/>
      <c r="B15" s="124">
        <f>SUM(B10:B14)</f>
        <v>1377336.3835499999</v>
      </c>
      <c r="C15" s="91">
        <f>SUM(C10:C14)</f>
        <v>342105.83269000001</v>
      </c>
      <c r="D15" s="323">
        <f t="shared" si="0"/>
        <v>1719442.21624</v>
      </c>
      <c r="E15" s="329">
        <f>+B15/D15</f>
        <v>0.80103673769386563</v>
      </c>
      <c r="F15" s="87" t="s">
        <v>0</v>
      </c>
      <c r="G15" s="98" t="s">
        <v>0</v>
      </c>
      <c r="H15" s="124">
        <f>SUM(H10:H14)</f>
        <v>1270096.42386</v>
      </c>
      <c r="I15" s="91">
        <f>SUM(I10:I14)</f>
        <v>456800.56970000005</v>
      </c>
      <c r="J15" s="323">
        <f t="shared" si="1"/>
        <v>1726896.9935600001</v>
      </c>
      <c r="K15" s="329">
        <f>+H15/J15</f>
        <v>0.73547897100781601</v>
      </c>
    </row>
    <row r="16" spans="1:15" ht="7.9" customHeight="1">
      <c r="A16" s="10"/>
      <c r="B16" s="124"/>
      <c r="C16" s="92" t="s">
        <v>0</v>
      </c>
      <c r="D16" s="323"/>
      <c r="E16" s="329" t="s">
        <v>0</v>
      </c>
      <c r="F16" s="87"/>
      <c r="G16" s="98" t="s">
        <v>0</v>
      </c>
      <c r="H16" s="124"/>
      <c r="I16" s="92" t="s">
        <v>0</v>
      </c>
      <c r="J16" s="327" t="s">
        <v>0</v>
      </c>
      <c r="K16" s="329" t="s">
        <v>0</v>
      </c>
    </row>
    <row r="17" spans="1:11" ht="15.6" customHeight="1">
      <c r="A17" s="10" t="s">
        <v>261</v>
      </c>
      <c r="B17" s="124">
        <v>0</v>
      </c>
      <c r="C17" s="91">
        <v>223000</v>
      </c>
      <c r="D17" s="323">
        <f t="shared" ref="D17:D23" si="2">SUM(B17:C17)</f>
        <v>223000</v>
      </c>
      <c r="E17" s="129">
        <v>0</v>
      </c>
      <c r="F17"/>
      <c r="G17"/>
      <c r="H17" s="124">
        <v>0</v>
      </c>
      <c r="I17" s="91">
        <v>100000</v>
      </c>
      <c r="J17" s="327">
        <f t="shared" ref="J17:J23" si="3">SUM(H17:I17)</f>
        <v>100000</v>
      </c>
      <c r="K17" s="129">
        <v>0</v>
      </c>
    </row>
    <row r="18" spans="1:11" ht="15.6" customHeight="1">
      <c r="A18" s="10" t="s">
        <v>909</v>
      </c>
      <c r="B18" s="124">
        <v>0</v>
      </c>
      <c r="C18" s="91">
        <v>0</v>
      </c>
      <c r="D18" s="323">
        <f t="shared" si="2"/>
        <v>0</v>
      </c>
      <c r="E18" s="129">
        <v>0</v>
      </c>
      <c r="F18"/>
      <c r="G18"/>
      <c r="H18" s="124">
        <v>0</v>
      </c>
      <c r="I18" s="91">
        <v>0</v>
      </c>
      <c r="J18" s="327">
        <f t="shared" si="3"/>
        <v>0</v>
      </c>
      <c r="K18" s="129">
        <v>0</v>
      </c>
    </row>
    <row r="19" spans="1:11">
      <c r="A19" s="10" t="s">
        <v>262</v>
      </c>
      <c r="B19" s="124">
        <v>26873.058389999998</v>
      </c>
      <c r="C19" s="91">
        <v>39537.047740000002</v>
      </c>
      <c r="D19" s="323">
        <f t="shared" si="2"/>
        <v>66410.10613</v>
      </c>
      <c r="E19" s="329">
        <f>+B19/D19</f>
        <v>0.40465314627558474</v>
      </c>
      <c r="F19"/>
      <c r="G19"/>
      <c r="H19" s="124">
        <v>26188.983250000001</v>
      </c>
      <c r="I19" s="91">
        <v>41617.945</v>
      </c>
      <c r="J19" s="323">
        <f t="shared" si="3"/>
        <v>67806.928249999997</v>
      </c>
      <c r="K19" s="329">
        <f>+H19/J19</f>
        <v>0.3862287221365171</v>
      </c>
    </row>
    <row r="20" spans="1:11">
      <c r="A20" s="10" t="s">
        <v>298</v>
      </c>
      <c r="B20" s="124">
        <v>493391.62722999998</v>
      </c>
      <c r="C20" s="91">
        <v>365601.90802999999</v>
      </c>
      <c r="D20" s="323">
        <f t="shared" si="2"/>
        <v>858993.53526000003</v>
      </c>
      <c r="E20" s="329">
        <f>+B20/D20</f>
        <v>0.57438339984789322</v>
      </c>
      <c r="F20"/>
      <c r="G20"/>
      <c r="H20" s="124">
        <v>531722.55024999997</v>
      </c>
      <c r="I20" s="91">
        <v>426959.29562000005</v>
      </c>
      <c r="J20" s="323">
        <f t="shared" si="3"/>
        <v>958681.84587000008</v>
      </c>
      <c r="K20" s="329">
        <f>+H20/J20</f>
        <v>0.55463921898663238</v>
      </c>
    </row>
    <row r="21" spans="1:11">
      <c r="A21" s="10" t="s">
        <v>264</v>
      </c>
      <c r="B21" s="124">
        <v>0</v>
      </c>
      <c r="C21" s="91">
        <v>305443.18223999999</v>
      </c>
      <c r="D21" s="323">
        <f t="shared" si="2"/>
        <v>305443.18223999999</v>
      </c>
      <c r="E21" s="129">
        <v>0</v>
      </c>
      <c r="F21"/>
      <c r="G21"/>
      <c r="H21" s="124">
        <v>0</v>
      </c>
      <c r="I21" s="91">
        <v>184690.54837999999</v>
      </c>
      <c r="J21" s="323">
        <f t="shared" si="3"/>
        <v>184690.54837999999</v>
      </c>
      <c r="K21" s="129">
        <v>0</v>
      </c>
    </row>
    <row r="22" spans="1:11">
      <c r="A22" s="10" t="s">
        <v>265</v>
      </c>
      <c r="B22" s="685">
        <v>4196.53262</v>
      </c>
      <c r="C22" s="224">
        <v>21393.73199</v>
      </c>
      <c r="D22" s="684">
        <f t="shared" si="2"/>
        <v>25590.264609999998</v>
      </c>
      <c r="E22" s="329">
        <f>+B22/D22</f>
        <v>0.16398941878702208</v>
      </c>
      <c r="F22"/>
      <c r="G22"/>
      <c r="H22" s="685">
        <v>4768.8287899999996</v>
      </c>
      <c r="I22" s="224">
        <v>21984.121840000003</v>
      </c>
      <c r="J22" s="684">
        <f t="shared" si="3"/>
        <v>26752.950630000003</v>
      </c>
      <c r="K22" s="329">
        <f>+H22/J22</f>
        <v>0.17825431130771682</v>
      </c>
    </row>
    <row r="23" spans="1:11">
      <c r="A23" s="10" t="s">
        <v>54</v>
      </c>
      <c r="B23" s="125">
        <f>SUM(B15:B22)</f>
        <v>1901797.6017899998</v>
      </c>
      <c r="C23" s="94">
        <f>SUM(C15:C22)</f>
        <v>1297081.7026899999</v>
      </c>
      <c r="D23" s="324">
        <f t="shared" si="2"/>
        <v>3198879.3044799995</v>
      </c>
      <c r="E23" s="369">
        <f>+B23/D23</f>
        <v>0.5945199617649064</v>
      </c>
      <c r="F23"/>
      <c r="G23"/>
      <c r="H23" s="125">
        <f>SUM(H15:H22)</f>
        <v>1832776.7861499998</v>
      </c>
      <c r="I23" s="94">
        <f>SUM(I15:I22)</f>
        <v>1232052.4805400001</v>
      </c>
      <c r="J23" s="324">
        <f t="shared" si="3"/>
        <v>3064829.26669</v>
      </c>
      <c r="K23" s="369">
        <f>+H23/J23</f>
        <v>0.59800289891168701</v>
      </c>
    </row>
    <row r="24" spans="1:11" ht="7.9" customHeight="1">
      <c r="A24" s="10"/>
      <c r="B24" s="124"/>
      <c r="C24" s="92" t="s">
        <v>0</v>
      </c>
      <c r="D24" s="323"/>
      <c r="E24" s="329" t="s">
        <v>0</v>
      </c>
      <c r="F24"/>
      <c r="G24"/>
      <c r="H24" s="124"/>
      <c r="I24" s="92" t="s">
        <v>0</v>
      </c>
      <c r="J24" s="327" t="s">
        <v>0</v>
      </c>
      <c r="K24" s="329" t="s">
        <v>0</v>
      </c>
    </row>
    <row r="25" spans="1:11">
      <c r="A25" s="86" t="s">
        <v>266</v>
      </c>
      <c r="B25" s="124"/>
      <c r="C25" s="92" t="s">
        <v>0</v>
      </c>
      <c r="D25" s="323"/>
      <c r="E25" s="329" t="s">
        <v>0</v>
      </c>
      <c r="F25"/>
      <c r="G25"/>
      <c r="H25" s="124"/>
      <c r="I25" s="92" t="s">
        <v>0</v>
      </c>
      <c r="J25" s="327" t="s">
        <v>0</v>
      </c>
      <c r="K25" s="329" t="s">
        <v>0</v>
      </c>
    </row>
    <row r="26" spans="1:11">
      <c r="A26" s="10" t="s">
        <v>267</v>
      </c>
      <c r="B26" s="124"/>
      <c r="C26" s="92" t="s">
        <v>0</v>
      </c>
      <c r="D26" s="323"/>
      <c r="E26" s="329" t="s">
        <v>0</v>
      </c>
      <c r="F26"/>
      <c r="G26"/>
      <c r="H26" s="124"/>
      <c r="I26" s="92" t="s">
        <v>0</v>
      </c>
      <c r="J26" s="327" t="s">
        <v>0</v>
      </c>
      <c r="K26" s="329" t="s">
        <v>0</v>
      </c>
    </row>
    <row r="27" spans="1:11">
      <c r="A27" s="10" t="s">
        <v>268</v>
      </c>
      <c r="B27" s="124">
        <v>1015654.91166</v>
      </c>
      <c r="C27" s="91">
        <v>410830.59531</v>
      </c>
      <c r="D27" s="323">
        <f>SUM(B27:C27)</f>
        <v>1426485.50697</v>
      </c>
      <c r="E27" s="329">
        <f>+B27/D27</f>
        <v>0.71199805865350441</v>
      </c>
      <c r="F27"/>
      <c r="G27"/>
      <c r="H27" s="124">
        <v>951029.47568999999</v>
      </c>
      <c r="I27" s="91">
        <v>398206.72930000001</v>
      </c>
      <c r="J27" s="323">
        <f>SUM(H27:I27)</f>
        <v>1349236.20499</v>
      </c>
      <c r="K27" s="329">
        <f>+H27/J27</f>
        <v>0.70486507267795162</v>
      </c>
    </row>
    <row r="28" spans="1:11">
      <c r="A28" s="10" t="s">
        <v>269</v>
      </c>
      <c r="B28" s="124">
        <v>286974.94578000001</v>
      </c>
      <c r="C28" s="91">
        <v>292957.63527999999</v>
      </c>
      <c r="D28" s="323">
        <f>SUM(B28:C28)</f>
        <v>579932.58106</v>
      </c>
      <c r="E28" s="329">
        <f>+B28/D28</f>
        <v>0.4948419094775941</v>
      </c>
      <c r="F28"/>
      <c r="G28"/>
      <c r="H28" s="124">
        <v>261635.94446</v>
      </c>
      <c r="I28" s="91">
        <v>277227.77130000002</v>
      </c>
      <c r="J28" s="323">
        <f>SUM(H28:I28)</f>
        <v>538863.71576000005</v>
      </c>
      <c r="K28" s="329">
        <f>+H28/J28</f>
        <v>0.48553268072799288</v>
      </c>
    </row>
    <row r="29" spans="1:11">
      <c r="A29" s="10" t="s">
        <v>270</v>
      </c>
      <c r="B29" s="685">
        <v>593114.78714999999</v>
      </c>
      <c r="C29" s="224">
        <v>278372.75481000001</v>
      </c>
      <c r="D29" s="684">
        <f>SUM(B29:C29)</f>
        <v>871487.54196000006</v>
      </c>
      <c r="E29" s="329">
        <f>+B29/D29</f>
        <v>0.68057747081050424</v>
      </c>
      <c r="F29"/>
      <c r="G29"/>
      <c r="H29" s="685">
        <v>595306.64309000003</v>
      </c>
      <c r="I29" s="224">
        <v>272460.45747999998</v>
      </c>
      <c r="J29" s="684">
        <f>SUM(H29:I29)</f>
        <v>867767.10057000001</v>
      </c>
      <c r="K29" s="329">
        <f>+H29/J29</f>
        <v>0.68602121778869918</v>
      </c>
    </row>
    <row r="30" spans="1:11">
      <c r="A30" s="10"/>
      <c r="B30" s="124">
        <f>SUM(B27:B29)</f>
        <v>1895744.6445899999</v>
      </c>
      <c r="C30" s="91">
        <f>SUM(C27:C29)</f>
        <v>982160.98540000012</v>
      </c>
      <c r="D30" s="323">
        <f>SUM(B30:C30)</f>
        <v>2877905.6299900003</v>
      </c>
      <c r="E30" s="329">
        <f>+B30/D30</f>
        <v>0.65872369991388047</v>
      </c>
      <c r="F30"/>
      <c r="G30"/>
      <c r="H30" s="124">
        <f>SUM(H27:H29)</f>
        <v>1807972.06324</v>
      </c>
      <c r="I30" s="91">
        <f>SUM(I27:I29)</f>
        <v>947894.95808000001</v>
      </c>
      <c r="J30" s="323">
        <f>SUM(H30:I30)</f>
        <v>2755867.0213200003</v>
      </c>
      <c r="K30" s="329">
        <f>+H30/J30</f>
        <v>0.65604473991419976</v>
      </c>
    </row>
    <row r="31" spans="1:11" ht="7.9" customHeight="1">
      <c r="A31" s="10"/>
      <c r="B31" s="124"/>
      <c r="C31" s="92" t="s">
        <v>0</v>
      </c>
      <c r="D31" s="323"/>
      <c r="E31" s="329" t="s">
        <v>0</v>
      </c>
      <c r="F31"/>
      <c r="G31"/>
      <c r="H31" s="124"/>
      <c r="I31" s="92" t="s">
        <v>0</v>
      </c>
      <c r="J31" s="327" t="s">
        <v>0</v>
      </c>
      <c r="K31" s="329" t="s">
        <v>0</v>
      </c>
    </row>
    <row r="32" spans="1:11">
      <c r="A32" s="10" t="s">
        <v>271</v>
      </c>
      <c r="B32" s="124"/>
      <c r="C32" s="92" t="s">
        <v>0</v>
      </c>
      <c r="D32" s="323"/>
      <c r="E32" s="329" t="s">
        <v>0</v>
      </c>
      <c r="F32"/>
      <c r="G32"/>
      <c r="H32" s="124"/>
      <c r="I32" s="92" t="s">
        <v>0</v>
      </c>
      <c r="J32" s="327" t="s">
        <v>0</v>
      </c>
      <c r="K32" s="329" t="s">
        <v>0</v>
      </c>
    </row>
    <row r="33" spans="1:15">
      <c r="A33" s="10" t="s">
        <v>272</v>
      </c>
      <c r="B33" s="124">
        <v>0</v>
      </c>
      <c r="C33" s="91">
        <v>0</v>
      </c>
      <c r="D33" s="323">
        <f>SUM(B33:C33)</f>
        <v>0</v>
      </c>
      <c r="E33" s="129">
        <v>0</v>
      </c>
      <c r="F33"/>
      <c r="G33"/>
      <c r="H33" s="124">
        <v>0</v>
      </c>
      <c r="I33" s="91">
        <v>0</v>
      </c>
      <c r="J33" s="327">
        <f>SUM(H33:I33)</f>
        <v>0</v>
      </c>
      <c r="K33" s="129">
        <v>0</v>
      </c>
    </row>
    <row r="34" spans="1:15">
      <c r="A34" s="10" t="s">
        <v>273</v>
      </c>
      <c r="B34" s="124">
        <v>0</v>
      </c>
      <c r="C34" s="92">
        <v>0</v>
      </c>
      <c r="D34" s="323">
        <f>SUM(B34:C34)</f>
        <v>0</v>
      </c>
      <c r="E34" s="129">
        <v>0</v>
      </c>
      <c r="F34"/>
      <c r="G34"/>
      <c r="H34" s="124">
        <v>0</v>
      </c>
      <c r="I34" s="92">
        <v>0</v>
      </c>
      <c r="J34" s="327">
        <f>SUM(H34:I34)</f>
        <v>0</v>
      </c>
      <c r="K34" s="129">
        <v>0</v>
      </c>
    </row>
    <row r="35" spans="1:15" ht="18">
      <c r="A35" s="10" t="s">
        <v>274</v>
      </c>
      <c r="B35" s="685">
        <v>43763.918201307002</v>
      </c>
      <c r="C35" s="224">
        <v>136618.15005</v>
      </c>
      <c r="D35" s="684">
        <f>SUM(B35:C35)</f>
        <v>180382.06825130701</v>
      </c>
      <c r="E35" s="329">
        <f>+B35/D35</f>
        <v>0.24261789780753276</v>
      </c>
      <c r="F35"/>
      <c r="G35"/>
      <c r="H35" s="685">
        <v>19650.299211058002</v>
      </c>
      <c r="I35" s="224">
        <v>142716.94363999998</v>
      </c>
      <c r="J35" s="684">
        <f>SUM(H35:I35)</f>
        <v>162367.24285105799</v>
      </c>
      <c r="K35" s="329">
        <f>+H35/J35</f>
        <v>0.12102379067361221</v>
      </c>
      <c r="L35" s="14"/>
      <c r="M35" s="15"/>
      <c r="N35" s="15"/>
      <c r="O35" s="15"/>
    </row>
    <row r="36" spans="1:15">
      <c r="A36" s="10"/>
      <c r="B36" s="124">
        <f>SUM(B33:B35)</f>
        <v>43763.918201307002</v>
      </c>
      <c r="C36" s="91">
        <f>SUM(C33:C35)</f>
        <v>136618.15005</v>
      </c>
      <c r="D36" s="323">
        <f>SUM(B36:C36)</f>
        <v>180382.06825130701</v>
      </c>
      <c r="E36" s="329">
        <f>+B36/D36</f>
        <v>0.24261789780753276</v>
      </c>
      <c r="F36"/>
      <c r="G36"/>
      <c r="H36" s="124">
        <f>SUM(H33:H35)</f>
        <v>19650.299211058002</v>
      </c>
      <c r="I36" s="91">
        <f>SUM(I33:I35)</f>
        <v>142716.94363999998</v>
      </c>
      <c r="J36" s="323">
        <f>SUM(H36:I36)</f>
        <v>162367.24285105799</v>
      </c>
      <c r="K36" s="329">
        <f>+H36/J36</f>
        <v>0.12102379067361221</v>
      </c>
    </row>
    <row r="37" spans="1:15" ht="7.15" customHeight="1">
      <c r="A37" s="10"/>
      <c r="B37" s="124"/>
      <c r="C37" s="92" t="s">
        <v>0</v>
      </c>
      <c r="D37" s="323"/>
      <c r="E37" s="329" t="s">
        <v>54</v>
      </c>
      <c r="F37"/>
      <c r="G37"/>
      <c r="H37" s="124"/>
      <c r="I37" s="92" t="s">
        <v>0</v>
      </c>
      <c r="J37" s="327" t="s">
        <v>0</v>
      </c>
      <c r="K37" s="329" t="s">
        <v>54</v>
      </c>
    </row>
    <row r="38" spans="1:15">
      <c r="A38" s="10" t="s">
        <v>275</v>
      </c>
      <c r="B38" s="124"/>
      <c r="C38" s="92" t="s">
        <v>0</v>
      </c>
      <c r="D38" s="323"/>
      <c r="E38" s="329" t="s">
        <v>0</v>
      </c>
      <c r="F38"/>
      <c r="G38"/>
      <c r="H38" s="124"/>
      <c r="I38" s="92" t="s">
        <v>0</v>
      </c>
      <c r="J38" s="327" t="s">
        <v>0</v>
      </c>
      <c r="K38" s="329" t="s">
        <v>0</v>
      </c>
    </row>
    <row r="39" spans="1:15">
      <c r="A39" s="10" t="s">
        <v>272</v>
      </c>
      <c r="B39" s="124">
        <v>0</v>
      </c>
      <c r="C39" s="91">
        <v>7132.5</v>
      </c>
      <c r="D39" s="323">
        <f>SUM(B39:C39)</f>
        <v>7132.5</v>
      </c>
      <c r="E39" s="129">
        <v>0</v>
      </c>
      <c r="F39"/>
      <c r="G39"/>
      <c r="H39" s="124">
        <v>0</v>
      </c>
      <c r="I39" s="91">
        <v>9510</v>
      </c>
      <c r="J39" s="327">
        <f>SUM(H39:I39)</f>
        <v>9510</v>
      </c>
      <c r="K39" s="129">
        <v>0</v>
      </c>
    </row>
    <row r="40" spans="1:15">
      <c r="A40" s="10" t="s">
        <v>276</v>
      </c>
      <c r="B40" s="124">
        <v>0</v>
      </c>
      <c r="C40" s="91">
        <v>0</v>
      </c>
      <c r="D40" s="323">
        <f>SUM(B40:C40)</f>
        <v>0</v>
      </c>
      <c r="E40" s="129">
        <v>0</v>
      </c>
      <c r="F40"/>
      <c r="G40"/>
      <c r="H40" s="124">
        <v>0</v>
      </c>
      <c r="I40" s="91">
        <v>0</v>
      </c>
      <c r="J40" s="327">
        <f>SUM(H40:I40)</f>
        <v>0</v>
      </c>
      <c r="K40" s="129">
        <v>0</v>
      </c>
    </row>
    <row r="41" spans="1:15">
      <c r="A41" s="10" t="s">
        <v>274</v>
      </c>
      <c r="B41" s="1031">
        <v>3669.69445</v>
      </c>
      <c r="C41" s="224">
        <v>864.53490999999997</v>
      </c>
      <c r="D41" s="684">
        <f>SUM(B41:C41)</f>
        <v>4534.2293600000003</v>
      </c>
      <c r="E41" s="329">
        <f>+B41/D41</f>
        <v>0.80933145605144241</v>
      </c>
      <c r="F41"/>
      <c r="G41"/>
      <c r="H41" s="1031">
        <v>2824.5774000000001</v>
      </c>
      <c r="I41" s="224">
        <v>4473.3327099999997</v>
      </c>
      <c r="J41" s="684">
        <f>SUM(H41:I41)</f>
        <v>7297.9101099999998</v>
      </c>
      <c r="K41" s="329">
        <f>+H41/J41</f>
        <v>0.38703921498424709</v>
      </c>
    </row>
    <row r="42" spans="1:15">
      <c r="A42" s="10"/>
      <c r="B42" s="124">
        <f>SUM(B39:B41)</f>
        <v>3669.69445</v>
      </c>
      <c r="C42" s="91">
        <f>SUM(C39:C41)</f>
        <v>7997.0349100000003</v>
      </c>
      <c r="D42" s="323">
        <f>SUM(B42:C42)</f>
        <v>11666.729360000001</v>
      </c>
      <c r="E42" s="329">
        <f>+B42/D42</f>
        <v>0.31454354830426956</v>
      </c>
      <c r="F42"/>
      <c r="G42"/>
      <c r="H42" s="124">
        <f>SUM(H39:H41)</f>
        <v>2824.5774000000001</v>
      </c>
      <c r="I42" s="91">
        <f>SUM(I39:I41)</f>
        <v>13983.332709999999</v>
      </c>
      <c r="J42" s="323">
        <f>SUM(H42:I42)</f>
        <v>16807.910109999997</v>
      </c>
      <c r="K42" s="329">
        <f>+H42/J42</f>
        <v>0.16805048227378941</v>
      </c>
    </row>
    <row r="43" spans="1:15" ht="8.4499999999999993" customHeight="1">
      <c r="A43" s="10"/>
      <c r="B43" s="124"/>
      <c r="C43" s="92" t="s">
        <v>0</v>
      </c>
      <c r="D43" s="323"/>
      <c r="E43" s="329" t="s">
        <v>0</v>
      </c>
      <c r="F43"/>
      <c r="G43"/>
      <c r="H43" s="124"/>
      <c r="I43" s="92" t="s">
        <v>0</v>
      </c>
      <c r="J43" s="327" t="s">
        <v>0</v>
      </c>
      <c r="K43" s="329" t="s">
        <v>0</v>
      </c>
    </row>
    <row r="44" spans="1:15" ht="18">
      <c r="A44" s="10" t="s">
        <v>277</v>
      </c>
      <c r="B44" s="685">
        <v>0</v>
      </c>
      <c r="C44" s="1388">
        <v>1162.3920700000001</v>
      </c>
      <c r="D44" s="684">
        <f>SUM(B44:C44)</f>
        <v>1162.3920700000001</v>
      </c>
      <c r="E44" s="129">
        <v>0</v>
      </c>
      <c r="F44"/>
      <c r="G44"/>
      <c r="H44" s="685">
        <v>0</v>
      </c>
      <c r="I44" s="1388">
        <v>486.15384</v>
      </c>
      <c r="J44" s="684">
        <f>SUM(H44:I44)</f>
        <v>486.15384</v>
      </c>
      <c r="K44" s="129">
        <v>0</v>
      </c>
      <c r="L44" s="14"/>
    </row>
    <row r="45" spans="1:15">
      <c r="A45" s="10"/>
      <c r="B45" s="124">
        <f>+B44+B42+B36+B30</f>
        <v>1943178.2572413068</v>
      </c>
      <c r="C45" s="91">
        <f>+C44+C42+C36+C30</f>
        <v>1127938.5624300002</v>
      </c>
      <c r="D45" s="323">
        <f>SUM(B45:C45)</f>
        <v>3071116.8196713068</v>
      </c>
      <c r="E45" s="329">
        <f>+B45/D45</f>
        <v>0.63272691054757069</v>
      </c>
      <c r="F45"/>
      <c r="G45"/>
      <c r="H45" s="124">
        <f>+H44+H42+H36+H30</f>
        <v>1830446.9398510579</v>
      </c>
      <c r="I45" s="91">
        <f>+I44+I42+I36+I30</f>
        <v>1105081.38827</v>
      </c>
      <c r="J45" s="323">
        <f>SUM(H45:I45)</f>
        <v>2935528.3281210577</v>
      </c>
      <c r="K45" s="329">
        <f>+H45/J45</f>
        <v>0.62354940414513771</v>
      </c>
    </row>
    <row r="46" spans="1:15" ht="8.4499999999999993" customHeight="1">
      <c r="A46" s="10"/>
      <c r="B46" s="124"/>
      <c r="C46" s="92" t="s">
        <v>0</v>
      </c>
      <c r="D46" s="323"/>
      <c r="E46" s="329" t="s">
        <v>0</v>
      </c>
      <c r="F46"/>
      <c r="G46"/>
      <c r="H46" s="124"/>
      <c r="I46" s="92" t="s">
        <v>0</v>
      </c>
      <c r="J46" s="327" t="s">
        <v>0</v>
      </c>
      <c r="K46" s="329" t="s">
        <v>0</v>
      </c>
    </row>
    <row r="47" spans="1:15">
      <c r="A47" s="86" t="s">
        <v>278</v>
      </c>
      <c r="B47" s="124"/>
      <c r="C47" s="92" t="s">
        <v>0</v>
      </c>
      <c r="D47" s="323"/>
      <c r="E47" s="329" t="s">
        <v>0</v>
      </c>
      <c r="F47"/>
      <c r="G47"/>
      <c r="H47" s="124"/>
      <c r="I47" s="92" t="s">
        <v>0</v>
      </c>
      <c r="J47" s="327" t="s">
        <v>0</v>
      </c>
      <c r="K47" s="329" t="s">
        <v>0</v>
      </c>
    </row>
    <row r="48" spans="1:15">
      <c r="A48" s="10" t="s">
        <v>279</v>
      </c>
      <c r="B48" s="124">
        <v>0</v>
      </c>
      <c r="C48" s="91">
        <f>+bphvar!B48</f>
        <v>165000</v>
      </c>
      <c r="D48" s="323">
        <f>SUM(B48:C48)</f>
        <v>165000</v>
      </c>
      <c r="E48" s="129">
        <f>+B48/D48</f>
        <v>0</v>
      </c>
      <c r="F48"/>
      <c r="G48"/>
      <c r="H48" s="124">
        <v>0</v>
      </c>
      <c r="I48" s="91">
        <v>165000</v>
      </c>
      <c r="J48" s="323">
        <f>SUM(H48:I48)</f>
        <v>165000</v>
      </c>
      <c r="K48" s="129">
        <f>+H48/J48</f>
        <v>0</v>
      </c>
    </row>
    <row r="49" spans="1:15">
      <c r="A49" s="10" t="s">
        <v>280</v>
      </c>
      <c r="B49" s="124">
        <v>0</v>
      </c>
      <c r="C49" s="91">
        <f>+bphvar!B49</f>
        <v>87983</v>
      </c>
      <c r="D49" s="323">
        <f>SUM(B49:C49)</f>
        <v>87983</v>
      </c>
      <c r="E49" s="129">
        <v>0</v>
      </c>
      <c r="F49"/>
      <c r="G49"/>
      <c r="H49" s="124">
        <v>0</v>
      </c>
      <c r="I49" s="91">
        <v>87983</v>
      </c>
      <c r="J49" s="327">
        <f>SUM(H49:I49)</f>
        <v>87983</v>
      </c>
      <c r="K49" s="129">
        <v>0</v>
      </c>
    </row>
    <row r="50" spans="1:15">
      <c r="A50" s="10" t="s">
        <v>290</v>
      </c>
      <c r="B50" s="124">
        <v>0</v>
      </c>
      <c r="C50" s="91">
        <f>+bphvar!B50</f>
        <v>14325</v>
      </c>
      <c r="D50" s="323">
        <f>SUM(B50:C50)</f>
        <v>14325</v>
      </c>
      <c r="E50" s="129">
        <v>0</v>
      </c>
      <c r="F50"/>
      <c r="G50"/>
      <c r="H50" s="124">
        <v>0</v>
      </c>
      <c r="I50" s="91">
        <v>14325</v>
      </c>
      <c r="J50" s="323">
        <f>SUM(H50:I50)</f>
        <v>14325</v>
      </c>
      <c r="K50" s="129">
        <v>0</v>
      </c>
    </row>
    <row r="51" spans="1:15" ht="18">
      <c r="A51" s="10" t="s">
        <v>282</v>
      </c>
      <c r="B51" s="685">
        <v>0</v>
      </c>
      <c r="C51" s="199">
        <f>+bphvar!B51</f>
        <v>-139545.51522999999</v>
      </c>
      <c r="D51" s="684">
        <f>SUM(B51:C51)</f>
        <v>-139545.51522999999</v>
      </c>
      <c r="E51" s="129">
        <v>0</v>
      </c>
      <c r="F51"/>
      <c r="G51"/>
      <c r="H51" s="685">
        <v>0</v>
      </c>
      <c r="I51" s="199">
        <v>-138007.1</v>
      </c>
      <c r="J51" s="684">
        <f>SUM(H51:I51)</f>
        <v>-138007.1</v>
      </c>
      <c r="K51" s="129">
        <v>0</v>
      </c>
      <c r="L51" s="14"/>
      <c r="M51" s="15"/>
      <c r="N51" s="15"/>
      <c r="O51" s="15"/>
    </row>
    <row r="52" spans="1:15">
      <c r="A52" s="10" t="s">
        <v>54</v>
      </c>
      <c r="B52" s="124">
        <f>SUM(B48:B51)</f>
        <v>0</v>
      </c>
      <c r="C52" s="91">
        <f>SUM(C48:C51)</f>
        <v>127762.48477000001</v>
      </c>
      <c r="D52" s="323">
        <f>SUM(B52:C52)</f>
        <v>127762.48477000001</v>
      </c>
      <c r="E52" s="129">
        <v>0</v>
      </c>
      <c r="F52"/>
      <c r="G52"/>
      <c r="H52" s="124">
        <f>SUM(H48:H51)</f>
        <v>0</v>
      </c>
      <c r="I52" s="91">
        <f>SUM(I48:I51)</f>
        <v>129300.9</v>
      </c>
      <c r="J52" s="323">
        <f>SUM(H52:I52)</f>
        <v>129300.9</v>
      </c>
      <c r="K52" s="329" t="s">
        <v>0</v>
      </c>
    </row>
    <row r="53" spans="1:15">
      <c r="A53" s="10" t="s">
        <v>0</v>
      </c>
      <c r="B53" s="124"/>
      <c r="C53" s="92" t="s">
        <v>0</v>
      </c>
      <c r="D53" s="323"/>
      <c r="E53" s="329" t="s">
        <v>0</v>
      </c>
      <c r="F53"/>
      <c r="G53"/>
      <c r="H53" s="124"/>
      <c r="I53" s="92" t="s">
        <v>0</v>
      </c>
      <c r="J53" s="327" t="s">
        <v>0</v>
      </c>
      <c r="K53" s="329" t="s">
        <v>0</v>
      </c>
    </row>
    <row r="54" spans="1:15" ht="16.5" thickBot="1">
      <c r="A54" s="10" t="s">
        <v>0</v>
      </c>
      <c r="B54" s="126">
        <f>+B30+B36+B42+B44+B52</f>
        <v>1943178.2572413071</v>
      </c>
      <c r="C54" s="127">
        <f>+C30+C36+C42+C44+C52</f>
        <v>1255701.0472000001</v>
      </c>
      <c r="D54" s="325">
        <f>SUM(B54:C54)</f>
        <v>3198879.3044413072</v>
      </c>
      <c r="E54" s="368">
        <f>+B54/D54</f>
        <v>0.60745594700725614</v>
      </c>
      <c r="F54"/>
      <c r="G54"/>
      <c r="H54" s="126">
        <f>+H30+H36+H42+H44+H52</f>
        <v>1830446.9398510582</v>
      </c>
      <c r="I54" s="127">
        <f>+I30+I36+I42+I44+I52</f>
        <v>1234382.2882699999</v>
      </c>
      <c r="J54" s="325">
        <f>SUM(H54:I54)</f>
        <v>3064829.2281210581</v>
      </c>
      <c r="K54" s="602">
        <f>+H54/J54</f>
        <v>0.59724271847056309</v>
      </c>
    </row>
    <row r="55" spans="1:15" ht="16.5" thickTop="1">
      <c r="A55" s="10"/>
      <c r="B55" s="94"/>
      <c r="C55" s="94"/>
      <c r="D55" s="339"/>
      <c r="E55" s="237"/>
      <c r="F55"/>
      <c r="G55"/>
      <c r="H55" s="94"/>
      <c r="I55" s="94"/>
      <c r="J55" s="339"/>
      <c r="K55" s="230"/>
    </row>
    <row r="56" spans="1:15">
      <c r="A56" s="10"/>
      <c r="B56" s="90" t="str">
        <f>+'bncgdes&amp;$ '!B56</f>
        <v xml:space="preserve">* converties au taux de 46,7477 Gdes </v>
      </c>
      <c r="C56"/>
      <c r="D56" s="90"/>
      <c r="E56" s="98" t="s">
        <v>0</v>
      </c>
      <c r="F56"/>
      <c r="G56"/>
      <c r="H56" s="90" t="str">
        <f>+'bncgdes&amp;$ '!H56</f>
        <v xml:space="preserve">* converties au taux de 45,5577 Gdes </v>
      </c>
      <c r="I56"/>
      <c r="J56" s="88" t="s">
        <v>0</v>
      </c>
    </row>
    <row r="57" spans="1:15">
      <c r="C57" s="48"/>
      <c r="E57" s="112" t="s">
        <v>0</v>
      </c>
      <c r="F57"/>
      <c r="G57"/>
      <c r="H57"/>
      <c r="J57" s="48"/>
    </row>
    <row r="58" spans="1:15">
      <c r="B58"/>
      <c r="C58"/>
      <c r="D58"/>
      <c r="E58" s="112" t="s">
        <v>0</v>
      </c>
      <c r="F58"/>
      <c r="G58"/>
      <c r="H58"/>
      <c r="J58" s="48"/>
    </row>
    <row r="59" spans="1:15">
      <c r="B59"/>
      <c r="C59"/>
      <c r="D59"/>
      <c r="E59" s="112" t="s">
        <v>0</v>
      </c>
      <c r="F59"/>
      <c r="G59"/>
      <c r="H59"/>
      <c r="J59" s="48"/>
    </row>
    <row r="60" spans="1:15">
      <c r="B60"/>
      <c r="C60"/>
      <c r="D60"/>
      <c r="E60" s="112" t="s">
        <v>0</v>
      </c>
      <c r="F60"/>
      <c r="G60"/>
      <c r="H60"/>
      <c r="J60" s="48"/>
    </row>
    <row r="61" spans="1:15">
      <c r="B61"/>
      <c r="C61"/>
      <c r="D61"/>
      <c r="E61" s="112" t="s">
        <v>0</v>
      </c>
      <c r="F61"/>
      <c r="G61"/>
      <c r="H61"/>
      <c r="J61" s="48"/>
    </row>
    <row r="62" spans="1:15">
      <c r="B62"/>
      <c r="C62"/>
      <c r="D62"/>
      <c r="E62" s="112" t="s">
        <v>0</v>
      </c>
      <c r="F62"/>
      <c r="G62"/>
      <c r="H62"/>
      <c r="J62" s="48"/>
    </row>
    <row r="63" spans="1:15">
      <c r="B63"/>
      <c r="C63"/>
      <c r="D63"/>
      <c r="E63" s="112" t="s">
        <v>0</v>
      </c>
      <c r="F63"/>
      <c r="G63"/>
      <c r="H63"/>
      <c r="I63"/>
      <c r="J63"/>
    </row>
    <row r="64" spans="1:15">
      <c r="B64"/>
      <c r="C64"/>
      <c r="D64"/>
      <c r="E64" s="112" t="s">
        <v>0</v>
      </c>
      <c r="F64"/>
      <c r="G64"/>
      <c r="H64"/>
      <c r="I64"/>
      <c r="J64"/>
    </row>
    <row r="65" spans="2:12">
      <c r="B65"/>
      <c r="C65"/>
      <c r="D65"/>
      <c r="E65" s="112" t="s">
        <v>0</v>
      </c>
      <c r="F65"/>
      <c r="G65"/>
      <c r="H65"/>
      <c r="I65"/>
      <c r="J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68" right="0.28999999999999998" top="0.56999999999999995" bottom="0.62" header="0.36" footer="0.38"/>
  <pageSetup scale="64" orientation="landscape" r:id="rId1"/>
  <headerFooter alignWithMargins="0">
    <oddFooter>&amp;R&amp;P</oddFooter>
  </headerFooter>
</worksheet>
</file>

<file path=xl/worksheets/sheet76.xml><?xml version="1.0" encoding="utf-8"?>
<worksheet xmlns="http://schemas.openxmlformats.org/spreadsheetml/2006/main" xmlns:r="http://schemas.openxmlformats.org/officeDocument/2006/relationships">
  <sheetPr>
    <pageSetUpPr fitToPage="1"/>
  </sheetPr>
  <dimension ref="A1:X121"/>
  <sheetViews>
    <sheetView topLeftCell="A6" workbookViewId="0">
      <selection activeCell="B9" sqref="B9"/>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11.875" style="33" customWidth="1"/>
    <col min="6" max="6" width="15.75" style="33" customWidth="1"/>
    <col min="7" max="7" width="9.875" style="33" customWidth="1"/>
    <col min="8" max="8" width="15.75" style="33" customWidth="1"/>
    <col min="9" max="9" width="6.375" style="33" customWidth="1"/>
    <col min="10" max="10" width="15.75" style="33" customWidth="1"/>
    <col min="11" max="11" width="8.75" style="33" customWidth="1"/>
    <col min="12" max="12" width="15.75" style="33" customWidth="1"/>
    <col min="13" max="13" width="10.625" style="33" customWidth="1"/>
    <col min="14" max="14" width="15.75" style="33" customWidth="1"/>
    <col min="15" max="15" width="10.5" style="33" customWidth="1"/>
    <col min="16" max="16" width="15.75" style="33" customWidth="1"/>
    <col min="17" max="17" width="9" style="33"/>
    <col min="18" max="18" width="15.75" style="33" customWidth="1"/>
    <col min="19" max="19" width="9" style="33"/>
    <col min="20" max="20" width="16.25" style="33" customWidth="1"/>
    <col min="21" max="21" width="12" style="33" customWidth="1"/>
  </cols>
  <sheetData>
    <row r="1" spans="1:22">
      <c r="A1" s="111" t="s">
        <v>398</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6" spans="1:22" s="11" customFormat="1" ht="16.5" thickBot="1">
      <c r="B6" s="1022">
        <f>+'bncrésult '!B6</f>
        <v>2015</v>
      </c>
      <c r="C6" s="345"/>
      <c r="D6" s="346"/>
      <c r="E6" s="345"/>
      <c r="F6" s="346"/>
      <c r="G6" s="345"/>
      <c r="H6" s="346"/>
      <c r="I6" s="347"/>
      <c r="J6" s="332" t="str">
        <f>+'bncrésult '!J6</f>
        <v>2014</v>
      </c>
      <c r="K6" s="345"/>
      <c r="L6" s="346"/>
      <c r="M6" s="345"/>
      <c r="N6" s="346"/>
      <c r="O6" s="345"/>
      <c r="P6" s="346"/>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35" t="s">
        <v>0</v>
      </c>
      <c r="E9" s="35" t="s">
        <v>0</v>
      </c>
      <c r="F9" s="35" t="s">
        <v>0</v>
      </c>
      <c r="G9" s="35" t="s">
        <v>0</v>
      </c>
      <c r="H9" s="35" t="s">
        <v>0</v>
      </c>
      <c r="I9" s="35" t="s">
        <v>0</v>
      </c>
      <c r="J9" s="24" t="s">
        <v>0</v>
      </c>
      <c r="K9" s="52" t="s">
        <v>0</v>
      </c>
      <c r="L9" s="24" t="s">
        <v>0</v>
      </c>
      <c r="M9" s="52" t="s">
        <v>0</v>
      </c>
      <c r="N9" s="24" t="s">
        <v>0</v>
      </c>
      <c r="O9" s="52" t="s">
        <v>0</v>
      </c>
      <c r="P9" s="24" t="s">
        <v>0</v>
      </c>
      <c r="Q9" s="35" t="s">
        <v>0</v>
      </c>
    </row>
    <row r="10" spans="1:22">
      <c r="A10" t="s">
        <v>302</v>
      </c>
      <c r="B10" s="20">
        <f>+B50</f>
        <v>25934.645479999999</v>
      </c>
      <c r="C10" s="48">
        <v>0</v>
      </c>
      <c r="D10" s="20">
        <f>+F50</f>
        <v>0</v>
      </c>
      <c r="E10" s="48">
        <v>0</v>
      </c>
      <c r="F10" s="20">
        <f>+J50</f>
        <v>0</v>
      </c>
      <c r="G10" s="48">
        <v>0</v>
      </c>
      <c r="H10" s="20">
        <f>+N50</f>
        <v>0</v>
      </c>
      <c r="J10" s="20">
        <f>+D50</f>
        <v>34952.16605</v>
      </c>
      <c r="K10" s="51">
        <f t="shared" ref="K10:K15" si="0">+(-J10+L10)/ABS(J10)</f>
        <v>-0.24175535095342107</v>
      </c>
      <c r="L10" s="20">
        <f>+H50</f>
        <v>26502.292880000001</v>
      </c>
      <c r="M10" s="51">
        <f t="shared" ref="M10:M15" si="1">+(-L10+N10)/ABS(L10)</f>
        <v>4.5149450857627046E-2</v>
      </c>
      <c r="N10" s="20">
        <f>+L50</f>
        <v>27698.85685</v>
      </c>
      <c r="O10" s="51">
        <f t="shared" ref="O10:O15" si="2">+(-N10+P10)/ABS(N10)</f>
        <v>-0.18113699013538895</v>
      </c>
      <c r="P10" s="20">
        <f>+P50</f>
        <v>22681.569289999999</v>
      </c>
    </row>
    <row r="11" spans="1:22">
      <c r="A11" t="s">
        <v>322</v>
      </c>
      <c r="B11" s="20">
        <f>+B51</f>
        <v>2340.82177</v>
      </c>
      <c r="C11" s="48">
        <v>0</v>
      </c>
      <c r="D11" s="20">
        <f>+F51</f>
        <v>0</v>
      </c>
      <c r="E11" s="48">
        <v>0</v>
      </c>
      <c r="F11" s="20">
        <f>+J51</f>
        <v>0</v>
      </c>
      <c r="G11" s="48">
        <v>0</v>
      </c>
      <c r="H11" s="20">
        <f>+N51</f>
        <v>0</v>
      </c>
      <c r="J11" s="20">
        <f>+D51</f>
        <v>0</v>
      </c>
      <c r="K11" s="48">
        <v>0</v>
      </c>
      <c r="L11" s="20">
        <f>+H51</f>
        <v>698.85712999999998</v>
      </c>
      <c r="M11" s="51">
        <f t="shared" si="1"/>
        <v>1.5122508229972551</v>
      </c>
      <c r="N11" s="20">
        <f>+L51</f>
        <v>1755.7043999999999</v>
      </c>
      <c r="O11" s="51">
        <f t="shared" si="2"/>
        <v>-0.1000280969848911</v>
      </c>
      <c r="P11" s="20">
        <f>+P51</f>
        <v>1580.0846299999998</v>
      </c>
    </row>
    <row r="12" spans="1:22">
      <c r="A12" t="s">
        <v>304</v>
      </c>
      <c r="B12" s="217">
        <f>+B52</f>
        <v>805.66978999999992</v>
      </c>
      <c r="C12" s="48">
        <v>0</v>
      </c>
      <c r="D12" s="217">
        <f>+F52</f>
        <v>0</v>
      </c>
      <c r="E12" s="48">
        <v>0</v>
      </c>
      <c r="F12" s="217">
        <f>+J52</f>
        <v>0</v>
      </c>
      <c r="G12" s="48">
        <v>0</v>
      </c>
      <c r="H12" s="217">
        <f>+N52</f>
        <v>0</v>
      </c>
      <c r="J12" s="199">
        <f>+D52</f>
        <v>100.10611999999999</v>
      </c>
      <c r="K12" s="51">
        <f t="shared" si="0"/>
        <v>-0.18431720258461706</v>
      </c>
      <c r="L12" s="199">
        <f>+H52</f>
        <v>81.654840000000007</v>
      </c>
      <c r="M12" s="51">
        <f t="shared" si="1"/>
        <v>6.8161666840569249E-2</v>
      </c>
      <c r="N12" s="199">
        <f>+L52</f>
        <v>87.220569999999995</v>
      </c>
      <c r="O12" s="51">
        <f t="shared" si="2"/>
        <v>2.590407629759814</v>
      </c>
      <c r="P12" s="199">
        <f>+P52</f>
        <v>313.15739999999994</v>
      </c>
    </row>
    <row r="13" spans="1:22">
      <c r="B13" s="20">
        <f>SUM(B10:B12)</f>
        <v>29081.137039999998</v>
      </c>
      <c r="C13" s="48">
        <v>0</v>
      </c>
      <c r="D13" s="20">
        <f>SUM(D10:D12)</f>
        <v>0</v>
      </c>
      <c r="E13" s="48">
        <v>0</v>
      </c>
      <c r="F13" s="20">
        <f>SUM(F10:F12)</f>
        <v>0</v>
      </c>
      <c r="G13" s="48">
        <v>0</v>
      </c>
      <c r="H13" s="20">
        <f>SUM(H10:H12)</f>
        <v>0</v>
      </c>
      <c r="J13" s="20">
        <f>SUM(J10:J12)</f>
        <v>35052.272169999997</v>
      </c>
      <c r="K13" s="51">
        <f t="shared" si="0"/>
        <v>-0.22165374279644015</v>
      </c>
      <c r="L13" s="20">
        <f>SUM(L10:L12)</f>
        <v>27282.80485</v>
      </c>
      <c r="M13" s="51">
        <f t="shared" si="1"/>
        <v>8.2798560573950658E-2</v>
      </c>
      <c r="N13" s="20">
        <f>SUM(N10:N12)</f>
        <v>29541.78182</v>
      </c>
      <c r="O13" s="51">
        <f t="shared" si="2"/>
        <v>-0.16813374800017392</v>
      </c>
      <c r="P13" s="20">
        <f>SUM(P10:P12)</f>
        <v>24574.811320000001</v>
      </c>
    </row>
    <row r="14" spans="1:22">
      <c r="A14" t="s">
        <v>305</v>
      </c>
      <c r="B14" s="217">
        <f>+B54</f>
        <v>3843.9422300000001</v>
      </c>
      <c r="C14" s="48">
        <v>0</v>
      </c>
      <c r="D14" s="217">
        <f>+F54</f>
        <v>0</v>
      </c>
      <c r="E14" s="48">
        <v>0</v>
      </c>
      <c r="F14" s="217">
        <f>+J54</f>
        <v>0</v>
      </c>
      <c r="G14" s="48">
        <v>0</v>
      </c>
      <c r="H14" s="217">
        <f>+N54</f>
        <v>0</v>
      </c>
      <c r="J14" s="217">
        <f>+D54</f>
        <v>2178.4949700000002</v>
      </c>
      <c r="K14" s="51">
        <f t="shared" si="0"/>
        <v>0.44096864726752161</v>
      </c>
      <c r="L14" s="217">
        <f>+H54</f>
        <v>3139.1429500000004</v>
      </c>
      <c r="M14" s="51">
        <f t="shared" si="1"/>
        <v>-0.24199296817623439</v>
      </c>
      <c r="N14" s="217">
        <f>+L54</f>
        <v>2379.4924299999998</v>
      </c>
      <c r="O14" s="51">
        <f t="shared" si="2"/>
        <v>0.17899499264219157</v>
      </c>
      <c r="P14" s="217">
        <f>+P54</f>
        <v>2805.4096600000003</v>
      </c>
    </row>
    <row r="15" spans="1:22">
      <c r="B15" s="20">
        <f>+B13-B14</f>
        <v>25237.194809999997</v>
      </c>
      <c r="C15" s="48">
        <v>0</v>
      </c>
      <c r="D15" s="20">
        <f>+D13-D14</f>
        <v>0</v>
      </c>
      <c r="E15" s="48">
        <v>0</v>
      </c>
      <c r="F15" s="20">
        <f>+F13-F14</f>
        <v>0</v>
      </c>
      <c r="G15" s="48">
        <v>0</v>
      </c>
      <c r="H15" s="20">
        <f>+H13-H14</f>
        <v>0</v>
      </c>
      <c r="J15" s="20">
        <f>+J13-J14</f>
        <v>32873.777199999997</v>
      </c>
      <c r="K15" s="51">
        <f t="shared" si="0"/>
        <v>-0.26556471581853996</v>
      </c>
      <c r="L15" s="20">
        <f>+L13-L14</f>
        <v>24143.661899999999</v>
      </c>
      <c r="M15" s="51">
        <f t="shared" si="1"/>
        <v>0.12502774030313946</v>
      </c>
      <c r="N15" s="20">
        <f>+N13-N14</f>
        <v>27162.289390000002</v>
      </c>
      <c r="O15" s="51">
        <f t="shared" si="2"/>
        <v>-0.19854319540478182</v>
      </c>
      <c r="P15" s="20">
        <f>+P13-P14</f>
        <v>21769.40166</v>
      </c>
    </row>
    <row r="16" spans="1:22" ht="9" customHeight="1">
      <c r="B16" s="20"/>
      <c r="C16" s="49" t="s">
        <v>0</v>
      </c>
      <c r="D16" s="20"/>
      <c r="E16" s="49" t="s">
        <v>0</v>
      </c>
      <c r="G16" s="49" t="s">
        <v>0</v>
      </c>
      <c r="H16" s="20"/>
      <c r="J16" s="20"/>
      <c r="K16" s="51"/>
      <c r="L16" s="20"/>
      <c r="M16" s="51"/>
      <c r="N16" s="20"/>
      <c r="O16" s="51"/>
      <c r="P16" s="20"/>
    </row>
    <row r="17" spans="1:16">
      <c r="A17" t="s">
        <v>306</v>
      </c>
      <c r="B17" s="20"/>
      <c r="C17" s="49" t="s">
        <v>0</v>
      </c>
      <c r="D17" s="52" t="s">
        <v>0</v>
      </c>
      <c r="E17" s="49" t="s">
        <v>0</v>
      </c>
      <c r="G17" s="49" t="s">
        <v>0</v>
      </c>
      <c r="H17" s="20"/>
      <c r="J17" s="20"/>
      <c r="K17" s="51"/>
      <c r="L17" s="20"/>
      <c r="M17" s="51"/>
      <c r="N17" s="20"/>
      <c r="O17" s="52" t="s">
        <v>0</v>
      </c>
      <c r="P17" s="20"/>
    </row>
    <row r="18" spans="1:16">
      <c r="A18" t="s">
        <v>307</v>
      </c>
      <c r="B18" s="20">
        <f>+B58</f>
        <v>7978.2310900000002</v>
      </c>
      <c r="C18" s="48">
        <v>0</v>
      </c>
      <c r="D18" s="20">
        <f>+F58</f>
        <v>0</v>
      </c>
      <c r="E18" s="48">
        <v>0</v>
      </c>
      <c r="F18" s="20">
        <f>+J58</f>
        <v>0</v>
      </c>
      <c r="G18" s="48">
        <v>0</v>
      </c>
      <c r="H18" s="20">
        <f>+N58</f>
        <v>0</v>
      </c>
      <c r="J18" s="20">
        <f>+D58</f>
        <v>5268.5281599999998</v>
      </c>
      <c r="K18" s="51">
        <f>+(-J18+L18)/ABS(J18)</f>
        <v>0.43395615066808335</v>
      </c>
      <c r="L18" s="20">
        <f>+H58</f>
        <v>7554.8383599999997</v>
      </c>
      <c r="M18" s="51">
        <f>+(-L18+N18)/ABS(L18)</f>
        <v>-0.28003451817068387</v>
      </c>
      <c r="N18" s="20">
        <f>+L58</f>
        <v>5439.2228400000004</v>
      </c>
      <c r="O18" s="51">
        <f>+(-N18+P18)/ABS(N18)</f>
        <v>1.4179989672936435</v>
      </c>
      <c r="P18" s="20">
        <f>+P58</f>
        <v>13152.03521</v>
      </c>
    </row>
    <row r="19" spans="1:16">
      <c r="A19" t="s">
        <v>308</v>
      </c>
      <c r="B19" s="20">
        <f>+B59</f>
        <v>9436.2305199999992</v>
      </c>
      <c r="C19" s="48">
        <v>0</v>
      </c>
      <c r="D19" s="20">
        <f>+F59</f>
        <v>0</v>
      </c>
      <c r="E19" s="48">
        <v>0</v>
      </c>
      <c r="F19" s="20">
        <f>+J59</f>
        <v>0</v>
      </c>
      <c r="G19" s="48">
        <v>0</v>
      </c>
      <c r="H19" s="20">
        <f>+N59</f>
        <v>0</v>
      </c>
      <c r="J19" s="20">
        <f>+D59</f>
        <v>5165.5143200000002</v>
      </c>
      <c r="K19" s="51">
        <f>+(-J19+L19)/ABS(J19)</f>
        <v>-0.16072081085625561</v>
      </c>
      <c r="L19" s="20">
        <f>+H59</f>
        <v>4335.3086700000003</v>
      </c>
      <c r="M19" s="51">
        <f>+(-L19+N19)/ABS(L19)</f>
        <v>-0.36950109944535975</v>
      </c>
      <c r="N19" s="20">
        <f>+L59</f>
        <v>2733.40735</v>
      </c>
      <c r="O19" s="51">
        <f>+(-N19+P19)/ABS(N19)</f>
        <v>-0.25530933031258585</v>
      </c>
      <c r="P19" s="20">
        <f>+P59</f>
        <v>2035.54295</v>
      </c>
    </row>
    <row r="20" spans="1:16">
      <c r="A20" t="s">
        <v>274</v>
      </c>
      <c r="B20" s="217">
        <f>+B60</f>
        <v>1193.67922</v>
      </c>
      <c r="C20" s="48">
        <v>0</v>
      </c>
      <c r="D20" s="217">
        <f>+F60</f>
        <v>0</v>
      </c>
      <c r="E20" s="48">
        <v>0</v>
      </c>
      <c r="F20" s="217">
        <f>+J60</f>
        <v>0</v>
      </c>
      <c r="G20" s="48">
        <v>0</v>
      </c>
      <c r="H20" s="217">
        <f>+N60</f>
        <v>0</v>
      </c>
      <c r="J20" s="217">
        <f>+D60</f>
        <v>568.15408000000002</v>
      </c>
      <c r="K20" s="52">
        <f>+(-J20+L20)/ABS(J20)</f>
        <v>-7.7592508004167039E-3</v>
      </c>
      <c r="L20" s="217">
        <f>+H60</f>
        <v>563.74563000000001</v>
      </c>
      <c r="M20" s="51">
        <f>+(-L20+N20)/ABS(L20)</f>
        <v>0.14126131673960823</v>
      </c>
      <c r="N20" s="217">
        <f>+L60</f>
        <v>643.38108</v>
      </c>
      <c r="O20" s="51">
        <f>+(-N20+P20)/ABS(N20)</f>
        <v>6.6379867589516302</v>
      </c>
      <c r="P20" s="217">
        <f>+P60</f>
        <v>4914.1361699999998</v>
      </c>
    </row>
    <row r="21" spans="1:16">
      <c r="B21" s="20">
        <f>SUM(B18:B20)</f>
        <v>18608.140829999997</v>
      </c>
      <c r="C21" s="48">
        <v>0</v>
      </c>
      <c r="D21" s="20">
        <f>SUM(D18:D20)</f>
        <v>0</v>
      </c>
      <c r="E21" s="48">
        <v>0</v>
      </c>
      <c r="F21" s="20">
        <f>SUM(F18:F20)</f>
        <v>0</v>
      </c>
      <c r="G21" s="48">
        <v>0</v>
      </c>
      <c r="H21" s="20">
        <f>SUM(H18:H20)</f>
        <v>0</v>
      </c>
      <c r="J21" s="20">
        <f>SUM(J18:J20)</f>
        <v>11002.19656</v>
      </c>
      <c r="K21" s="51">
        <f>+(-J21+L21)/ABS(J21)</f>
        <v>0.13194602478543604</v>
      </c>
      <c r="L21" s="20">
        <f>SUM(L18:L20)</f>
        <v>12453.89266</v>
      </c>
      <c r="M21" s="51">
        <f>+(-L21+N21)/ABS(L21)</f>
        <v>-0.29210797694477647</v>
      </c>
      <c r="N21" s="20">
        <f>SUM(N18:N20)</f>
        <v>8816.0112699999991</v>
      </c>
      <c r="O21" s="51">
        <f>+(-N21+P21)/ABS(N21)</f>
        <v>1.2801370953782827</v>
      </c>
      <c r="P21" s="20">
        <f>SUM(P18:P20)</f>
        <v>20101.714330000003</v>
      </c>
    </row>
    <row r="22" spans="1:16">
      <c r="B22" s="217"/>
      <c r="C22" s="49" t="s">
        <v>0</v>
      </c>
      <c r="D22" s="217"/>
      <c r="E22" s="49" t="s">
        <v>0</v>
      </c>
      <c r="F22" s="334"/>
      <c r="G22" s="49" t="s">
        <v>0</v>
      </c>
      <c r="H22" s="217"/>
      <c r="J22" s="217"/>
      <c r="K22" s="51"/>
      <c r="L22" s="217"/>
      <c r="M22" s="51"/>
      <c r="N22" s="217"/>
      <c r="O22" s="51"/>
      <c r="P22" s="217"/>
    </row>
    <row r="23" spans="1:16">
      <c r="A23" t="s">
        <v>309</v>
      </c>
      <c r="B23" s="20">
        <f>+B15+B21</f>
        <v>43845.33563999999</v>
      </c>
      <c r="C23" s="48">
        <v>0</v>
      </c>
      <c r="D23" s="20">
        <f>+D15+D21</f>
        <v>0</v>
      </c>
      <c r="E23" s="48">
        <v>0</v>
      </c>
      <c r="F23" s="20">
        <f>+F15+F21</f>
        <v>0</v>
      </c>
      <c r="G23" s="48">
        <v>0</v>
      </c>
      <c r="H23" s="20">
        <f>+H15+H21</f>
        <v>0</v>
      </c>
      <c r="J23" s="20">
        <f>+J15+J21</f>
        <v>43875.973759999993</v>
      </c>
      <c r="K23" s="51">
        <f>+(-J23+L23)/ABS(J23)</f>
        <v>-0.16588621462426542</v>
      </c>
      <c r="L23" s="20">
        <f>+L15+L21</f>
        <v>36597.554559999997</v>
      </c>
      <c r="M23" s="51">
        <f>+(-L23+N23)/ABS(L23)</f>
        <v>-1.6920636021862005E-2</v>
      </c>
      <c r="N23" s="20">
        <f>+N15+N21</f>
        <v>35978.300660000001</v>
      </c>
      <c r="O23" s="51">
        <f>+(-N23+P23)/ABS(N23)</f>
        <v>0.16378803950992399</v>
      </c>
      <c r="P23" s="20">
        <f>+P15+P21</f>
        <v>41871.115990000006</v>
      </c>
    </row>
    <row r="24" spans="1:16">
      <c r="B24" s="20"/>
      <c r="C24" s="49" t="s">
        <v>0</v>
      </c>
      <c r="D24" s="20"/>
      <c r="E24" s="49" t="s">
        <v>0</v>
      </c>
      <c r="G24" s="49" t="s">
        <v>0</v>
      </c>
      <c r="H24" s="20"/>
      <c r="J24" s="20"/>
      <c r="K24" s="51"/>
      <c r="L24" s="20"/>
      <c r="M24" s="51"/>
      <c r="N24" s="20"/>
      <c r="O24" s="51"/>
      <c r="P24" s="20"/>
    </row>
    <row r="25" spans="1:16">
      <c r="A25" t="s">
        <v>310</v>
      </c>
      <c r="B25" s="20">
        <f>+B65</f>
        <v>11500.414280000001</v>
      </c>
      <c r="C25" s="48">
        <v>0</v>
      </c>
      <c r="D25" s="20">
        <f>+F65</f>
        <v>0</v>
      </c>
      <c r="E25" s="48">
        <v>0</v>
      </c>
      <c r="F25" s="20">
        <f>+J65</f>
        <v>0</v>
      </c>
      <c r="G25" s="48">
        <v>0</v>
      </c>
      <c r="H25" s="20">
        <f>+N65</f>
        <v>0</v>
      </c>
      <c r="J25" s="20">
        <f>+D65</f>
        <v>4124.0786399999997</v>
      </c>
      <c r="K25" s="51">
        <f>+(-J25+L25)/ABS(J25)</f>
        <v>2.1541039018596408</v>
      </c>
      <c r="L25" s="20">
        <f>+H65</f>
        <v>13007.77253</v>
      </c>
      <c r="M25" s="51">
        <f>+(-L25+N25)/ABS(L25)</f>
        <v>-8.4701548820826505E-2</v>
      </c>
      <c r="N25" s="20">
        <f>+L65</f>
        <v>11905.994049999999</v>
      </c>
      <c r="O25" s="51">
        <f>+(-N25+P25)/ABS(N25)</f>
        <v>-0.26031105483376238</v>
      </c>
      <c r="P25" s="20">
        <f>+P65</f>
        <v>8806.7321800000009</v>
      </c>
    </row>
    <row r="26" spans="1:16">
      <c r="B26" s="20"/>
      <c r="C26" s="49" t="s">
        <v>0</v>
      </c>
      <c r="D26" s="20"/>
      <c r="E26" s="49" t="s">
        <v>0</v>
      </c>
      <c r="G26" s="49" t="s">
        <v>0</v>
      </c>
      <c r="H26" s="20"/>
      <c r="J26" s="20"/>
      <c r="K26" s="51"/>
      <c r="L26" s="20"/>
      <c r="M26" s="51"/>
      <c r="N26" s="20"/>
      <c r="O26" s="51"/>
      <c r="P26" s="20"/>
    </row>
    <row r="27" spans="1:16">
      <c r="A27" t="s">
        <v>311</v>
      </c>
      <c r="B27" s="217"/>
      <c r="C27" s="49" t="s">
        <v>0</v>
      </c>
      <c r="D27" s="217"/>
      <c r="E27" s="49" t="s">
        <v>0</v>
      </c>
      <c r="F27" s="334"/>
      <c r="G27" s="49" t="s">
        <v>0</v>
      </c>
      <c r="H27" s="217"/>
      <c r="J27" s="217"/>
      <c r="K27" s="51"/>
      <c r="L27" s="217"/>
      <c r="M27" s="51"/>
      <c r="N27" s="217"/>
      <c r="O27" s="51"/>
      <c r="P27" s="217"/>
    </row>
    <row r="28" spans="1:16">
      <c r="A28" t="s">
        <v>312</v>
      </c>
      <c r="B28" s="20">
        <f>+B23-B25</f>
        <v>32344.921359999989</v>
      </c>
      <c r="C28" s="48">
        <v>0</v>
      </c>
      <c r="D28" s="20">
        <f>+D23-D25</f>
        <v>0</v>
      </c>
      <c r="E28" s="48">
        <v>0</v>
      </c>
      <c r="F28" s="20">
        <f>+F23-F25</f>
        <v>0</v>
      </c>
      <c r="G28" s="48">
        <v>0</v>
      </c>
      <c r="H28" s="20">
        <f>+H23-H25</f>
        <v>0</v>
      </c>
      <c r="J28" s="20">
        <f>+J23-J25</f>
        <v>39751.895119999994</v>
      </c>
      <c r="K28" s="51">
        <f>+(-J28+L28)/ABS(J28)</f>
        <v>-0.4065746561569214</v>
      </c>
      <c r="L28" s="20">
        <f>+L23-L25</f>
        <v>23589.782029999995</v>
      </c>
      <c r="M28" s="51">
        <f>+(-L28+N28)/ABS(L28)</f>
        <v>2.0454812994302386E-2</v>
      </c>
      <c r="N28" s="20">
        <f>+N23-N25</f>
        <v>24072.30661</v>
      </c>
      <c r="O28" s="51">
        <f>+(-N28+P28)/ABS(N28)</f>
        <v>0.37354447771384575</v>
      </c>
      <c r="P28" s="20">
        <f>+P23-P25</f>
        <v>33064.383810000007</v>
      </c>
    </row>
    <row r="29" spans="1:16">
      <c r="B29" s="20"/>
      <c r="C29" s="49" t="s">
        <v>0</v>
      </c>
      <c r="D29" s="20"/>
      <c r="E29" s="49" t="s">
        <v>0</v>
      </c>
      <c r="G29" s="49" t="s">
        <v>0</v>
      </c>
      <c r="H29" s="20"/>
      <c r="J29" s="20"/>
      <c r="K29" s="51"/>
      <c r="L29" s="20"/>
      <c r="M29" s="51"/>
      <c r="N29" s="20"/>
      <c r="O29" s="51"/>
      <c r="P29" s="20"/>
    </row>
    <row r="30" spans="1:16">
      <c r="A30" t="s">
        <v>313</v>
      </c>
      <c r="B30" s="20"/>
      <c r="C30" s="49" t="s">
        <v>0</v>
      </c>
      <c r="D30" s="20"/>
      <c r="E30" s="49" t="s">
        <v>0</v>
      </c>
      <c r="G30" s="49" t="s">
        <v>0</v>
      </c>
      <c r="H30" s="20"/>
      <c r="J30" s="20"/>
      <c r="K30" s="51"/>
      <c r="L30" s="20"/>
      <c r="M30" s="51"/>
      <c r="N30" s="20"/>
      <c r="O30" s="51"/>
      <c r="P30" s="20"/>
    </row>
    <row r="31" spans="1:16">
      <c r="A31" t="s">
        <v>314</v>
      </c>
      <c r="B31" s="20">
        <f>+B71</f>
        <v>19056.09821</v>
      </c>
      <c r="C31" s="48">
        <v>0</v>
      </c>
      <c r="D31" s="20">
        <f>+F71</f>
        <v>0</v>
      </c>
      <c r="E31" s="48">
        <v>0</v>
      </c>
      <c r="F31" s="20">
        <f>+J71</f>
        <v>0</v>
      </c>
      <c r="G31" s="48">
        <v>0</v>
      </c>
      <c r="H31" s="20">
        <f>+N71</f>
        <v>0</v>
      </c>
      <c r="J31" s="20">
        <f>+D71</f>
        <v>19221.124169999999</v>
      </c>
      <c r="K31" s="51">
        <f>+(-J31+L31)/ABS(J31)</f>
        <v>-5.1045353087690891E-2</v>
      </c>
      <c r="L31" s="20">
        <f>+H71</f>
        <v>18239.9751</v>
      </c>
      <c r="M31" s="51">
        <f>+(-L31+N31)/ABS(L31)</f>
        <v>7.467046925957696E-2</v>
      </c>
      <c r="N31" s="20">
        <f>+L71</f>
        <v>19601.962599999999</v>
      </c>
      <c r="O31" s="51">
        <f>+(-N31+P31)/ABS(N31)</f>
        <v>-0.23759526303758993</v>
      </c>
      <c r="P31" s="20">
        <f>+P71</f>
        <v>14944.629139999999</v>
      </c>
    </row>
    <row r="32" spans="1:16">
      <c r="A32" t="s">
        <v>315</v>
      </c>
      <c r="B32" s="20">
        <f>+B72</f>
        <v>1528.02721</v>
      </c>
      <c r="C32" s="48">
        <v>0</v>
      </c>
      <c r="D32" s="20">
        <f>+F72</f>
        <v>0</v>
      </c>
      <c r="E32" s="48">
        <v>0</v>
      </c>
      <c r="F32" s="20">
        <f>+J72</f>
        <v>0</v>
      </c>
      <c r="G32" s="48">
        <v>0</v>
      </c>
      <c r="H32" s="20">
        <f>+N72</f>
        <v>0</v>
      </c>
      <c r="J32" s="20">
        <f>+D72</f>
        <v>1531.6084900000001</v>
      </c>
      <c r="K32" s="51">
        <f>+(-J32+L32)/ABS(J32)</f>
        <v>-2.3038857665251079E-2</v>
      </c>
      <c r="L32" s="20">
        <f>+H72</f>
        <v>1496.3219799999999</v>
      </c>
      <c r="M32" s="51">
        <f>+(-L32+N32)/ABS(L32)</f>
        <v>3.1765616381575879E-2</v>
      </c>
      <c r="N32" s="20">
        <f>+L72</f>
        <v>1543.85357</v>
      </c>
      <c r="O32" s="51">
        <f>+(-N32+P32)/ABS(N32)</f>
        <v>1.1926487302807955E-2</v>
      </c>
      <c r="P32" s="20">
        <f>+P72</f>
        <v>1562.2663199999997</v>
      </c>
    </row>
    <row r="33" spans="1:22">
      <c r="A33" t="s">
        <v>316</v>
      </c>
      <c r="B33" s="20">
        <f>+B73</f>
        <v>1765.36456</v>
      </c>
      <c r="C33" s="48">
        <v>0</v>
      </c>
      <c r="D33" s="20">
        <f>+F73</f>
        <v>0</v>
      </c>
      <c r="E33" s="48">
        <v>0</v>
      </c>
      <c r="F33" s="20">
        <f>+J73</f>
        <v>0</v>
      </c>
      <c r="G33" s="48">
        <v>0</v>
      </c>
      <c r="H33" s="20">
        <f>+N73</f>
        <v>0</v>
      </c>
      <c r="J33" s="20">
        <f>+D73</f>
        <v>1564.3435399999998</v>
      </c>
      <c r="K33" s="51">
        <f>+(-J33+L33)/ABS(J33)</f>
        <v>5.1419140325148979E-2</v>
      </c>
      <c r="L33" s="20">
        <f>+H73</f>
        <v>1644.7807400000002</v>
      </c>
      <c r="M33" s="51">
        <f>+(-L33+N33)/ABS(L33)</f>
        <v>2.4713841189555504E-2</v>
      </c>
      <c r="N33" s="20">
        <f>+L73</f>
        <v>1685.4295899999997</v>
      </c>
      <c r="O33" s="51">
        <f>+(-N33+P33)/ABS(N33)</f>
        <v>3.4267548370264668E-2</v>
      </c>
      <c r="P33" s="20">
        <f>+P73</f>
        <v>1743.1851300000001</v>
      </c>
    </row>
    <row r="34" spans="1:22">
      <c r="A34" t="s">
        <v>317</v>
      </c>
      <c r="B34" s="217">
        <f>+B74</f>
        <v>11523.518199999999</v>
      </c>
      <c r="C34" s="48">
        <v>0</v>
      </c>
      <c r="D34" s="217">
        <f>+F74</f>
        <v>0</v>
      </c>
      <c r="E34" s="48">
        <v>0</v>
      </c>
      <c r="F34" s="217">
        <f>+J74</f>
        <v>0</v>
      </c>
      <c r="G34" s="48">
        <v>0</v>
      </c>
      <c r="H34" s="217">
        <f>+N74</f>
        <v>0</v>
      </c>
      <c r="J34" s="217">
        <f>+D74</f>
        <v>10632.44399</v>
      </c>
      <c r="K34" s="51">
        <f>+(-J34+L34)/ABS(J34)</f>
        <v>-0.13751996637604666</v>
      </c>
      <c r="L34" s="217">
        <f>+H74</f>
        <v>9170.2706500000004</v>
      </c>
      <c r="M34" s="51">
        <f>+(-L34+N34)/ABS(L34)</f>
        <v>-3.2358837740519605E-2</v>
      </c>
      <c r="N34" s="217">
        <f>+L74</f>
        <v>8873.5313500000011</v>
      </c>
      <c r="O34" s="51">
        <f>+(-N34+P34)/ABS(N34)</f>
        <v>0.41468945506120258</v>
      </c>
      <c r="P34" s="217">
        <f>+P74</f>
        <v>12553.291229999999</v>
      </c>
    </row>
    <row r="35" spans="1:22">
      <c r="B35" s="20">
        <f>SUM(B31:B34)</f>
        <v>33873.008179999997</v>
      </c>
      <c r="C35" s="48">
        <v>0</v>
      </c>
      <c r="D35" s="20">
        <f>SUM(D31:D34)</f>
        <v>0</v>
      </c>
      <c r="E35" s="48">
        <v>0</v>
      </c>
      <c r="F35" s="20">
        <f>SUM(F31:F34)</f>
        <v>0</v>
      </c>
      <c r="G35" s="48">
        <v>0</v>
      </c>
      <c r="H35" s="20">
        <f>SUM(H31:H34)</f>
        <v>0</v>
      </c>
      <c r="J35" s="20">
        <f>SUM(J31:J34)</f>
        <v>32949.520189999996</v>
      </c>
      <c r="K35" s="51">
        <f>+(-J35+L35)/ABS(J35)</f>
        <v>-7.2783206133843217E-2</v>
      </c>
      <c r="L35" s="20">
        <f>SUM(L31:L34)</f>
        <v>30551.348469999997</v>
      </c>
      <c r="M35" s="51">
        <f>+(-L35+N35)/ABS(L35)</f>
        <v>3.7753771855033341E-2</v>
      </c>
      <c r="N35" s="20">
        <f>SUM(N31:N34)</f>
        <v>31704.777109999999</v>
      </c>
      <c r="O35" s="51">
        <f>+(-N35+P35)/ABS(N35)</f>
        <v>-2.8431213595117397E-2</v>
      </c>
      <c r="P35" s="20">
        <f>SUM(P31:P34)</f>
        <v>30803.37182</v>
      </c>
    </row>
    <row r="36" spans="1:22">
      <c r="B36" s="217"/>
      <c r="C36" s="48"/>
      <c r="D36" s="217"/>
      <c r="E36" s="48"/>
      <c r="F36" s="334"/>
      <c r="G36" s="48"/>
      <c r="H36" s="217"/>
      <c r="J36" s="217"/>
      <c r="K36" s="51"/>
      <c r="L36" s="217"/>
      <c r="M36" s="51"/>
      <c r="N36" s="217"/>
      <c r="O36" s="51"/>
      <c r="P36" s="217"/>
    </row>
    <row r="37" spans="1:22">
      <c r="A37" t="s">
        <v>318</v>
      </c>
      <c r="B37" s="20">
        <f>+B28-B35</f>
        <v>-1528.0868200000077</v>
      </c>
      <c r="C37" s="48">
        <v>0</v>
      </c>
      <c r="D37" s="20">
        <f>+D28-D35</f>
        <v>0</v>
      </c>
      <c r="E37" s="48">
        <v>0</v>
      </c>
      <c r="F37" s="20">
        <f>+F28-F35</f>
        <v>0</v>
      </c>
      <c r="G37" s="48">
        <v>0</v>
      </c>
      <c r="H37" s="20">
        <f>+H28-H35</f>
        <v>0</v>
      </c>
      <c r="J37" s="20">
        <f>+J28-J35</f>
        <v>6802.3749299999981</v>
      </c>
      <c r="K37" s="51">
        <f>+(-J37+L37)/ABS(J37)</f>
        <v>-2.0234023428050008</v>
      </c>
      <c r="L37" s="20">
        <f>+L28-L35</f>
        <v>-6961.5664400000023</v>
      </c>
      <c r="M37" s="51">
        <f>+(-L37+N37)/ABS(L37)</f>
        <v>-9.6372571573129576E-2</v>
      </c>
      <c r="N37" s="20">
        <f>+N28-N35</f>
        <v>-7632.4704999999994</v>
      </c>
      <c r="O37" s="51">
        <f>+(-N37+P37)/ABS(N37)</f>
        <v>1.2962359291136476</v>
      </c>
      <c r="P37" s="20">
        <f>+P28-P35</f>
        <v>2261.0119900000063</v>
      </c>
    </row>
    <row r="38" spans="1:22">
      <c r="B38" s="20"/>
      <c r="C38" s="49" t="s">
        <v>0</v>
      </c>
      <c r="D38" s="20"/>
      <c r="E38" s="49" t="s">
        <v>0</v>
      </c>
      <c r="G38" s="49" t="s">
        <v>0</v>
      </c>
      <c r="H38" s="20"/>
      <c r="J38" s="20"/>
      <c r="K38" s="51"/>
      <c r="L38" s="20"/>
      <c r="M38" s="52" t="s">
        <v>0</v>
      </c>
      <c r="N38" s="20"/>
      <c r="O38" s="51"/>
      <c r="P38" s="20"/>
    </row>
    <row r="39" spans="1:22">
      <c r="A39" t="s">
        <v>319</v>
      </c>
      <c r="B39" s="20">
        <f>+B79</f>
        <v>0</v>
      </c>
      <c r="C39" s="48">
        <v>0</v>
      </c>
      <c r="D39" s="20">
        <f>+F79</f>
        <v>0</v>
      </c>
      <c r="E39" s="48">
        <v>0</v>
      </c>
      <c r="F39" s="20">
        <f>+J79</f>
        <v>0</v>
      </c>
      <c r="G39" s="48">
        <v>0</v>
      </c>
      <c r="H39" s="20">
        <f>+N79</f>
        <v>0</v>
      </c>
      <c r="J39" s="20">
        <f>+D79</f>
        <v>0</v>
      </c>
      <c r="K39" s="48">
        <v>0</v>
      </c>
      <c r="L39" s="20">
        <f>+H79</f>
        <v>0</v>
      </c>
      <c r="M39" s="48">
        <v>0</v>
      </c>
      <c r="N39" s="20">
        <f>+L79</f>
        <v>0</v>
      </c>
      <c r="O39" s="48">
        <v>0</v>
      </c>
      <c r="P39" s="20">
        <f>+P79</f>
        <v>0</v>
      </c>
    </row>
    <row r="40" spans="1:22" ht="16.5" thickBot="1">
      <c r="B40" s="79"/>
      <c r="C40" s="49" t="s">
        <v>0</v>
      </c>
      <c r="D40" s="79"/>
      <c r="E40" s="49" t="s">
        <v>0</v>
      </c>
      <c r="F40" s="36"/>
      <c r="G40" s="49" t="s">
        <v>0</v>
      </c>
      <c r="H40" s="79"/>
      <c r="J40" s="79"/>
      <c r="K40" s="51"/>
      <c r="L40" s="79"/>
      <c r="M40" s="51"/>
      <c r="N40" s="79"/>
      <c r="O40" s="51"/>
      <c r="P40" s="79"/>
    </row>
    <row r="41" spans="1:22" s="11" customFormat="1">
      <c r="A41" s="11" t="s">
        <v>372</v>
      </c>
      <c r="B41" s="13">
        <f>+B37-B39</f>
        <v>-1528.0868200000077</v>
      </c>
      <c r="C41" s="47">
        <v>0</v>
      </c>
      <c r="D41" s="13">
        <f>+D37-D39</f>
        <v>0</v>
      </c>
      <c r="E41" s="47">
        <v>0</v>
      </c>
      <c r="F41" s="13">
        <f>+F37-F39</f>
        <v>0</v>
      </c>
      <c r="G41" s="47">
        <v>0</v>
      </c>
      <c r="H41" s="13">
        <f>+H37-H39</f>
        <v>0</v>
      </c>
      <c r="I41" s="137"/>
      <c r="J41" s="13">
        <f>+J37-J39</f>
        <v>6802.3749299999981</v>
      </c>
      <c r="K41" s="109">
        <f>+(-J41+L41)/ABS(J41)</f>
        <v>-2.0234023428050008</v>
      </c>
      <c r="L41" s="13">
        <f>+L37-L39</f>
        <v>-6961.5664400000023</v>
      </c>
      <c r="M41" s="109">
        <f>+(-L41+N41)/ABS(L41)</f>
        <v>-9.6372571573129576E-2</v>
      </c>
      <c r="N41" s="13">
        <f>+N37-N39</f>
        <v>-7632.4704999999994</v>
      </c>
      <c r="O41" s="109">
        <f>+(-N41+P41)/ABS(N41)</f>
        <v>1.2962359291136476</v>
      </c>
      <c r="P41" s="13">
        <f>+P37-P39</f>
        <v>2261.0119900000063</v>
      </c>
      <c r="Q41" s="137"/>
      <c r="R41" s="137"/>
      <c r="S41" s="137"/>
      <c r="T41" s="137"/>
      <c r="U41" s="137"/>
    </row>
    <row r="42" spans="1:22" ht="5.45" customHeight="1">
      <c r="C42" s="35"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218" t="str">
        <f>+'bncrésult '!B46</f>
        <v xml:space="preserve"> 2015</v>
      </c>
      <c r="C46" s="137" t="s">
        <v>0</v>
      </c>
      <c r="D46" s="218" t="str">
        <f>+'bncrésult '!D46</f>
        <v xml:space="preserve"> 2014</v>
      </c>
      <c r="E46" s="137"/>
      <c r="F46" s="218" t="str">
        <f>+'bncrésult '!F46</f>
        <v xml:space="preserve"> 2015</v>
      </c>
      <c r="G46" s="137" t="s">
        <v>0</v>
      </c>
      <c r="H46" s="218" t="str">
        <f>+'bncrésult '!H46</f>
        <v xml:space="preserve"> 2014</v>
      </c>
      <c r="I46" s="137"/>
      <c r="J46" s="218" t="str">
        <f>+'bncrésult '!J46</f>
        <v xml:space="preserve"> 2015</v>
      </c>
      <c r="K46" s="137" t="s">
        <v>0</v>
      </c>
      <c r="L46" s="218" t="str">
        <f>+'bncrésult '!L46</f>
        <v xml:space="preserve"> 2014</v>
      </c>
      <c r="M46" s="137"/>
      <c r="N46" s="218" t="str">
        <f>+'bncrésult '!N46</f>
        <v xml:space="preserve"> 2015</v>
      </c>
      <c r="O46" s="137" t="s">
        <v>0</v>
      </c>
      <c r="P46" s="218" t="str">
        <f>+'bncrésult '!P46</f>
        <v xml:space="preserve"> 2014</v>
      </c>
      <c r="Q46" s="137"/>
      <c r="R46" s="1021" t="str">
        <f>+'bncrésult '!R46</f>
        <v xml:space="preserve"> 2014 (oct.-déc. 14)</v>
      </c>
      <c r="S46" s="137"/>
      <c r="T46" s="1021" t="str">
        <f>+'bncrésult '!T46</f>
        <v xml:space="preserve"> 2013 (oct. -déc. 13)</v>
      </c>
      <c r="U46" s="218" t="str">
        <f>+'bncrésult '!U46</f>
        <v>2014</v>
      </c>
    </row>
    <row r="47" spans="1:22" ht="16.5" thickBot="1">
      <c r="B47" s="220"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4">
      <c r="A49" t="s">
        <v>301</v>
      </c>
      <c r="B49" s="24" t="s">
        <v>0</v>
      </c>
      <c r="C49" s="52" t="s">
        <v>0</v>
      </c>
      <c r="D49" s="24" t="s">
        <v>0</v>
      </c>
      <c r="E49" s="35" t="s">
        <v>0</v>
      </c>
      <c r="F49" s="35" t="s">
        <v>0</v>
      </c>
      <c r="G49" s="52" t="s">
        <v>0</v>
      </c>
      <c r="H49" s="24" t="s">
        <v>0</v>
      </c>
      <c r="I49" s="35" t="s">
        <v>0</v>
      </c>
      <c r="J49" s="35" t="s">
        <v>0</v>
      </c>
      <c r="K49" s="52" t="s">
        <v>0</v>
      </c>
      <c r="L49" s="24" t="s">
        <v>0</v>
      </c>
      <c r="M49" s="35" t="s">
        <v>0</v>
      </c>
      <c r="N49" s="35" t="s">
        <v>0</v>
      </c>
      <c r="O49" s="52" t="s">
        <v>0</v>
      </c>
      <c r="P49" s="24" t="s">
        <v>0</v>
      </c>
      <c r="Q49" s="35" t="s">
        <v>0</v>
      </c>
      <c r="R49" s="24" t="s">
        <v>0</v>
      </c>
      <c r="S49" s="52" t="s">
        <v>0</v>
      </c>
      <c r="T49" s="24" t="s">
        <v>0</v>
      </c>
      <c r="U49" s="24" t="s">
        <v>0</v>
      </c>
      <c r="W49" t="s">
        <v>0</v>
      </c>
      <c r="X49" t="s">
        <v>0</v>
      </c>
    </row>
    <row r="50" spans="1:24">
      <c r="A50" t="s">
        <v>302</v>
      </c>
      <c r="B50" s="20">
        <v>25934.645479999999</v>
      </c>
      <c r="C50" s="51">
        <f t="shared" ref="C50:C55" si="3">+(B50-D50)/ABS(D50)</f>
        <v>-0.25799604399624898</v>
      </c>
      <c r="D50" s="20">
        <v>34952.16605</v>
      </c>
      <c r="E50" s="35"/>
      <c r="F50" s="20">
        <v>0</v>
      </c>
      <c r="G50" s="48">
        <v>0</v>
      </c>
      <c r="H50" s="20">
        <v>26502.292880000001</v>
      </c>
      <c r="J50" s="20">
        <v>0</v>
      </c>
      <c r="K50" s="48">
        <v>0</v>
      </c>
      <c r="L50" s="20">
        <v>27698.85685</v>
      </c>
      <c r="M50" s="35"/>
      <c r="N50" s="20">
        <v>0</v>
      </c>
      <c r="O50" s="48">
        <v>0</v>
      </c>
      <c r="P50" s="20">
        <v>22681.569289999999</v>
      </c>
      <c r="R50" s="20">
        <f>+B50+F50+J50+N50</f>
        <v>25934.645479999999</v>
      </c>
      <c r="S50" s="51">
        <f t="shared" ref="S50:S55" si="4">+(R50-T50)/T50</f>
        <v>-0.25799604399624898</v>
      </c>
      <c r="T50" s="81">
        <f>+D50</f>
        <v>34952.16605</v>
      </c>
      <c r="U50" s="20">
        <f>+D50+H50+L50+P50</f>
        <v>111834.88507</v>
      </c>
    </row>
    <row r="51" spans="1:24">
      <c r="A51" t="s">
        <v>322</v>
      </c>
      <c r="B51" s="20">
        <v>2340.82177</v>
      </c>
      <c r="C51" s="48">
        <v>0</v>
      </c>
      <c r="D51" s="20">
        <v>0</v>
      </c>
      <c r="E51" s="35"/>
      <c r="F51" s="20">
        <v>0</v>
      </c>
      <c r="G51" s="48">
        <v>0</v>
      </c>
      <c r="H51" s="20">
        <v>698.85712999999998</v>
      </c>
      <c r="J51" s="20">
        <v>0</v>
      </c>
      <c r="K51" s="48">
        <v>0</v>
      </c>
      <c r="L51" s="20">
        <v>1755.7043999999999</v>
      </c>
      <c r="M51" s="35"/>
      <c r="N51" s="20">
        <v>0</v>
      </c>
      <c r="O51" s="48">
        <v>0</v>
      </c>
      <c r="P51" s="20">
        <v>1580.0846299999998</v>
      </c>
      <c r="R51" s="20">
        <f>+B51+F51+J51+N51</f>
        <v>2340.82177</v>
      </c>
      <c r="S51" s="48">
        <v>0</v>
      </c>
      <c r="T51" s="81">
        <f>+D51</f>
        <v>0</v>
      </c>
      <c r="U51" s="20">
        <f>+D51+H51+L51+P51</f>
        <v>4034.6461599999998</v>
      </c>
    </row>
    <row r="52" spans="1:24">
      <c r="A52" t="s">
        <v>304</v>
      </c>
      <c r="B52" s="217">
        <v>805.66978999999992</v>
      </c>
      <c r="C52" s="1403">
        <f t="shared" si="3"/>
        <v>7.0481571955840456</v>
      </c>
      <c r="D52" s="217">
        <v>100.10611999999999</v>
      </c>
      <c r="E52" s="35"/>
      <c r="F52" s="199">
        <v>0</v>
      </c>
      <c r="G52" s="48">
        <v>0</v>
      </c>
      <c r="H52" s="199">
        <v>81.654840000000007</v>
      </c>
      <c r="J52" s="199">
        <v>0</v>
      </c>
      <c r="K52" s="48">
        <v>0</v>
      </c>
      <c r="L52" s="199">
        <v>87.220569999999995</v>
      </c>
      <c r="M52" s="35"/>
      <c r="N52" s="199">
        <v>0</v>
      </c>
      <c r="O52" s="48">
        <v>0</v>
      </c>
      <c r="P52" s="199">
        <v>313.15739999999994</v>
      </c>
      <c r="R52" s="217">
        <f>+B52+F52+J52+N52</f>
        <v>805.66978999999992</v>
      </c>
      <c r="S52" s="52">
        <f t="shared" si="4"/>
        <v>7.0481571955840456</v>
      </c>
      <c r="T52" s="217">
        <f>+D52</f>
        <v>100.10611999999999</v>
      </c>
      <c r="U52" s="217">
        <f>+D52+H52+L52+P52</f>
        <v>582.13892999999996</v>
      </c>
    </row>
    <row r="53" spans="1:24">
      <c r="B53" s="20">
        <f>SUM(B50:B52)</f>
        <v>29081.137039999998</v>
      </c>
      <c r="C53" s="51">
        <f t="shared" si="3"/>
        <v>-0.17034944556634143</v>
      </c>
      <c r="D53" s="20">
        <f>SUM(D50:D52)</f>
        <v>35052.272169999997</v>
      </c>
      <c r="E53" s="35"/>
      <c r="F53" s="20">
        <f>SUM(F50:F52)</f>
        <v>0</v>
      </c>
      <c r="G53" s="48">
        <v>0</v>
      </c>
      <c r="H53" s="20">
        <f>SUM(H50:H52)</f>
        <v>27282.80485</v>
      </c>
      <c r="J53" s="20">
        <f>SUM(J50:J52)</f>
        <v>0</v>
      </c>
      <c r="K53" s="48">
        <v>0</v>
      </c>
      <c r="L53" s="20">
        <f>SUM(L50:L52)</f>
        <v>29541.78182</v>
      </c>
      <c r="M53" s="35"/>
      <c r="N53" s="20">
        <f>SUM(N50:N52)</f>
        <v>0</v>
      </c>
      <c r="O53" s="48">
        <v>0</v>
      </c>
      <c r="P53" s="20">
        <f>SUM(P50:P52)</f>
        <v>24574.811320000001</v>
      </c>
      <c r="R53" s="20">
        <f>SUM(R50:R52)</f>
        <v>29081.137039999998</v>
      </c>
      <c r="S53" s="51">
        <f>+(R53-T53)/T53</f>
        <v>-0.17034944556634143</v>
      </c>
      <c r="T53" s="20">
        <f>SUM(T50:T52)</f>
        <v>35052.272169999997</v>
      </c>
      <c r="U53" s="20">
        <f>SUM(U50:U52)</f>
        <v>116451.67016000001</v>
      </c>
    </row>
    <row r="54" spans="1:24">
      <c r="A54" t="s">
        <v>305</v>
      </c>
      <c r="B54" s="217">
        <v>3843.9422300000001</v>
      </c>
      <c r="C54" s="51">
        <f t="shared" si="3"/>
        <v>0.76449442524992373</v>
      </c>
      <c r="D54" s="217">
        <v>2178.4949700000002</v>
      </c>
      <c r="E54" s="35" t="s">
        <v>0</v>
      </c>
      <c r="F54" s="217">
        <v>0</v>
      </c>
      <c r="G54" s="48">
        <v>0</v>
      </c>
      <c r="H54" s="217">
        <v>3139.1429500000004</v>
      </c>
      <c r="J54" s="217">
        <v>0</v>
      </c>
      <c r="K54" s="48">
        <v>0</v>
      </c>
      <c r="L54" s="217">
        <v>2379.4924299999998</v>
      </c>
      <c r="M54" s="35" t="s">
        <v>0</v>
      </c>
      <c r="N54" s="217">
        <v>0</v>
      </c>
      <c r="O54" s="48">
        <v>0</v>
      </c>
      <c r="P54" s="217">
        <v>2805.4096600000003</v>
      </c>
      <c r="R54" s="217">
        <f>+B54+F54+J54+N54</f>
        <v>3843.9422300000001</v>
      </c>
      <c r="S54" s="51">
        <f t="shared" si="4"/>
        <v>0.76449442524992373</v>
      </c>
      <c r="T54" s="217">
        <f>+D54</f>
        <v>2178.4949700000002</v>
      </c>
      <c r="U54" s="217">
        <f>+D54+H54+L54+P54</f>
        <v>10502.540010000001</v>
      </c>
    </row>
    <row r="55" spans="1:24">
      <c r="B55" s="20">
        <f>+B53-B54</f>
        <v>25237.194809999997</v>
      </c>
      <c r="C55" s="51">
        <f t="shared" si="3"/>
        <v>-0.23230012004826753</v>
      </c>
      <c r="D55" s="20">
        <f>+D53-D54</f>
        <v>32873.777199999997</v>
      </c>
      <c r="E55" s="35" t="s">
        <v>0</v>
      </c>
      <c r="F55" s="20">
        <f>+F53-F54</f>
        <v>0</v>
      </c>
      <c r="G55" s="48">
        <v>0</v>
      </c>
      <c r="H55" s="20">
        <f>+H53-H54</f>
        <v>24143.661899999999</v>
      </c>
      <c r="J55" s="20">
        <f>+J53-J54</f>
        <v>0</v>
      </c>
      <c r="K55" s="48">
        <v>0</v>
      </c>
      <c r="L55" s="20">
        <f>+L53-L54</f>
        <v>27162.289390000002</v>
      </c>
      <c r="M55" s="35" t="s">
        <v>0</v>
      </c>
      <c r="N55" s="20">
        <f>+N53-N54</f>
        <v>0</v>
      </c>
      <c r="O55" s="48">
        <v>0</v>
      </c>
      <c r="P55" s="20">
        <f>+P53-P54</f>
        <v>21769.40166</v>
      </c>
      <c r="R55" s="20">
        <f>+R53-R54</f>
        <v>25237.194809999997</v>
      </c>
      <c r="S55" s="51">
        <f t="shared" si="4"/>
        <v>-0.23230012004826753</v>
      </c>
      <c r="T55" s="20">
        <f>+T53-T54</f>
        <v>32873.777199999997</v>
      </c>
      <c r="U55" s="20">
        <f>+U53-U54</f>
        <v>105949.13015000001</v>
      </c>
    </row>
    <row r="56" spans="1:24">
      <c r="B56" s="20"/>
      <c r="C56" s="49" t="s">
        <v>0</v>
      </c>
      <c r="D56" s="20"/>
      <c r="E56" s="35" t="s">
        <v>0</v>
      </c>
      <c r="F56" s="20"/>
      <c r="G56" s="49" t="s">
        <v>0</v>
      </c>
      <c r="H56" s="20"/>
      <c r="J56" s="20"/>
      <c r="K56" s="49" t="s">
        <v>0</v>
      </c>
      <c r="L56" s="20"/>
      <c r="M56" s="35" t="s">
        <v>0</v>
      </c>
      <c r="N56" s="20"/>
      <c r="O56" s="49" t="s">
        <v>0</v>
      </c>
      <c r="P56" s="20"/>
      <c r="R56" s="20"/>
      <c r="S56" s="51"/>
      <c r="T56" s="20"/>
      <c r="U56" s="20"/>
    </row>
    <row r="57" spans="1:24">
      <c r="A57" t="s">
        <v>306</v>
      </c>
      <c r="B57" s="20"/>
      <c r="C57" s="49" t="s">
        <v>0</v>
      </c>
      <c r="D57" s="20"/>
      <c r="E57" s="35" t="s">
        <v>0</v>
      </c>
      <c r="F57" s="20"/>
      <c r="G57" s="49" t="s">
        <v>0</v>
      </c>
      <c r="H57" s="20"/>
      <c r="J57" s="20"/>
      <c r="K57" s="49" t="s">
        <v>0</v>
      </c>
      <c r="L57" s="20"/>
      <c r="M57" s="35" t="s">
        <v>0</v>
      </c>
      <c r="N57" s="20"/>
      <c r="O57" s="49" t="s">
        <v>0</v>
      </c>
      <c r="P57" s="20"/>
      <c r="R57" s="20"/>
      <c r="S57" s="52" t="s">
        <v>0</v>
      </c>
      <c r="T57" s="20"/>
      <c r="U57" s="20"/>
    </row>
    <row r="58" spans="1:24">
      <c r="A58" t="s">
        <v>307</v>
      </c>
      <c r="B58" s="20">
        <v>7978.2310900000002</v>
      </c>
      <c r="C58" s="51">
        <f>+(B58-D58)/ABS(D58)</f>
        <v>0.51431877133593995</v>
      </c>
      <c r="D58" s="20">
        <v>5268.5281599999998</v>
      </c>
      <c r="E58" s="35" t="s">
        <v>0</v>
      </c>
      <c r="F58" s="20">
        <v>0</v>
      </c>
      <c r="G58" s="48">
        <v>0</v>
      </c>
      <c r="H58" s="20">
        <v>7554.8383599999997</v>
      </c>
      <c r="J58" s="20">
        <v>0</v>
      </c>
      <c r="K58" s="48">
        <v>0</v>
      </c>
      <c r="L58" s="20">
        <v>5439.2228400000004</v>
      </c>
      <c r="M58" s="35" t="s">
        <v>0</v>
      </c>
      <c r="N58" s="20">
        <v>0</v>
      </c>
      <c r="O58" s="48">
        <v>0</v>
      </c>
      <c r="P58" s="20">
        <v>13152.03521</v>
      </c>
      <c r="R58" s="20">
        <f>+B58+F58+J58+N58</f>
        <v>7978.2310900000002</v>
      </c>
      <c r="S58" s="51">
        <f>+(R58-T58)/T58</f>
        <v>0.51431877133593995</v>
      </c>
      <c r="T58" s="81">
        <f>+D58</f>
        <v>5268.5281599999998</v>
      </c>
      <c r="U58" s="20">
        <f>+D58+H58+L58+P58</f>
        <v>31414.62457</v>
      </c>
    </row>
    <row r="59" spans="1:24">
      <c r="A59" t="s">
        <v>308</v>
      </c>
      <c r="B59" s="20">
        <v>9436.2305199999992</v>
      </c>
      <c r="C59" s="51">
        <f>+(B59-D59)/ABS(D59)</f>
        <v>0.82677463180471811</v>
      </c>
      <c r="D59" s="20">
        <v>5165.5143200000002</v>
      </c>
      <c r="E59" s="35" t="s">
        <v>0</v>
      </c>
      <c r="F59" s="20">
        <v>0</v>
      </c>
      <c r="G59" s="48">
        <v>0</v>
      </c>
      <c r="H59" s="20">
        <v>4335.3086700000003</v>
      </c>
      <c r="J59" s="20">
        <v>0</v>
      </c>
      <c r="K59" s="48">
        <v>0</v>
      </c>
      <c r="L59" s="20">
        <v>2733.40735</v>
      </c>
      <c r="M59" s="35" t="s">
        <v>0</v>
      </c>
      <c r="N59" s="20">
        <v>0</v>
      </c>
      <c r="O59" s="48">
        <v>0</v>
      </c>
      <c r="P59" s="20">
        <v>2035.54295</v>
      </c>
      <c r="R59" s="20">
        <f>+B59+F59+J59+N59</f>
        <v>9436.2305199999992</v>
      </c>
      <c r="S59" s="51">
        <f>+(R59-T59)/T59</f>
        <v>0.82677463180471811</v>
      </c>
      <c r="T59" s="81">
        <f>+D59</f>
        <v>5165.5143200000002</v>
      </c>
      <c r="U59" s="20">
        <f>+D59+H59+L59+P59</f>
        <v>14269.773290000001</v>
      </c>
    </row>
    <row r="60" spans="1:24">
      <c r="A60" t="s">
        <v>274</v>
      </c>
      <c r="B60" s="217">
        <v>1193.67922</v>
      </c>
      <c r="C60" s="51">
        <f>+(B60-D60)/ABS(D60)</f>
        <v>1.1009779952649463</v>
      </c>
      <c r="D60" s="217">
        <v>568.15408000000002</v>
      </c>
      <c r="E60" s="35" t="s">
        <v>0</v>
      </c>
      <c r="F60" s="217">
        <v>0</v>
      </c>
      <c r="G60" s="48">
        <v>0</v>
      </c>
      <c r="H60" s="217">
        <v>563.74563000000001</v>
      </c>
      <c r="J60" s="217">
        <v>0</v>
      </c>
      <c r="K60" s="48">
        <v>0</v>
      </c>
      <c r="L60" s="217">
        <v>643.38108</v>
      </c>
      <c r="M60" s="35" t="s">
        <v>0</v>
      </c>
      <c r="N60" s="217">
        <v>0</v>
      </c>
      <c r="O60" s="48">
        <v>0</v>
      </c>
      <c r="P60" s="217">
        <v>4914.1361699999998</v>
      </c>
      <c r="R60" s="217">
        <f>+B60+F60+J60+N60</f>
        <v>1193.67922</v>
      </c>
      <c r="S60" s="51">
        <f>+(R60-T60)/T60</f>
        <v>1.1009779952649463</v>
      </c>
      <c r="T60" s="217">
        <f>+D60</f>
        <v>568.15408000000002</v>
      </c>
      <c r="U60" s="217">
        <f>+D60+H60+L60+P60</f>
        <v>6689.4169600000005</v>
      </c>
    </row>
    <row r="61" spans="1:24">
      <c r="B61" s="20">
        <f>SUM(B58:B60)</f>
        <v>18608.140829999997</v>
      </c>
      <c r="C61" s="51">
        <f>+(B61-D61)/ABS(D61)</f>
        <v>0.69131143299624853</v>
      </c>
      <c r="D61" s="20">
        <f>SUM(D58:D60)</f>
        <v>11002.19656</v>
      </c>
      <c r="E61" s="35" t="s">
        <v>0</v>
      </c>
      <c r="F61" s="20">
        <f>SUM(F58:F60)</f>
        <v>0</v>
      </c>
      <c r="G61" s="48">
        <v>0</v>
      </c>
      <c r="H61" s="20">
        <f>SUM(H58:H60)</f>
        <v>12453.89266</v>
      </c>
      <c r="J61" s="20">
        <f>SUM(J58:J60)</f>
        <v>0</v>
      </c>
      <c r="K61" s="48">
        <v>0</v>
      </c>
      <c r="L61" s="20">
        <f>SUM(L58:L60)</f>
        <v>8816.0112699999991</v>
      </c>
      <c r="M61" s="35" t="s">
        <v>0</v>
      </c>
      <c r="N61" s="20">
        <f>SUM(N58:N60)</f>
        <v>0</v>
      </c>
      <c r="O61" s="48">
        <v>0</v>
      </c>
      <c r="P61" s="20">
        <f>SUM(P58:P60)</f>
        <v>20101.714330000003</v>
      </c>
      <c r="R61" s="20">
        <f>SUM(R58:R60)</f>
        <v>18608.140829999997</v>
      </c>
      <c r="S61" s="51">
        <f>+(R61-T61)/T61</f>
        <v>0.69131143299624853</v>
      </c>
      <c r="T61" s="20">
        <f>SUM(T58:T60)</f>
        <v>11002.19656</v>
      </c>
      <c r="U61" s="20">
        <f>SUM(U58:U60)</f>
        <v>52373.81482</v>
      </c>
    </row>
    <row r="62" spans="1:24">
      <c r="B62" s="217"/>
      <c r="C62" s="49" t="s">
        <v>0</v>
      </c>
      <c r="D62" s="217"/>
      <c r="E62" s="35" t="s">
        <v>0</v>
      </c>
      <c r="F62" s="217"/>
      <c r="G62" s="49" t="s">
        <v>0</v>
      </c>
      <c r="H62" s="217"/>
      <c r="J62" s="217"/>
      <c r="K62" s="49" t="s">
        <v>0</v>
      </c>
      <c r="L62" s="217"/>
      <c r="M62" s="35" t="s">
        <v>0</v>
      </c>
      <c r="N62" s="217"/>
      <c r="O62" s="49" t="s">
        <v>0</v>
      </c>
      <c r="P62" s="217"/>
      <c r="R62" s="217"/>
      <c r="S62" s="51"/>
      <c r="T62" s="217"/>
      <c r="U62" s="217"/>
    </row>
    <row r="63" spans="1:24">
      <c r="A63" t="s">
        <v>309</v>
      </c>
      <c r="B63" s="20">
        <f>+B55+B61</f>
        <v>43845.33563999999</v>
      </c>
      <c r="C63" s="51">
        <f>+(B63-D63)/ABS(D63)</f>
        <v>-6.9828923154145078E-4</v>
      </c>
      <c r="D63" s="20">
        <f>+D55+D61</f>
        <v>43875.973759999993</v>
      </c>
      <c r="E63" s="35" t="s">
        <v>0</v>
      </c>
      <c r="F63" s="20">
        <f>+F55+F61</f>
        <v>0</v>
      </c>
      <c r="G63" s="48">
        <v>0</v>
      </c>
      <c r="H63" s="20">
        <f>+H55+H61</f>
        <v>36597.554559999997</v>
      </c>
      <c r="J63" s="20">
        <f>+J55+J61</f>
        <v>0</v>
      </c>
      <c r="K63" s="48">
        <v>0</v>
      </c>
      <c r="L63" s="20">
        <f>+L55+L61</f>
        <v>35978.300660000001</v>
      </c>
      <c r="M63" s="35" t="s">
        <v>0</v>
      </c>
      <c r="N63" s="20">
        <f>+N55+N61</f>
        <v>0</v>
      </c>
      <c r="O63" s="48">
        <v>0</v>
      </c>
      <c r="P63" s="20">
        <f>+P55+P61</f>
        <v>41871.115990000006</v>
      </c>
      <c r="R63" s="20">
        <f>+R55+R61</f>
        <v>43845.33563999999</v>
      </c>
      <c r="S63" s="51">
        <f>+(R63-T63)/T63</f>
        <v>-6.9828923154145078E-4</v>
      </c>
      <c r="T63" s="20">
        <f>+T55+T61</f>
        <v>43875.973759999993</v>
      </c>
      <c r="U63" s="20">
        <f>+U55+U61</f>
        <v>158322.94497000001</v>
      </c>
    </row>
    <row r="64" spans="1:24">
      <c r="B64" s="20"/>
      <c r="C64" s="49" t="s">
        <v>0</v>
      </c>
      <c r="D64" s="20"/>
      <c r="E64" s="35" t="s">
        <v>0</v>
      </c>
      <c r="F64" s="20"/>
      <c r="G64" s="49" t="s">
        <v>0</v>
      </c>
      <c r="H64" s="20"/>
      <c r="J64" s="20"/>
      <c r="K64" s="49" t="s">
        <v>0</v>
      </c>
      <c r="L64" s="20"/>
      <c r="M64" s="35" t="s">
        <v>0</v>
      </c>
      <c r="N64" s="20"/>
      <c r="O64" s="49" t="s">
        <v>0</v>
      </c>
      <c r="P64" s="20"/>
      <c r="R64" s="20"/>
      <c r="S64" s="51"/>
      <c r="T64" s="20"/>
      <c r="U64" s="20"/>
    </row>
    <row r="65" spans="1:21">
      <c r="A65" t="s">
        <v>310</v>
      </c>
      <c r="B65" s="20">
        <v>11500.414280000001</v>
      </c>
      <c r="C65" s="51">
        <f>+(B65-D65)/ABS(D65)</f>
        <v>1.788602081554876</v>
      </c>
      <c r="D65" s="20">
        <v>4124.0786399999997</v>
      </c>
      <c r="E65" s="35" t="s">
        <v>0</v>
      </c>
      <c r="F65" s="20">
        <v>0</v>
      </c>
      <c r="G65" s="48">
        <v>0</v>
      </c>
      <c r="H65" s="20">
        <v>13007.77253</v>
      </c>
      <c r="J65" s="20">
        <v>0</v>
      </c>
      <c r="K65" s="48">
        <v>0</v>
      </c>
      <c r="L65" s="20">
        <v>11905.994049999999</v>
      </c>
      <c r="M65" s="35" t="s">
        <v>0</v>
      </c>
      <c r="N65" s="20">
        <v>0</v>
      </c>
      <c r="O65" s="48">
        <v>0</v>
      </c>
      <c r="P65" s="20">
        <v>8806.7321800000009</v>
      </c>
      <c r="R65" s="20">
        <f>+B65+F65+J65+N65</f>
        <v>11500.414280000001</v>
      </c>
      <c r="S65" s="51">
        <f>+(R65-T65)/T65</f>
        <v>1.788602081554876</v>
      </c>
      <c r="T65" s="81">
        <f>+D65</f>
        <v>4124.0786399999997</v>
      </c>
      <c r="U65" s="20">
        <f>+D65+H65+L65+P65</f>
        <v>37844.577400000002</v>
      </c>
    </row>
    <row r="66" spans="1:21">
      <c r="B66" s="20"/>
      <c r="C66" s="49" t="s">
        <v>0</v>
      </c>
      <c r="D66" s="20"/>
      <c r="E66" s="35" t="s">
        <v>0</v>
      </c>
      <c r="F66" s="20"/>
      <c r="G66" s="49" t="s">
        <v>0</v>
      </c>
      <c r="H66" s="20"/>
      <c r="J66" s="20"/>
      <c r="K66" s="49" t="s">
        <v>0</v>
      </c>
      <c r="L66" s="20"/>
      <c r="M66" s="35" t="s">
        <v>0</v>
      </c>
      <c r="N66" s="20"/>
      <c r="O66" s="49" t="s">
        <v>0</v>
      </c>
      <c r="P66" s="20"/>
      <c r="R66" s="20"/>
      <c r="S66" s="51"/>
      <c r="T66" s="24" t="s">
        <v>0</v>
      </c>
      <c r="U66" s="20"/>
    </row>
    <row r="67" spans="1:21">
      <c r="A67" t="s">
        <v>311</v>
      </c>
      <c r="B67" s="217"/>
      <c r="C67" s="49" t="s">
        <v>0</v>
      </c>
      <c r="D67" s="217"/>
      <c r="E67" s="35" t="s">
        <v>0</v>
      </c>
      <c r="F67" s="217"/>
      <c r="G67" s="49" t="s">
        <v>0</v>
      </c>
      <c r="H67" s="217"/>
      <c r="J67" s="217"/>
      <c r="K67" s="49" t="s">
        <v>0</v>
      </c>
      <c r="L67" s="217"/>
      <c r="M67" s="35" t="s">
        <v>0</v>
      </c>
      <c r="N67" s="217"/>
      <c r="O67" s="49" t="s">
        <v>0</v>
      </c>
      <c r="P67" s="217"/>
      <c r="R67" s="217"/>
      <c r="S67" s="51"/>
      <c r="T67" s="217"/>
      <c r="U67" s="217"/>
    </row>
    <row r="68" spans="1:21">
      <c r="A68" t="s">
        <v>312</v>
      </c>
      <c r="B68" s="20">
        <f>+B63-B65</f>
        <v>32344.921359999989</v>
      </c>
      <c r="C68" s="51">
        <f>+(B68-D68)/ABS(D68)</f>
        <v>-0.1863300790475623</v>
      </c>
      <c r="D68" s="20">
        <f>+D63-D65</f>
        <v>39751.895119999994</v>
      </c>
      <c r="E68" s="35" t="s">
        <v>0</v>
      </c>
      <c r="F68" s="20">
        <f>+F63-F65</f>
        <v>0</v>
      </c>
      <c r="G68" s="48">
        <v>0</v>
      </c>
      <c r="H68" s="20">
        <f>+H63-H65</f>
        <v>23589.782029999995</v>
      </c>
      <c r="J68" s="20">
        <f>+J63-J65</f>
        <v>0</v>
      </c>
      <c r="K68" s="48">
        <v>0</v>
      </c>
      <c r="L68" s="20">
        <f>+L63-L65</f>
        <v>24072.30661</v>
      </c>
      <c r="M68" s="35" t="s">
        <v>0</v>
      </c>
      <c r="N68" s="20">
        <f>+N63-N65</f>
        <v>0</v>
      </c>
      <c r="O68" s="48">
        <v>0</v>
      </c>
      <c r="P68" s="20">
        <f>+P63-P65</f>
        <v>33064.383810000007</v>
      </c>
      <c r="R68" s="20">
        <f>+R63-R65</f>
        <v>32344.921359999989</v>
      </c>
      <c r="S68" s="51">
        <f>+(R68-T68)/T68</f>
        <v>-0.1863300790475623</v>
      </c>
      <c r="T68" s="20">
        <f>+T63-T65</f>
        <v>39751.895119999994</v>
      </c>
      <c r="U68" s="20">
        <f>+U63-U65</f>
        <v>120478.36757</v>
      </c>
    </row>
    <row r="69" spans="1:21">
      <c r="B69" s="20"/>
      <c r="C69" s="49" t="s">
        <v>0</v>
      </c>
      <c r="D69" s="20"/>
      <c r="E69" s="35" t="s">
        <v>0</v>
      </c>
      <c r="F69" s="20"/>
      <c r="G69" s="49" t="s">
        <v>0</v>
      </c>
      <c r="H69" s="20"/>
      <c r="J69" s="20"/>
      <c r="K69" s="49" t="s">
        <v>0</v>
      </c>
      <c r="L69" s="20"/>
      <c r="M69" s="35" t="s">
        <v>0</v>
      </c>
      <c r="N69" s="20"/>
      <c r="O69" s="49" t="s">
        <v>0</v>
      </c>
      <c r="P69" s="20"/>
      <c r="R69" s="20"/>
      <c r="S69" s="51"/>
      <c r="T69" s="20"/>
      <c r="U69" s="20"/>
    </row>
    <row r="70" spans="1:21">
      <c r="A70" t="s">
        <v>313</v>
      </c>
      <c r="B70" s="20"/>
      <c r="C70" s="49" t="s">
        <v>0</v>
      </c>
      <c r="D70" s="20"/>
      <c r="E70" s="35" t="s">
        <v>0</v>
      </c>
      <c r="F70" s="20"/>
      <c r="G70" s="49" t="s">
        <v>0</v>
      </c>
      <c r="H70" s="20"/>
      <c r="J70" s="20"/>
      <c r="K70" s="49" t="s">
        <v>0</v>
      </c>
      <c r="L70" s="20"/>
      <c r="M70" s="35" t="s">
        <v>0</v>
      </c>
      <c r="N70" s="20"/>
      <c r="O70" s="49" t="s">
        <v>0</v>
      </c>
      <c r="P70" s="20"/>
      <c r="R70" s="20"/>
      <c r="S70" s="51"/>
      <c r="T70" s="20"/>
      <c r="U70" s="20"/>
    </row>
    <row r="71" spans="1:21">
      <c r="A71" t="s">
        <v>314</v>
      </c>
      <c r="B71" s="20">
        <v>19056.09821</v>
      </c>
      <c r="C71" s="51">
        <f>+(B71-D71)/ABS(D71)</f>
        <v>-8.5856559970393775E-3</v>
      </c>
      <c r="D71" s="20">
        <v>19221.124169999999</v>
      </c>
      <c r="E71" s="35" t="s">
        <v>0</v>
      </c>
      <c r="F71" s="20">
        <v>0</v>
      </c>
      <c r="G71" s="48">
        <v>0</v>
      </c>
      <c r="H71" s="20">
        <v>18239.9751</v>
      </c>
      <c r="J71" s="20">
        <v>0</v>
      </c>
      <c r="K71" s="48">
        <v>0</v>
      </c>
      <c r="L71" s="20">
        <v>19601.962599999999</v>
      </c>
      <c r="M71" s="35" t="s">
        <v>0</v>
      </c>
      <c r="N71" s="20">
        <v>0</v>
      </c>
      <c r="O71" s="48">
        <v>0</v>
      </c>
      <c r="P71" s="20">
        <v>14944.629139999999</v>
      </c>
      <c r="R71" s="20">
        <f>+B71+F71+J71+N71</f>
        <v>19056.09821</v>
      </c>
      <c r="S71" s="51">
        <f>+(R71-T71)/T71</f>
        <v>-8.5856559970393775E-3</v>
      </c>
      <c r="T71" s="81">
        <f>+D71</f>
        <v>19221.124169999999</v>
      </c>
      <c r="U71" s="20">
        <f>+D71+H71+L71+P71</f>
        <v>72007.691009999995</v>
      </c>
    </row>
    <row r="72" spans="1:21">
      <c r="A72" t="s">
        <v>315</v>
      </c>
      <c r="B72" s="20">
        <v>1528.02721</v>
      </c>
      <c r="C72" s="51">
        <f>+(B72-D72)/ABS(D72)</f>
        <v>-2.3382476810376693E-3</v>
      </c>
      <c r="D72" s="20">
        <v>1531.6084900000001</v>
      </c>
      <c r="E72" s="35" t="s">
        <v>0</v>
      </c>
      <c r="F72" s="20">
        <v>0</v>
      </c>
      <c r="G72" s="48">
        <v>0</v>
      </c>
      <c r="H72" s="20">
        <v>1496.3219799999999</v>
      </c>
      <c r="J72" s="20">
        <v>0</v>
      </c>
      <c r="K72" s="48">
        <v>0</v>
      </c>
      <c r="L72" s="20">
        <v>1543.85357</v>
      </c>
      <c r="M72" s="35" t="s">
        <v>0</v>
      </c>
      <c r="N72" s="20">
        <v>0</v>
      </c>
      <c r="O72" s="48">
        <v>0</v>
      </c>
      <c r="P72" s="20">
        <v>1562.2663199999997</v>
      </c>
      <c r="R72" s="20">
        <f>+B72+F72+J72+N72</f>
        <v>1528.02721</v>
      </c>
      <c r="S72" s="51">
        <f>+(R72-T72)/T72</f>
        <v>-2.3382476810376693E-3</v>
      </c>
      <c r="T72" s="81">
        <f>+D72</f>
        <v>1531.6084900000001</v>
      </c>
      <c r="U72" s="20">
        <f>+D72+H72+L72+P72</f>
        <v>6134.0503600000002</v>
      </c>
    </row>
    <row r="73" spans="1:21">
      <c r="A73" t="s">
        <v>316</v>
      </c>
      <c r="B73" s="20">
        <v>1765.36456</v>
      </c>
      <c r="C73" s="51">
        <f>+(B73-D73)/ABS(D73)</f>
        <v>0.12850183790192285</v>
      </c>
      <c r="D73" s="20">
        <v>1564.3435399999998</v>
      </c>
      <c r="E73" s="35" t="s">
        <v>0</v>
      </c>
      <c r="F73" s="20">
        <v>0</v>
      </c>
      <c r="G73" s="48">
        <v>0</v>
      </c>
      <c r="H73" s="20">
        <v>1644.7807400000002</v>
      </c>
      <c r="J73" s="20">
        <v>0</v>
      </c>
      <c r="K73" s="48">
        <v>0</v>
      </c>
      <c r="L73" s="20">
        <v>1685.4295899999997</v>
      </c>
      <c r="M73" s="35" t="s">
        <v>0</v>
      </c>
      <c r="N73" s="20">
        <v>0</v>
      </c>
      <c r="O73" s="48">
        <v>0</v>
      </c>
      <c r="P73" s="20">
        <v>1743.1851300000001</v>
      </c>
      <c r="R73" s="20">
        <f>+B73+F73+J73+N73</f>
        <v>1765.36456</v>
      </c>
      <c r="S73" s="51">
        <f>+(R73-T73)/T73</f>
        <v>0.12850183790192285</v>
      </c>
      <c r="T73" s="81">
        <f>+D73</f>
        <v>1564.3435399999998</v>
      </c>
      <c r="U73" s="20">
        <f>+D73+H73+L73+P73</f>
        <v>6637.7389999999996</v>
      </c>
    </row>
    <row r="74" spans="1:21">
      <c r="A74" t="s">
        <v>317</v>
      </c>
      <c r="B74" s="217">
        <v>11523.518199999999</v>
      </c>
      <c r="C74" s="51">
        <f>+(B74-D74)/ABS(D74)</f>
        <v>8.3807091844365203E-2</v>
      </c>
      <c r="D74" s="217">
        <v>10632.44399</v>
      </c>
      <c r="E74" s="35" t="s">
        <v>0</v>
      </c>
      <c r="F74" s="217">
        <v>0</v>
      </c>
      <c r="G74" s="48">
        <v>0</v>
      </c>
      <c r="H74" s="217">
        <v>9170.2706500000004</v>
      </c>
      <c r="J74" s="217">
        <v>0</v>
      </c>
      <c r="K74" s="48">
        <v>0</v>
      </c>
      <c r="L74" s="217">
        <v>8873.5313500000011</v>
      </c>
      <c r="M74" s="35" t="s">
        <v>0</v>
      </c>
      <c r="N74" s="217">
        <v>0</v>
      </c>
      <c r="O74" s="48">
        <v>0</v>
      </c>
      <c r="P74" s="217">
        <v>12553.291229999999</v>
      </c>
      <c r="R74" s="217">
        <f>+B74+F74+J74+N74</f>
        <v>11523.518199999999</v>
      </c>
      <c r="S74" s="51">
        <f>+(R74-T74)/T74</f>
        <v>8.3807091844365203E-2</v>
      </c>
      <c r="T74" s="217">
        <f>+D74</f>
        <v>10632.44399</v>
      </c>
      <c r="U74" s="217">
        <f>+D74+H74+L74+P74</f>
        <v>41229.537219999998</v>
      </c>
    </row>
    <row r="75" spans="1:21">
      <c r="B75" s="20">
        <f>SUM(B71:B74)</f>
        <v>33873.008179999997</v>
      </c>
      <c r="C75" s="51">
        <f>+(B75-D75)/ABS(D75)</f>
        <v>2.8027357748301146E-2</v>
      </c>
      <c r="D75" s="20">
        <f>SUM(D71:D74)</f>
        <v>32949.520189999996</v>
      </c>
      <c r="E75" s="35" t="s">
        <v>0</v>
      </c>
      <c r="F75" s="20">
        <f>SUM(F71:F74)</f>
        <v>0</v>
      </c>
      <c r="G75" s="48">
        <v>0</v>
      </c>
      <c r="H75" s="20">
        <f>SUM(H71:H74)</f>
        <v>30551.348469999997</v>
      </c>
      <c r="J75" s="20">
        <f>SUM(J71:J74)</f>
        <v>0</v>
      </c>
      <c r="K75" s="48">
        <v>0</v>
      </c>
      <c r="L75" s="20">
        <f>SUM(L71:L74)</f>
        <v>31704.777109999999</v>
      </c>
      <c r="M75" s="35" t="s">
        <v>0</v>
      </c>
      <c r="N75" s="20">
        <f>SUM(N71:N74)</f>
        <v>0</v>
      </c>
      <c r="O75" s="48">
        <v>0</v>
      </c>
      <c r="P75" s="20">
        <f>SUM(P71:P74)</f>
        <v>30803.37182</v>
      </c>
      <c r="R75" s="20">
        <f>SUM(R71:R74)</f>
        <v>33873.008179999997</v>
      </c>
      <c r="S75" s="51">
        <f>+(R75-T75)/T75</f>
        <v>2.8027357748301146E-2</v>
      </c>
      <c r="T75" s="20">
        <f>SUM(T71:T74)</f>
        <v>32949.520189999996</v>
      </c>
      <c r="U75" s="20">
        <f>SUM(U71:U74)</f>
        <v>126009.01758999999</v>
      </c>
    </row>
    <row r="76" spans="1:21">
      <c r="B76" s="217"/>
      <c r="C76" s="49" t="s">
        <v>0</v>
      </c>
      <c r="D76" s="217"/>
      <c r="E76" s="35" t="s">
        <v>0</v>
      </c>
      <c r="F76" s="217"/>
      <c r="G76" s="48"/>
      <c r="H76" s="217"/>
      <c r="J76" s="217"/>
      <c r="K76" s="48"/>
      <c r="L76" s="217"/>
      <c r="M76" s="35" t="s">
        <v>0</v>
      </c>
      <c r="N76" s="217"/>
      <c r="O76" s="48"/>
      <c r="P76" s="217"/>
      <c r="R76" s="217"/>
      <c r="S76" s="51"/>
      <c r="T76" s="217"/>
      <c r="U76" s="217"/>
    </row>
    <row r="77" spans="1:21">
      <c r="A77" t="s">
        <v>318</v>
      </c>
      <c r="B77" s="20">
        <f>+B68-B75</f>
        <v>-1528.0868200000077</v>
      </c>
      <c r="C77" s="51">
        <f>+(B77-D77)/ABS(D77)</f>
        <v>-1.2246401934213891</v>
      </c>
      <c r="D77" s="20">
        <f>+D68-D75</f>
        <v>6802.3749299999981</v>
      </c>
      <c r="E77" s="35" t="s">
        <v>0</v>
      </c>
      <c r="F77" s="20">
        <f>+F68-F75</f>
        <v>0</v>
      </c>
      <c r="G77" s="48">
        <v>0</v>
      </c>
      <c r="H77" s="20">
        <f>+H68-H75</f>
        <v>-6961.5664400000023</v>
      </c>
      <c r="J77" s="20">
        <f>+J68-J75</f>
        <v>0</v>
      </c>
      <c r="K77" s="48">
        <v>0</v>
      </c>
      <c r="L77" s="20">
        <f>+L68-L75</f>
        <v>-7632.4704999999994</v>
      </c>
      <c r="M77" s="35" t="s">
        <v>0</v>
      </c>
      <c r="N77" s="20">
        <f>+N68-N75</f>
        <v>0</v>
      </c>
      <c r="O77" s="48">
        <v>0</v>
      </c>
      <c r="P77" s="20">
        <f>+P68-P75</f>
        <v>2261.0119900000063</v>
      </c>
      <c r="R77" s="20">
        <f>+R68-R75</f>
        <v>-1528.0868200000077</v>
      </c>
      <c r="S77" s="51">
        <f>+(R77-T77)/ABS(T77)</f>
        <v>-1.2246401934213891</v>
      </c>
      <c r="T77" s="20">
        <f>+T68-T75</f>
        <v>6802.3749299999981</v>
      </c>
      <c r="U77" s="20">
        <f>+U68-U75</f>
        <v>-5530.6500199999864</v>
      </c>
    </row>
    <row r="78" spans="1:21">
      <c r="B78" s="20"/>
      <c r="C78" s="49" t="s">
        <v>0</v>
      </c>
      <c r="D78" s="20"/>
      <c r="E78" s="35" t="s">
        <v>0</v>
      </c>
      <c r="F78" s="20"/>
      <c r="G78" s="49" t="s">
        <v>0</v>
      </c>
      <c r="H78" s="20"/>
      <c r="J78" s="20"/>
      <c r="K78" s="49" t="s">
        <v>0</v>
      </c>
      <c r="L78" s="20"/>
      <c r="M78" s="35" t="s">
        <v>0</v>
      </c>
      <c r="N78" s="20"/>
      <c r="O78" s="49" t="s">
        <v>0</v>
      </c>
      <c r="P78" s="20"/>
      <c r="R78" s="20"/>
      <c r="S78" s="51"/>
      <c r="T78" s="20"/>
      <c r="U78" s="20"/>
    </row>
    <row r="79" spans="1:21">
      <c r="A79" t="s">
        <v>319</v>
      </c>
      <c r="B79" s="20">
        <v>0</v>
      </c>
      <c r="C79" s="48">
        <v>0</v>
      </c>
      <c r="D79" s="20">
        <v>0</v>
      </c>
      <c r="E79" s="35" t="s">
        <v>0</v>
      </c>
      <c r="F79" s="20">
        <v>0</v>
      </c>
      <c r="G79" s="48">
        <v>0</v>
      </c>
      <c r="H79" s="20">
        <v>0</v>
      </c>
      <c r="J79" s="20">
        <v>0</v>
      </c>
      <c r="K79" s="48">
        <v>0</v>
      </c>
      <c r="L79" s="20">
        <v>0</v>
      </c>
      <c r="M79" s="35" t="s">
        <v>0</v>
      </c>
      <c r="N79" s="20">
        <v>0</v>
      </c>
      <c r="O79" s="48">
        <v>0</v>
      </c>
      <c r="P79" s="20">
        <v>0</v>
      </c>
      <c r="R79" s="20">
        <f>+B79+F79+J79+N79</f>
        <v>0</v>
      </c>
      <c r="S79" s="48">
        <v>0</v>
      </c>
      <c r="T79" s="81">
        <f>+D79</f>
        <v>0</v>
      </c>
      <c r="U79" s="20">
        <f>+D79+H79+L79+P79</f>
        <v>0</v>
      </c>
    </row>
    <row r="80" spans="1:21" ht="16.5" thickBot="1">
      <c r="B80" s="79"/>
      <c r="C80" s="49" t="s">
        <v>0</v>
      </c>
      <c r="D80" s="79"/>
      <c r="E80" s="35" t="s">
        <v>0</v>
      </c>
      <c r="F80" s="79"/>
      <c r="G80" s="49" t="s">
        <v>0</v>
      </c>
      <c r="H80" s="79"/>
      <c r="J80" s="79"/>
      <c r="K80" s="49" t="s">
        <v>0</v>
      </c>
      <c r="L80" s="79"/>
      <c r="M80" s="35" t="s">
        <v>0</v>
      </c>
      <c r="N80" s="79"/>
      <c r="O80" s="49" t="s">
        <v>0</v>
      </c>
      <c r="P80" s="79"/>
      <c r="R80" s="79"/>
      <c r="S80" s="51"/>
      <c r="T80" s="79"/>
      <c r="U80" s="79"/>
    </row>
    <row r="81" spans="1:21" s="11" customFormat="1">
      <c r="A81" s="11" t="s">
        <v>372</v>
      </c>
      <c r="B81" s="13">
        <f>+B77-B79</f>
        <v>-1528.0868200000077</v>
      </c>
      <c r="C81" s="109">
        <f>+(B81-D81)/ABS(D81)</f>
        <v>-1.2246401934213891</v>
      </c>
      <c r="D81" s="13">
        <f>+D77-D79</f>
        <v>6802.3749299999981</v>
      </c>
      <c r="E81" s="137" t="s">
        <v>0</v>
      </c>
      <c r="F81" s="13">
        <f>+F77-F79</f>
        <v>0</v>
      </c>
      <c r="G81" s="47">
        <v>0</v>
      </c>
      <c r="H81" s="13">
        <f>+H77-H79</f>
        <v>-6961.5664400000023</v>
      </c>
      <c r="I81" s="137"/>
      <c r="J81" s="13">
        <f>+J77-J79</f>
        <v>0</v>
      </c>
      <c r="K81" s="47">
        <v>0</v>
      </c>
      <c r="L81" s="13">
        <f>+L77-L79</f>
        <v>-7632.4704999999994</v>
      </c>
      <c r="M81" s="137" t="s">
        <v>0</v>
      </c>
      <c r="N81" s="13">
        <f>+N77-N79</f>
        <v>0</v>
      </c>
      <c r="O81" s="47">
        <v>0</v>
      </c>
      <c r="P81" s="13">
        <f>+P77-P79</f>
        <v>2261.0119900000063</v>
      </c>
      <c r="Q81" s="137"/>
      <c r="R81" s="13">
        <f>+R77-R79</f>
        <v>-1528.0868200000077</v>
      </c>
      <c r="S81" s="109">
        <f>+(R81-T81)/T81</f>
        <v>-1.2246401934213891</v>
      </c>
      <c r="T81" s="13">
        <f>+T77-T79</f>
        <v>6802.3749299999981</v>
      </c>
      <c r="U81" s="13">
        <f>+U77-U79</f>
        <v>-5530.6500199999864</v>
      </c>
    </row>
    <row r="82" spans="1:21">
      <c r="E82" s="35"/>
      <c r="M82" s="35"/>
    </row>
    <row r="83" spans="1:21">
      <c r="E83" s="35"/>
      <c r="M83" s="35"/>
    </row>
    <row r="84" spans="1:21">
      <c r="B84"/>
      <c r="C84"/>
      <c r="D84"/>
      <c r="E84"/>
      <c r="F84"/>
      <c r="G84"/>
      <c r="H84"/>
      <c r="M84" s="35" t="s">
        <v>0</v>
      </c>
      <c r="N84" s="35" t="s">
        <v>0</v>
      </c>
    </row>
    <row r="85" spans="1:21">
      <c r="B85"/>
      <c r="C85"/>
      <c r="D85"/>
      <c r="E85"/>
      <c r="F85"/>
      <c r="G85"/>
      <c r="H85"/>
      <c r="M85" s="35" t="s">
        <v>0</v>
      </c>
    </row>
    <row r="86" spans="1:21">
      <c r="B86"/>
      <c r="C86"/>
      <c r="D86"/>
      <c r="E86"/>
      <c r="F86"/>
      <c r="G86"/>
      <c r="H86"/>
      <c r="M86" s="35"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21" spans="2:8">
      <c r="B121" s="35" t="s">
        <v>0</v>
      </c>
    </row>
  </sheetData>
  <phoneticPr fontId="0" type="noConversion"/>
  <pageMargins left="0.2" right="0.23" top="0.45" bottom="0.39" header="0.31" footer="0.2"/>
  <pageSetup scale="43" orientation="landscape" r:id="rId1"/>
  <headerFooter alignWithMargins="0">
    <oddFooter>&amp;R&amp;16&amp;P</oddFooter>
  </headerFooter>
</worksheet>
</file>

<file path=xl/worksheets/sheet77.xml><?xml version="1.0" encoding="utf-8"?>
<worksheet xmlns="http://schemas.openxmlformats.org/spreadsheetml/2006/main" xmlns:r="http://schemas.openxmlformats.org/officeDocument/2006/relationships">
  <dimension ref="A1:N45"/>
  <sheetViews>
    <sheetView workbookViewId="0">
      <selection activeCell="B10" sqref="B10"/>
    </sheetView>
  </sheetViews>
  <sheetFormatPr baseColWidth="10" defaultColWidth="9" defaultRowHeight="15.75"/>
  <cols>
    <col min="1" max="1" width="52.75" customWidth="1"/>
    <col min="2" max="2" width="15.75" customWidth="1"/>
    <col min="4" max="4" width="15.75" customWidth="1"/>
    <col min="5" max="5" width="6.125" customWidth="1"/>
    <col min="6" max="6" width="16" customWidth="1"/>
    <col min="8" max="8" width="16" customWidth="1"/>
    <col min="10" max="10" width="15.875" customWidth="1"/>
    <col min="12" max="12" width="15.875" customWidth="1"/>
  </cols>
  <sheetData>
    <row r="1" spans="1:14">
      <c r="A1" s="111" t="s">
        <v>398</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+'BNCVARAN '!B8</f>
        <v xml:space="preserve">     CUMUL (Octobre - Décembre )</v>
      </c>
      <c r="C8" s="111"/>
      <c r="D8" s="39"/>
      <c r="E8" s="11"/>
      <c r="F8" s="111" t="s">
        <v>214</v>
      </c>
      <c r="G8" s="111"/>
      <c r="H8" s="111"/>
      <c r="I8" s="111"/>
      <c r="J8" s="111"/>
      <c r="K8" s="111"/>
      <c r="L8" s="111"/>
    </row>
    <row r="9" spans="1:14" ht="16.5" thickBot="1">
      <c r="B9" s="223" t="str">
        <f>+'BNCVARAN '!B9</f>
        <v xml:space="preserve"> 2015</v>
      </c>
      <c r="C9" s="203" t="s">
        <v>196</v>
      </c>
      <c r="D9" s="203" t="str">
        <f>+'BNCVARAN '!D9</f>
        <v xml:space="preserve"> 2014</v>
      </c>
      <c r="E9" s="11"/>
      <c r="F9" s="203" t="str">
        <f>+'BNCVARAN '!F9</f>
        <v>2014</v>
      </c>
      <c r="G9" s="203" t="s">
        <v>196</v>
      </c>
      <c r="H9" s="203" t="str">
        <f>+'BNCVARAN '!H9</f>
        <v>2013</v>
      </c>
      <c r="I9" s="203" t="s">
        <v>196</v>
      </c>
      <c r="J9" s="203" t="str">
        <f>+'BNCVARAN '!J9</f>
        <v>2012</v>
      </c>
      <c r="K9" s="203" t="s">
        <v>196</v>
      </c>
      <c r="L9" s="203" t="str">
        <f>+'BNCVARAN '!L9</f>
        <v>2011</v>
      </c>
    </row>
    <row r="10" spans="1:14">
      <c r="A10" t="s">
        <v>300</v>
      </c>
    </row>
    <row r="11" spans="1:14">
      <c r="A11" t="s">
        <v>301</v>
      </c>
      <c r="B11" s="24" t="s">
        <v>0</v>
      </c>
      <c r="C11" s="52" t="s">
        <v>0</v>
      </c>
      <c r="D11" s="24" t="s">
        <v>0</v>
      </c>
      <c r="E11" s="49" t="s">
        <v>0</v>
      </c>
      <c r="F11" s="24" t="s">
        <v>0</v>
      </c>
      <c r="G11" s="52" t="s">
        <v>0</v>
      </c>
      <c r="H11" s="24" t="s">
        <v>0</v>
      </c>
      <c r="J11" s="24" t="s">
        <v>0</v>
      </c>
      <c r="L11" s="24" t="s">
        <v>0</v>
      </c>
      <c r="M11" s="48"/>
      <c r="N11" s="48"/>
    </row>
    <row r="12" spans="1:14">
      <c r="A12" t="s">
        <v>302</v>
      </c>
      <c r="B12" s="20">
        <f>+'BPHRÉSULT  '!R50</f>
        <v>25934.645479999999</v>
      </c>
      <c r="C12" s="51">
        <f t="shared" ref="C12:C17" si="0">+(B12-D12)/ABS(D12)</f>
        <v>-0.25799604399624898</v>
      </c>
      <c r="D12" s="20">
        <f>+'BPHRÉSULT  '!T50</f>
        <v>34952.16605</v>
      </c>
      <c r="E12" s="49"/>
      <c r="F12" s="20">
        <f>+'BPHRÉSULT  '!U50</f>
        <v>111834.88507</v>
      </c>
      <c r="G12" s="51">
        <f t="shared" ref="G12:G17" si="1">+(F12-H12)/ABS(H12)</f>
        <v>-0.11697682534544016</v>
      </c>
      <c r="H12" s="20">
        <v>126650</v>
      </c>
      <c r="I12" s="51">
        <f t="shared" ref="I12:I17" si="2">+(H12-J12)/ABS(J12)</f>
        <v>6.457019606920171E-2</v>
      </c>
      <c r="J12" s="20">
        <v>118968.2</v>
      </c>
      <c r="K12" s="51">
        <f t="shared" ref="K12:K17" si="3">+(J12-L12)/ABS(L12)</f>
        <v>0.23974874153034723</v>
      </c>
      <c r="L12" s="20">
        <v>95961.541249999995</v>
      </c>
      <c r="M12" s="48"/>
      <c r="N12" s="48"/>
    </row>
    <row r="13" spans="1:14">
      <c r="A13" t="s">
        <v>393</v>
      </c>
      <c r="B13" s="20">
        <f>+'BPHRÉSULT  '!R51</f>
        <v>2340.82177</v>
      </c>
      <c r="C13" s="48">
        <v>0</v>
      </c>
      <c r="D13" s="20">
        <f>+'BPHRÉSULT  '!T51</f>
        <v>0</v>
      </c>
      <c r="E13" s="49"/>
      <c r="F13" s="20">
        <f>+'BPHRÉSULT  '!U51</f>
        <v>4034.6461599999998</v>
      </c>
      <c r="G13" s="48">
        <v>0</v>
      </c>
      <c r="H13" s="20">
        <v>0</v>
      </c>
      <c r="I13" s="48">
        <v>0</v>
      </c>
      <c r="J13" s="20">
        <v>-2</v>
      </c>
      <c r="K13" s="51">
        <f t="shared" si="3"/>
        <v>-1.0012916421055538</v>
      </c>
      <c r="L13" s="20">
        <v>1548.4165400000002</v>
      </c>
      <c r="M13" s="48"/>
      <c r="N13" s="48"/>
    </row>
    <row r="14" spans="1:14">
      <c r="A14" t="s">
        <v>304</v>
      </c>
      <c r="B14" s="199">
        <f>+'BPHRÉSULT  '!R52</f>
        <v>805.66978999999992</v>
      </c>
      <c r="C14" s="52">
        <f t="shared" si="0"/>
        <v>7.0481571955840456</v>
      </c>
      <c r="D14" s="217">
        <f>+'BPHRÉSULT  '!T52</f>
        <v>100.10611999999999</v>
      </c>
      <c r="E14" s="49"/>
      <c r="F14" s="217">
        <f>+'BPHRÉSULT  '!U52</f>
        <v>582.13892999999996</v>
      </c>
      <c r="G14" s="51">
        <f t="shared" si="1"/>
        <v>-0.85046521191882862</v>
      </c>
      <c r="H14" s="217">
        <v>3893</v>
      </c>
      <c r="I14" s="1346">
        <f t="shared" si="2"/>
        <v>3.9403553299492384</v>
      </c>
      <c r="J14" s="217">
        <v>788</v>
      </c>
      <c r="K14" s="1346">
        <f t="shared" si="3"/>
        <v>1.2312833973996717</v>
      </c>
      <c r="L14" s="217">
        <v>353.15997999999996</v>
      </c>
      <c r="M14" s="48"/>
      <c r="N14" s="48"/>
    </row>
    <row r="15" spans="1:14">
      <c r="B15" s="20">
        <f>SUM(B12:B14)</f>
        <v>29081.137039999998</v>
      </c>
      <c r="C15" s="51">
        <f t="shared" si="0"/>
        <v>-0.17034944556634143</v>
      </c>
      <c r="D15" s="20">
        <f>SUM(D12:D14)</f>
        <v>35052.272169999997</v>
      </c>
      <c r="E15" s="49"/>
      <c r="F15" s="20">
        <f>SUM(F12:F14)</f>
        <v>116451.67016000001</v>
      </c>
      <c r="G15" s="51">
        <f t="shared" si="1"/>
        <v>-0.10794397125851245</v>
      </c>
      <c r="H15" s="20">
        <f>SUM(H12:H14)</f>
        <v>130543</v>
      </c>
      <c r="I15" s="51">
        <f t="shared" si="2"/>
        <v>9.0091203481798582E-2</v>
      </c>
      <c r="J15" s="20">
        <f>SUM(J12:J14)</f>
        <v>119754.2</v>
      </c>
      <c r="K15" s="51">
        <f t="shared" si="3"/>
        <v>0.22369083193781841</v>
      </c>
      <c r="L15" s="20">
        <f>SUM(L12:L14)</f>
        <v>97863.117769999997</v>
      </c>
      <c r="M15" s="48"/>
      <c r="N15" s="48"/>
    </row>
    <row r="16" spans="1:14">
      <c r="A16" t="s">
        <v>305</v>
      </c>
      <c r="B16" s="217">
        <f>+'BPHRÉSULT  '!R54</f>
        <v>3843.9422300000001</v>
      </c>
      <c r="C16" s="51">
        <f t="shared" si="0"/>
        <v>0.76449442524992373</v>
      </c>
      <c r="D16" s="217">
        <f>+'BPHRÉSULT  '!T54</f>
        <v>2178.4949700000002</v>
      </c>
      <c r="E16" s="49" t="s">
        <v>0</v>
      </c>
      <c r="F16" s="217">
        <f>+'BPHRÉSULT  '!U54</f>
        <v>10502.540010000001</v>
      </c>
      <c r="G16" s="51">
        <f t="shared" si="1"/>
        <v>0.27484311204981632</v>
      </c>
      <c r="H16" s="217">
        <v>8238.2999999999993</v>
      </c>
      <c r="I16" s="51">
        <f t="shared" si="2"/>
        <v>0.64897918334667715</v>
      </c>
      <c r="J16" s="217">
        <v>4996</v>
      </c>
      <c r="K16" s="51">
        <f t="shared" si="3"/>
        <v>0.2329557350456013</v>
      </c>
      <c r="L16" s="217">
        <v>4052.0513899999996</v>
      </c>
      <c r="M16" s="48"/>
      <c r="N16" s="48"/>
    </row>
    <row r="17" spans="1:14" s="187" customFormat="1">
      <c r="B17" s="24">
        <f>+B15-B16</f>
        <v>25237.194809999997</v>
      </c>
      <c r="C17" s="51">
        <f t="shared" si="0"/>
        <v>-0.23230012004826753</v>
      </c>
      <c r="D17" s="24">
        <f>+D15-D16</f>
        <v>32873.777199999997</v>
      </c>
      <c r="E17" s="49" t="s">
        <v>0</v>
      </c>
      <c r="F17" s="24">
        <f>+F15-F16</f>
        <v>105949.13015000001</v>
      </c>
      <c r="G17" s="51">
        <f t="shared" si="1"/>
        <v>-0.13372805664868143</v>
      </c>
      <c r="H17" s="24">
        <f>+H15-H16</f>
        <v>122304.7</v>
      </c>
      <c r="I17" s="51">
        <f t="shared" si="2"/>
        <v>6.5760006692332229E-2</v>
      </c>
      <c r="J17" s="24">
        <f>+J15-J16</f>
        <v>114758.2</v>
      </c>
      <c r="K17" s="51">
        <f t="shared" si="3"/>
        <v>0.22329064606460763</v>
      </c>
      <c r="L17" s="24">
        <f>+L15-L16</f>
        <v>93811.066380000004</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0">
        <f>+'BPHRÉSULT  '!R58</f>
        <v>7978.2310900000002</v>
      </c>
      <c r="C20" s="51">
        <f>+(B20-D20)/ABS(D20)</f>
        <v>0.51431877133593995</v>
      </c>
      <c r="D20" s="20">
        <f>+'BPHRÉSULT  '!T58</f>
        <v>5268.5281599999998</v>
      </c>
      <c r="E20" s="49" t="s">
        <v>0</v>
      </c>
      <c r="F20" s="20">
        <f>+'BPHRÉSULT  '!U58</f>
        <v>31414.62457</v>
      </c>
      <c r="G20" s="51">
        <f>+(F20-H20)/ABS(H20)</f>
        <v>0.13423709575508994</v>
      </c>
      <c r="H20" s="20">
        <v>27696.7</v>
      </c>
      <c r="I20" s="51">
        <f>+(H20-J20)/ABS(J20)</f>
        <v>-4.4463774783971731E-3</v>
      </c>
      <c r="J20" s="20">
        <v>27820.400000000001</v>
      </c>
      <c r="K20" s="51">
        <f>+(J20-L20)/ABS(L20)</f>
        <v>0.48054035354787877</v>
      </c>
      <c r="L20" s="20">
        <v>18790.707009999998</v>
      </c>
      <c r="M20" s="48"/>
      <c r="N20" s="48"/>
    </row>
    <row r="21" spans="1:14">
      <c r="A21" t="s">
        <v>308</v>
      </c>
      <c r="B21" s="20">
        <f>+'BPHRÉSULT  '!R59</f>
        <v>9436.2305199999992</v>
      </c>
      <c r="C21" s="51">
        <f>+(B21-D21)/ABS(D21)</f>
        <v>0.82677463180471811</v>
      </c>
      <c r="D21" s="20">
        <f>+'BPHRÉSULT  '!T59</f>
        <v>5165.5143200000002</v>
      </c>
      <c r="E21" s="49" t="s">
        <v>0</v>
      </c>
      <c r="F21" s="20">
        <f>+'BPHRÉSULT  '!U59</f>
        <v>14269.773290000001</v>
      </c>
      <c r="G21" s="51">
        <f>+(F21-H21)/ABS(H21)</f>
        <v>-5.508828211393417E-2</v>
      </c>
      <c r="H21" s="20">
        <v>15101.7</v>
      </c>
      <c r="I21" s="51">
        <f>+(H21-J21)/ABS(J21)</f>
        <v>0.19882353875098238</v>
      </c>
      <c r="J21" s="20">
        <v>12597.1</v>
      </c>
      <c r="K21" s="51">
        <f>+(J21-L21)/ABS(L21)</f>
        <v>-0.21881768849988972</v>
      </c>
      <c r="L21" s="20">
        <v>16125.685149999998</v>
      </c>
      <c r="M21" s="48"/>
      <c r="N21" s="48"/>
    </row>
    <row r="22" spans="1:14">
      <c r="A22" t="s">
        <v>274</v>
      </c>
      <c r="B22" s="217">
        <f>+'BPHRÉSULT  '!R60</f>
        <v>1193.67922</v>
      </c>
      <c r="C22" s="51">
        <f>+(B22-D22)/ABS(D22)</f>
        <v>1.1009779952649463</v>
      </c>
      <c r="D22" s="217">
        <f>+'BPHRÉSULT  '!T60</f>
        <v>568.15408000000002</v>
      </c>
      <c r="E22" s="49" t="s">
        <v>0</v>
      </c>
      <c r="F22" s="217">
        <f>+'BPHRÉSULT  '!U60</f>
        <v>6689.4169600000005</v>
      </c>
      <c r="G22" s="51">
        <f>+(F22-H22)/ABS(H22)</f>
        <v>-0.65802799609432905</v>
      </c>
      <c r="H22" s="217">
        <v>19561.3</v>
      </c>
      <c r="I22" s="51">
        <f>+(H22-J22)/ABS(J22)</f>
        <v>2.7397097902766356</v>
      </c>
      <c r="J22" s="217">
        <v>5230.7</v>
      </c>
      <c r="K22" s="51">
        <f>+(J22-L22)/ABS(L22)</f>
        <v>1.5713473428954432</v>
      </c>
      <c r="L22" s="217">
        <v>2034.2253699999999</v>
      </c>
      <c r="M22" s="48"/>
      <c r="N22" s="48"/>
    </row>
    <row r="23" spans="1:14" s="187" customFormat="1">
      <c r="B23" s="24">
        <f>SUM(B20:B22)</f>
        <v>18608.140829999997</v>
      </c>
      <c r="C23" s="51">
        <f>+(B23-D23)/ABS(D23)</f>
        <v>0.69131143299624853</v>
      </c>
      <c r="D23" s="24">
        <f>SUM(D20:D22)</f>
        <v>11002.19656</v>
      </c>
      <c r="E23" s="49" t="s">
        <v>0</v>
      </c>
      <c r="F23" s="24">
        <f>SUM(F20:F22)</f>
        <v>52373.81482</v>
      </c>
      <c r="G23" s="51">
        <f>+(F23-H23)/ABS(H23)</f>
        <v>-0.16013363085454224</v>
      </c>
      <c r="H23" s="24">
        <f>SUM(H20:H22)</f>
        <v>62359.7</v>
      </c>
      <c r="I23" s="51">
        <f>+(H23-J23)/ABS(J23)</f>
        <v>0.36609329612120523</v>
      </c>
      <c r="J23" s="24">
        <f>SUM(J20:J22)</f>
        <v>45648.2</v>
      </c>
      <c r="K23" s="51">
        <f>+(J23-L23)/ABS(L23)</f>
        <v>0.23538395435308987</v>
      </c>
      <c r="L23" s="24">
        <f>SUM(L20:L22)</f>
        <v>36950.617529999996</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43845.33563999999</v>
      </c>
      <c r="C25" s="51">
        <f>+(B25-D25)/ABS(D25)</f>
        <v>-6.9828923154145078E-4</v>
      </c>
      <c r="D25" s="24">
        <f>+D17+D23</f>
        <v>43875.973759999993</v>
      </c>
      <c r="E25" s="49" t="s">
        <v>0</v>
      </c>
      <c r="F25" s="24">
        <f>+F17+F23</f>
        <v>158322.94497000001</v>
      </c>
      <c r="G25" s="51">
        <f>+(F25-H25)/ABS(H25)</f>
        <v>-0.14264500916256725</v>
      </c>
      <c r="H25" s="24">
        <f>+H17+H23</f>
        <v>184664.4</v>
      </c>
      <c r="I25" s="51">
        <f>+(H25-J25)/ABS(J25)</f>
        <v>0.15122837991501586</v>
      </c>
      <c r="J25" s="24">
        <f>+J17+J23</f>
        <v>160406.39999999999</v>
      </c>
      <c r="K25" s="51">
        <f>+(J25-L25)/ABS(L25)</f>
        <v>0.2267079713534717</v>
      </c>
      <c r="L25" s="24">
        <f>+L17+L23</f>
        <v>130761.68390999999</v>
      </c>
      <c r="M25" s="49"/>
      <c r="N25" s="49"/>
    </row>
    <row r="26" spans="1:14">
      <c r="B26" s="20"/>
      <c r="C26" s="51"/>
      <c r="D26" s="20"/>
      <c r="E26" s="49" t="s">
        <v>0</v>
      </c>
      <c r="F26" s="20"/>
      <c r="G26" s="51"/>
      <c r="H26" s="20"/>
      <c r="I26" s="51"/>
      <c r="J26" s="20"/>
      <c r="K26" s="51"/>
      <c r="L26" s="20"/>
      <c r="M26" s="48"/>
      <c r="N26" s="48"/>
    </row>
    <row r="27" spans="1:14">
      <c r="A27" t="s">
        <v>310</v>
      </c>
      <c r="B27" s="20">
        <f>+'BPHRÉSULT  '!R65</f>
        <v>11500.414280000001</v>
      </c>
      <c r="C27" s="51">
        <f>+(B27-D27)/ABS(D27)</f>
        <v>1.788602081554876</v>
      </c>
      <c r="D27" s="20">
        <f>+'BPHRÉSULT  '!T65</f>
        <v>4124.0786399999997</v>
      </c>
      <c r="E27" s="49" t="s">
        <v>0</v>
      </c>
      <c r="F27" s="20">
        <f>+'BPHRÉSULT  '!U65</f>
        <v>37844.577400000002</v>
      </c>
      <c r="G27" s="51">
        <f>+(F27-H27)/ABS(H27)</f>
        <v>0.1809085842668581</v>
      </c>
      <c r="H27" s="20">
        <v>32047</v>
      </c>
      <c r="I27" s="51">
        <f>+(H27-J27)/ABS(J27)</f>
        <v>-5.1624639512250926E-3</v>
      </c>
      <c r="J27" s="20">
        <v>32213.3</v>
      </c>
      <c r="K27" s="51">
        <f>+(J27-L27)/ABS(L27)</f>
        <v>1.858985479586456</v>
      </c>
      <c r="L27" s="20">
        <v>11267.38846</v>
      </c>
      <c r="M27" s="48"/>
      <c r="N27" s="48"/>
    </row>
    <row r="28" spans="1:14">
      <c r="B28" s="20"/>
      <c r="C28" s="51"/>
      <c r="D28" s="20"/>
      <c r="E28" s="49" t="s">
        <v>0</v>
      </c>
      <c r="F28" s="20"/>
      <c r="G28" s="51"/>
      <c r="H28" s="20"/>
      <c r="I28" s="51"/>
      <c r="J28" s="20"/>
      <c r="K28" s="51"/>
      <c r="L28" s="20"/>
      <c r="M28" s="48"/>
      <c r="N28" s="48"/>
    </row>
    <row r="29" spans="1:14">
      <c r="A29" t="s">
        <v>311</v>
      </c>
      <c r="B29" s="217"/>
      <c r="C29" s="51"/>
      <c r="D29" s="217"/>
      <c r="E29" s="49" t="s">
        <v>0</v>
      </c>
      <c r="F29" s="217"/>
      <c r="G29" s="51"/>
      <c r="H29" s="217"/>
      <c r="I29" s="51"/>
      <c r="J29" s="217"/>
      <c r="K29" s="51"/>
      <c r="L29" s="217"/>
      <c r="M29" s="48"/>
      <c r="N29" s="48"/>
    </row>
    <row r="30" spans="1:14" s="187" customFormat="1">
      <c r="A30" s="187" t="s">
        <v>312</v>
      </c>
      <c r="B30" s="24">
        <f>+B25-B27</f>
        <v>32344.921359999989</v>
      </c>
      <c r="C30" s="51">
        <f>+(B30-D30)/ABS(D30)</f>
        <v>-0.1863300790475623</v>
      </c>
      <c r="D30" s="24">
        <f>+D25-D27</f>
        <v>39751.895119999994</v>
      </c>
      <c r="E30" s="49" t="s">
        <v>0</v>
      </c>
      <c r="F30" s="24">
        <f>+F25-F27</f>
        <v>120478.36757</v>
      </c>
      <c r="G30" s="51">
        <f>+(F30-H30)/ABS(H30)</f>
        <v>-0.21058563722091972</v>
      </c>
      <c r="H30" s="24">
        <f>+H25-H27</f>
        <v>152617.4</v>
      </c>
      <c r="I30" s="51">
        <f>+(H30-J30)/ABS(J30)</f>
        <v>0.19052741528210179</v>
      </c>
      <c r="J30" s="24">
        <f>+J25-J27</f>
        <v>128193.09999999999</v>
      </c>
      <c r="K30" s="51">
        <f>+(J30-L30)/ABS(L30)</f>
        <v>7.2796818603276692E-2</v>
      </c>
      <c r="L30" s="24">
        <f>+L25-L27</f>
        <v>119494.29544999999</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0">
        <f>+'BPHRÉSULT  '!R71</f>
        <v>19056.09821</v>
      </c>
      <c r="C33" s="51">
        <f>+(B33-D33)/ABS(D33)</f>
        <v>-8.5856559970393775E-3</v>
      </c>
      <c r="D33" s="20">
        <f>+'BPHRÉSULT  '!T71</f>
        <v>19221.124169999999</v>
      </c>
      <c r="E33" s="49" t="s">
        <v>0</v>
      </c>
      <c r="F33" s="20">
        <f>+'BPHRÉSULT  '!U71</f>
        <v>72007.691009999995</v>
      </c>
      <c r="G33" s="51">
        <f>+(F33-H33)/ABS(H33)</f>
        <v>8.562709390575951E-2</v>
      </c>
      <c r="H33" s="20">
        <v>66328.2</v>
      </c>
      <c r="I33" s="51">
        <f>+(H33-J33)/ABS(J33)</f>
        <v>0.11386856901033793</v>
      </c>
      <c r="J33" s="20">
        <v>59547.6</v>
      </c>
      <c r="K33" s="51">
        <f>+(J33-L33)/ABS(L33)</f>
        <v>1.6202404095638338E-2</v>
      </c>
      <c r="L33" s="20">
        <v>58598.168789999996</v>
      </c>
      <c r="M33" s="48"/>
      <c r="N33" s="48"/>
    </row>
    <row r="34" spans="1:14">
      <c r="A34" t="s">
        <v>315</v>
      </c>
      <c r="B34" s="20">
        <f>+'BPHRÉSULT  '!R72</f>
        <v>1528.02721</v>
      </c>
      <c r="C34" s="51">
        <f>+(B34-D34)/ABS(D34)</f>
        <v>-2.3382476810376693E-3</v>
      </c>
      <c r="D34" s="20">
        <f>+'BPHRÉSULT  '!T72</f>
        <v>1531.6084900000001</v>
      </c>
      <c r="E34" s="49" t="s">
        <v>0</v>
      </c>
      <c r="F34" s="20">
        <f>+'BPHRÉSULT  '!U72</f>
        <v>6134.0503600000002</v>
      </c>
      <c r="G34" s="51">
        <f>+(F34-H34)/ABS(H34)</f>
        <v>8.690778135894292E-3</v>
      </c>
      <c r="H34" s="20">
        <v>6081.2</v>
      </c>
      <c r="I34" s="51">
        <f>+(H34-J34)/ABS(J34)</f>
        <v>0.21030948353069953</v>
      </c>
      <c r="J34" s="20">
        <v>5024.5</v>
      </c>
      <c r="K34" s="51">
        <f>+(J34-L34)/ABS(L34)</f>
        <v>0.18324732694844159</v>
      </c>
      <c r="L34" s="20">
        <v>4246.3649700000005</v>
      </c>
      <c r="M34" s="48"/>
      <c r="N34" s="48"/>
    </row>
    <row r="35" spans="1:14">
      <c r="A35" t="s">
        <v>316</v>
      </c>
      <c r="B35" s="20">
        <f>+'BPHRÉSULT  '!R73</f>
        <v>1765.36456</v>
      </c>
      <c r="C35" s="51">
        <f>+(B35-D35)/ABS(D35)</f>
        <v>0.12850183790192285</v>
      </c>
      <c r="D35" s="20">
        <f>+'BPHRÉSULT  '!T73</f>
        <v>1564.3435399999998</v>
      </c>
      <c r="E35" s="49" t="s">
        <v>0</v>
      </c>
      <c r="F35" s="20">
        <f>+'BPHRÉSULT  '!U73</f>
        <v>6637.7389999999996</v>
      </c>
      <c r="G35" s="51">
        <f>+(F35-H35)/ABS(H35)</f>
        <v>0.1728490149306475</v>
      </c>
      <c r="H35" s="20">
        <v>5659.5</v>
      </c>
      <c r="I35" s="51">
        <f>+(H35-J35)/ABS(J35)</f>
        <v>-0.20098544422639808</v>
      </c>
      <c r="J35" s="20">
        <v>7083.1</v>
      </c>
      <c r="K35" s="51">
        <f>+(J35-L35)/ABS(L35)</f>
        <v>-6.6911418463079547E-2</v>
      </c>
      <c r="L35" s="20">
        <v>7591.0263399999994</v>
      </c>
      <c r="M35" s="48"/>
      <c r="N35" s="48"/>
    </row>
    <row r="36" spans="1:14">
      <c r="A36" t="s">
        <v>317</v>
      </c>
      <c r="B36" s="217">
        <f>+'BPHRÉSULT  '!R74</f>
        <v>11523.518199999999</v>
      </c>
      <c r="C36" s="51">
        <f>+(B36-D36)/ABS(D36)</f>
        <v>8.3807091844365203E-2</v>
      </c>
      <c r="D36" s="217">
        <f>+'BPHRÉSULT  '!T74</f>
        <v>10632.44399</v>
      </c>
      <c r="E36" s="49" t="s">
        <v>0</v>
      </c>
      <c r="F36" s="217">
        <f>+'BPHRÉSULT  '!U74</f>
        <v>41229.537219999998</v>
      </c>
      <c r="G36" s="51">
        <f>+(F36-H36)/ABS(H36)</f>
        <v>-5.1813092163514096E-2</v>
      </c>
      <c r="H36" s="217">
        <v>43482.5</v>
      </c>
      <c r="I36" s="51">
        <f>+(H36-J36)/ABS(J36)</f>
        <v>0.39952364859428058</v>
      </c>
      <c r="J36" s="217">
        <v>31069.5</v>
      </c>
      <c r="K36" s="51">
        <f>+(J36-L36)/ABS(L36)</f>
        <v>8.1736664380030549E-2</v>
      </c>
      <c r="L36" s="217">
        <v>28721.870139999999</v>
      </c>
      <c r="M36" s="48"/>
      <c r="N36" s="48"/>
    </row>
    <row r="37" spans="1:14" s="187" customFormat="1">
      <c r="B37" s="24">
        <f>SUM(B33:B36)</f>
        <v>33873.008179999997</v>
      </c>
      <c r="C37" s="51">
        <f>+(B37-D37)/ABS(D37)</f>
        <v>2.8027357748301146E-2</v>
      </c>
      <c r="D37" s="24">
        <f>SUM(D33:D36)</f>
        <v>32949.520189999996</v>
      </c>
      <c r="E37" s="49" t="s">
        <v>0</v>
      </c>
      <c r="F37" s="24">
        <f>SUM(F33:F36)</f>
        <v>126009.01758999999</v>
      </c>
      <c r="G37" s="51">
        <f>+(F37-H37)/ABS(H37)</f>
        <v>3.6672696406622997E-2</v>
      </c>
      <c r="H37" s="24">
        <f>SUM(H33:H36)</f>
        <v>121551.4</v>
      </c>
      <c r="I37" s="51">
        <f>+(H37-J37)/ABS(J37)</f>
        <v>0.18327335100516232</v>
      </c>
      <c r="J37" s="24">
        <f>SUM(J33:J36)</f>
        <v>102724.7</v>
      </c>
      <c r="K37" s="51">
        <f>+(J37-L37)/ABS(L37)</f>
        <v>3.5975818971566723E-2</v>
      </c>
      <c r="L37" s="24">
        <f>SUM(L33:L36)</f>
        <v>99157.430240000002</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-1528.0868200000077</v>
      </c>
      <c r="C39" s="51">
        <f>+(B39-D39)/ABS(D39)</f>
        <v>-1.2246401934213891</v>
      </c>
      <c r="D39" s="24">
        <f>+D30-D37</f>
        <v>6802.3749299999981</v>
      </c>
      <c r="E39" s="49" t="s">
        <v>0</v>
      </c>
      <c r="F39" s="24">
        <f>+F30-F37</f>
        <v>-5530.6500199999864</v>
      </c>
      <c r="G39" s="51">
        <f>+(F39-H39)/ABS(H39)</f>
        <v>-1.1780290356016219</v>
      </c>
      <c r="H39" s="24">
        <f>+H30-H37</f>
        <v>31066</v>
      </c>
      <c r="I39" s="51">
        <f>+(H39-J39)/ABS(J39)</f>
        <v>0.21978608785789477</v>
      </c>
      <c r="J39" s="24">
        <f>+J30-J37</f>
        <v>25468.399999999994</v>
      </c>
      <c r="K39" s="51">
        <f>+(J39-L39)/ABS(L39)</f>
        <v>0.25232673457838234</v>
      </c>
      <c r="L39" s="24">
        <f>+L30-L37</f>
        <v>20336.865209999989</v>
      </c>
      <c r="M39" s="49"/>
      <c r="N39" s="49"/>
    </row>
    <row r="40" spans="1:14">
      <c r="B40" s="20"/>
      <c r="C40" s="51"/>
      <c r="D40" s="20"/>
      <c r="E40" s="49" t="s">
        <v>0</v>
      </c>
      <c r="F40" s="20"/>
      <c r="G40" s="51"/>
      <c r="H40" s="672"/>
      <c r="I40" s="51"/>
      <c r="J40" s="672"/>
      <c r="K40" s="51"/>
      <c r="L40" s="672"/>
      <c r="M40" s="48"/>
      <c r="N40" s="48"/>
    </row>
    <row r="41" spans="1:14">
      <c r="A41" t="s">
        <v>319</v>
      </c>
      <c r="B41" s="20">
        <f>+'BPHRÉSULT  '!R79</f>
        <v>0</v>
      </c>
      <c r="C41" s="48">
        <v>0</v>
      </c>
      <c r="D41" s="20">
        <f>+'BPHRÉSULT  '!T79</f>
        <v>0</v>
      </c>
      <c r="E41" s="49" t="s">
        <v>0</v>
      </c>
      <c r="F41" s="20">
        <f>+'BPHRÉSULT  '!U79</f>
        <v>0</v>
      </c>
      <c r="G41" s="48">
        <v>0</v>
      </c>
      <c r="H41" s="672">
        <f>+'BPHRÉSULT  '!W79</f>
        <v>0</v>
      </c>
      <c r="I41" s="48">
        <v>0</v>
      </c>
      <c r="J41" s="672">
        <f>+'BPHRÉSULT  '!Y79</f>
        <v>0</v>
      </c>
      <c r="K41" s="48">
        <v>0</v>
      </c>
      <c r="L41" s="672">
        <v>0</v>
      </c>
      <c r="M41" s="48"/>
      <c r="N41" s="48"/>
    </row>
    <row r="42" spans="1:14" ht="16.5" thickBot="1">
      <c r="B42" s="79"/>
      <c r="C42" s="51"/>
      <c r="D42" s="79"/>
      <c r="E42" s="49" t="s">
        <v>0</v>
      </c>
      <c r="F42" s="79"/>
      <c r="G42" s="51"/>
      <c r="H42" s="79"/>
      <c r="I42" s="51"/>
      <c r="J42" s="79"/>
      <c r="K42" s="51"/>
      <c r="L42" s="79"/>
      <c r="M42" s="48"/>
      <c r="N42" s="48"/>
    </row>
    <row r="43" spans="1:14">
      <c r="A43" s="11" t="s">
        <v>326</v>
      </c>
      <c r="B43" s="13">
        <f>+B39-B41</f>
        <v>-1528.0868200000077</v>
      </c>
      <c r="C43" s="109">
        <f>+(B43-D43)/ABS(D43)</f>
        <v>-1.2246401934213891</v>
      </c>
      <c r="D43" s="13">
        <f>+D39-D41</f>
        <v>6802.3749299999981</v>
      </c>
      <c r="E43" s="47" t="s">
        <v>0</v>
      </c>
      <c r="F43" s="13">
        <f>+F39-F41</f>
        <v>-5530.6500199999864</v>
      </c>
      <c r="G43" s="109">
        <f>+(F43-H43)/ABS(H43)</f>
        <v>-1.1780290356016219</v>
      </c>
      <c r="H43" s="13">
        <f>+H39-H41</f>
        <v>31066</v>
      </c>
      <c r="I43" s="109">
        <f>+(H43-J43)/ABS(J43)</f>
        <v>0.21978608785789477</v>
      </c>
      <c r="J43" s="13">
        <f>+J39-J41</f>
        <v>25468.399999999994</v>
      </c>
      <c r="K43" s="109">
        <f>+(J43-L43)/ABS(L43)</f>
        <v>0.25232673457838234</v>
      </c>
      <c r="L43" s="13">
        <f>+L39-L41</f>
        <v>20336.865209999989</v>
      </c>
      <c r="M43" s="48"/>
      <c r="N43" s="48"/>
    </row>
    <row r="44" spans="1:14">
      <c r="E44" t="s">
        <v>0</v>
      </c>
    </row>
    <row r="45" spans="1:14">
      <c r="E45" t="s">
        <v>0</v>
      </c>
    </row>
  </sheetData>
  <phoneticPr fontId="0" type="noConversion"/>
  <pageMargins left="0.18" right="0.16" top="0.55000000000000004" bottom="0.75" header="0.36" footer="0.5"/>
  <pageSetup scale="60" orientation="landscape" r:id="rId1"/>
  <headerFooter alignWithMargins="0">
    <oddFooter>&amp;R&amp;P</oddFooter>
  </headerFooter>
</worksheet>
</file>

<file path=xl/worksheets/sheet78.xml><?xml version="1.0" encoding="utf-8"?>
<worksheet xmlns="http://schemas.openxmlformats.org/spreadsheetml/2006/main" xmlns:r="http://schemas.openxmlformats.org/officeDocument/2006/relationships">
  <sheetPr>
    <pageSetUpPr fitToPage="1"/>
  </sheetPr>
  <dimension ref="A1:AA76"/>
  <sheetViews>
    <sheetView workbookViewId="0">
      <selection activeCell="B6" sqref="B6"/>
    </sheetView>
  </sheetViews>
  <sheetFormatPr baseColWidth="10" defaultColWidth="9" defaultRowHeight="15.75"/>
  <cols>
    <col min="1" max="1" width="33.5" customWidth="1"/>
    <col min="2" max="2" width="15.25" customWidth="1"/>
    <col min="3" max="3" width="11.75" customWidth="1"/>
    <col min="4" max="4" width="13.5" customWidth="1"/>
    <col min="5" max="5" width="15.125" customWidth="1"/>
    <col min="6" max="6" width="15.75" customWidth="1"/>
    <col min="7" max="7" width="9.125" customWidth="1"/>
    <col min="8" max="8" width="14" customWidth="1"/>
    <col min="9" max="9" width="14.125" customWidth="1"/>
    <col min="10" max="10" width="13.75" customWidth="1"/>
    <col min="11" max="11" width="13" customWidth="1"/>
    <col min="12" max="12" width="14.625" customWidth="1"/>
    <col min="14" max="14" width="14.75" customWidth="1"/>
    <col min="15" max="15" width="14.875" customWidth="1"/>
    <col min="16" max="16" width="16" customWidth="1"/>
    <col min="17" max="17" width="13.875" bestFit="1" customWidth="1"/>
    <col min="18" max="18" width="15.875" customWidth="1"/>
    <col min="19" max="19" width="10.875" customWidth="1"/>
    <col min="20" max="20" width="13" customWidth="1"/>
  </cols>
  <sheetData>
    <row r="1" spans="1:27">
      <c r="A1" s="111" t="s">
        <v>400</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+'bphinfin     '!I4</f>
        <v>Var. déc. 14</v>
      </c>
      <c r="J4" s="156" t="s">
        <v>195</v>
      </c>
      <c r="K4" s="157"/>
      <c r="L4" s="157"/>
      <c r="M4" s="157"/>
      <c r="N4" s="157"/>
      <c r="O4" s="157"/>
      <c r="P4" s="157"/>
    </row>
    <row r="5" spans="1:27" ht="16.5" thickBot="1">
      <c r="B5" s="1" t="str">
        <f>+'bphinfin     '!B5</f>
        <v>Déc. 14</v>
      </c>
      <c r="C5" s="1" t="s">
        <v>196</v>
      </c>
      <c r="D5" s="1" t="str">
        <f>+'bphinfin     '!D5</f>
        <v>Mars 15</v>
      </c>
      <c r="E5" s="1" t="s">
        <v>196</v>
      </c>
      <c r="F5" s="1" t="str">
        <f>+'bphinfin     '!F5</f>
        <v>Juin 15</v>
      </c>
      <c r="G5" s="1" t="s">
        <v>196</v>
      </c>
      <c r="H5" s="1" t="str">
        <f>+'bphinfin     '!H5</f>
        <v>Sept. 15</v>
      </c>
      <c r="I5" s="155" t="str">
        <f>+'bphinfin     '!I5</f>
        <v>/sept. 14</v>
      </c>
      <c r="J5" s="155" t="str">
        <f>+'bphinfin     '!J5</f>
        <v>2014</v>
      </c>
      <c r="K5" s="1" t="s">
        <v>196</v>
      </c>
      <c r="L5" s="155" t="str">
        <f>+'bphinfin     '!L5</f>
        <v>2013</v>
      </c>
      <c r="M5" s="1" t="s">
        <v>196</v>
      </c>
      <c r="N5" s="155" t="str">
        <f>+'bphinfin     '!N5</f>
        <v>2012</v>
      </c>
      <c r="O5" s="1" t="s">
        <v>196</v>
      </c>
      <c r="P5" s="155" t="str">
        <f>+'bphinfin     '!P5</f>
        <v>2011</v>
      </c>
    </row>
    <row r="6" spans="1:27">
      <c r="B6" s="3"/>
      <c r="D6" s="3"/>
      <c r="F6" s="3"/>
      <c r="H6" s="3"/>
      <c r="J6" s="53"/>
      <c r="L6" s="53"/>
      <c r="N6" s="53"/>
      <c r="P6" s="53"/>
    </row>
    <row r="7" spans="1:27">
      <c r="A7" s="11" t="s">
        <v>197</v>
      </c>
    </row>
    <row r="8" spans="1:27">
      <c r="A8" s="11" t="s">
        <v>198</v>
      </c>
      <c r="R8" t="s">
        <v>0</v>
      </c>
    </row>
    <row r="10" spans="1:27">
      <c r="A10" s="11" t="s">
        <v>18</v>
      </c>
    </row>
    <row r="11" spans="1:27">
      <c r="A11" t="s">
        <v>199</v>
      </c>
      <c r="B11" s="12">
        <f>+buhvar!B23</f>
        <v>5633680.9026068952</v>
      </c>
      <c r="C11" s="46">
        <v>0</v>
      </c>
      <c r="D11" s="12">
        <f>+buhvar!D23</f>
        <v>0</v>
      </c>
      <c r="E11" s="46">
        <v>0</v>
      </c>
      <c r="F11" s="12">
        <f>+buhvar!F23</f>
        <v>0</v>
      </c>
      <c r="G11" s="46">
        <v>0</v>
      </c>
      <c r="H11" s="12">
        <f>+buhvar!H23</f>
        <v>0</v>
      </c>
      <c r="I11" s="51">
        <f>+(B11-J11)/ABS(J11)</f>
        <v>0.13013467505638704</v>
      </c>
      <c r="J11" s="12">
        <f>+buhvar!J23</f>
        <v>4984964.2055499339</v>
      </c>
      <c r="K11" s="50">
        <f>+(-L11+J11)/ABS(L11)</f>
        <v>0.23152024733154758</v>
      </c>
      <c r="L11" s="12">
        <f>+buhvar!L23</f>
        <v>4047813.4373765527</v>
      </c>
      <c r="M11" s="50">
        <f>+(-N11+L11)/ABS(N11)</f>
        <v>0.23615807625442081</v>
      </c>
      <c r="N11" s="12">
        <f>+buhvar!N23</f>
        <v>3274511.1771153845</v>
      </c>
      <c r="O11" s="50">
        <f>+(-P11+N11)/ABS(P11)</f>
        <v>-3.461731716044629E-2</v>
      </c>
      <c r="P11" s="12">
        <f>+buhvar!P23</f>
        <v>3391930.7185869701</v>
      </c>
      <c r="Q11" s="12"/>
      <c r="R11" s="12"/>
      <c r="S11" s="12"/>
      <c r="T11" s="12"/>
      <c r="U11" s="46"/>
      <c r="V11" s="46"/>
      <c r="W11" s="46"/>
      <c r="X11" s="46"/>
      <c r="Y11" s="46"/>
      <c r="Z11" s="46"/>
      <c r="AA11" s="46"/>
    </row>
    <row r="12" spans="1:27">
      <c r="A12" t="s">
        <v>200</v>
      </c>
      <c r="B12" s="12">
        <f>+buhvar!B17</f>
        <v>180000</v>
      </c>
      <c r="C12" s="46">
        <v>0</v>
      </c>
      <c r="D12" s="12">
        <f>+buhvar!D17</f>
        <v>0</v>
      </c>
      <c r="E12" s="46">
        <v>0</v>
      </c>
      <c r="F12" s="12">
        <f>+buhvar!F17</f>
        <v>0</v>
      </c>
      <c r="G12" s="46">
        <v>0</v>
      </c>
      <c r="H12" s="12">
        <f>+buhvar!H17</f>
        <v>0</v>
      </c>
      <c r="I12" s="1347">
        <v>0</v>
      </c>
      <c r="J12" s="12">
        <f>+buhvar!J17</f>
        <v>0</v>
      </c>
      <c r="K12" s="46">
        <v>0</v>
      </c>
      <c r="L12" s="12">
        <f>+buhvar!L17</f>
        <v>0</v>
      </c>
      <c r="M12" s="46">
        <v>0</v>
      </c>
      <c r="N12" s="12">
        <f>+buhvar!N17</f>
        <v>0</v>
      </c>
      <c r="O12" s="50" t="e">
        <f>+(-P12+N12)/ABS(P12)</f>
        <v>#DIV/0!</v>
      </c>
      <c r="P12" s="12">
        <f>+buhvar!P17</f>
        <v>0</v>
      </c>
      <c r="Q12" s="12"/>
      <c r="R12" s="12"/>
      <c r="S12" s="12"/>
      <c r="T12" s="12"/>
      <c r="U12" s="46"/>
      <c r="V12" s="46"/>
      <c r="W12" s="46"/>
      <c r="X12" s="46"/>
      <c r="Y12" s="46"/>
      <c r="Z12" s="46"/>
      <c r="AA12" s="46"/>
    </row>
    <row r="13" spans="1:27">
      <c r="A13" t="s">
        <v>382</v>
      </c>
      <c r="B13" s="12">
        <f>+buhvar!B20</f>
        <v>2291639.3848394938</v>
      </c>
      <c r="C13" s="46">
        <v>0</v>
      </c>
      <c r="D13" s="12">
        <f>+buhvar!D20</f>
        <v>0</v>
      </c>
      <c r="E13" s="46">
        <v>0</v>
      </c>
      <c r="F13" s="12">
        <f>+buhvar!F20</f>
        <v>0</v>
      </c>
      <c r="G13" s="46">
        <v>0</v>
      </c>
      <c r="H13" s="12">
        <f>+buhvar!H20</f>
        <v>0</v>
      </c>
      <c r="I13" s="51">
        <f>+(B13-J13)/ABS(J13)</f>
        <v>6.2135891708516343E-3</v>
      </c>
      <c r="J13" s="12">
        <f>+buhvar!J20</f>
        <v>2277488.0100037898</v>
      </c>
      <c r="K13" s="50">
        <f>+(-L13+J13)/ABS(L13)</f>
        <v>0.60491670936044473</v>
      </c>
      <c r="L13" s="12">
        <f>+buhvar!L20</f>
        <v>1419069.286724146</v>
      </c>
      <c r="M13" s="50">
        <f>+(-N13+L13)/ABS(N13)</f>
        <v>2.5231687168149552E-2</v>
      </c>
      <c r="N13" s="12">
        <f>+buhvar!N20</f>
        <v>1384144.9737510919</v>
      </c>
      <c r="O13" s="50">
        <f>+(-P13+N13)/ABS(P13)</f>
        <v>0.23149280349435469</v>
      </c>
      <c r="P13" s="12">
        <f>+buhvar!P20</f>
        <v>1123957.013653338</v>
      </c>
      <c r="Q13" s="12"/>
      <c r="R13" s="12"/>
      <c r="S13" s="12"/>
      <c r="T13" s="12"/>
      <c r="U13" s="46"/>
      <c r="V13" s="46"/>
      <c r="W13" s="46"/>
      <c r="X13" s="46"/>
      <c r="Y13" s="46"/>
      <c r="Z13" s="46"/>
      <c r="AA13" s="46"/>
    </row>
    <row r="14" spans="1:27">
      <c r="A14" t="s">
        <v>202</v>
      </c>
      <c r="B14" s="12">
        <f>+buhvar!B30</f>
        <v>4698809.3730959753</v>
      </c>
      <c r="C14" s="46">
        <v>0</v>
      </c>
      <c r="D14" s="12">
        <f>+buhvar!D30</f>
        <v>0</v>
      </c>
      <c r="E14" s="46">
        <v>0</v>
      </c>
      <c r="F14" s="12">
        <f>+buhvar!F30</f>
        <v>0</v>
      </c>
      <c r="G14" s="46">
        <v>0</v>
      </c>
      <c r="H14" s="12">
        <f>+buhvar!H30</f>
        <v>0</v>
      </c>
      <c r="I14" s="51">
        <f>+(B14-J14)/ABS(J14)</f>
        <v>0.1508155031933007</v>
      </c>
      <c r="J14" s="12">
        <f>+buhvar!J30</f>
        <v>4083025.7848088127</v>
      </c>
      <c r="K14" s="50">
        <f>+(-L14+J14)/ABS(L14)</f>
        <v>0.14696267391198659</v>
      </c>
      <c r="L14" s="12">
        <f>+buhvar!L30</f>
        <v>3559859.3377783522</v>
      </c>
      <c r="M14" s="50">
        <f>+(-N14+L14)/ABS(N14)</f>
        <v>0.10282827524504266</v>
      </c>
      <c r="N14" s="12">
        <f>+buhvar!N30</f>
        <v>3227936.2233321141</v>
      </c>
      <c r="O14" s="50">
        <f>+(-P14+N14)/ABS(P14)</f>
        <v>-2.3798303326087841E-2</v>
      </c>
      <c r="P14" s="12">
        <f>+buhvar!P30</f>
        <v>3306628.3682257985</v>
      </c>
      <c r="Q14" s="12"/>
      <c r="R14" s="12"/>
      <c r="S14" s="12"/>
      <c r="T14" s="12"/>
      <c r="U14" s="46"/>
      <c r="V14" s="46"/>
      <c r="W14" s="46"/>
      <c r="X14" s="46"/>
      <c r="Y14" s="46"/>
      <c r="Z14" s="46"/>
      <c r="AA14" s="46"/>
    </row>
    <row r="15" spans="1:27">
      <c r="A15" t="s">
        <v>203</v>
      </c>
      <c r="B15" s="12">
        <f>+buhvar!B52</f>
        <v>282671.47166000004</v>
      </c>
      <c r="C15" s="46">
        <v>0</v>
      </c>
      <c r="D15" s="12">
        <f>+buhvar!D52</f>
        <v>0</v>
      </c>
      <c r="E15" s="46">
        <v>0</v>
      </c>
      <c r="F15" s="12">
        <f>+buhvar!F52</f>
        <v>0</v>
      </c>
      <c r="G15" s="46">
        <v>0</v>
      </c>
      <c r="H15" s="12">
        <f>+buhvar!H52</f>
        <v>0</v>
      </c>
      <c r="I15" s="51">
        <f>+(B15-J15)/ABS(J15)</f>
        <v>4.9765744027392624E-2</v>
      </c>
      <c r="J15" s="12">
        <f>+buhvar!J52</f>
        <v>269271</v>
      </c>
      <c r="K15" s="50">
        <f>+(-L15+J15)/ABS(L15)</f>
        <v>0.75283200742040757</v>
      </c>
      <c r="L15" s="12">
        <f>+buhvar!L52</f>
        <v>153620.54028000002</v>
      </c>
      <c r="M15" s="50">
        <f>+(-N15+L15)/ABS(N15)</f>
        <v>1.6752241522640823</v>
      </c>
      <c r="N15" s="12">
        <f>+buhvar!N52</f>
        <v>-227510.43452000001</v>
      </c>
      <c r="O15" s="50">
        <f>+(-P15+N15)/ABS(P15)</f>
        <v>-0.24455672223815147</v>
      </c>
      <c r="P15" s="12">
        <f>+buhvar!P52</f>
        <v>-182804.39168</v>
      </c>
      <c r="Q15" s="12"/>
      <c r="R15" s="12"/>
      <c r="S15" s="12"/>
      <c r="T15" s="12"/>
      <c r="U15" s="46"/>
      <c r="V15" s="46"/>
      <c r="W15" s="46"/>
      <c r="X15" s="46"/>
      <c r="Y15" s="46"/>
      <c r="Z15" s="46"/>
      <c r="AA15" s="46"/>
    </row>
    <row r="16" spans="1:27">
      <c r="B16" s="12"/>
      <c r="C16" s="12"/>
      <c r="D16" s="12"/>
      <c r="E16" s="12"/>
      <c r="F16" s="12"/>
      <c r="G16" s="12"/>
      <c r="H16" s="12"/>
      <c r="I16" s="12"/>
      <c r="J16" s="12"/>
      <c r="K16" s="12"/>
      <c r="L16" s="12"/>
      <c r="M16" s="12"/>
      <c r="N16" s="12"/>
      <c r="O16" s="12"/>
      <c r="P16" s="12"/>
      <c r="Q16" s="12"/>
      <c r="R16" s="12"/>
      <c r="S16" s="12"/>
      <c r="T16" s="12"/>
      <c r="U16" s="46"/>
      <c r="V16" s="46"/>
      <c r="W16" s="46"/>
      <c r="X16" s="46"/>
      <c r="Y16" s="46"/>
      <c r="Z16" s="46"/>
      <c r="AA16" s="46"/>
    </row>
    <row r="17" spans="1:27" ht="7.9" customHeight="1" thickBot="1">
      <c r="A17" s="25"/>
      <c r="B17" s="290"/>
      <c r="C17" s="290"/>
      <c r="D17" s="290"/>
      <c r="E17" s="290"/>
      <c r="F17" s="290"/>
      <c r="G17" s="290"/>
      <c r="H17" s="290"/>
      <c r="I17" s="290"/>
      <c r="J17" s="290"/>
      <c r="K17" s="290"/>
      <c r="L17" s="290"/>
      <c r="M17" s="290"/>
      <c r="N17" s="290"/>
      <c r="O17" s="290"/>
      <c r="P17" s="290"/>
      <c r="Q17" s="12"/>
      <c r="R17" s="12"/>
      <c r="S17" s="12"/>
      <c r="T17" s="12"/>
      <c r="U17" s="46"/>
      <c r="V17" s="46"/>
      <c r="W17" s="46"/>
      <c r="X17" s="46"/>
      <c r="Y17" s="46"/>
      <c r="Z17" s="46"/>
      <c r="AA17" s="46"/>
    </row>
    <row r="18" spans="1:27">
      <c r="B18" s="12"/>
      <c r="C18" s="12"/>
      <c r="D18" s="12"/>
      <c r="E18" s="12"/>
      <c r="F18" s="12"/>
      <c r="G18" s="12"/>
      <c r="H18" s="12"/>
      <c r="I18" s="12"/>
      <c r="J18" s="12"/>
      <c r="K18" s="12"/>
      <c r="L18" s="12"/>
      <c r="M18" s="12"/>
      <c r="N18" s="12"/>
      <c r="O18" s="12"/>
      <c r="P18" s="12"/>
      <c r="Q18" s="12"/>
      <c r="R18" s="12"/>
      <c r="S18" s="12"/>
      <c r="T18" s="12"/>
      <c r="U18" s="46"/>
      <c r="V18" s="46"/>
      <c r="W18" s="46"/>
      <c r="X18" s="46"/>
      <c r="Y18" s="46"/>
      <c r="Z18" s="46"/>
      <c r="AA18" s="46"/>
    </row>
    <row r="19" spans="1:27">
      <c r="B19" s="82" t="str">
        <f>+'bphinfin     '!B19</f>
        <v>2015</v>
      </c>
      <c r="C19" s="12"/>
      <c r="D19" s="82" t="str">
        <f>+'bphinfin     '!D19</f>
        <v>2014</v>
      </c>
      <c r="E19" s="12"/>
      <c r="F19" s="82" t="str">
        <f>+'bphinfin     '!F19</f>
        <v>2015</v>
      </c>
      <c r="G19" s="12"/>
      <c r="H19" s="82" t="str">
        <f>+'bphinfin     '!H19</f>
        <v>2014</v>
      </c>
      <c r="I19" s="12"/>
      <c r="J19" s="82" t="str">
        <f>+'bphinfin     '!J19</f>
        <v>2015</v>
      </c>
      <c r="K19" s="12"/>
      <c r="L19" s="82" t="str">
        <f>+'bphinfin     '!L19</f>
        <v>2014</v>
      </c>
      <c r="M19" s="12"/>
      <c r="N19" s="82" t="str">
        <f>+'bphinfin     '!N19</f>
        <v>2015</v>
      </c>
      <c r="O19" s="12"/>
      <c r="P19" s="82" t="str">
        <f>+'bphinfin     '!P19</f>
        <v>2014</v>
      </c>
      <c r="Q19" s="12"/>
      <c r="R19" s="82" t="str">
        <f>+'bphinfin     '!R19</f>
        <v>2015</v>
      </c>
      <c r="S19" s="12"/>
      <c r="T19" s="82" t="str">
        <f>+'bphinfin     '!T19</f>
        <v>2014</v>
      </c>
      <c r="U19" s="46"/>
      <c r="V19" s="46"/>
      <c r="W19" s="46"/>
      <c r="X19" s="46"/>
      <c r="Y19" s="46"/>
      <c r="Z19" s="46"/>
      <c r="AA19" s="46"/>
    </row>
    <row r="20" spans="1:27">
      <c r="B20" s="2" t="s">
        <v>204</v>
      </c>
      <c r="C20" s="2" t="s">
        <v>196</v>
      </c>
      <c r="D20" s="2" t="s">
        <v>204</v>
      </c>
      <c r="E20" s="12"/>
      <c r="F20" s="2" t="s">
        <v>205</v>
      </c>
      <c r="G20" s="2" t="s">
        <v>196</v>
      </c>
      <c r="H20" s="2" t="s">
        <v>205</v>
      </c>
      <c r="I20" s="12"/>
      <c r="J20" s="2" t="s">
        <v>206</v>
      </c>
      <c r="K20" s="2" t="s">
        <v>196</v>
      </c>
      <c r="L20" s="2" t="s">
        <v>206</v>
      </c>
      <c r="M20" s="12"/>
      <c r="N20" s="2" t="s">
        <v>207</v>
      </c>
      <c r="O20" s="2" t="s">
        <v>196</v>
      </c>
      <c r="P20" s="2" t="s">
        <v>207</v>
      </c>
      <c r="Q20" s="12"/>
      <c r="R20" s="2" t="s">
        <v>208</v>
      </c>
      <c r="S20" s="2" t="s">
        <v>196</v>
      </c>
      <c r="T20" s="2" t="s">
        <v>208</v>
      </c>
      <c r="U20" s="46"/>
      <c r="V20" s="46"/>
      <c r="W20" s="46"/>
      <c r="X20" s="46"/>
      <c r="Y20" s="46"/>
      <c r="Z20" s="46"/>
      <c r="AA20" s="46"/>
    </row>
    <row r="21" spans="1:27" ht="16.5" thickBot="1">
      <c r="B21" s="200" t="str">
        <f>+'bphinfin     '!B21</f>
        <v>(oct. - déc. 14)</v>
      </c>
      <c r="C21" s="200"/>
      <c r="D21" s="200" t="str">
        <f>+'bphinfin     '!D21</f>
        <v>(oct. - déc. 13)</v>
      </c>
      <c r="E21" s="12"/>
      <c r="F21" s="200" t="str">
        <f>+'bphinfin     '!F21</f>
        <v>(janv. - mars 15)</v>
      </c>
      <c r="G21" s="200"/>
      <c r="H21" s="200" t="str">
        <f>+'bphinfin     '!H21</f>
        <v>(janv. - mars 14)</v>
      </c>
      <c r="I21" s="12"/>
      <c r="J21" s="200" t="str">
        <f>+'bphinfin     '!J21</f>
        <v>(avril - juin 15)</v>
      </c>
      <c r="K21" s="25"/>
      <c r="L21" s="200" t="str">
        <f>+'bphinfin     '!L21</f>
        <v>(avril - juin 14)</v>
      </c>
      <c r="M21" s="12"/>
      <c r="N21" s="200" t="str">
        <f>+'bphinfin     '!N21</f>
        <v>(juil. - sept. 15)</v>
      </c>
      <c r="O21" s="200"/>
      <c r="P21" s="200" t="str">
        <f>+'bphinfin     '!P21</f>
        <v>(juil. - sept. 14)</v>
      </c>
      <c r="Q21" s="12"/>
      <c r="R21" s="200" t="str">
        <f>+'bphinfin     '!R21</f>
        <v>(oct. - déc. 14)</v>
      </c>
      <c r="S21" s="200"/>
      <c r="T21" s="200" t="str">
        <f>+'bphinfin     '!T21</f>
        <v>(oct. - déc. 13)</v>
      </c>
      <c r="U21" s="46"/>
      <c r="V21" s="46"/>
      <c r="W21" s="46"/>
      <c r="X21" s="46"/>
      <c r="Y21" s="46"/>
      <c r="Z21" s="46"/>
      <c r="AA21" s="46"/>
    </row>
    <row r="22" spans="1:27">
      <c r="A22" s="11" t="s">
        <v>22</v>
      </c>
      <c r="B22" s="12" t="s">
        <v>0</v>
      </c>
      <c r="C22" s="12"/>
      <c r="D22" s="12"/>
      <c r="E22" s="12"/>
      <c r="F22" s="12"/>
      <c r="G22" s="12"/>
      <c r="H22" s="12"/>
      <c r="I22" s="12"/>
      <c r="J22" s="12"/>
      <c r="K22" s="12"/>
      <c r="L22" s="12"/>
      <c r="M22" s="12"/>
      <c r="N22" s="12"/>
      <c r="O22" s="12"/>
      <c r="P22" s="12"/>
      <c r="Q22" s="12"/>
      <c r="R22" s="12"/>
      <c r="S22" s="83" t="s">
        <v>0</v>
      </c>
      <c r="T22" s="12"/>
      <c r="U22" s="46"/>
      <c r="V22" s="46"/>
      <c r="W22" s="46"/>
      <c r="X22" s="46"/>
      <c r="Y22" s="46"/>
      <c r="Z22" s="46"/>
      <c r="AA22" s="46"/>
    </row>
    <row r="23" spans="1:27">
      <c r="A23" t="s">
        <v>209</v>
      </c>
      <c r="B23" s="12">
        <f>+buhrésult!B15</f>
        <v>65910.800005431985</v>
      </c>
      <c r="C23" s="50">
        <f>+(B23-D23)/ABS(D23)</f>
        <v>0.15974791584477824</v>
      </c>
      <c r="D23" s="12">
        <f>+buhrésult!D55</f>
        <v>56832.005563399995</v>
      </c>
      <c r="E23" s="12"/>
      <c r="F23" s="12">
        <f>+buhrésult!D15</f>
        <v>0</v>
      </c>
      <c r="G23" s="46">
        <v>0</v>
      </c>
      <c r="H23" s="12">
        <f>+buhrésult!H55</f>
        <v>50484.825906075996</v>
      </c>
      <c r="I23" s="12"/>
      <c r="J23" s="12">
        <f>+buhrésult!F15</f>
        <v>0</v>
      </c>
      <c r="K23" s="46">
        <v>0</v>
      </c>
      <c r="L23" s="12">
        <f>+buhrésult!L55</f>
        <v>55920.465366891993</v>
      </c>
      <c r="M23" s="12"/>
      <c r="N23" s="12">
        <f>+buhrésult!H15</f>
        <v>0</v>
      </c>
      <c r="O23" s="46">
        <v>0</v>
      </c>
      <c r="P23" s="12">
        <f>+buhrésult!P55</f>
        <v>61494.102224061011</v>
      </c>
      <c r="Q23" s="12"/>
      <c r="R23" s="12">
        <f>+buhrésult!R55</f>
        <v>65910.800005431985</v>
      </c>
      <c r="S23" s="50">
        <f>+(-T23+R23)/ABS(T23)</f>
        <v>0.15974791584477824</v>
      </c>
      <c r="T23" s="12">
        <f>+buhrésult!T55</f>
        <v>56832.005563399995</v>
      </c>
      <c r="U23" s="46"/>
      <c r="V23" s="46"/>
      <c r="W23" s="46"/>
      <c r="X23" s="46"/>
      <c r="Y23" s="46"/>
      <c r="Z23" s="46"/>
      <c r="AA23" s="46"/>
    </row>
    <row r="24" spans="1:27">
      <c r="A24" t="s">
        <v>210</v>
      </c>
      <c r="B24" s="12">
        <f>+buhrésult!B21</f>
        <v>42416.731480000002</v>
      </c>
      <c r="C24" s="50">
        <f>+(B24-D24)/ABS(D24)</f>
        <v>9.2845765992337986E-2</v>
      </c>
      <c r="D24" s="12">
        <f>+buhrésult!D61</f>
        <v>38813.099524144003</v>
      </c>
      <c r="E24" s="12"/>
      <c r="F24" s="12">
        <f>+buhrésult!D21</f>
        <v>0</v>
      </c>
      <c r="G24" s="46">
        <v>0</v>
      </c>
      <c r="H24" s="12">
        <f>+buhrésult!H61</f>
        <v>35268.602415855996</v>
      </c>
      <c r="I24" s="12"/>
      <c r="J24" s="12">
        <f>+buhrésult!F21</f>
        <v>0</v>
      </c>
      <c r="K24" s="46">
        <v>0</v>
      </c>
      <c r="L24" s="12">
        <f>+buhrésult!L61</f>
        <v>31243.584853</v>
      </c>
      <c r="M24" s="12"/>
      <c r="N24" s="12">
        <f>+buhrésult!H21</f>
        <v>0</v>
      </c>
      <c r="O24" s="46">
        <v>0</v>
      </c>
      <c r="P24" s="12">
        <f>+buhrésult!P61</f>
        <v>54920.045027</v>
      </c>
      <c r="Q24" s="12"/>
      <c r="R24" s="12">
        <f>+buhrésult!R61</f>
        <v>42416.731480000002</v>
      </c>
      <c r="S24" s="50">
        <f>+(-T24+R24)/ABS(T24)</f>
        <v>9.2845765992337986E-2</v>
      </c>
      <c r="T24" s="12">
        <f>+buhrésult!T61</f>
        <v>38813.099524144003</v>
      </c>
      <c r="U24" s="46"/>
      <c r="V24" s="46"/>
      <c r="W24" s="46"/>
      <c r="X24" s="46"/>
      <c r="Y24" s="46"/>
      <c r="Z24" s="46"/>
      <c r="AA24" s="46"/>
    </row>
    <row r="25" spans="1:27">
      <c r="A25" t="s">
        <v>643</v>
      </c>
      <c r="B25" s="12">
        <f>+buhrésult!B25</f>
        <v>3811.9420599999999</v>
      </c>
      <c r="C25" s="50">
        <f>+(B25-D25)/ABS(D25)</f>
        <v>-0.45869920505305217</v>
      </c>
      <c r="D25" s="12">
        <f>+buhrésult!D65</f>
        <v>7042.1881800000001</v>
      </c>
      <c r="E25" s="12"/>
      <c r="F25" s="12">
        <f>+buhrésult!D25</f>
        <v>0</v>
      </c>
      <c r="G25" s="46">
        <v>0</v>
      </c>
      <c r="H25" s="12">
        <f>+buhrésult!H65</f>
        <v>2559.2770499999997</v>
      </c>
      <c r="I25" s="12"/>
      <c r="J25" s="12">
        <f>+buhrésult!F25</f>
        <v>0</v>
      </c>
      <c r="K25" s="46">
        <v>0</v>
      </c>
      <c r="L25" s="12">
        <f>+buhrésult!L65</f>
        <v>-2012.066509999999</v>
      </c>
      <c r="M25" s="12"/>
      <c r="N25" s="12">
        <f>+buhrésult!H25</f>
        <v>0</v>
      </c>
      <c r="O25" s="46">
        <v>0</v>
      </c>
      <c r="P25" s="12">
        <f>+buhrésult!P65</f>
        <v>-19336.681379999998</v>
      </c>
      <c r="Q25" s="12"/>
      <c r="R25" s="12">
        <f>+buhrésult!R65</f>
        <v>3811.9420599999999</v>
      </c>
      <c r="S25" s="50">
        <f>+(-T25+R25)/ABS(T25)</f>
        <v>-0.45869920505305217</v>
      </c>
      <c r="T25" s="12">
        <f>+buhrésult!T65</f>
        <v>7042.1881800000001</v>
      </c>
      <c r="U25" s="46"/>
      <c r="V25" s="46"/>
      <c r="W25" s="46"/>
      <c r="X25" s="46"/>
      <c r="Y25" s="46"/>
      <c r="Z25" s="46"/>
      <c r="AA25" s="46"/>
    </row>
    <row r="26" spans="1:27">
      <c r="A26" t="s">
        <v>212</v>
      </c>
      <c r="B26" s="12">
        <f>+buhrésult!B35</f>
        <v>91115.163549999997</v>
      </c>
      <c r="C26" s="50">
        <f>+(B26-D26)/ABS(D26)</f>
        <v>0.12764914827348622</v>
      </c>
      <c r="D26" s="12">
        <f>+buhrésult!D75</f>
        <v>80800.986449999997</v>
      </c>
      <c r="E26" s="12"/>
      <c r="F26" s="12">
        <f>+buhrésult!D35</f>
        <v>0</v>
      </c>
      <c r="G26" s="46">
        <v>0</v>
      </c>
      <c r="H26" s="12">
        <f>+buhrésult!H75</f>
        <v>94656.64129497933</v>
      </c>
      <c r="I26" s="12"/>
      <c r="J26" s="12">
        <f>+buhrésult!F35</f>
        <v>0</v>
      </c>
      <c r="K26" s="46">
        <v>0</v>
      </c>
      <c r="L26" s="12">
        <f>+buhrésult!L75</f>
        <v>87924.29667716354</v>
      </c>
      <c r="M26" s="12"/>
      <c r="N26" s="12">
        <f>+buhrésult!H35</f>
        <v>0</v>
      </c>
      <c r="O26" s="46">
        <v>0</v>
      </c>
      <c r="P26" s="12">
        <f>+buhrésult!P75</f>
        <v>123773.73302785715</v>
      </c>
      <c r="Q26" s="12"/>
      <c r="R26" s="12">
        <f>+buhrésult!R75</f>
        <v>91115.163549999997</v>
      </c>
      <c r="S26" s="50">
        <f>+(-T26+R26)/ABS(T26)</f>
        <v>0.12764914827348622</v>
      </c>
      <c r="T26" s="12">
        <f>+buhrésult!T75</f>
        <v>80800.986449999997</v>
      </c>
      <c r="U26" s="46"/>
      <c r="V26" s="46"/>
      <c r="W26" s="46"/>
      <c r="X26" s="46"/>
      <c r="Y26" s="46"/>
      <c r="Z26" s="46"/>
      <c r="AA26" s="46"/>
    </row>
    <row r="27" spans="1:27">
      <c r="A27" t="s">
        <v>383</v>
      </c>
      <c r="B27" s="12">
        <f>+buhrésult!B41</f>
        <v>13400.425875431989</v>
      </c>
      <c r="C27" s="50">
        <f>+(B27-D27)/ABS(D27)</f>
        <v>0.71757822610102506</v>
      </c>
      <c r="D27" s="12">
        <f>+buhrésult!D81</f>
        <v>7801.9304575440037</v>
      </c>
      <c r="E27" s="12"/>
      <c r="F27" s="12">
        <f>+buhrésult!D41</f>
        <v>0</v>
      </c>
      <c r="G27" s="46">
        <v>0</v>
      </c>
      <c r="H27" s="12">
        <f>+buhrésult!H81</f>
        <v>-11462.490023047343</v>
      </c>
      <c r="I27" s="12"/>
      <c r="J27" s="12">
        <f>+buhrésult!F41</f>
        <v>0</v>
      </c>
      <c r="K27" s="46">
        <v>0</v>
      </c>
      <c r="L27" s="12">
        <f>+buhrésult!L81</f>
        <v>1251.8200527284644</v>
      </c>
      <c r="M27" s="12"/>
      <c r="N27" s="12">
        <f>+buhrésult!H41</f>
        <v>0</v>
      </c>
      <c r="O27" s="46">
        <v>0</v>
      </c>
      <c r="P27" s="12">
        <f>+buhrésult!P81</f>
        <v>11977.095603203867</v>
      </c>
      <c r="Q27" s="12"/>
      <c r="R27" s="12">
        <f>+buhrésult!R81</f>
        <v>13400.425875431989</v>
      </c>
      <c r="S27" s="50">
        <f>+(-T27+R27)/ABS(T27)</f>
        <v>0.71757822610102506</v>
      </c>
      <c r="T27" s="12">
        <f>+buhrésult!T81</f>
        <v>7801.9304575440037</v>
      </c>
      <c r="U27" s="46"/>
      <c r="V27" s="46"/>
      <c r="W27" s="46"/>
      <c r="X27" s="46"/>
      <c r="Y27" s="46"/>
      <c r="Z27" s="46"/>
      <c r="AA27" s="46"/>
    </row>
    <row r="28" spans="1:27">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ht="6.6" customHeight="1" thickBot="1">
      <c r="A29" s="25"/>
      <c r="B29" s="190"/>
      <c r="C29" s="190"/>
      <c r="D29" s="190"/>
      <c r="E29" s="190"/>
      <c r="F29" s="190"/>
      <c r="G29" s="190"/>
      <c r="H29" s="190"/>
      <c r="I29" s="190"/>
      <c r="J29" s="190"/>
      <c r="K29" s="190"/>
      <c r="L29" s="190"/>
      <c r="M29" s="190"/>
      <c r="N29" s="190"/>
      <c r="O29" s="190"/>
      <c r="P29" s="190"/>
      <c r="Q29" s="190"/>
      <c r="R29" s="190"/>
      <c r="S29" s="190"/>
      <c r="T29" s="190"/>
      <c r="U29" s="46"/>
      <c r="V29" s="46"/>
      <c r="W29" s="46"/>
      <c r="X29" s="46"/>
      <c r="Y29" s="46"/>
      <c r="Z29" s="46"/>
      <c r="AA29" s="46"/>
    </row>
    <row r="30" spans="1:27">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row r="31" spans="1:27">
      <c r="B31" s="56" t="str">
        <f>+'bphinfin     '!B31</f>
        <v>2015</v>
      </c>
      <c r="C31" s="56" t="str">
        <f>+'bphinfin     '!C31</f>
        <v>2014</v>
      </c>
      <c r="D31" s="46"/>
      <c r="E31" s="56" t="str">
        <f>+'bphinfin     '!E31</f>
        <v>2015</v>
      </c>
      <c r="F31" s="56" t="str">
        <f>+'bphinfin     '!F31</f>
        <v>2014</v>
      </c>
      <c r="G31" s="46"/>
      <c r="H31" s="56" t="str">
        <f>+'bphinfin     '!H31</f>
        <v>2015</v>
      </c>
      <c r="I31" s="56" t="str">
        <f>+'bphinfin     '!I31</f>
        <v>2014</v>
      </c>
      <c r="J31" s="46"/>
      <c r="K31" s="56" t="str">
        <f>+'bphinfin     '!K31</f>
        <v>2015</v>
      </c>
      <c r="L31" s="56" t="str">
        <f>+'bphinfin     '!L31</f>
        <v>2014</v>
      </c>
      <c r="M31" s="46"/>
      <c r="N31" s="56" t="str">
        <f>+'bphinfin     '!N31</f>
        <v>2015</v>
      </c>
      <c r="O31" s="56" t="str">
        <f>+'bphinfin     '!O31</f>
        <v>2014</v>
      </c>
      <c r="P31" s="46"/>
      <c r="U31" s="46"/>
      <c r="V31" s="46"/>
      <c r="W31" s="46"/>
      <c r="X31" s="46"/>
      <c r="Y31" s="46"/>
      <c r="Z31" s="46"/>
      <c r="AA31" s="46"/>
    </row>
    <row r="32" spans="1:27" ht="16.5" thickBot="1">
      <c r="B32" s="55" t="s">
        <v>204</v>
      </c>
      <c r="C32" s="55" t="s">
        <v>204</v>
      </c>
      <c r="D32" s="46"/>
      <c r="E32" s="55" t="s">
        <v>205</v>
      </c>
      <c r="F32" s="55" t="s">
        <v>205</v>
      </c>
      <c r="G32" s="46"/>
      <c r="H32" s="55" t="s">
        <v>206</v>
      </c>
      <c r="I32" s="55" t="s">
        <v>206</v>
      </c>
      <c r="J32" s="46"/>
      <c r="K32" s="55" t="s">
        <v>207</v>
      </c>
      <c r="L32" s="55" t="s">
        <v>207</v>
      </c>
      <c r="M32" s="46"/>
      <c r="N32" s="55" t="s">
        <v>208</v>
      </c>
      <c r="O32" s="55" t="s">
        <v>208</v>
      </c>
      <c r="P32" s="46"/>
      <c r="Q32" s="111" t="s">
        <v>214</v>
      </c>
      <c r="R32" s="39"/>
      <c r="S32" s="39"/>
      <c r="T32" s="39"/>
      <c r="U32" s="46"/>
      <c r="V32" s="46"/>
      <c r="W32" s="46"/>
      <c r="X32" s="46"/>
      <c r="Y32" s="46"/>
      <c r="Z32" s="46"/>
      <c r="AA32" s="46"/>
    </row>
    <row r="33" spans="1:27" ht="16.5" thickBot="1">
      <c r="B33" s="291" t="str">
        <f>+'bphinfin     '!B33</f>
        <v>(oct. - déc. 14)</v>
      </c>
      <c r="C33" s="291" t="str">
        <f>+'bphinfin     '!C33</f>
        <v>(oct. - déc. 13)</v>
      </c>
      <c r="D33" s="46"/>
      <c r="E33" s="291" t="str">
        <f>+'bphinfin     '!E33</f>
        <v>(janv. - mars 15)</v>
      </c>
      <c r="F33" s="291" t="str">
        <f>+'bphinfin     '!F33</f>
        <v>(janv. - mars 14)</v>
      </c>
      <c r="G33" s="46"/>
      <c r="H33" s="291" t="str">
        <f>+'bphinfin     '!H33</f>
        <v>(avril - juin 15)</v>
      </c>
      <c r="I33" s="291" t="str">
        <f>+'bphinfin     '!I33</f>
        <v>(avril - juin 14)</v>
      </c>
      <c r="J33" s="46"/>
      <c r="K33" s="291" t="str">
        <f>+'bphinfin     '!K33</f>
        <v>(juil. - sept. 15)</v>
      </c>
      <c r="L33" s="291" t="str">
        <f>+'bphinfin     '!L33</f>
        <v>(juil. - sept. 14)</v>
      </c>
      <c r="M33" s="46"/>
      <c r="N33" s="972" t="str">
        <f>+'bphinfin     '!N33</f>
        <v>(oct. - déc. 14)</v>
      </c>
      <c r="O33" s="972" t="str">
        <f>+'bphinfin     '!O33</f>
        <v>(oct. - déc. 13)</v>
      </c>
      <c r="P33" s="46"/>
      <c r="Q33" s="163" t="str">
        <f>+'bphinfin     '!Q33</f>
        <v>2014</v>
      </c>
      <c r="R33" s="163" t="str">
        <f>+'bphinfin     '!R33</f>
        <v>2013</v>
      </c>
      <c r="S33" s="163" t="str">
        <f>+'bphinfin     '!S33</f>
        <v>2012</v>
      </c>
      <c r="T33" s="163" t="str">
        <f>+'bphinfin     '!T33</f>
        <v>2011</v>
      </c>
      <c r="U33" s="46"/>
      <c r="V33" s="46"/>
      <c r="W33" s="46"/>
      <c r="X33" s="46"/>
      <c r="Y33" s="46"/>
      <c r="Z33" s="46"/>
      <c r="AA33" s="46"/>
    </row>
    <row r="34" spans="1:27">
      <c r="A34" s="11" t="s">
        <v>215</v>
      </c>
      <c r="B34" s="46"/>
      <c r="C34" s="46"/>
      <c r="D34" s="46" t="s">
        <v>0</v>
      </c>
      <c r="E34" s="46"/>
      <c r="F34" s="46"/>
      <c r="G34" s="46"/>
      <c r="H34" s="46"/>
      <c r="I34" s="46"/>
      <c r="J34" s="46"/>
      <c r="K34" s="46"/>
      <c r="L34" s="46"/>
      <c r="M34" s="46"/>
      <c r="N34" s="46"/>
      <c r="O34" s="46"/>
      <c r="P34" s="46"/>
      <c r="Q34" s="46"/>
      <c r="R34" s="46"/>
      <c r="S34" s="46"/>
      <c r="T34" s="46"/>
      <c r="U34" s="46"/>
      <c r="V34" s="46"/>
      <c r="W34" s="46"/>
      <c r="X34" s="46"/>
      <c r="Y34" s="46"/>
      <c r="Z34" s="46"/>
      <c r="AA34" s="46"/>
    </row>
    <row r="35" spans="1:27">
      <c r="A35" s="164" t="s">
        <v>216</v>
      </c>
      <c r="B35" s="46"/>
      <c r="C35" s="46"/>
      <c r="D35" s="46" t="s">
        <v>0</v>
      </c>
      <c r="E35" s="46"/>
      <c r="F35" s="46"/>
      <c r="G35" s="46"/>
      <c r="H35" s="46"/>
      <c r="I35" s="46"/>
      <c r="J35" s="46"/>
      <c r="K35" s="46"/>
      <c r="L35" s="46"/>
      <c r="M35" s="46"/>
      <c r="N35" s="46"/>
      <c r="O35" s="46"/>
      <c r="P35" s="46"/>
      <c r="Q35" s="46"/>
      <c r="R35" s="46"/>
      <c r="S35" s="46"/>
      <c r="T35" s="46"/>
      <c r="U35" s="46"/>
      <c r="V35" s="46"/>
      <c r="W35" s="46"/>
      <c r="X35" s="46"/>
      <c r="Y35" s="46"/>
      <c r="Z35" s="46"/>
      <c r="AA35" s="46"/>
    </row>
    <row r="36" spans="1:27">
      <c r="A36" s="11" t="s">
        <v>384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row>
    <row r="37" spans="1:27">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row>
    <row r="38" spans="1:27">
      <c r="A38" s="11" t="s">
        <v>218</v>
      </c>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row>
    <row r="39" spans="1:27">
      <c r="A39" s="11"/>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row>
    <row r="40" spans="1:27">
      <c r="A40" t="s">
        <v>219</v>
      </c>
      <c r="B40" s="54"/>
      <c r="C40" s="54"/>
      <c r="D40" s="54"/>
      <c r="E40" s="54"/>
      <c r="F40" s="54"/>
      <c r="G40" s="54"/>
      <c r="H40" s="54"/>
      <c r="I40" s="54"/>
      <c r="J40" s="54"/>
      <c r="K40" s="54"/>
      <c r="L40" s="54"/>
      <c r="M40" s="54"/>
      <c r="N40" s="54"/>
      <c r="O40" s="54"/>
      <c r="P40" s="54"/>
      <c r="Q40" s="54"/>
      <c r="R40" s="54"/>
      <c r="S40" s="54"/>
      <c r="T40" s="54"/>
      <c r="U40" s="46"/>
      <c r="V40" s="46"/>
      <c r="W40" s="46"/>
      <c r="X40" s="46"/>
      <c r="Y40" s="46"/>
      <c r="Z40" s="46"/>
      <c r="AA40" s="46"/>
    </row>
    <row r="41" spans="1:27">
      <c r="A41" t="s">
        <v>220</v>
      </c>
      <c r="B41" s="60">
        <f>+buhvar!B52/buhvar!B23</f>
        <v>5.0175272001862649E-2</v>
      </c>
      <c r="C41" s="60">
        <v>3.7701707092379681E-2</v>
      </c>
      <c r="D41" s="60"/>
      <c r="E41" s="54">
        <v>0</v>
      </c>
      <c r="F41" s="60">
        <v>5.7586176119218305E-2</v>
      </c>
      <c r="G41" s="60"/>
      <c r="H41" s="54">
        <v>0</v>
      </c>
      <c r="I41" s="60">
        <v>5.5605232022362866E-2</v>
      </c>
      <c r="J41" s="60"/>
      <c r="K41" s="54">
        <v>0</v>
      </c>
      <c r="L41" s="60">
        <v>5.4016636608987333E-2</v>
      </c>
      <c r="M41" s="60"/>
      <c r="N41" s="60">
        <f>+B41</f>
        <v>5.0175272001862649E-2</v>
      </c>
      <c r="O41" s="60">
        <f>+C41</f>
        <v>3.7701707092379681E-2</v>
      </c>
      <c r="P41" s="60"/>
      <c r="Q41" s="60">
        <v>5.3999999999999999E-2</v>
      </c>
      <c r="R41" s="60">
        <v>3.7999999999999999E-2</v>
      </c>
      <c r="S41" s="60">
        <v>-6.9500000000000006E-2</v>
      </c>
      <c r="T41" s="60">
        <v>-5.3893904930980931E-2</v>
      </c>
      <c r="U41" s="46"/>
      <c r="V41" s="46"/>
      <c r="W41" s="46"/>
      <c r="X41" s="46"/>
      <c r="Y41" s="46"/>
      <c r="Z41" s="46"/>
      <c r="AA41" s="46"/>
    </row>
    <row r="42" spans="1:27">
      <c r="B42" s="60"/>
      <c r="C42" s="60"/>
      <c r="D42" s="60"/>
      <c r="E42" s="61"/>
      <c r="F42" s="61"/>
      <c r="G42" s="60"/>
      <c r="H42" s="61"/>
      <c r="I42" s="63"/>
      <c r="J42" s="60"/>
      <c r="K42" s="61"/>
      <c r="L42" s="60"/>
      <c r="M42" s="60"/>
      <c r="N42" s="60"/>
      <c r="O42" s="60"/>
      <c r="P42" s="60"/>
      <c r="Q42" s="60"/>
      <c r="R42" s="60"/>
      <c r="S42" s="60"/>
      <c r="T42" s="60"/>
      <c r="U42" s="46"/>
      <c r="V42" s="46"/>
      <c r="W42" s="46"/>
      <c r="X42" s="46"/>
      <c r="Y42" s="46"/>
      <c r="Z42" s="46"/>
      <c r="AA42" s="46"/>
    </row>
    <row r="43" spans="1:27">
      <c r="A43" t="s">
        <v>221</v>
      </c>
      <c r="B43" s="60">
        <f>+buhvar!B30/buhvar!B23</f>
        <v>0.83405671253437108</v>
      </c>
      <c r="C43" s="60">
        <v>0.88202435197967621</v>
      </c>
      <c r="D43" s="60"/>
      <c r="E43" s="54">
        <v>0</v>
      </c>
      <c r="F43" s="60">
        <v>0.85561750002104942</v>
      </c>
      <c r="G43" s="60"/>
      <c r="H43" s="54">
        <v>0</v>
      </c>
      <c r="I43" s="60">
        <v>0.85068983909909357</v>
      </c>
      <c r="J43" s="60"/>
      <c r="K43" s="54">
        <v>0</v>
      </c>
      <c r="L43" s="60">
        <v>0.81906822525687106</v>
      </c>
      <c r="M43" s="60"/>
      <c r="N43" s="60">
        <f>+B43</f>
        <v>0.83405671253437108</v>
      </c>
      <c r="O43" s="60">
        <f>+C43</f>
        <v>0.88202435197967621</v>
      </c>
      <c r="P43" s="60"/>
      <c r="Q43" s="60">
        <v>0.81910000000000005</v>
      </c>
      <c r="R43" s="60">
        <v>0.87949999999999995</v>
      </c>
      <c r="S43" s="60">
        <v>0.98580000000000001</v>
      </c>
      <c r="T43" s="60">
        <v>0.97485138776752278</v>
      </c>
      <c r="U43" s="46"/>
      <c r="V43" s="46"/>
      <c r="W43" s="46"/>
      <c r="X43" s="46"/>
      <c r="Y43" s="46"/>
      <c r="Z43" s="46"/>
      <c r="AA43" s="46"/>
    </row>
    <row r="44" spans="1:27">
      <c r="A44" t="s">
        <v>0</v>
      </c>
      <c r="B44" s="60"/>
      <c r="C44" s="60"/>
      <c r="D44" s="60"/>
      <c r="E44" s="61"/>
      <c r="F44" s="61"/>
      <c r="G44" s="60"/>
      <c r="H44" s="61"/>
      <c r="I44" s="63"/>
      <c r="J44" s="60"/>
      <c r="K44" s="61"/>
      <c r="L44" s="60"/>
      <c r="M44" s="60"/>
      <c r="N44" s="60"/>
      <c r="O44" s="60"/>
      <c r="P44" s="60"/>
      <c r="Q44" s="60"/>
      <c r="R44" s="60"/>
      <c r="S44" s="60"/>
      <c r="T44" s="60"/>
      <c r="U44" s="46"/>
      <c r="V44" s="46"/>
      <c r="W44" s="46"/>
      <c r="X44" s="46"/>
      <c r="Y44" s="46"/>
      <c r="Z44" s="46"/>
      <c r="AA44" s="46"/>
    </row>
    <row r="45" spans="1:27">
      <c r="A45" s="11" t="s">
        <v>222</v>
      </c>
      <c r="B45" s="60"/>
      <c r="C45" s="60"/>
      <c r="D45" s="60"/>
      <c r="E45" s="61"/>
      <c r="F45" s="61"/>
      <c r="G45" s="60"/>
      <c r="H45" s="61"/>
      <c r="I45" s="63"/>
      <c r="J45" s="60"/>
      <c r="K45" s="61"/>
      <c r="L45" s="60"/>
      <c r="M45" s="60"/>
      <c r="N45" s="60"/>
      <c r="O45" s="60"/>
      <c r="P45" s="60"/>
      <c r="Q45" s="60"/>
      <c r="R45" s="60"/>
      <c r="S45" s="60"/>
      <c r="T45" s="60"/>
      <c r="U45" s="46"/>
      <c r="V45" s="46"/>
      <c r="W45" s="46"/>
      <c r="X45" s="46"/>
      <c r="Y45" s="46"/>
      <c r="Z45" s="46"/>
      <c r="AA45" s="46"/>
    </row>
    <row r="46" spans="1:27">
      <c r="A46" s="11"/>
      <c r="B46" s="60"/>
      <c r="C46" s="60"/>
      <c r="D46" s="60"/>
      <c r="E46" s="61"/>
      <c r="F46" s="61"/>
      <c r="G46" s="60"/>
      <c r="H46" s="61"/>
      <c r="I46" s="63"/>
      <c r="J46" s="60"/>
      <c r="K46" s="61"/>
      <c r="L46" s="60"/>
      <c r="M46" s="60"/>
      <c r="N46" s="60"/>
      <c r="O46" s="60"/>
      <c r="P46" s="60"/>
      <c r="Q46" s="60"/>
      <c r="R46" s="60"/>
      <c r="S46" s="60"/>
      <c r="T46" s="60"/>
      <c r="U46" s="46"/>
      <c r="V46" s="46"/>
      <c r="W46" s="46"/>
      <c r="X46" s="46"/>
      <c r="Y46" s="46"/>
      <c r="Z46" s="46"/>
      <c r="AA46" s="46"/>
    </row>
    <row r="47" spans="1:27">
      <c r="A47" t="s">
        <v>223</v>
      </c>
      <c r="B47" s="60"/>
      <c r="C47" s="60"/>
      <c r="D47" s="60"/>
      <c r="E47" s="61"/>
      <c r="F47" s="61"/>
      <c r="G47" s="60"/>
      <c r="H47" s="61"/>
      <c r="I47" s="63"/>
      <c r="J47" s="60"/>
      <c r="K47" s="61"/>
      <c r="L47" s="60"/>
      <c r="M47" s="60"/>
      <c r="N47" s="60"/>
      <c r="O47" s="60"/>
      <c r="P47" s="60"/>
      <c r="Q47" s="60"/>
      <c r="R47" s="60"/>
      <c r="S47" s="60"/>
      <c r="T47" s="60"/>
      <c r="U47" s="46"/>
      <c r="V47" s="46"/>
      <c r="W47" s="46"/>
      <c r="X47" s="46"/>
      <c r="Y47" s="46"/>
      <c r="Z47" s="46"/>
      <c r="AA47" s="46"/>
    </row>
    <row r="48" spans="1:27">
      <c r="A48" t="s">
        <v>224</v>
      </c>
      <c r="B48" s="60">
        <f>+buhvar!B63/buhvar!B61</f>
        <v>2.9074623627164203E-2</v>
      </c>
      <c r="C48" s="60">
        <v>6.5281253033484657E-2</v>
      </c>
      <c r="D48" s="60"/>
      <c r="E48" s="54">
        <v>0</v>
      </c>
      <c r="F48" s="60">
        <v>3.8401485515895908E-2</v>
      </c>
      <c r="G48" s="60"/>
      <c r="H48" s="54">
        <v>0</v>
      </c>
      <c r="I48" s="60">
        <v>1.4612971405087473E-2</v>
      </c>
      <c r="J48" s="60"/>
      <c r="K48" s="54">
        <v>0</v>
      </c>
      <c r="L48" s="60">
        <v>2.1708347043419968E-2</v>
      </c>
      <c r="M48" s="60"/>
      <c r="N48" s="60">
        <f>+B48</f>
        <v>2.9074623627164203E-2</v>
      </c>
      <c r="O48" s="60">
        <f>+C48</f>
        <v>6.5281253033484657E-2</v>
      </c>
      <c r="P48" s="60"/>
      <c r="Q48" s="60">
        <v>2.1700000000000001E-2</v>
      </c>
      <c r="R48" s="60">
        <v>0.14979999999999999</v>
      </c>
      <c r="S48" s="60">
        <v>2.6700000000000002E-2</v>
      </c>
      <c r="T48" s="60">
        <v>7.072336659740483E-2</v>
      </c>
      <c r="U48" s="46"/>
      <c r="V48" s="46"/>
      <c r="W48" s="46"/>
      <c r="X48" s="46"/>
      <c r="Y48" s="46"/>
      <c r="Z48" s="46"/>
      <c r="AA48" s="46"/>
    </row>
    <row r="49" spans="1:27">
      <c r="B49" s="60"/>
      <c r="C49" s="60"/>
      <c r="D49" s="60"/>
      <c r="E49" s="321" t="s">
        <v>0</v>
      </c>
      <c r="F49" s="321" t="s">
        <v>0</v>
      </c>
      <c r="G49" s="60"/>
      <c r="H49" s="321" t="s">
        <v>0</v>
      </c>
      <c r="I49" s="63" t="s">
        <v>0</v>
      </c>
      <c r="J49" s="60"/>
      <c r="K49" s="321" t="s">
        <v>0</v>
      </c>
      <c r="L49" s="60" t="s">
        <v>0</v>
      </c>
      <c r="M49" s="60"/>
      <c r="N49" s="60"/>
      <c r="O49" s="60"/>
      <c r="P49" s="60"/>
      <c r="Q49" s="60"/>
      <c r="R49" s="60"/>
      <c r="S49" s="60"/>
      <c r="T49" s="60"/>
      <c r="U49" s="46"/>
      <c r="V49" s="46"/>
      <c r="W49" s="46"/>
      <c r="X49" s="46"/>
      <c r="Y49" s="46"/>
      <c r="Z49" s="46"/>
      <c r="AA49" s="46"/>
    </row>
    <row r="50" spans="1:27">
      <c r="A50" t="s">
        <v>225</v>
      </c>
      <c r="B50" s="60"/>
      <c r="C50" s="60"/>
      <c r="D50" s="60"/>
      <c r="E50" s="61"/>
      <c r="F50" s="61"/>
      <c r="G50" s="60"/>
      <c r="H50" s="61"/>
      <c r="I50" s="63"/>
      <c r="J50" s="60"/>
      <c r="K50" s="61"/>
      <c r="L50" s="60"/>
      <c r="M50" s="60"/>
      <c r="N50" s="60"/>
      <c r="O50" s="60"/>
      <c r="P50" s="60"/>
      <c r="Q50" s="60"/>
      <c r="R50" s="60"/>
      <c r="S50" s="60"/>
      <c r="T50" s="60"/>
      <c r="U50" s="46"/>
      <c r="V50" s="46"/>
      <c r="W50" s="46"/>
      <c r="X50" s="46"/>
      <c r="Y50" s="46"/>
      <c r="Z50" s="46"/>
      <c r="AA50" s="46"/>
    </row>
    <row r="51" spans="1:27">
      <c r="A51" t="s">
        <v>226</v>
      </c>
      <c r="B51" s="60">
        <f>+buhvar!B62/buhvar!B63</f>
        <v>0.46314319452299446</v>
      </c>
      <c r="C51" s="60">
        <v>0.20196535145315178</v>
      </c>
      <c r="D51" s="60"/>
      <c r="E51" s="54">
        <v>0</v>
      </c>
      <c r="F51" s="60">
        <v>0.35590136939867739</v>
      </c>
      <c r="G51" s="60"/>
      <c r="H51" s="54">
        <v>0</v>
      </c>
      <c r="I51" s="60">
        <v>0.80376253864102487</v>
      </c>
      <c r="J51" s="60"/>
      <c r="K51" s="54">
        <v>0</v>
      </c>
      <c r="L51" s="60">
        <v>0.47717585861117334</v>
      </c>
      <c r="M51" s="60"/>
      <c r="N51" s="60">
        <f>+B51</f>
        <v>0.46314319452299446</v>
      </c>
      <c r="O51" s="60">
        <f>+C51</f>
        <v>0.20196535145315178</v>
      </c>
      <c r="P51" s="60"/>
      <c r="Q51" s="60">
        <v>0.47720000000000001</v>
      </c>
      <c r="R51" s="60">
        <v>7.0099999999999996E-2</v>
      </c>
      <c r="S51" s="60">
        <v>1.2885</v>
      </c>
      <c r="T51" s="60">
        <v>0.9955933587301049</v>
      </c>
      <c r="U51" s="46"/>
      <c r="V51" s="46"/>
      <c r="W51" s="46"/>
      <c r="X51" s="46"/>
      <c r="Y51" s="46"/>
      <c r="Z51" s="46"/>
      <c r="AA51" s="46"/>
    </row>
    <row r="52" spans="1:27">
      <c r="B52" s="60"/>
      <c r="C52" s="60"/>
      <c r="D52" s="60"/>
      <c r="E52" s="61"/>
      <c r="F52" s="61"/>
      <c r="G52" s="60"/>
      <c r="H52" s="61"/>
      <c r="I52" s="63"/>
      <c r="J52" s="60"/>
      <c r="K52" s="61"/>
      <c r="L52" s="54"/>
      <c r="M52" s="60"/>
      <c r="N52" s="60"/>
      <c r="O52" s="60"/>
      <c r="P52" s="60"/>
      <c r="Q52" s="60"/>
      <c r="R52" s="60"/>
      <c r="S52" s="60"/>
      <c r="T52" s="60"/>
      <c r="U52" s="46"/>
      <c r="V52" s="46"/>
      <c r="W52" s="46"/>
      <c r="X52" s="46"/>
      <c r="Y52" s="46"/>
      <c r="Z52" s="46"/>
      <c r="AA52" s="46"/>
    </row>
    <row r="53" spans="1:27">
      <c r="A53" t="s">
        <v>227</v>
      </c>
      <c r="B53" s="60"/>
      <c r="C53" s="60"/>
      <c r="D53" s="60"/>
      <c r="E53" s="61"/>
      <c r="F53" s="61"/>
      <c r="G53" s="60"/>
      <c r="H53" s="61"/>
      <c r="I53" s="63"/>
      <c r="J53" s="60"/>
      <c r="K53" s="61"/>
      <c r="L53" s="54"/>
      <c r="M53" s="60"/>
      <c r="N53" s="60"/>
      <c r="O53" s="60"/>
      <c r="P53" s="60"/>
      <c r="Q53" s="60"/>
      <c r="R53" s="60"/>
      <c r="S53" s="60"/>
      <c r="T53" s="60"/>
      <c r="U53" s="46"/>
      <c r="V53" s="46"/>
      <c r="W53" s="46"/>
      <c r="X53" s="46"/>
      <c r="Y53" s="46"/>
      <c r="Z53" s="46"/>
      <c r="AA53" s="46"/>
    </row>
    <row r="54" spans="1:27">
      <c r="A54" t="s">
        <v>228</v>
      </c>
      <c r="B54" s="60">
        <f>+(buhvar!B63-buhvar!B62)/buhvar!B52</f>
        <v>0.12826987709576068</v>
      </c>
      <c r="C54" s="60">
        <v>0.54821288092951781</v>
      </c>
      <c r="D54" s="60"/>
      <c r="E54" s="54">
        <v>0</v>
      </c>
      <c r="F54" s="60">
        <v>0.17330211422429537</v>
      </c>
      <c r="G54" s="60"/>
      <c r="H54" s="54">
        <v>0</v>
      </c>
      <c r="I54" s="60">
        <v>2.4261419700000092E-2</v>
      </c>
      <c r="J54" s="60"/>
      <c r="K54" s="54">
        <v>0</v>
      </c>
      <c r="L54" s="60">
        <v>9.699985685611523E-2</v>
      </c>
      <c r="M54" s="60"/>
      <c r="N54" s="60">
        <f>+B54</f>
        <v>0.12826987709576068</v>
      </c>
      <c r="O54" s="60">
        <f>+C54</f>
        <v>0.54821288092951781</v>
      </c>
      <c r="P54" s="60"/>
      <c r="Q54" s="60">
        <v>9.7000000000000003E-2</v>
      </c>
      <c r="R54" s="60">
        <v>1.3007</v>
      </c>
      <c r="S54" s="60">
        <v>4.8500000000000001E-2</v>
      </c>
      <c r="T54" s="60">
        <v>-2.0613088020861874E-3</v>
      </c>
      <c r="U54" s="46"/>
      <c r="V54" s="46"/>
      <c r="W54" s="46"/>
      <c r="X54" s="46"/>
      <c r="Y54" s="46"/>
      <c r="Z54" s="46"/>
      <c r="AA54" s="46"/>
    </row>
    <row r="55" spans="1:27">
      <c r="A55" t="s">
        <v>0</v>
      </c>
      <c r="B55" s="60"/>
      <c r="C55" s="60"/>
      <c r="D55" s="60"/>
      <c r="E55" s="61"/>
      <c r="F55" s="61"/>
      <c r="G55" s="60"/>
      <c r="H55" s="61"/>
      <c r="I55" s="63"/>
      <c r="J55" s="60"/>
      <c r="K55" s="61"/>
      <c r="L55" s="54"/>
      <c r="M55" s="60"/>
      <c r="N55" s="60"/>
      <c r="O55" s="60"/>
      <c r="P55" s="60"/>
      <c r="Q55" s="60"/>
      <c r="R55" s="60"/>
      <c r="S55" s="60"/>
      <c r="T55" s="60"/>
      <c r="U55" s="46"/>
      <c r="V55" s="46"/>
      <c r="W55" s="46"/>
      <c r="X55" s="46"/>
      <c r="Y55" s="46"/>
      <c r="Z55" s="46"/>
      <c r="AA55" s="46"/>
    </row>
    <row r="56" spans="1:27">
      <c r="A56" s="11" t="s">
        <v>229</v>
      </c>
      <c r="B56" s="60"/>
      <c r="C56" s="60"/>
      <c r="D56" s="60"/>
      <c r="E56" s="61"/>
      <c r="F56" s="61"/>
      <c r="G56" s="60"/>
      <c r="H56" s="61"/>
      <c r="I56" s="63"/>
      <c r="J56" s="60"/>
      <c r="K56" s="54" t="s">
        <v>0</v>
      </c>
      <c r="L56" s="54" t="s">
        <v>0</v>
      </c>
      <c r="M56" s="60"/>
      <c r="N56" s="60"/>
      <c r="O56" s="60"/>
      <c r="P56" s="60"/>
      <c r="Q56" s="60"/>
      <c r="R56" s="60"/>
      <c r="S56" s="60"/>
      <c r="T56" s="60"/>
      <c r="U56" s="46"/>
      <c r="V56" s="46"/>
      <c r="W56" s="46"/>
      <c r="X56" s="46"/>
      <c r="Y56" s="46"/>
      <c r="Z56" s="46"/>
      <c r="AA56" s="46"/>
    </row>
    <row r="57" spans="1:27">
      <c r="A57" s="11"/>
      <c r="B57" s="60"/>
      <c r="C57" s="60"/>
      <c r="D57" s="60"/>
      <c r="E57" s="61"/>
      <c r="F57" s="61"/>
      <c r="G57" s="60"/>
      <c r="H57" s="61"/>
      <c r="I57" s="63"/>
      <c r="J57" s="60"/>
      <c r="K57" s="61"/>
      <c r="L57" s="54"/>
      <c r="M57" s="60"/>
      <c r="N57" s="60"/>
      <c r="O57" s="60"/>
      <c r="P57" s="60"/>
      <c r="Q57" s="60"/>
      <c r="R57" s="60"/>
      <c r="S57" s="60"/>
      <c r="T57" s="60"/>
      <c r="U57" s="46"/>
      <c r="V57" s="46"/>
      <c r="W57" s="46"/>
      <c r="X57" s="46"/>
      <c r="Y57" s="46"/>
      <c r="Z57" s="46"/>
      <c r="AA57" s="46"/>
    </row>
    <row r="58" spans="1:27">
      <c r="A58" t="s">
        <v>230</v>
      </c>
      <c r="B58" s="60">
        <f>+(buhrésult!B41/((buhvar!B23+buhvar!J23)/2)*4)</f>
        <v>1.0095770779749144E-2</v>
      </c>
      <c r="C58" s="60">
        <v>7.4933976426536236E-3</v>
      </c>
      <c r="D58" s="60"/>
      <c r="E58" s="54">
        <v>0</v>
      </c>
      <c r="F58" s="63">
        <v>-1.047850009389995E-2</v>
      </c>
      <c r="G58" s="60"/>
      <c r="H58" s="54">
        <v>0</v>
      </c>
      <c r="I58" s="63">
        <v>1.1008860734992077E-3</v>
      </c>
      <c r="J58" s="60"/>
      <c r="K58" s="54">
        <v>0</v>
      </c>
      <c r="L58" s="60">
        <v>9.9683324552385915E-3</v>
      </c>
      <c r="M58" s="60"/>
      <c r="N58" s="317">
        <f>+'sysratfinclédéc. 14'!D37</f>
        <v>1.0095770779749144E-2</v>
      </c>
      <c r="O58" s="317">
        <f>+'sysratfinclédéc. 14'!D38</f>
        <v>7.4999999999999997E-3</v>
      </c>
      <c r="P58" s="60"/>
      <c r="Q58" s="60">
        <v>2.0999999999999999E-3</v>
      </c>
      <c r="R58" s="60">
        <v>1.06E-2</v>
      </c>
      <c r="S58" s="60">
        <v>-7.1000000000000004E-3</v>
      </c>
      <c r="T58" s="60">
        <v>9.8611047117123864E-4</v>
      </c>
      <c r="U58" s="46"/>
      <c r="V58" s="46"/>
      <c r="W58" s="46"/>
      <c r="X58" s="46"/>
      <c r="Y58" s="46"/>
      <c r="Z58" s="46"/>
      <c r="AA58" s="46"/>
    </row>
    <row r="59" spans="1:27" ht="7.15" customHeight="1">
      <c r="B59" s="60"/>
      <c r="C59" s="60"/>
      <c r="D59" s="60"/>
      <c r="E59" s="61"/>
      <c r="F59" s="61"/>
      <c r="G59" s="60"/>
      <c r="H59" s="61"/>
      <c r="I59" s="63"/>
      <c r="J59" s="60"/>
      <c r="K59" s="61"/>
      <c r="L59" s="60"/>
      <c r="M59" s="60"/>
      <c r="N59" s="61"/>
      <c r="O59" s="60"/>
      <c r="P59" s="60"/>
      <c r="Q59" s="60"/>
      <c r="R59" s="60"/>
      <c r="S59" s="60"/>
      <c r="T59" s="60"/>
      <c r="U59" s="46"/>
      <c r="V59" s="46"/>
      <c r="W59" s="46"/>
      <c r="X59" s="46"/>
      <c r="Y59" s="46"/>
      <c r="Z59" s="46"/>
      <c r="AA59" s="46"/>
    </row>
    <row r="60" spans="1:27">
      <c r="A60" t="s">
        <v>390</v>
      </c>
      <c r="B60" s="1470">
        <f>+(buhrésult!B41/((buhvar!J52+buhvar!B52)/2)*4)</f>
        <v>0.19422931285036871</v>
      </c>
      <c r="C60" s="60">
        <v>0.19811700250644249</v>
      </c>
      <c r="D60" s="60"/>
      <c r="E60" s="511">
        <v>0</v>
      </c>
      <c r="F60" s="1470">
        <v>-0.21895151492264497</v>
      </c>
      <c r="G60" s="60"/>
      <c r="H60" s="511">
        <v>0</v>
      </c>
      <c r="I60" s="63">
        <v>1.9457655567696644E-2</v>
      </c>
      <c r="J60" s="60"/>
      <c r="K60" s="511">
        <v>0</v>
      </c>
      <c r="L60" s="60">
        <v>0.18196575044858485</v>
      </c>
      <c r="M60" s="60"/>
      <c r="N60" s="317">
        <f>+'sysratfinclédéc. 14'!D43</f>
        <v>0.19422931285036871</v>
      </c>
      <c r="O60" s="317">
        <f>+'sysratfinclédéc. 14'!D44</f>
        <v>0.1981</v>
      </c>
      <c r="P60" s="60"/>
      <c r="Q60" s="60">
        <v>4.53E-2</v>
      </c>
      <c r="R60" s="60">
        <v>-1.0524</v>
      </c>
      <c r="S60" s="60">
        <v>0.1153</v>
      </c>
      <c r="T60" s="60">
        <v>-3.2930838343573327E-2</v>
      </c>
      <c r="U60" s="46"/>
      <c r="V60" s="46"/>
      <c r="W60" s="46"/>
      <c r="X60" s="46"/>
      <c r="Y60" s="46"/>
      <c r="Z60" s="46"/>
      <c r="AA60" s="46"/>
    </row>
    <row r="61" spans="1:27" ht="7.15" customHeight="1">
      <c r="B61" s="60"/>
      <c r="C61" s="60"/>
      <c r="D61" s="60"/>
      <c r="E61" s="61"/>
      <c r="F61" s="61"/>
      <c r="G61" s="60"/>
      <c r="H61" s="61"/>
      <c r="I61" s="63"/>
      <c r="J61" s="60"/>
      <c r="K61" s="61"/>
      <c r="L61" s="60"/>
      <c r="M61" s="60"/>
      <c r="N61" s="61"/>
      <c r="O61" s="60"/>
      <c r="P61" s="60"/>
      <c r="Q61" s="60"/>
      <c r="R61" s="60"/>
      <c r="S61" s="60"/>
      <c r="T61" s="60"/>
      <c r="U61" s="46"/>
      <c r="V61" s="46"/>
      <c r="W61" s="46"/>
      <c r="X61" s="46"/>
      <c r="Y61" s="46"/>
      <c r="Z61" s="46"/>
      <c r="AA61" s="46"/>
    </row>
    <row r="62" spans="1:27">
      <c r="A62" t="s">
        <v>209</v>
      </c>
      <c r="B62" s="60"/>
      <c r="C62" s="60"/>
      <c r="D62" s="60"/>
      <c r="E62" s="61"/>
      <c r="F62" s="61"/>
      <c r="G62" s="60"/>
      <c r="H62" s="61"/>
      <c r="I62" s="63"/>
      <c r="J62" s="60"/>
      <c r="K62" s="61"/>
      <c r="L62" s="60"/>
      <c r="M62" s="60"/>
      <c r="N62" s="61"/>
      <c r="O62" s="60"/>
      <c r="P62" s="60"/>
      <c r="Q62" s="60"/>
      <c r="R62" s="60"/>
      <c r="S62" s="60"/>
      <c r="T62" s="60"/>
      <c r="U62" s="46"/>
      <c r="V62" s="46"/>
      <c r="W62" s="46"/>
      <c r="X62" s="46"/>
      <c r="Y62" s="46"/>
      <c r="Z62" s="46"/>
      <c r="AA62" s="46"/>
    </row>
    <row r="63" spans="1:27">
      <c r="A63" t="s">
        <v>233</v>
      </c>
      <c r="B63" s="60">
        <f>+buhrésult!B15/buhrésult!B13</f>
        <v>0.87683982361659762</v>
      </c>
      <c r="C63" s="60">
        <v>0.95795613980009886</v>
      </c>
      <c r="D63" s="60"/>
      <c r="E63" s="54">
        <v>0</v>
      </c>
      <c r="F63" s="60">
        <v>0.95583430935318314</v>
      </c>
      <c r="G63" s="60"/>
      <c r="H63" s="54">
        <v>0</v>
      </c>
      <c r="I63" s="60">
        <v>0.9445528440501495</v>
      </c>
      <c r="J63" s="60"/>
      <c r="K63" s="54">
        <v>0</v>
      </c>
      <c r="L63" s="60">
        <v>0.92880527898211795</v>
      </c>
      <c r="M63" s="60"/>
      <c r="N63" s="317">
        <f>+'sysratfinclédéc. 14'!D50</f>
        <v>0.87683982361659762</v>
      </c>
      <c r="O63" s="317">
        <f>+'sysratfinclédéc. 14'!D51</f>
        <v>0.95795613980009886</v>
      </c>
      <c r="P63" s="60"/>
      <c r="Q63" s="60">
        <v>0.94599999999999995</v>
      </c>
      <c r="R63" s="60">
        <v>0.95740000000000003</v>
      </c>
      <c r="S63" s="60">
        <v>0.95520000000000005</v>
      </c>
      <c r="T63" s="60">
        <v>0.95668490479213764</v>
      </c>
      <c r="U63" s="46"/>
      <c r="V63" s="46"/>
      <c r="W63" s="46"/>
      <c r="X63" s="46"/>
      <c r="Y63" s="46"/>
      <c r="Z63" s="46"/>
      <c r="AA63" s="46"/>
    </row>
    <row r="64" spans="1:27" ht="7.15" customHeight="1">
      <c r="B64" s="60"/>
      <c r="C64" s="60"/>
      <c r="D64" s="60"/>
      <c r="E64" s="54" t="s">
        <v>0</v>
      </c>
      <c r="F64" s="61" t="s">
        <v>0</v>
      </c>
      <c r="G64" s="60"/>
      <c r="H64" s="61"/>
      <c r="I64" s="63"/>
      <c r="J64" s="60"/>
      <c r="K64" s="61"/>
      <c r="L64" s="60"/>
      <c r="M64" s="60"/>
      <c r="N64" s="61"/>
      <c r="O64" s="60"/>
      <c r="P64" s="60"/>
      <c r="Q64" s="60"/>
      <c r="R64" s="60"/>
      <c r="S64" s="60"/>
      <c r="T64" s="60"/>
      <c r="U64" s="46"/>
      <c r="V64" s="46"/>
      <c r="W64" s="46"/>
      <c r="X64" s="46"/>
      <c r="Y64" s="46"/>
      <c r="Z64" s="46"/>
      <c r="AA64" s="46"/>
    </row>
    <row r="65" spans="1:20">
      <c r="A65" t="s">
        <v>234</v>
      </c>
      <c r="B65" s="60">
        <f>+(buhrésult!B10/((buhvar!B61+buhvar!J61)/2)*4)</f>
        <v>0.12499577666655098</v>
      </c>
      <c r="C65" s="60">
        <v>0.15108256609386136</v>
      </c>
      <c r="D65" s="54" t="s">
        <v>0</v>
      </c>
      <c r="E65" s="54">
        <v>0</v>
      </c>
      <c r="F65" s="60">
        <v>0.12037614990826055</v>
      </c>
      <c r="G65" s="60"/>
      <c r="H65" s="54">
        <v>0</v>
      </c>
      <c r="I65" s="60">
        <v>0.11893182763615713</v>
      </c>
      <c r="J65" s="60"/>
      <c r="K65" s="54">
        <v>0</v>
      </c>
      <c r="L65" s="60">
        <v>0.11824747183414595</v>
      </c>
      <c r="M65" s="60"/>
      <c r="N65" s="317">
        <f>+'sysratfinclédéc. 14'!D56</f>
        <v>0.12499577666655098</v>
      </c>
      <c r="O65" s="317">
        <f>+'sysratfinclédéc. 14'!D57</f>
        <v>0.15110000000000001</v>
      </c>
      <c r="P65" s="60"/>
      <c r="Q65" s="60">
        <v>0.127</v>
      </c>
      <c r="R65" s="60">
        <v>0.13469999999999999</v>
      </c>
      <c r="S65" s="60">
        <v>0.1358</v>
      </c>
      <c r="T65" s="60">
        <v>0.18525669677055034</v>
      </c>
    </row>
    <row r="66" spans="1:20" ht="7.15" customHeight="1">
      <c r="B66" s="60"/>
      <c r="C66" s="60"/>
      <c r="D66" s="60"/>
      <c r="E66" s="46"/>
      <c r="F66" s="46"/>
      <c r="G66" s="60"/>
      <c r="H66" s="46"/>
      <c r="I66" s="133"/>
      <c r="J66" s="60"/>
      <c r="K66" s="46"/>
      <c r="L66" s="60"/>
      <c r="M66" s="60"/>
      <c r="N66" s="54"/>
      <c r="O66" s="60"/>
      <c r="P66" s="60"/>
      <c r="Q66" s="60"/>
      <c r="R66" s="60"/>
      <c r="S66" s="60"/>
      <c r="T66" s="60"/>
    </row>
    <row r="67" spans="1:20" ht="15.75" customHeight="1">
      <c r="A67" t="s">
        <v>630</v>
      </c>
      <c r="B67" s="60">
        <f>+(buhrésult!B10/((buhvar!B61-buhvar!B63+buhvar!J61-buhvar!J63)/2)*4)</f>
        <v>0.12825455606717165</v>
      </c>
      <c r="C67" s="60">
        <v>0.16861651029446265</v>
      </c>
      <c r="D67" s="60"/>
      <c r="E67" s="54">
        <v>0</v>
      </c>
      <c r="F67" s="60">
        <v>0.12690400224063481</v>
      </c>
      <c r="G67" s="60"/>
      <c r="H67" s="54">
        <v>0</v>
      </c>
      <c r="I67" s="60">
        <v>0.12203034293170577</v>
      </c>
      <c r="J67" s="60"/>
      <c r="K67" s="54">
        <v>0</v>
      </c>
      <c r="L67" s="60">
        <v>0.1204467433181131</v>
      </c>
      <c r="M67" s="60"/>
      <c r="N67" s="317">
        <f>+'sysratfinclédéc. 14'!D62</f>
        <v>0.12825455606717165</v>
      </c>
      <c r="O67" s="317">
        <f>+'sysratfinclédéc. 14'!D63</f>
        <v>0.1686</v>
      </c>
      <c r="P67" s="60"/>
      <c r="Q67" s="60">
        <v>0.13669999999999999</v>
      </c>
      <c r="R67" s="60">
        <v>0.1477</v>
      </c>
      <c r="S67" s="60">
        <v>0.14249999999999999</v>
      </c>
      <c r="T67" s="60">
        <v>0.20921944257528285</v>
      </c>
    </row>
    <row r="68" spans="1:20" ht="7.15" customHeight="1">
      <c r="B68" s="60"/>
      <c r="C68" s="60"/>
      <c r="D68" s="60"/>
      <c r="E68" s="46"/>
      <c r="F68" s="46"/>
      <c r="G68" s="60"/>
      <c r="H68" s="46"/>
      <c r="I68" s="133"/>
      <c r="J68" s="60"/>
      <c r="K68" s="46"/>
      <c r="L68" s="60"/>
      <c r="M68" s="60"/>
      <c r="N68" s="54"/>
      <c r="O68" s="60"/>
      <c r="P68" s="60"/>
      <c r="Q68" s="60"/>
      <c r="R68" s="60"/>
      <c r="S68" s="60"/>
      <c r="T68" s="60"/>
    </row>
    <row r="69" spans="1:20">
      <c r="A69" t="s">
        <v>235</v>
      </c>
      <c r="B69" s="60">
        <f>+(buhrésult!B14/((buhvar!B30+buhvar!J30)/2)*4)</f>
        <v>8.433567502497975E-3</v>
      </c>
      <c r="C69" s="60">
        <v>2.7199562772000562E-3</v>
      </c>
      <c r="D69" s="60" t="s">
        <v>0</v>
      </c>
      <c r="E69" s="54">
        <v>0</v>
      </c>
      <c r="F69" s="60">
        <v>2.4552460812381103E-3</v>
      </c>
      <c r="G69" s="60"/>
      <c r="H69" s="54">
        <v>0</v>
      </c>
      <c r="I69" s="60">
        <v>3.3839093129849947E-3</v>
      </c>
      <c r="J69" s="60"/>
      <c r="K69" s="54">
        <v>0</v>
      </c>
      <c r="L69" s="60">
        <v>4.7022996064612892E-3</v>
      </c>
      <c r="M69" s="60"/>
      <c r="N69" s="317">
        <f>+'sysratfinclédéc. 14'!D68</f>
        <v>8.433567502497975E-3</v>
      </c>
      <c r="O69" s="317">
        <f>+'sysratfinclédéc. 14'!D69</f>
        <v>2.7000000000000001E-3</v>
      </c>
      <c r="P69" s="60"/>
      <c r="Q69" s="60">
        <v>3.3999999999999998E-3</v>
      </c>
      <c r="R69" s="60">
        <v>2.5000000000000001E-3</v>
      </c>
      <c r="S69" s="60">
        <v>2.5000000000000001E-3</v>
      </c>
      <c r="T69" s="60">
        <v>2.7990276030598936E-3</v>
      </c>
    </row>
    <row r="70" spans="1:20" ht="6" customHeight="1">
      <c r="B70" s="60"/>
      <c r="C70" s="60"/>
      <c r="D70" s="60"/>
      <c r="E70" s="54"/>
      <c r="F70" s="54"/>
      <c r="G70" s="60"/>
      <c r="H70" s="54"/>
      <c r="I70" s="60"/>
      <c r="J70" s="60"/>
      <c r="K70" s="54"/>
      <c r="L70" s="60"/>
      <c r="M70" s="60"/>
      <c r="N70" s="54"/>
      <c r="O70" s="60"/>
      <c r="P70" s="60"/>
      <c r="Q70" s="60"/>
      <c r="R70" s="60"/>
      <c r="S70" s="60"/>
      <c r="T70" s="60"/>
    </row>
    <row r="71" spans="1:20">
      <c r="A71" t="s">
        <v>212</v>
      </c>
      <c r="B71" s="60"/>
      <c r="C71" s="60"/>
      <c r="D71" s="60"/>
      <c r="E71" s="54"/>
      <c r="F71" s="54"/>
      <c r="G71" s="60"/>
      <c r="H71" s="54"/>
      <c r="I71" s="60"/>
      <c r="J71" s="60"/>
      <c r="K71" s="54"/>
      <c r="L71" s="60"/>
      <c r="M71" s="60"/>
      <c r="N71" s="54"/>
      <c r="O71" s="60"/>
      <c r="P71" s="60"/>
      <c r="Q71" s="60"/>
      <c r="R71" s="60"/>
      <c r="S71" s="60"/>
      <c r="T71" s="60"/>
    </row>
    <row r="72" spans="1:20">
      <c r="A72" t="s">
        <v>236</v>
      </c>
      <c r="B72" s="60">
        <f>+buhrésult!B35/buhrésult!B23</f>
        <v>0.84110809413443777</v>
      </c>
      <c r="C72" s="60">
        <v>0.84480001748173972</v>
      </c>
      <c r="D72" s="60"/>
      <c r="E72" s="54">
        <v>0</v>
      </c>
      <c r="F72" s="60">
        <v>1.103823405632522</v>
      </c>
      <c r="G72" s="60"/>
      <c r="H72" s="54">
        <v>0</v>
      </c>
      <c r="I72" s="60">
        <v>1.0087220184853003</v>
      </c>
      <c r="J72" s="60"/>
      <c r="K72" s="54">
        <v>0</v>
      </c>
      <c r="L72" s="60">
        <v>1.0632189982968676</v>
      </c>
      <c r="M72" s="60"/>
      <c r="N72" s="317">
        <f>+'sysratfinclédéc. 14'!D76</f>
        <v>0.84110809413443777</v>
      </c>
      <c r="O72" s="317">
        <f>+'sysratfinclédéc. 14'!D77</f>
        <v>0.84480001748173972</v>
      </c>
      <c r="P72" s="60"/>
      <c r="Q72" s="60">
        <v>1.0057</v>
      </c>
      <c r="R72" s="60">
        <v>0.91449999999999998</v>
      </c>
      <c r="S72" s="60">
        <v>1.0314000000000001</v>
      </c>
      <c r="T72" s="60">
        <v>0.95162080694054796</v>
      </c>
    </row>
    <row r="73" spans="1:20">
      <c r="A73" t="s">
        <v>385</v>
      </c>
      <c r="B73" s="60"/>
      <c r="C73" s="60"/>
      <c r="D73" s="60"/>
      <c r="E73" s="54"/>
      <c r="F73" s="54"/>
      <c r="G73" s="60"/>
      <c r="H73" s="54"/>
      <c r="I73" s="54"/>
      <c r="J73" s="60"/>
      <c r="K73" s="54"/>
      <c r="L73" s="54"/>
      <c r="M73" s="60"/>
      <c r="N73" s="54"/>
      <c r="O73" s="60"/>
      <c r="P73" s="60"/>
      <c r="Q73" s="60"/>
      <c r="R73" s="60"/>
      <c r="S73" s="60"/>
      <c r="T73" s="60"/>
    </row>
    <row r="74" spans="1:20">
      <c r="B74" s="60"/>
      <c r="C74" s="60"/>
      <c r="D74" s="60"/>
      <c r="E74" s="54"/>
      <c r="F74" s="54"/>
      <c r="G74" s="60"/>
      <c r="H74" s="54"/>
      <c r="I74" s="54"/>
      <c r="J74" s="60"/>
      <c r="K74" s="54"/>
      <c r="L74" s="54"/>
      <c r="M74" s="60"/>
      <c r="N74" s="54"/>
      <c r="O74" s="60"/>
      <c r="P74" s="60"/>
      <c r="Q74" s="60"/>
      <c r="R74" s="60"/>
      <c r="S74" s="60"/>
      <c r="T74" s="60"/>
    </row>
    <row r="75" spans="1:20">
      <c r="A75" t="s">
        <v>238</v>
      </c>
      <c r="B75" s="1311">
        <f>+(buhrésult!B23/((+employés!I138+employés!I136)/2)*4)</f>
        <v>2262.7160623588925</v>
      </c>
      <c r="C75" s="54">
        <v>1848.2145910636521</v>
      </c>
      <c r="D75" s="60"/>
      <c r="E75" s="54">
        <f>+(buhrésult!D23/((employés!I130+employés!I132)/2)*4)</f>
        <v>0</v>
      </c>
      <c r="F75" s="54">
        <v>1710.791587469965</v>
      </c>
      <c r="G75" s="60"/>
      <c r="H75" s="54">
        <v>1801.840831418956</v>
      </c>
      <c r="I75" s="54">
        <v>1801.840831418956</v>
      </c>
      <c r="J75" s="60"/>
      <c r="K75" s="54">
        <f>+(buhrésult!H23/((employés!I134+employés!I136)/2)*4)</f>
        <v>0</v>
      </c>
      <c r="L75" s="54">
        <v>2431.6270966279062</v>
      </c>
      <c r="M75" s="60"/>
      <c r="N75" s="662">
        <f>+'sysratfinclédéc. 14'!D82</f>
        <v>2262.7160623588925</v>
      </c>
      <c r="O75" s="662">
        <f>+'sysratfinclédéc. 14'!D83</f>
        <v>1848.21</v>
      </c>
      <c r="P75" s="60"/>
      <c r="Q75" s="54">
        <v>1929.71</v>
      </c>
      <c r="R75" s="54">
        <v>1787.18</v>
      </c>
      <c r="S75" s="54">
        <v>1196.18</v>
      </c>
      <c r="T75" s="54">
        <v>1334.4497324024642</v>
      </c>
    </row>
    <row r="76" spans="1:20" ht="16.5" thickBot="1">
      <c r="B76" s="25"/>
      <c r="C76" s="25"/>
      <c r="D76" s="25"/>
      <c r="E76" s="25"/>
      <c r="F76" s="25"/>
      <c r="G76" s="25"/>
      <c r="H76" s="25"/>
      <c r="I76" s="25"/>
      <c r="J76" s="25"/>
      <c r="K76" s="25"/>
      <c r="L76" s="25"/>
      <c r="M76" s="25"/>
      <c r="N76" s="25"/>
      <c r="O76" s="25"/>
      <c r="P76" s="25"/>
      <c r="Q76" s="25"/>
      <c r="R76" s="25"/>
      <c r="S76" s="25"/>
      <c r="T76" s="25"/>
    </row>
  </sheetData>
  <phoneticPr fontId="0" type="noConversion"/>
  <pageMargins left="0.2" right="0.2" top="0.62" bottom="0.48" header="0.39" footer="0.27"/>
  <pageSetup scale="43" orientation="landscape" r:id="rId1"/>
  <headerFooter alignWithMargins="0">
    <oddFooter>&amp;L&amp;"CG Times,Gras"&amp;14 &amp;R&amp;16&amp;P</oddFooter>
  </headerFooter>
</worksheet>
</file>

<file path=xl/worksheets/sheet79.xml><?xml version="1.0" encoding="utf-8"?>
<worksheet xmlns="http://schemas.openxmlformats.org/spreadsheetml/2006/main" xmlns:r="http://schemas.openxmlformats.org/officeDocument/2006/relationships">
  <sheetPr>
    <pageSetUpPr fitToPage="1"/>
  </sheetPr>
  <dimension ref="A1:U218"/>
  <sheetViews>
    <sheetView topLeftCell="A6" zoomScale="101" zoomScaleNormal="101" workbookViewId="0">
      <pane xSplit="1" ySplit="2" topLeftCell="B8" activePane="bottomRight" state="frozen"/>
      <selection activeCell="K60" sqref="K60"/>
      <selection pane="topRight" activeCell="K60" sqref="K60"/>
      <selection pane="bottomLeft" activeCell="K60" sqref="K60"/>
      <selection pane="bottomRight" activeCell="B64" sqref="B64"/>
    </sheetView>
  </sheetViews>
  <sheetFormatPr baseColWidth="10" defaultColWidth="9" defaultRowHeight="15.75"/>
  <cols>
    <col min="1" max="1" width="33.25" customWidth="1"/>
    <col min="2" max="2" width="16.25" style="12" customWidth="1"/>
    <col min="3" max="3" width="9.75" style="18" customWidth="1"/>
    <col min="4" max="4" width="15.75" style="12" customWidth="1"/>
    <col min="5" max="5" width="9.75" style="18" customWidth="1"/>
    <col min="6" max="6" width="15.75" style="12" customWidth="1"/>
    <col min="7" max="7" width="9.75" style="18" customWidth="1"/>
    <col min="8" max="8" width="13.75" style="12" customWidth="1"/>
    <col min="9" max="9" width="11.625" style="18" customWidth="1"/>
    <col min="10" max="10" width="15.75" style="12" customWidth="1"/>
    <col min="11" max="11" width="9.75" style="18" customWidth="1"/>
    <col min="12" max="12" width="15.75" style="12" customWidth="1"/>
    <col min="13" max="13" width="9.75" style="18" customWidth="1"/>
    <col min="14" max="14" width="15.75" style="12" customWidth="1"/>
    <col min="15" max="15" width="9.75" style="18" customWidth="1"/>
    <col min="16" max="18" width="15.75" style="12" customWidth="1"/>
    <col min="19" max="21" width="15.75" customWidth="1"/>
  </cols>
  <sheetData>
    <row r="1" spans="1:21">
      <c r="A1" s="111" t="s">
        <v>400</v>
      </c>
      <c r="B1" s="40"/>
      <c r="C1" s="41"/>
      <c r="D1" s="40"/>
      <c r="E1" s="41"/>
      <c r="F1" s="40"/>
      <c r="G1" s="41"/>
      <c r="H1" s="40"/>
      <c r="I1" s="41"/>
      <c r="J1" s="40"/>
      <c r="K1" s="41"/>
      <c r="L1" s="40"/>
      <c r="M1" s="41"/>
      <c r="N1" s="40"/>
      <c r="O1" s="41"/>
      <c r="P1" s="40"/>
    </row>
    <row r="2" spans="1:21">
      <c r="A2" s="111" t="s">
        <v>291</v>
      </c>
      <c r="B2" s="40"/>
      <c r="C2" s="41"/>
      <c r="D2" s="40"/>
      <c r="E2" s="41"/>
      <c r="F2" s="40"/>
      <c r="G2" s="41"/>
      <c r="H2" s="40"/>
      <c r="I2" s="41"/>
      <c r="J2" s="40"/>
      <c r="K2" s="41"/>
      <c r="L2" s="40"/>
      <c r="M2" s="41"/>
      <c r="N2" s="40"/>
      <c r="O2" s="41"/>
      <c r="P2" s="40"/>
    </row>
    <row r="3" spans="1:21">
      <c r="A3" s="111" t="s">
        <v>386</v>
      </c>
      <c r="B3" s="40"/>
      <c r="C3" s="41"/>
      <c r="D3" s="40"/>
      <c r="E3" s="41"/>
      <c r="F3" s="40"/>
      <c r="G3" s="41"/>
      <c r="H3" s="40"/>
      <c r="I3" s="41"/>
      <c r="J3" s="40"/>
      <c r="K3" s="41"/>
      <c r="L3" s="40"/>
      <c r="M3" s="41"/>
      <c r="N3" s="40"/>
      <c r="O3" s="41"/>
      <c r="P3" s="40"/>
    </row>
    <row r="4" spans="1:21">
      <c r="A4" s="111" t="s">
        <v>198</v>
      </c>
      <c r="B4" s="40"/>
      <c r="C4" s="41"/>
      <c r="D4" s="40"/>
      <c r="E4" s="41"/>
      <c r="F4" s="40"/>
      <c r="G4" s="41"/>
      <c r="H4" s="40"/>
      <c r="I4" s="41"/>
      <c r="J4" s="40"/>
      <c r="K4" s="41"/>
      <c r="L4" s="40"/>
      <c r="M4" s="41"/>
      <c r="N4" s="40"/>
      <c r="O4" s="41"/>
      <c r="P4" s="40"/>
    </row>
    <row r="5" spans="1:21">
      <c r="A5" s="111"/>
      <c r="B5" s="40"/>
      <c r="C5" s="41"/>
      <c r="D5" s="40"/>
      <c r="E5" s="41"/>
      <c r="F5" s="40"/>
      <c r="G5" s="41"/>
      <c r="H5" s="40"/>
      <c r="I5" s="41"/>
      <c r="J5" s="40"/>
      <c r="K5" s="41"/>
      <c r="L5" s="40"/>
      <c r="M5" s="41"/>
      <c r="N5" s="40"/>
      <c r="O5" s="41"/>
      <c r="P5" s="40"/>
    </row>
    <row r="6" spans="1:21" ht="16.5" thickBot="1">
      <c r="B6" s="13" t="s">
        <v>0</v>
      </c>
      <c r="I6" s="402" t="str">
        <f>+bphvar!I6</f>
        <v>Var. déc. 14</v>
      </c>
      <c r="J6" s="403" t="s">
        <v>195</v>
      </c>
      <c r="K6" s="297"/>
      <c r="L6" s="296"/>
      <c r="M6" s="297"/>
      <c r="N6" s="296"/>
      <c r="O6" s="297"/>
      <c r="P6" s="296"/>
    </row>
    <row r="7" spans="1:21" ht="16.5" thickBot="1">
      <c r="B7" s="200" t="str">
        <f>+bphvar!B7</f>
        <v>Déc. 14</v>
      </c>
      <c r="C7" s="201" t="s">
        <v>196</v>
      </c>
      <c r="D7" s="200" t="str">
        <f>+bphvar!D7</f>
        <v>Mars 15</v>
      </c>
      <c r="E7" s="201" t="s">
        <v>196</v>
      </c>
      <c r="F7" s="200" t="str">
        <f>+bphvar!F7</f>
        <v>Juin 15</v>
      </c>
      <c r="G7" s="201" t="s">
        <v>196</v>
      </c>
      <c r="H7" s="200" t="str">
        <f>+bphvar!H7</f>
        <v>Sept. 15</v>
      </c>
      <c r="I7" s="376" t="str">
        <f>+bphvar!I7</f>
        <v>/sept. 14</v>
      </c>
      <c r="J7" s="1023" t="str">
        <f>+bphvar!J7</f>
        <v>2014</v>
      </c>
      <c r="K7" s="201" t="s">
        <v>196</v>
      </c>
      <c r="L7" s="1023" t="str">
        <f>+bphvar!L7</f>
        <v>2013</v>
      </c>
      <c r="M7" s="201" t="s">
        <v>196</v>
      </c>
      <c r="N7" s="1023" t="str">
        <f>+bphvar!N7</f>
        <v>2012</v>
      </c>
      <c r="O7" s="201" t="s">
        <v>196</v>
      </c>
      <c r="P7" s="1023" t="str">
        <f>+bphvar!P7</f>
        <v>2011</v>
      </c>
      <c r="Q7" s="16"/>
      <c r="R7" s="16"/>
      <c r="S7" s="17"/>
      <c r="T7" s="17"/>
      <c r="U7" s="17"/>
    </row>
    <row r="8" spans="1:21">
      <c r="A8" s="11" t="s">
        <v>244</v>
      </c>
      <c r="B8" s="287"/>
      <c r="C8" s="288"/>
      <c r="D8" s="287"/>
      <c r="E8" s="288"/>
      <c r="F8" s="287"/>
      <c r="G8" s="288"/>
      <c r="H8" s="287"/>
      <c r="I8" s="288"/>
      <c r="J8" s="289"/>
      <c r="K8" s="288"/>
      <c r="L8" s="289"/>
      <c r="M8" s="288"/>
      <c r="N8" s="289"/>
      <c r="O8" s="288"/>
      <c r="P8" s="289"/>
      <c r="Q8" s="16"/>
      <c r="R8" s="16"/>
      <c r="S8" s="17"/>
      <c r="T8" s="17"/>
      <c r="U8" s="17"/>
    </row>
    <row r="9" spans="1:21">
      <c r="A9" s="10" t="s">
        <v>255</v>
      </c>
      <c r="B9"/>
    </row>
    <row r="10" spans="1:21">
      <c r="A10" s="10" t="s">
        <v>256</v>
      </c>
      <c r="B10" s="87">
        <v>381812.96687429899</v>
      </c>
      <c r="C10" s="88">
        <v>0</v>
      </c>
      <c r="D10" s="87">
        <v>0</v>
      </c>
      <c r="E10" s="88">
        <v>0</v>
      </c>
      <c r="F10" s="87">
        <v>0</v>
      </c>
      <c r="G10" s="88">
        <v>0</v>
      </c>
      <c r="H10" s="87">
        <v>0</v>
      </c>
      <c r="I10" s="52">
        <f t="shared" ref="I10:I15" si="0">+(B10-J10)/ABS(J10)</f>
        <v>6.2460554437229886E-2</v>
      </c>
      <c r="J10" s="87">
        <v>359366.72216178401</v>
      </c>
      <c r="K10" s="102">
        <f t="shared" ref="K10:K15" si="1">+(J10-L10)/ABS(L10)</f>
        <v>0.37580746997002978</v>
      </c>
      <c r="L10" s="87">
        <v>261204.22370552499</v>
      </c>
      <c r="M10" s="102">
        <f t="shared" ref="M10:M15" si="2">+(L10-N10)/ABS(N10)</f>
        <v>0.24717349630314459</v>
      </c>
      <c r="N10" s="87">
        <v>209436.95843423801</v>
      </c>
      <c r="O10" s="102">
        <f t="shared" ref="O10:O15" si="3">+(N10-P10)/ABS(P10)</f>
        <v>4.1042583453322838E-2</v>
      </c>
      <c r="P10" s="87">
        <v>201180.01104191001</v>
      </c>
    </row>
    <row r="11" spans="1:21">
      <c r="A11" s="10" t="s">
        <v>257</v>
      </c>
      <c r="B11" s="87">
        <v>1949652.4415752781</v>
      </c>
      <c r="C11" s="88">
        <v>0</v>
      </c>
      <c r="D11" s="87">
        <v>0</v>
      </c>
      <c r="E11" s="88">
        <v>0</v>
      </c>
      <c r="F11" s="87">
        <v>0</v>
      </c>
      <c r="G11" s="88">
        <v>0</v>
      </c>
      <c r="H11" s="87">
        <v>0</v>
      </c>
      <c r="I11" s="52">
        <f t="shared" si="0"/>
        <v>0.22364819993777132</v>
      </c>
      <c r="J11" s="87">
        <v>1593311.2488331432</v>
      </c>
      <c r="K11" s="102">
        <f t="shared" si="1"/>
        <v>-8.0819252833576313E-2</v>
      </c>
      <c r="L11" s="87">
        <v>1733403.6355144237</v>
      </c>
      <c r="M11" s="102">
        <f t="shared" si="2"/>
        <v>0.55664254834544469</v>
      </c>
      <c r="N11" s="87">
        <v>1113552.7789323621</v>
      </c>
      <c r="O11" s="102">
        <f t="shared" si="3"/>
        <v>-0.26704973575412938</v>
      </c>
      <c r="P11" s="87">
        <v>1519274.6810427741</v>
      </c>
    </row>
    <row r="12" spans="1:21">
      <c r="A12" s="10" t="s">
        <v>258</v>
      </c>
      <c r="B12" s="87">
        <v>189898.52423664901</v>
      </c>
      <c r="C12" s="88">
        <v>0</v>
      </c>
      <c r="D12" s="87">
        <v>0</v>
      </c>
      <c r="E12" s="88">
        <v>0</v>
      </c>
      <c r="F12" s="87">
        <v>0</v>
      </c>
      <c r="G12" s="88">
        <v>0</v>
      </c>
      <c r="H12" s="87">
        <v>0</v>
      </c>
      <c r="I12" s="52">
        <f t="shared" si="0"/>
        <v>6.5101154963866079E-2</v>
      </c>
      <c r="J12" s="87">
        <v>178291.53911967299</v>
      </c>
      <c r="K12" s="102">
        <f t="shared" si="1"/>
        <v>0.19514194256089096</v>
      </c>
      <c r="L12" s="87">
        <v>149180.22100173199</v>
      </c>
      <c r="M12" s="102">
        <f t="shared" si="2"/>
        <v>-5.962890703956706E-2</v>
      </c>
      <c r="N12" s="87">
        <v>158639.735013642</v>
      </c>
      <c r="O12" s="102">
        <f t="shared" si="3"/>
        <v>6.1655334158831412E-2</v>
      </c>
      <c r="P12" s="87">
        <v>149426.77713698402</v>
      </c>
    </row>
    <row r="13" spans="1:21">
      <c r="A13" s="10" t="s">
        <v>259</v>
      </c>
      <c r="B13" s="87">
        <v>176205.18273558401</v>
      </c>
      <c r="C13" s="88">
        <v>0</v>
      </c>
      <c r="D13" s="87">
        <v>0</v>
      </c>
      <c r="E13" s="88">
        <v>0</v>
      </c>
      <c r="F13" s="87">
        <v>0</v>
      </c>
      <c r="G13" s="88">
        <v>0</v>
      </c>
      <c r="H13" s="87">
        <v>0</v>
      </c>
      <c r="I13" s="52">
        <f t="shared" si="0"/>
        <v>0.37645220419969688</v>
      </c>
      <c r="J13" s="87">
        <v>128014.021989259</v>
      </c>
      <c r="K13" s="102">
        <f t="shared" si="1"/>
        <v>-2.095291942852933E-2</v>
      </c>
      <c r="L13" s="87">
        <v>130753.69359616199</v>
      </c>
      <c r="M13" s="102">
        <f t="shared" si="2"/>
        <v>0.7125808680062774</v>
      </c>
      <c r="N13" s="87">
        <v>76348.916444676011</v>
      </c>
      <c r="O13" s="102">
        <f t="shared" si="3"/>
        <v>0.3673255081770902</v>
      </c>
      <c r="P13" s="87">
        <v>55838.142408726002</v>
      </c>
    </row>
    <row r="14" spans="1:21">
      <c r="A14" s="10" t="s">
        <v>260</v>
      </c>
      <c r="B14" s="199">
        <v>308.82799999999997</v>
      </c>
      <c r="C14" s="88">
        <v>0</v>
      </c>
      <c r="D14" s="199">
        <v>0</v>
      </c>
      <c r="E14" s="88">
        <v>0</v>
      </c>
      <c r="F14" s="199">
        <v>0</v>
      </c>
      <c r="G14" s="88">
        <v>0</v>
      </c>
      <c r="H14" s="199">
        <v>0</v>
      </c>
      <c r="I14" s="52">
        <f t="shared" si="0"/>
        <v>-0.77958521710019446</v>
      </c>
      <c r="J14" s="199">
        <v>1401.1219934389999</v>
      </c>
      <c r="K14" s="102">
        <f t="shared" si="1"/>
        <v>-0.95141753363633497</v>
      </c>
      <c r="L14" s="199">
        <v>28840.075408088</v>
      </c>
      <c r="M14" s="102">
        <f t="shared" si="2"/>
        <v>-0.17322681071070922</v>
      </c>
      <c r="N14" s="199">
        <v>34882.693079197998</v>
      </c>
      <c r="O14" s="102">
        <f t="shared" si="3"/>
        <v>1.2153435507118298</v>
      </c>
      <c r="P14" s="199">
        <v>15745.951939594001</v>
      </c>
    </row>
    <row r="15" spans="1:21" ht="15.6" customHeight="1">
      <c r="A15" s="10"/>
      <c r="B15" s="87">
        <f>SUM(B10:B14)</f>
        <v>2697877.9434218104</v>
      </c>
      <c r="C15" s="88">
        <v>0</v>
      </c>
      <c r="D15" s="87">
        <f>SUM(D10:D14)</f>
        <v>0</v>
      </c>
      <c r="E15" s="88">
        <v>0</v>
      </c>
      <c r="F15" s="87">
        <f>SUM(F10:F14)</f>
        <v>0</v>
      </c>
      <c r="G15" s="88">
        <v>0</v>
      </c>
      <c r="H15" s="87">
        <f>SUM(H10:H14)</f>
        <v>0</v>
      </c>
      <c r="I15" s="52">
        <f t="shared" si="0"/>
        <v>0.1935481593946799</v>
      </c>
      <c r="J15" s="87">
        <f>SUM(J10:J14)</f>
        <v>2260384.6540972982</v>
      </c>
      <c r="K15" s="102">
        <f t="shared" si="1"/>
        <v>-1.8666985303840197E-2</v>
      </c>
      <c r="L15" s="87">
        <f>SUM(L10:L14)</f>
        <v>2303381.8492259309</v>
      </c>
      <c r="M15" s="102">
        <f t="shared" si="2"/>
        <v>0.44606574634396456</v>
      </c>
      <c r="N15" s="87">
        <f>SUM(N10:N14)</f>
        <v>1592861.0819041163</v>
      </c>
      <c r="O15" s="102">
        <f t="shared" si="3"/>
        <v>-0.17955738603205204</v>
      </c>
      <c r="P15" s="87">
        <f>SUM(P10:P14)</f>
        <v>1941465.5635699881</v>
      </c>
    </row>
    <row r="16" spans="1:21" ht="7.9" customHeight="1">
      <c r="A16" s="10"/>
      <c r="B16" s="87"/>
      <c r="C16" s="88" t="s">
        <v>0</v>
      </c>
      <c r="D16" s="87"/>
      <c r="E16" s="88" t="s">
        <v>0</v>
      </c>
      <c r="F16" s="87"/>
      <c r="G16" s="88" t="s">
        <v>0</v>
      </c>
      <c r="H16" s="87"/>
      <c r="I16" s="52" t="s">
        <v>0</v>
      </c>
      <c r="J16" s="87"/>
      <c r="K16" s="102" t="s">
        <v>0</v>
      </c>
      <c r="L16" s="87"/>
      <c r="M16" s="102" t="s">
        <v>0</v>
      </c>
      <c r="N16" s="87"/>
      <c r="O16" s="102" t="s">
        <v>0</v>
      </c>
      <c r="P16" s="87"/>
    </row>
    <row r="17" spans="1:16" ht="15.6" customHeight="1">
      <c r="A17" s="10" t="s">
        <v>261</v>
      </c>
      <c r="B17" s="87">
        <v>180000</v>
      </c>
      <c r="C17" s="88">
        <v>0</v>
      </c>
      <c r="D17" s="87">
        <v>0</v>
      </c>
      <c r="E17" s="88">
        <v>0</v>
      </c>
      <c r="F17" s="87">
        <v>0</v>
      </c>
      <c r="G17" s="88">
        <v>0</v>
      </c>
      <c r="H17" s="87">
        <v>0</v>
      </c>
      <c r="I17" s="1348">
        <v>0</v>
      </c>
      <c r="J17" s="87">
        <v>0</v>
      </c>
      <c r="K17" s="88">
        <v>0</v>
      </c>
      <c r="L17" s="87">
        <v>0</v>
      </c>
      <c r="M17" s="88">
        <v>0</v>
      </c>
      <c r="N17" s="87">
        <v>0</v>
      </c>
      <c r="O17" s="88">
        <v>0</v>
      </c>
      <c r="P17" s="87">
        <v>0</v>
      </c>
    </row>
    <row r="18" spans="1:16" ht="15.6" customHeight="1">
      <c r="A18" s="10" t="s">
        <v>909</v>
      </c>
      <c r="B18" s="87">
        <v>0</v>
      </c>
      <c r="C18" s="88">
        <v>0</v>
      </c>
      <c r="D18" s="87">
        <v>0</v>
      </c>
      <c r="E18" s="88">
        <v>0</v>
      </c>
      <c r="F18" s="87">
        <v>0</v>
      </c>
      <c r="G18" s="88">
        <v>0</v>
      </c>
      <c r="H18" s="87">
        <v>0</v>
      </c>
      <c r="I18" s="1348">
        <v>0</v>
      </c>
      <c r="J18" s="87">
        <v>0</v>
      </c>
      <c r="K18" s="88">
        <v>0</v>
      </c>
      <c r="L18" s="87">
        <v>0</v>
      </c>
      <c r="M18" s="88">
        <v>0</v>
      </c>
      <c r="N18" s="87">
        <v>0</v>
      </c>
      <c r="O18" s="88">
        <v>0</v>
      </c>
      <c r="P18" s="87">
        <v>0</v>
      </c>
    </row>
    <row r="19" spans="1:16">
      <c r="A19" s="10" t="s">
        <v>262</v>
      </c>
      <c r="B19" s="87">
        <v>134723.54717347602</v>
      </c>
      <c r="C19" s="88">
        <v>0</v>
      </c>
      <c r="D19" s="87">
        <v>0</v>
      </c>
      <c r="E19" s="88">
        <v>0</v>
      </c>
      <c r="F19" s="87">
        <v>0</v>
      </c>
      <c r="G19" s="88">
        <v>0</v>
      </c>
      <c r="H19" s="87">
        <v>0</v>
      </c>
      <c r="I19" s="52">
        <f>+(B19-J19)/ABS(J19)</f>
        <v>-3.3070778265033726E-2</v>
      </c>
      <c r="J19" s="87">
        <v>139331.34312741199</v>
      </c>
      <c r="K19" s="102">
        <f>+(J19-L19)/ABS(L19)</f>
        <v>4.5543752455207196</v>
      </c>
      <c r="L19" s="87">
        <v>25084.971210718002</v>
      </c>
      <c r="M19" s="102">
        <f>+(L19-N19)/ABS(N19)</f>
        <v>3.5908708111755831E-2</v>
      </c>
      <c r="N19" s="87">
        <v>24215.426527732005</v>
      </c>
      <c r="O19" s="102">
        <f t="shared" ref="O19:O23" si="4">+(N19-P19)/ABS(P19)</f>
        <v>3.8035589116016413E-2</v>
      </c>
      <c r="P19" s="87">
        <v>23328.127456934002</v>
      </c>
    </row>
    <row r="20" spans="1:16">
      <c r="A20" s="10" t="s">
        <v>263</v>
      </c>
      <c r="B20" s="87">
        <v>2291639.3848394938</v>
      </c>
      <c r="C20" s="88">
        <v>0</v>
      </c>
      <c r="D20" s="87">
        <v>0</v>
      </c>
      <c r="E20" s="88">
        <v>0</v>
      </c>
      <c r="F20" s="87">
        <v>0</v>
      </c>
      <c r="G20" s="88">
        <v>0</v>
      </c>
      <c r="H20" s="87">
        <v>0</v>
      </c>
      <c r="I20" s="52">
        <f>+(B20-J20)/ABS(J20)</f>
        <v>6.2135891708516343E-3</v>
      </c>
      <c r="J20" s="87">
        <v>2277488.0100037898</v>
      </c>
      <c r="K20" s="102">
        <f>+(J20-L20)/ABS(L20)</f>
        <v>0.60491670936044473</v>
      </c>
      <c r="L20" s="87">
        <v>1419069.286724146</v>
      </c>
      <c r="M20" s="102">
        <f>+(L20-N20)/ABS(N20)</f>
        <v>2.5231687168149552E-2</v>
      </c>
      <c r="N20" s="87">
        <v>1384144.9737510919</v>
      </c>
      <c r="O20" s="102">
        <f t="shared" si="4"/>
        <v>0.23149280349435469</v>
      </c>
      <c r="P20" s="87">
        <v>1123957.013653338</v>
      </c>
    </row>
    <row r="21" spans="1:16">
      <c r="A21" s="10" t="s">
        <v>264</v>
      </c>
      <c r="B21" s="87">
        <v>280545.03700000001</v>
      </c>
      <c r="C21" s="88">
        <v>0</v>
      </c>
      <c r="D21" s="87">
        <v>0</v>
      </c>
      <c r="E21" s="88">
        <v>0</v>
      </c>
      <c r="F21" s="87">
        <v>0</v>
      </c>
      <c r="G21" s="88">
        <v>0</v>
      </c>
      <c r="H21" s="87">
        <v>0</v>
      </c>
      <c r="I21" s="52">
        <f>+(B21-J21)/ABS(J21)</f>
        <v>0.10098214076393738</v>
      </c>
      <c r="J21" s="87">
        <v>254813.43122000009</v>
      </c>
      <c r="K21" s="102">
        <f>+(J21-L21)/ABS(L21)</f>
        <v>7.7496431585678136E-2</v>
      </c>
      <c r="L21" s="87">
        <v>236486.56621999992</v>
      </c>
      <c r="M21" s="102">
        <f>+(L21-N21)/ABS(N21)</f>
        <v>0.10902530866918356</v>
      </c>
      <c r="N21" s="87">
        <v>213238.20509</v>
      </c>
      <c r="O21" s="102">
        <f t="shared" si="4"/>
        <v>-9.8428645585571489E-2</v>
      </c>
      <c r="P21" s="87">
        <v>236518.38985999997</v>
      </c>
    </row>
    <row r="22" spans="1:16" ht="16.5" thickBot="1">
      <c r="A22" s="10" t="s">
        <v>265</v>
      </c>
      <c r="B22" s="97">
        <v>48894.990172113896</v>
      </c>
      <c r="C22" s="88">
        <v>0</v>
      </c>
      <c r="D22" s="97">
        <v>0</v>
      </c>
      <c r="E22" s="88">
        <v>0</v>
      </c>
      <c r="F22" s="97">
        <v>0</v>
      </c>
      <c r="G22" s="88">
        <v>0</v>
      </c>
      <c r="H22" s="97">
        <v>0</v>
      </c>
      <c r="I22" s="52">
        <f>+(B22-J22)/ABS(J22)</f>
        <v>-7.652548306790391E-2</v>
      </c>
      <c r="J22" s="97">
        <v>52946.767101435013</v>
      </c>
      <c r="K22" s="102">
        <f>+(J22-L22)/ABS(L22)</f>
        <v>-0.1699932124193419</v>
      </c>
      <c r="L22" s="97">
        <v>63790.76399575801</v>
      </c>
      <c r="M22" s="102">
        <f>+(L22-N22)/ABS(N22)</f>
        <v>6.2267799901795609E-2</v>
      </c>
      <c r="N22" s="97">
        <v>60051.489842443996</v>
      </c>
      <c r="O22" s="102">
        <f t="shared" si="4"/>
        <v>-9.915951342010923E-2</v>
      </c>
      <c r="P22" s="97">
        <v>66661.624046710014</v>
      </c>
    </row>
    <row r="23" spans="1:16">
      <c r="A23" s="10" t="s">
        <v>54</v>
      </c>
      <c r="B23" s="90">
        <f>SUM(B15:B22)</f>
        <v>5633680.9026068952</v>
      </c>
      <c r="C23" s="88">
        <v>0</v>
      </c>
      <c r="D23" s="90">
        <f>SUM(D15:D22)</f>
        <v>0</v>
      </c>
      <c r="E23" s="88">
        <v>0</v>
      </c>
      <c r="F23" s="90">
        <f>SUM(F15:F22)</f>
        <v>0</v>
      </c>
      <c r="G23" s="88">
        <v>0</v>
      </c>
      <c r="H23" s="90">
        <f>SUM(H15:H22)</f>
        <v>0</v>
      </c>
      <c r="I23" s="52">
        <f>+(B23-J23)/ABS(J23)</f>
        <v>0.13013467505638704</v>
      </c>
      <c r="J23" s="90">
        <f>SUM(J15:J22)</f>
        <v>4984964.2055499339</v>
      </c>
      <c r="K23" s="102">
        <f>+(J23-L23)/ABS(L23)</f>
        <v>0.23152024733154758</v>
      </c>
      <c r="L23" s="90">
        <f>SUM(L15:L22)</f>
        <v>4047813.4373765527</v>
      </c>
      <c r="M23" s="102">
        <f>+(L23-N23)/ABS(N23)</f>
        <v>0.23615807625442081</v>
      </c>
      <c r="N23" s="90">
        <f>SUM(N15:N22)</f>
        <v>3274511.1771153845</v>
      </c>
      <c r="O23" s="102">
        <f t="shared" si="4"/>
        <v>-3.461731716044629E-2</v>
      </c>
      <c r="P23" s="90">
        <f>SUM(P15:P22)</f>
        <v>3391930.7185869701</v>
      </c>
    </row>
    <row r="24" spans="1:16" ht="8.4499999999999993" customHeight="1">
      <c r="A24" s="10"/>
      <c r="B24" s="87"/>
      <c r="C24" s="88" t="s">
        <v>0</v>
      </c>
      <c r="D24" s="87"/>
      <c r="E24" s="88" t="s">
        <v>0</v>
      </c>
      <c r="F24" s="87"/>
      <c r="G24" s="88" t="s">
        <v>0</v>
      </c>
      <c r="H24" s="87"/>
      <c r="I24" s="52" t="s">
        <v>0</v>
      </c>
      <c r="J24" s="87"/>
      <c r="K24" s="102" t="s">
        <v>0</v>
      </c>
      <c r="L24" s="87"/>
      <c r="M24" s="102" t="s">
        <v>0</v>
      </c>
      <c r="N24" s="87"/>
      <c r="O24" s="102" t="s">
        <v>0</v>
      </c>
      <c r="P24" s="87"/>
    </row>
    <row r="25" spans="1:16">
      <c r="A25" s="11" t="s">
        <v>266</v>
      </c>
      <c r="B25" s="87"/>
      <c r="C25" s="88" t="s">
        <v>0</v>
      </c>
      <c r="D25" s="87"/>
      <c r="E25" s="88" t="s">
        <v>0</v>
      </c>
      <c r="F25" s="87"/>
      <c r="G25" s="88" t="s">
        <v>0</v>
      </c>
      <c r="H25" s="87"/>
      <c r="I25" s="52" t="s">
        <v>0</v>
      </c>
      <c r="J25" s="87"/>
      <c r="K25" s="102" t="s">
        <v>0</v>
      </c>
      <c r="L25" s="87"/>
      <c r="M25" s="102" t="s">
        <v>0</v>
      </c>
      <c r="N25" s="87"/>
      <c r="O25" s="102" t="s">
        <v>0</v>
      </c>
      <c r="P25" s="87"/>
    </row>
    <row r="26" spans="1:16">
      <c r="A26" s="10" t="s">
        <v>267</v>
      </c>
      <c r="B26" s="87"/>
      <c r="C26" s="88" t="s">
        <v>0</v>
      </c>
      <c r="D26" s="87"/>
      <c r="E26" s="88" t="s">
        <v>0</v>
      </c>
      <c r="F26" s="87"/>
      <c r="G26" s="88" t="s">
        <v>0</v>
      </c>
      <c r="H26" s="87"/>
      <c r="I26" s="52" t="s">
        <v>0</v>
      </c>
      <c r="J26" s="87"/>
      <c r="K26" s="102" t="s">
        <v>0</v>
      </c>
      <c r="L26" s="87"/>
      <c r="M26" s="102" t="s">
        <v>0</v>
      </c>
      <c r="N26" s="87"/>
      <c r="O26" s="102" t="s">
        <v>0</v>
      </c>
      <c r="P26" s="87"/>
    </row>
    <row r="27" spans="1:16">
      <c r="A27" s="10" t="s">
        <v>268</v>
      </c>
      <c r="B27" s="87">
        <v>1619897.1617202419</v>
      </c>
      <c r="C27" s="88">
        <v>0</v>
      </c>
      <c r="D27" s="87">
        <v>0</v>
      </c>
      <c r="E27" s="88">
        <v>0</v>
      </c>
      <c r="F27" s="87">
        <v>0</v>
      </c>
      <c r="G27" s="88">
        <v>0</v>
      </c>
      <c r="H27" s="87">
        <v>0</v>
      </c>
      <c r="I27" s="52">
        <f>+(B27-J27)/ABS(J27)</f>
        <v>0.18290678910603084</v>
      </c>
      <c r="J27" s="87">
        <v>1369420.8002174557</v>
      </c>
      <c r="K27" s="102">
        <f>+(J27-L27)/ABS(L27)</f>
        <v>0.16340270466624127</v>
      </c>
      <c r="L27" s="87">
        <v>1177082.3591220009</v>
      </c>
      <c r="M27" s="102">
        <f>+(L27-N27)/ABS(N27)</f>
        <v>0.30359009573335832</v>
      </c>
      <c r="N27" s="87">
        <v>902954.35886984994</v>
      </c>
      <c r="O27" s="102">
        <f>+(N27-P27)/ABS(P27)</f>
        <v>-3.7318106384752775E-2</v>
      </c>
      <c r="P27" s="87">
        <v>937957.14332893805</v>
      </c>
    </row>
    <row r="28" spans="1:16">
      <c r="A28" s="10" t="s">
        <v>269</v>
      </c>
      <c r="B28" s="87">
        <v>1841834.3011840901</v>
      </c>
      <c r="C28" s="88">
        <v>0</v>
      </c>
      <c r="D28" s="87">
        <v>0</v>
      </c>
      <c r="E28" s="88">
        <v>0</v>
      </c>
      <c r="F28" s="87">
        <v>0</v>
      </c>
      <c r="G28" s="88">
        <v>0</v>
      </c>
      <c r="H28" s="87">
        <v>0</v>
      </c>
      <c r="I28" s="52">
        <f>+(B28-J28)/ABS(J28)</f>
        <v>7.7011415717384762E-2</v>
      </c>
      <c r="J28" s="87">
        <v>1710134.4278298719</v>
      </c>
      <c r="K28" s="102">
        <f>+(J28-L28)/ABS(L28)</f>
        <v>-1.8742081555509292E-2</v>
      </c>
      <c r="L28" s="87">
        <v>1742798.0918011959</v>
      </c>
      <c r="M28" s="102">
        <f>+(L28-N28)/ABS(N28)</f>
        <v>1.9337114085392824E-2</v>
      </c>
      <c r="N28" s="87">
        <v>1709736.717832484</v>
      </c>
      <c r="O28" s="102">
        <f>+(N28-P28)/ABS(P28)</f>
        <v>2.3159791819535595E-2</v>
      </c>
      <c r="P28" s="87">
        <v>1671035.8748480282</v>
      </c>
    </row>
    <row r="29" spans="1:16">
      <c r="A29" s="10" t="s">
        <v>270</v>
      </c>
      <c r="B29" s="199">
        <v>1237077.9101916431</v>
      </c>
      <c r="C29" s="88">
        <v>0</v>
      </c>
      <c r="D29" s="199">
        <v>0</v>
      </c>
      <c r="E29" s="88">
        <v>0</v>
      </c>
      <c r="F29" s="199">
        <v>0</v>
      </c>
      <c r="G29" s="88">
        <v>0</v>
      </c>
      <c r="H29" s="199">
        <v>0</v>
      </c>
      <c r="I29" s="52">
        <f>+(B29-J29)/ABS(J29)</f>
        <v>0.2327994098641844</v>
      </c>
      <c r="J29" s="199">
        <v>1003470.5567614848</v>
      </c>
      <c r="K29" s="102">
        <f>+(J29-L29)/ABS(L29)</f>
        <v>0.56797447130251677</v>
      </c>
      <c r="L29" s="199">
        <v>639978.886855155</v>
      </c>
      <c r="M29" s="102">
        <f>+(L29-N29)/ABS(N29)</f>
        <v>4.0201438988771585E-2</v>
      </c>
      <c r="N29" s="217">
        <v>615245.14662978007</v>
      </c>
      <c r="O29" s="102">
        <f>+(N29-P29)/ABS(P29)</f>
        <v>-0.11809923825288531</v>
      </c>
      <c r="P29" s="217">
        <v>697635.35004883213</v>
      </c>
    </row>
    <row r="30" spans="1:16">
      <c r="A30" s="10"/>
      <c r="B30" s="87">
        <f>SUM(B27:B29)</f>
        <v>4698809.3730959753</v>
      </c>
      <c r="C30" s="88">
        <v>0</v>
      </c>
      <c r="D30" s="87">
        <f>SUM(D27:D29)</f>
        <v>0</v>
      </c>
      <c r="E30" s="88">
        <v>0</v>
      </c>
      <c r="F30" s="87">
        <f>SUM(F27:F29)</f>
        <v>0</v>
      </c>
      <c r="G30" s="88">
        <v>0</v>
      </c>
      <c r="H30" s="87">
        <f>SUM(H27:H29)</f>
        <v>0</v>
      </c>
      <c r="I30" s="52">
        <f>+(B30-J30)/ABS(J30)</f>
        <v>0.1508155031933007</v>
      </c>
      <c r="J30" s="87">
        <f>SUM(J27:J29)</f>
        <v>4083025.7848088127</v>
      </c>
      <c r="K30" s="102">
        <f>+(J30-L30)/ABS(L30)</f>
        <v>0.14696267391198659</v>
      </c>
      <c r="L30" s="87">
        <f>SUM(L27:L29)</f>
        <v>3559859.3377783522</v>
      </c>
      <c r="M30" s="102">
        <f>+(L30-N30)/ABS(N30)</f>
        <v>0.10282827524504266</v>
      </c>
      <c r="N30" s="87">
        <f>SUM(N27:N29)</f>
        <v>3227936.2233321141</v>
      </c>
      <c r="O30" s="102">
        <f>+(N30-P30)/ABS(P30)</f>
        <v>-2.3798303326087841E-2</v>
      </c>
      <c r="P30" s="87">
        <f>SUM(P27:P29)</f>
        <v>3306628.3682257985</v>
      </c>
    </row>
    <row r="31" spans="1:16" ht="7.9" customHeight="1">
      <c r="A31" s="10"/>
      <c r="B31" s="87"/>
      <c r="C31" s="88" t="s">
        <v>0</v>
      </c>
      <c r="D31" s="87"/>
      <c r="E31" s="88" t="s">
        <v>0</v>
      </c>
      <c r="F31" s="87"/>
      <c r="G31" s="88" t="s">
        <v>0</v>
      </c>
      <c r="H31" s="87"/>
      <c r="I31" s="52" t="s">
        <v>0</v>
      </c>
      <c r="J31" s="87"/>
      <c r="K31" s="102" t="s">
        <v>0</v>
      </c>
      <c r="L31" s="87"/>
      <c r="M31" s="102" t="s">
        <v>0</v>
      </c>
      <c r="N31" s="87"/>
      <c r="O31" s="102" t="s">
        <v>0</v>
      </c>
      <c r="P31" s="87"/>
    </row>
    <row r="32" spans="1:16">
      <c r="A32" s="10" t="s">
        <v>271</v>
      </c>
      <c r="B32" s="87"/>
      <c r="C32" s="88" t="s">
        <v>0</v>
      </c>
      <c r="D32" s="87"/>
      <c r="E32" s="88" t="s">
        <v>0</v>
      </c>
      <c r="F32" s="87"/>
      <c r="G32" s="88" t="s">
        <v>0</v>
      </c>
      <c r="H32" s="87"/>
      <c r="I32" s="52" t="s">
        <v>0</v>
      </c>
      <c r="J32" s="87"/>
      <c r="K32" s="102" t="s">
        <v>0</v>
      </c>
      <c r="L32" s="87"/>
      <c r="M32" s="102" t="s">
        <v>0</v>
      </c>
      <c r="N32" s="87"/>
      <c r="O32" s="102" t="s">
        <v>0</v>
      </c>
      <c r="P32" s="87"/>
    </row>
    <row r="33" spans="1:21">
      <c r="A33" s="10" t="s">
        <v>272</v>
      </c>
      <c r="B33" s="87">
        <v>0</v>
      </c>
      <c r="C33" s="88">
        <v>0</v>
      </c>
      <c r="D33" s="87">
        <v>0</v>
      </c>
      <c r="E33" s="88">
        <v>0</v>
      </c>
      <c r="F33" s="87">
        <v>0</v>
      </c>
      <c r="G33" s="88">
        <v>0</v>
      </c>
      <c r="H33" s="87">
        <v>0</v>
      </c>
      <c r="I33" s="49">
        <v>0</v>
      </c>
      <c r="J33" s="87">
        <v>0</v>
      </c>
      <c r="K33" s="88">
        <v>0</v>
      </c>
      <c r="L33" s="87">
        <v>0</v>
      </c>
      <c r="M33" s="88">
        <v>0</v>
      </c>
      <c r="N33" s="87">
        <v>0</v>
      </c>
      <c r="O33" s="88">
        <v>0</v>
      </c>
      <c r="P33" s="87">
        <v>0</v>
      </c>
    </row>
    <row r="34" spans="1:21">
      <c r="A34" s="10" t="s">
        <v>273</v>
      </c>
      <c r="B34" s="87">
        <v>0</v>
      </c>
      <c r="C34" s="88">
        <v>0</v>
      </c>
      <c r="D34" s="87">
        <f>+D141</f>
        <v>0</v>
      </c>
      <c r="E34" s="88">
        <v>0</v>
      </c>
      <c r="F34" s="87">
        <f>+F141</f>
        <v>0</v>
      </c>
      <c r="G34" s="88">
        <v>0</v>
      </c>
      <c r="H34" s="87">
        <f>+H141</f>
        <v>0</v>
      </c>
      <c r="I34" s="49">
        <v>0</v>
      </c>
      <c r="J34" s="87">
        <v>0</v>
      </c>
      <c r="K34" s="88">
        <v>0</v>
      </c>
      <c r="L34" s="87">
        <v>0</v>
      </c>
      <c r="M34" s="88">
        <v>0</v>
      </c>
      <c r="N34" s="87">
        <v>0</v>
      </c>
      <c r="O34" s="88">
        <v>0</v>
      </c>
      <c r="P34" s="87">
        <v>0</v>
      </c>
    </row>
    <row r="35" spans="1:21" ht="18">
      <c r="A35" s="10" t="s">
        <v>274</v>
      </c>
      <c r="B35" s="199">
        <v>242476.060946212</v>
      </c>
      <c r="C35" s="88">
        <v>0</v>
      </c>
      <c r="D35" s="199">
        <v>0</v>
      </c>
      <c r="E35" s="88">
        <v>0</v>
      </c>
      <c r="F35" s="199">
        <v>0</v>
      </c>
      <c r="G35" s="88">
        <v>0</v>
      </c>
      <c r="H35" s="199">
        <v>0</v>
      </c>
      <c r="I35" s="52">
        <f>+(B35-J35)/ABS(J35)</f>
        <v>8.7442233650851145E-2</v>
      </c>
      <c r="J35" s="199">
        <v>222978.337094883</v>
      </c>
      <c r="K35" s="102">
        <f>+(J35-L35)/ABS(L35)</f>
        <v>0.44771058364761274</v>
      </c>
      <c r="L35" s="199">
        <v>154021.34902756099</v>
      </c>
      <c r="M35" s="102">
        <f>+(L35-N35)/ABS(N35)</f>
        <v>0.25336936660587467</v>
      </c>
      <c r="N35" s="199">
        <v>122885.84126214201</v>
      </c>
      <c r="O35" s="102">
        <f>+(N35-P35)/ABS(P35)</f>
        <v>0.11020955236649328</v>
      </c>
      <c r="P35" s="199">
        <v>110687.06894135599</v>
      </c>
      <c r="Q35" s="14"/>
      <c r="R35" s="14"/>
      <c r="S35" s="15"/>
      <c r="T35" s="15"/>
      <c r="U35" s="15"/>
    </row>
    <row r="36" spans="1:21">
      <c r="A36" s="10"/>
      <c r="B36" s="87">
        <f>SUM(B33:B35)</f>
        <v>242476.060946212</v>
      </c>
      <c r="C36" s="88">
        <v>0</v>
      </c>
      <c r="D36" s="87">
        <f>SUM(D33:D35)</f>
        <v>0</v>
      </c>
      <c r="E36" s="88">
        <v>0</v>
      </c>
      <c r="F36" s="87">
        <f>SUM(F33:F35)</f>
        <v>0</v>
      </c>
      <c r="G36" s="88">
        <v>0</v>
      </c>
      <c r="H36" s="87">
        <f>SUM(H33:H35)</f>
        <v>0</v>
      </c>
      <c r="I36" s="52">
        <f>+(B36-J36)/ABS(J36)</f>
        <v>8.7442233650851145E-2</v>
      </c>
      <c r="J36" s="87">
        <f>SUM(J33:J35)</f>
        <v>222978.337094883</v>
      </c>
      <c r="K36" s="102">
        <f>+(J36-L36)/ABS(L36)</f>
        <v>0.44771058364761274</v>
      </c>
      <c r="L36" s="87">
        <f>SUM(L33:L35)</f>
        <v>154021.34902756099</v>
      </c>
      <c r="M36" s="102">
        <f>+(L36-N36)/ABS(N36)</f>
        <v>0.25336936660587467</v>
      </c>
      <c r="N36" s="87">
        <f>SUM(N33:N35)</f>
        <v>122885.84126214201</v>
      </c>
      <c r="O36" s="102">
        <f>+(N36-P36)/ABS(P36)</f>
        <v>0.11020955236649328</v>
      </c>
      <c r="P36" s="87">
        <f>SUM(P33:P35)</f>
        <v>110687.06894135599</v>
      </c>
    </row>
    <row r="37" spans="1:21" ht="7.15" customHeight="1">
      <c r="A37" s="10"/>
      <c r="B37" s="87"/>
      <c r="C37" s="88" t="s">
        <v>0</v>
      </c>
      <c r="D37" s="87"/>
      <c r="E37" s="88" t="s">
        <v>0</v>
      </c>
      <c r="F37" s="87"/>
      <c r="G37" s="88" t="s">
        <v>0</v>
      </c>
      <c r="H37" s="87"/>
      <c r="I37" s="52" t="s">
        <v>0</v>
      </c>
      <c r="J37" s="87"/>
      <c r="K37" s="102" t="s">
        <v>0</v>
      </c>
      <c r="L37" s="87"/>
      <c r="M37" s="102" t="s">
        <v>0</v>
      </c>
      <c r="N37" s="87"/>
      <c r="O37" s="102" t="s">
        <v>0</v>
      </c>
      <c r="P37" s="87"/>
    </row>
    <row r="38" spans="1:21">
      <c r="A38" s="10" t="s">
        <v>275</v>
      </c>
      <c r="B38" s="87"/>
      <c r="C38" s="88" t="s">
        <v>0</v>
      </c>
      <c r="D38" s="87"/>
      <c r="E38" s="88" t="s">
        <v>0</v>
      </c>
      <c r="F38" s="87"/>
      <c r="G38" s="88" t="s">
        <v>0</v>
      </c>
      <c r="H38" s="87"/>
      <c r="I38" s="52" t="s">
        <v>0</v>
      </c>
      <c r="J38" s="87"/>
      <c r="K38" s="102" t="s">
        <v>0</v>
      </c>
      <c r="L38" s="87"/>
      <c r="M38" s="102" t="s">
        <v>0</v>
      </c>
      <c r="N38" s="87"/>
      <c r="O38" s="102" t="s">
        <v>0</v>
      </c>
      <c r="P38" s="87"/>
    </row>
    <row r="39" spans="1:21">
      <c r="A39" s="10" t="s">
        <v>272</v>
      </c>
      <c r="B39" s="87">
        <v>200000</v>
      </c>
      <c r="C39" s="88">
        <v>0</v>
      </c>
      <c r="D39" s="87">
        <v>0</v>
      </c>
      <c r="E39" s="88">
        <v>0</v>
      </c>
      <c r="F39" s="87">
        <v>0</v>
      </c>
      <c r="G39" s="88">
        <v>0</v>
      </c>
      <c r="H39" s="87">
        <v>0</v>
      </c>
      <c r="I39" s="49">
        <v>0</v>
      </c>
      <c r="J39" s="87">
        <v>200000</v>
      </c>
      <c r="K39" s="88">
        <v>0</v>
      </c>
      <c r="L39" s="87">
        <v>0</v>
      </c>
      <c r="M39" s="88">
        <v>0</v>
      </c>
      <c r="N39" s="87">
        <v>0</v>
      </c>
      <c r="O39" s="88">
        <v>0</v>
      </c>
      <c r="P39" s="87">
        <v>0</v>
      </c>
    </row>
    <row r="40" spans="1:21">
      <c r="A40" s="10" t="s">
        <v>276</v>
      </c>
      <c r="B40" s="87">
        <v>0</v>
      </c>
      <c r="C40" s="88">
        <v>0</v>
      </c>
      <c r="D40" s="87">
        <f>+D148</f>
        <v>0</v>
      </c>
      <c r="E40" s="88">
        <v>0</v>
      </c>
      <c r="F40" s="87">
        <f>+F148</f>
        <v>0</v>
      </c>
      <c r="G40" s="88">
        <v>0</v>
      </c>
      <c r="H40" s="87">
        <v>0</v>
      </c>
      <c r="I40" s="49">
        <v>0</v>
      </c>
      <c r="J40" s="87">
        <v>0</v>
      </c>
      <c r="K40" s="88">
        <v>0</v>
      </c>
      <c r="L40" s="87">
        <v>0</v>
      </c>
      <c r="M40" s="88">
        <v>0</v>
      </c>
      <c r="N40" s="87">
        <v>0</v>
      </c>
      <c r="O40" s="88">
        <v>0</v>
      </c>
      <c r="P40" s="87">
        <v>0</v>
      </c>
    </row>
    <row r="41" spans="1:21">
      <c r="A41" s="10" t="s">
        <v>274</v>
      </c>
      <c r="B41" s="199">
        <v>1670.0527500000001</v>
      </c>
      <c r="C41" s="88">
        <v>0</v>
      </c>
      <c r="D41" s="199">
        <v>0</v>
      </c>
      <c r="E41" s="88">
        <v>0</v>
      </c>
      <c r="F41" s="199">
        <v>0</v>
      </c>
      <c r="G41" s="88">
        <v>0</v>
      </c>
      <c r="H41" s="199">
        <v>0</v>
      </c>
      <c r="I41" s="52">
        <f>+(B41-J41)/ABS(J41)</f>
        <v>-0.76309628544070118</v>
      </c>
      <c r="J41" s="199">
        <v>7049.5000599999994</v>
      </c>
      <c r="K41" s="102">
        <f>+(J41-L41)/ABS(L41)</f>
        <v>0.2999612060378139</v>
      </c>
      <c r="L41" s="199">
        <v>5422.8541799999994</v>
      </c>
      <c r="M41" s="102">
        <f>+(L41-N41)/ABS(N41)</f>
        <v>-0.28315011507454008</v>
      </c>
      <c r="N41" s="199">
        <v>7564.8392976499999</v>
      </c>
      <c r="O41" s="102">
        <f>+(N41-P41)/ABS(P41)</f>
        <v>-3.1979599866161931E-2</v>
      </c>
      <c r="P41" s="199">
        <v>7814.7519376700002</v>
      </c>
    </row>
    <row r="42" spans="1:21">
      <c r="A42" s="10"/>
      <c r="B42" s="87">
        <f>SUM(B39:B41)</f>
        <v>201670.05275</v>
      </c>
      <c r="C42" s="88">
        <v>0</v>
      </c>
      <c r="D42" s="87">
        <f>SUM(D39:D41)</f>
        <v>0</v>
      </c>
      <c r="E42" s="88">
        <v>0</v>
      </c>
      <c r="F42" s="87">
        <f>SUM(F39:F41)</f>
        <v>0</v>
      </c>
      <c r="G42" s="88">
        <v>0</v>
      </c>
      <c r="H42" s="87">
        <f>SUM(H39:H41)</f>
        <v>0</v>
      </c>
      <c r="I42" s="52">
        <f>+(B42-J42)/ABS(J42)</f>
        <v>-2.5981455200042025E-2</v>
      </c>
      <c r="J42" s="87">
        <f>SUM(J39:J41)</f>
        <v>207049.50005999999</v>
      </c>
      <c r="K42" s="102">
        <f>+(J42-L42)/ABS(L42)</f>
        <v>37.180908648367904</v>
      </c>
      <c r="L42" s="87">
        <f>SUM(L39:L41)</f>
        <v>5422.8541799999994</v>
      </c>
      <c r="M42" s="102">
        <f>+(L42-N42)/ABS(N42)</f>
        <v>-0.28315011507454008</v>
      </c>
      <c r="N42" s="87">
        <f>SUM(N39:N41)</f>
        <v>7564.8392976499999</v>
      </c>
      <c r="O42" s="102">
        <f>+(N42-P42)/ABS(P42)</f>
        <v>-3.1979599866161931E-2</v>
      </c>
      <c r="P42" s="87">
        <f>SUM(P39:P41)</f>
        <v>7814.7519376700002</v>
      </c>
    </row>
    <row r="43" spans="1:21" ht="8.4499999999999993" customHeight="1">
      <c r="A43" s="10"/>
      <c r="B43" s="87"/>
      <c r="C43" s="88" t="s">
        <v>0</v>
      </c>
      <c r="D43" s="87"/>
      <c r="E43" s="88" t="s">
        <v>0</v>
      </c>
      <c r="F43" s="87"/>
      <c r="G43" s="88" t="s">
        <v>0</v>
      </c>
      <c r="H43" s="87"/>
      <c r="I43" s="52" t="s">
        <v>0</v>
      </c>
      <c r="J43" s="87"/>
      <c r="K43" s="102" t="s">
        <v>0</v>
      </c>
      <c r="L43" s="87"/>
      <c r="M43" s="102" t="s">
        <v>0</v>
      </c>
      <c r="N43" s="87"/>
      <c r="O43" s="102" t="s">
        <v>0</v>
      </c>
      <c r="P43" s="87"/>
    </row>
    <row r="44" spans="1:21" ht="18">
      <c r="A44" s="10" t="s">
        <v>277</v>
      </c>
      <c r="B44" s="199">
        <v>208053.94415511104</v>
      </c>
      <c r="C44" s="88">
        <v>0</v>
      </c>
      <c r="D44" s="199">
        <v>0</v>
      </c>
      <c r="E44" s="88">
        <v>0</v>
      </c>
      <c r="F44" s="199">
        <v>0</v>
      </c>
      <c r="G44" s="88">
        <v>0</v>
      </c>
      <c r="H44" s="199">
        <v>0</v>
      </c>
      <c r="I44" s="52">
        <f>+(B44-J44)/ABS(J44)</f>
        <v>2.6719398246297828E-2</v>
      </c>
      <c r="J44" s="199">
        <v>202639.537648242</v>
      </c>
      <c r="K44" s="102">
        <f>+(J44-L44)/ABS(L44)</f>
        <v>0.15867278689466235</v>
      </c>
      <c r="L44" s="199">
        <v>174889.35611522602</v>
      </c>
      <c r="M44" s="102">
        <f>+(L44-N44)/ABS(N44)</f>
        <v>0.21759816180893679</v>
      </c>
      <c r="N44" s="199">
        <v>143634.70773921005</v>
      </c>
      <c r="O44" s="102">
        <f>+(N44-P44)/ABS(P44)</f>
        <v>-3.9906390926754014E-2</v>
      </c>
      <c r="P44" s="199">
        <v>149604.899336698</v>
      </c>
      <c r="Q44" s="14"/>
      <c r="R44" s="14"/>
    </row>
    <row r="45" spans="1:21">
      <c r="A45" s="10"/>
      <c r="B45" s="87">
        <f>+B30+B36+B42+B44</f>
        <v>5351009.4309472982</v>
      </c>
      <c r="C45" s="88">
        <v>0</v>
      </c>
      <c r="D45" s="87">
        <f>+D30+D36+D42+D44</f>
        <v>0</v>
      </c>
      <c r="E45" s="88">
        <v>0</v>
      </c>
      <c r="F45" s="87">
        <f>+F30+F36+F42+F44</f>
        <v>0</v>
      </c>
      <c r="G45" s="88">
        <v>0</v>
      </c>
      <c r="H45" s="87">
        <f>+H30+H36+H42+H44</f>
        <v>0</v>
      </c>
      <c r="I45" s="52">
        <f>+(B45-J45)/ABS(J45)</f>
        <v>0.13472383588834708</v>
      </c>
      <c r="J45" s="87">
        <f>+J30+J36+J42+J44</f>
        <v>4715693.1596119385</v>
      </c>
      <c r="K45" s="102">
        <f>+(J45-L45)/ABS(L45)</f>
        <v>0.21095520540914373</v>
      </c>
      <c r="L45" s="87">
        <f>+L30+L36+L42+L44</f>
        <v>3894192.8971011392</v>
      </c>
      <c r="M45" s="102">
        <f>+(L45-N45)/ABS(N45)</f>
        <v>0.11198425622718058</v>
      </c>
      <c r="N45" s="87">
        <f>+N30+N36+N42+N44</f>
        <v>3502021.6116311164</v>
      </c>
      <c r="O45" s="102">
        <f>+(N45-P45)/ABS(P45)</f>
        <v>-2.0340941359687528E-2</v>
      </c>
      <c r="P45" s="87">
        <f>+P30+P36+P42+P44</f>
        <v>3574735.0884415228</v>
      </c>
    </row>
    <row r="46" spans="1:21" ht="13.9" customHeight="1">
      <c r="A46" s="10"/>
      <c r="B46" s="87"/>
      <c r="C46" s="88" t="s">
        <v>0</v>
      </c>
      <c r="D46" s="87"/>
      <c r="E46" s="88" t="s">
        <v>0</v>
      </c>
      <c r="F46" s="87"/>
      <c r="G46" s="88" t="s">
        <v>0</v>
      </c>
      <c r="H46" s="87"/>
      <c r="I46" s="52" t="s">
        <v>0</v>
      </c>
      <c r="J46" s="87"/>
      <c r="K46" s="102" t="s">
        <v>0</v>
      </c>
      <c r="L46" s="87"/>
      <c r="M46" s="102" t="s">
        <v>0</v>
      </c>
      <c r="N46" s="87"/>
      <c r="O46" s="102" t="s">
        <v>0</v>
      </c>
      <c r="P46" s="87"/>
    </row>
    <row r="47" spans="1:21">
      <c r="A47" s="11" t="s">
        <v>278</v>
      </c>
      <c r="B47" s="87"/>
      <c r="C47" s="88" t="s">
        <v>0</v>
      </c>
      <c r="D47" s="87"/>
      <c r="E47" s="88" t="s">
        <v>0</v>
      </c>
      <c r="F47" s="87"/>
      <c r="G47" s="88" t="s">
        <v>0</v>
      </c>
      <c r="H47" s="87"/>
      <c r="I47" s="52" t="s">
        <v>0</v>
      </c>
      <c r="J47" s="87"/>
      <c r="K47" s="102" t="s">
        <v>0</v>
      </c>
      <c r="L47" s="87"/>
      <c r="M47" s="102" t="s">
        <v>0</v>
      </c>
      <c r="N47" s="87"/>
      <c r="O47" s="102" t="s">
        <v>0</v>
      </c>
      <c r="P47" s="87"/>
    </row>
    <row r="48" spans="1:21">
      <c r="A48" s="10" t="s">
        <v>279</v>
      </c>
      <c r="B48" s="87">
        <v>448651</v>
      </c>
      <c r="C48" s="88">
        <v>0</v>
      </c>
      <c r="D48" s="87">
        <v>0</v>
      </c>
      <c r="E48" s="88">
        <v>0</v>
      </c>
      <c r="F48" s="87">
        <v>0</v>
      </c>
      <c r="G48" s="88">
        <v>0</v>
      </c>
      <c r="H48" s="87">
        <v>0</v>
      </c>
      <c r="I48" s="52">
        <f t="shared" ref="I48:I53" si="5">+(B48-J48)/ABS(J48)</f>
        <v>0</v>
      </c>
      <c r="J48" s="87">
        <v>448651</v>
      </c>
      <c r="K48" s="102">
        <f t="shared" ref="K48:K53" si="6">+(J48-L48)/ABS(L48)</f>
        <v>-2.9977777777777776E-3</v>
      </c>
      <c r="L48" s="87">
        <v>450000</v>
      </c>
      <c r="M48" s="102">
        <f t="shared" ref="M48:M53" si="7">+(L48-N48)/ABS(N48)</f>
        <v>1.9959579533945453</v>
      </c>
      <c r="N48" s="87">
        <v>150202.375</v>
      </c>
      <c r="O48" s="102">
        <f t="shared" ref="O48:O53" si="8">+(N48-P48)/ABS(P48)</f>
        <v>0</v>
      </c>
      <c r="P48" s="87">
        <v>150202.375</v>
      </c>
    </row>
    <row r="49" spans="1:21">
      <c r="A49" s="10" t="s">
        <v>280</v>
      </c>
      <c r="B49" s="87">
        <v>33754.820760000002</v>
      </c>
      <c r="C49" s="88">
        <v>0</v>
      </c>
      <c r="D49" s="87">
        <v>0</v>
      </c>
      <c r="E49" s="88">
        <v>0</v>
      </c>
      <c r="F49" s="87">
        <v>0</v>
      </c>
      <c r="G49" s="88">
        <v>0</v>
      </c>
      <c r="H49" s="87">
        <v>0</v>
      </c>
      <c r="I49" s="52">
        <f t="shared" si="5"/>
        <v>-1.6072291305944546E-2</v>
      </c>
      <c r="J49" s="87">
        <f>7193.1+27113.1</f>
        <v>34306.199999999997</v>
      </c>
      <c r="K49" s="102">
        <f t="shared" si="6"/>
        <v>0.57845009393865077</v>
      </c>
      <c r="L49" s="87">
        <v>21734.104950000001</v>
      </c>
      <c r="M49" s="102">
        <f t="shared" si="7"/>
        <v>-0.11285648572988705</v>
      </c>
      <c r="N49" s="87">
        <v>24498.97294</v>
      </c>
      <c r="O49" s="102">
        <f t="shared" si="8"/>
        <v>-6.0085392328172088E-2</v>
      </c>
      <c r="P49" s="87">
        <f>7193.105+18872</f>
        <v>26065.105</v>
      </c>
    </row>
    <row r="50" spans="1:21">
      <c r="A50" s="10" t="s">
        <v>281</v>
      </c>
      <c r="B50" s="87">
        <v>93847.200150000004</v>
      </c>
      <c r="C50" s="88">
        <v>0</v>
      </c>
      <c r="D50" s="87">
        <v>0</v>
      </c>
      <c r="E50" s="88">
        <v>0</v>
      </c>
      <c r="F50" s="87">
        <v>0</v>
      </c>
      <c r="G50" s="88">
        <v>0</v>
      </c>
      <c r="H50" s="87">
        <v>0</v>
      </c>
      <c r="I50" s="52">
        <f t="shared" si="5"/>
        <v>1.5983429140626219E-9</v>
      </c>
      <c r="J50" s="87">
        <v>93847.2</v>
      </c>
      <c r="K50" s="102">
        <f t="shared" si="6"/>
        <v>-0.14932116500284803</v>
      </c>
      <c r="L50" s="87">
        <v>110320.3655</v>
      </c>
      <c r="M50" s="102">
        <f t="shared" si="7"/>
        <v>4.7470638776512128E-2</v>
      </c>
      <c r="N50" s="87">
        <v>105320.72348</v>
      </c>
      <c r="O50" s="102">
        <f t="shared" si="8"/>
        <v>0</v>
      </c>
      <c r="P50" s="87">
        <v>105320.72348</v>
      </c>
    </row>
    <row r="51" spans="1:21" ht="18">
      <c r="A51" s="10" t="s">
        <v>282</v>
      </c>
      <c r="B51" s="199">
        <v>-293581.54925000004</v>
      </c>
      <c r="C51" s="88">
        <v>0</v>
      </c>
      <c r="D51" s="199">
        <v>0</v>
      </c>
      <c r="E51" s="88">
        <v>0</v>
      </c>
      <c r="F51" s="199">
        <v>0</v>
      </c>
      <c r="G51" s="88">
        <v>0</v>
      </c>
      <c r="H51" s="199">
        <v>0</v>
      </c>
      <c r="I51" s="52">
        <f t="shared" si="5"/>
        <v>4.5366944696088235E-2</v>
      </c>
      <c r="J51" s="199">
        <v>-307533.40000000002</v>
      </c>
      <c r="K51" s="102">
        <f t="shared" si="6"/>
        <v>0.28219177253778049</v>
      </c>
      <c r="L51" s="199">
        <v>-428433.93017000001</v>
      </c>
      <c r="M51" s="102">
        <f t="shared" si="7"/>
        <v>0.15584928028107614</v>
      </c>
      <c r="N51" s="199">
        <v>-507532.50594</v>
      </c>
      <c r="O51" s="102">
        <f t="shared" si="8"/>
        <v>-9.2895345941372554E-2</v>
      </c>
      <c r="P51" s="199">
        <v>-464392.59516000003</v>
      </c>
      <c r="Q51" s="14"/>
      <c r="R51" s="14"/>
      <c r="S51" s="15"/>
      <c r="T51" s="15"/>
      <c r="U51" s="15"/>
    </row>
    <row r="52" spans="1:21" ht="16.5" thickBot="1">
      <c r="A52" s="10" t="s">
        <v>54</v>
      </c>
      <c r="B52" s="97">
        <f>SUM(B48:B51)</f>
        <v>282671.47166000004</v>
      </c>
      <c r="C52" s="88">
        <v>0</v>
      </c>
      <c r="D52" s="97">
        <f>SUM(D48:D51)</f>
        <v>0</v>
      </c>
      <c r="E52" s="88">
        <v>0</v>
      </c>
      <c r="F52" s="97">
        <f>SUM(F48:F51)</f>
        <v>0</v>
      </c>
      <c r="G52" s="88">
        <v>0</v>
      </c>
      <c r="H52" s="97">
        <f>SUM(H48:H51)</f>
        <v>0</v>
      </c>
      <c r="I52" s="52">
        <f t="shared" si="5"/>
        <v>4.9765744027392624E-2</v>
      </c>
      <c r="J52" s="97">
        <f>SUM(J48:J51)</f>
        <v>269271</v>
      </c>
      <c r="K52" s="102">
        <f t="shared" si="6"/>
        <v>0.75283200742040757</v>
      </c>
      <c r="L52" s="97">
        <f>SUM(L48:L51)</f>
        <v>153620.54028000002</v>
      </c>
      <c r="M52" s="102">
        <f t="shared" si="7"/>
        <v>1.6752241522640823</v>
      </c>
      <c r="N52" s="97">
        <f>SUM(N48:N51)</f>
        <v>-227510.43452000001</v>
      </c>
      <c r="O52" s="102">
        <f t="shared" si="8"/>
        <v>-0.24455672223815147</v>
      </c>
      <c r="P52" s="97">
        <f>SUM(P48:P51)</f>
        <v>-182804.39168</v>
      </c>
    </row>
    <row r="53" spans="1:21">
      <c r="A53" s="10" t="s">
        <v>0</v>
      </c>
      <c r="B53" s="90">
        <f>+B30+B36+B42+B44+B52</f>
        <v>5633680.9026072985</v>
      </c>
      <c r="C53" s="88">
        <v>0</v>
      </c>
      <c r="D53" s="90">
        <f>+D30+D36+D42+D44+D52</f>
        <v>0</v>
      </c>
      <c r="E53" s="88">
        <v>0</v>
      </c>
      <c r="F53" s="90">
        <f>+F30+F36+F42+F44+F52</f>
        <v>0</v>
      </c>
      <c r="G53" s="88">
        <v>0</v>
      </c>
      <c r="H53" s="90">
        <f>+H30+H36+H42+H44+H52</f>
        <v>0</v>
      </c>
      <c r="I53" s="52">
        <f t="shared" si="5"/>
        <v>0.13013468547101054</v>
      </c>
      <c r="J53" s="90">
        <f>+J30+J36+J42+J44+J52</f>
        <v>4984964.1596119385</v>
      </c>
      <c r="K53" s="102">
        <f t="shared" si="6"/>
        <v>0.23152023598131014</v>
      </c>
      <c r="L53" s="90">
        <f>+L30+L36+L42+L44+L52</f>
        <v>4047813.437381139</v>
      </c>
      <c r="M53" s="102">
        <f t="shared" si="7"/>
        <v>0.23615807625743274</v>
      </c>
      <c r="N53" s="90">
        <f>+N30+N36+N42+N44+N52</f>
        <v>3274511.1771111162</v>
      </c>
      <c r="O53" s="102">
        <f t="shared" si="8"/>
        <v>-3.4617310949930091E-2</v>
      </c>
      <c r="P53" s="90">
        <f>+P30+P36+P42+P44+P52</f>
        <v>3391930.6967615229</v>
      </c>
    </row>
    <row r="54" spans="1:21">
      <c r="A54" s="10"/>
      <c r="B54" s="90"/>
      <c r="C54" s="88"/>
      <c r="D54" s="90"/>
      <c r="E54" s="88"/>
      <c r="F54" s="90"/>
      <c r="G54" s="88"/>
      <c r="H54" s="90"/>
      <c r="I54" s="88"/>
      <c r="J54" s="90"/>
      <c r="K54" s="98"/>
      <c r="L54" s="90"/>
      <c r="M54" s="98"/>
      <c r="N54" s="90"/>
      <c r="O54" s="98"/>
      <c r="P54" s="90"/>
    </row>
    <row r="55" spans="1:21">
      <c r="C55" s="46"/>
      <c r="E55" s="46"/>
      <c r="G55" s="46"/>
      <c r="I55" s="46"/>
    </row>
    <row r="56" spans="1:21">
      <c r="A56" s="166" t="s">
        <v>283</v>
      </c>
      <c r="C56" s="46"/>
      <c r="D56" s="12" t="s">
        <v>0</v>
      </c>
      <c r="E56" s="46"/>
      <c r="G56" s="46"/>
      <c r="I56" s="46"/>
    </row>
    <row r="57" spans="1:21">
      <c r="A57" t="s">
        <v>284</v>
      </c>
      <c r="B57" s="12">
        <v>0</v>
      </c>
      <c r="C57" s="46"/>
      <c r="D57" s="12">
        <v>0</v>
      </c>
      <c r="E57" s="46"/>
      <c r="F57" s="12">
        <v>0</v>
      </c>
      <c r="G57" s="46"/>
      <c r="H57" s="12">
        <v>0</v>
      </c>
      <c r="I57" s="46" t="s">
        <v>0</v>
      </c>
      <c r="J57" s="12">
        <v>0</v>
      </c>
      <c r="L57" s="12">
        <v>0</v>
      </c>
      <c r="N57" s="12">
        <v>0</v>
      </c>
      <c r="P57" s="12">
        <v>0</v>
      </c>
    </row>
    <row r="58" spans="1:21">
      <c r="A58" t="s">
        <v>285</v>
      </c>
      <c r="B58" s="12">
        <v>0</v>
      </c>
      <c r="C58" s="46"/>
      <c r="D58" s="12">
        <v>0</v>
      </c>
      <c r="E58" s="46"/>
      <c r="F58" s="12">
        <v>0</v>
      </c>
      <c r="G58" s="46"/>
      <c r="H58" s="12">
        <v>0</v>
      </c>
      <c r="I58" s="46"/>
      <c r="J58" s="12">
        <v>0</v>
      </c>
      <c r="L58" s="12">
        <v>0</v>
      </c>
      <c r="N58" s="46">
        <v>0</v>
      </c>
      <c r="P58" s="46">
        <v>0</v>
      </c>
    </row>
    <row r="59" spans="1:21">
      <c r="A59" t="s">
        <v>274</v>
      </c>
      <c r="B59" s="12">
        <v>150</v>
      </c>
      <c r="C59" s="46"/>
      <c r="D59" s="12">
        <v>0</v>
      </c>
      <c r="E59" s="46"/>
      <c r="F59" s="12">
        <v>0</v>
      </c>
      <c r="G59" s="46"/>
      <c r="H59" s="12">
        <v>0</v>
      </c>
      <c r="I59" s="46"/>
      <c r="J59" s="12">
        <v>2427.8850000000002</v>
      </c>
      <c r="L59" s="12">
        <v>2335.6139985</v>
      </c>
      <c r="N59" s="12">
        <v>150</v>
      </c>
      <c r="P59" s="12">
        <v>0</v>
      </c>
    </row>
    <row r="60" spans="1:21">
      <c r="B60"/>
      <c r="C60" s="46"/>
      <c r="D60" s="46"/>
      <c r="E60" s="46"/>
      <c r="F60" s="46"/>
      <c r="G60" s="46"/>
      <c r="H60" s="46"/>
      <c r="I60" s="46"/>
      <c r="J60" s="46"/>
      <c r="L60" s="46"/>
      <c r="N60" s="46"/>
      <c r="P60" s="46"/>
    </row>
    <row r="61" spans="1:21">
      <c r="A61" t="s">
        <v>286</v>
      </c>
      <c r="B61" s="12">
        <v>2322919.1499111876</v>
      </c>
      <c r="C61" s="88">
        <v>0</v>
      </c>
      <c r="D61" s="12">
        <v>0</v>
      </c>
      <c r="E61" s="88">
        <v>0</v>
      </c>
      <c r="F61" s="12">
        <v>0</v>
      </c>
      <c r="G61" s="88">
        <v>0</v>
      </c>
      <c r="H61" s="12">
        <v>0</v>
      </c>
      <c r="I61" s="52">
        <f>+(B61-J61)/ABS(J61)</f>
        <v>9.3825825709226499E-3</v>
      </c>
      <c r="J61" s="12">
        <v>2301326.7615482868</v>
      </c>
      <c r="K61" s="102">
        <f>+(J61-L61)/ABS(L61)</f>
        <v>0.60468220129134098</v>
      </c>
      <c r="L61" s="12">
        <v>1434132.415562616</v>
      </c>
      <c r="M61" s="102">
        <f>+(L61-N61)/ABS(N61)</f>
        <v>4.6521314919704368E-4</v>
      </c>
      <c r="N61" s="12">
        <v>1433465.548540514</v>
      </c>
      <c r="O61" s="102">
        <f>+(N61-P61)/ABS(P61)</f>
        <v>0.18557272482052142</v>
      </c>
      <c r="P61" s="12">
        <v>1209091.2</v>
      </c>
    </row>
    <row r="62" spans="1:21">
      <c r="A62" t="s">
        <v>225</v>
      </c>
      <c r="B62" s="12">
        <v>31279.765071694001</v>
      </c>
      <c r="C62" s="88">
        <v>0</v>
      </c>
      <c r="D62" s="12">
        <v>0</v>
      </c>
      <c r="E62" s="88">
        <v>0</v>
      </c>
      <c r="F62" s="12">
        <v>0</v>
      </c>
      <c r="G62" s="88">
        <v>0</v>
      </c>
      <c r="H62" s="12">
        <v>0</v>
      </c>
      <c r="I62" s="52">
        <f>+(B62-J62)/ABS(J62)</f>
        <v>0.31213939678458985</v>
      </c>
      <c r="J62" s="12">
        <v>23838.751544496998</v>
      </c>
      <c r="K62" s="102">
        <f>+(J62-L62)/ABS(L62)</f>
        <v>0.58258963327823177</v>
      </c>
      <c r="L62" s="12">
        <v>15063.128838470002</v>
      </c>
      <c r="M62" s="102">
        <f>+(L62-N62)/ABS(N62)</f>
        <v>-0.69458732176615556</v>
      </c>
      <c r="N62" s="12">
        <v>49320.574789421997</v>
      </c>
      <c r="O62" s="102">
        <f>+(N62-P62)/ABS(P62)</f>
        <v>-0.42067259938518248</v>
      </c>
      <c r="P62" s="12">
        <v>85134.2</v>
      </c>
    </row>
    <row r="63" spans="1:21">
      <c r="A63" t="s">
        <v>287</v>
      </c>
      <c r="B63" s="12">
        <v>67538</v>
      </c>
      <c r="C63" s="88">
        <v>0</v>
      </c>
      <c r="D63" s="12">
        <v>0</v>
      </c>
      <c r="E63" s="88">
        <v>0</v>
      </c>
      <c r="F63" s="12">
        <v>0</v>
      </c>
      <c r="G63" s="88">
        <v>0</v>
      </c>
      <c r="H63" s="12">
        <v>0</v>
      </c>
      <c r="I63" s="52">
        <f>+(B63-J63)/ABS(J63)</f>
        <v>0.35189559229752992</v>
      </c>
      <c r="J63" s="12">
        <v>49958</v>
      </c>
      <c r="K63" s="102">
        <f>+(J63-L63)/ABS(L63)</f>
        <v>-0.76750636404674255</v>
      </c>
      <c r="L63" s="12">
        <v>214879</v>
      </c>
      <c r="M63" s="102">
        <f>+(L63-N63)/ABS(N63)</f>
        <v>4.6137889594273327</v>
      </c>
      <c r="N63" s="12">
        <f>+'[3]PRETS ARR.- ANNEXE 7.3'!$F$41+'[3]PRETS ARR.- ANNEXE 7.3'!$G$41+'[3]PRETS ARR.- ANNEXE 7.3'!$H$41</f>
        <v>38277</v>
      </c>
      <c r="O63" s="102">
        <f>+(N63-P63)/ABS(P63)</f>
        <v>-0.55237337886353799</v>
      </c>
      <c r="P63" s="12">
        <v>85511</v>
      </c>
    </row>
    <row r="64" spans="1:21">
      <c r="A64" t="s">
        <v>0</v>
      </c>
    </row>
    <row r="65" spans="1:16">
      <c r="A65" t="s">
        <v>0</v>
      </c>
      <c r="D65" s="12" t="s">
        <v>0</v>
      </c>
      <c r="H65" s="12" t="s">
        <v>0</v>
      </c>
    </row>
    <row r="66" spans="1:16">
      <c r="A66" t="s">
        <v>0</v>
      </c>
    </row>
    <row r="67" spans="1:16">
      <c r="A67" t="s">
        <v>0</v>
      </c>
    </row>
    <row r="68" spans="1:16">
      <c r="A68" t="s">
        <v>0</v>
      </c>
      <c r="B68"/>
      <c r="C68"/>
      <c r="D68"/>
      <c r="E68"/>
      <c r="F68"/>
      <c r="G68"/>
      <c r="H68"/>
      <c r="I68"/>
      <c r="J68"/>
      <c r="K68"/>
      <c r="L68"/>
      <c r="M68"/>
      <c r="N68"/>
      <c r="O68"/>
      <c r="P68"/>
    </row>
    <row r="69" spans="1:16">
      <c r="B69"/>
      <c r="C69"/>
      <c r="D69"/>
      <c r="E69"/>
      <c r="F69"/>
      <c r="G69"/>
      <c r="H69"/>
      <c r="I69"/>
      <c r="J69"/>
      <c r="K69"/>
      <c r="L69"/>
      <c r="M69"/>
      <c r="N69"/>
      <c r="O69"/>
      <c r="P69"/>
    </row>
    <row r="70" spans="1:16">
      <c r="B70"/>
      <c r="C70"/>
      <c r="D70"/>
      <c r="E70"/>
      <c r="F70"/>
      <c r="G70"/>
      <c r="H70"/>
      <c r="I70"/>
      <c r="J70"/>
      <c r="K70"/>
      <c r="L70"/>
      <c r="M70"/>
      <c r="N70"/>
      <c r="O70"/>
      <c r="P70"/>
    </row>
    <row r="71" spans="1:16">
      <c r="B71"/>
      <c r="C71"/>
      <c r="D71"/>
      <c r="E71"/>
      <c r="F71"/>
      <c r="G71"/>
      <c r="H71"/>
      <c r="I71"/>
      <c r="J71"/>
      <c r="K71"/>
      <c r="L71"/>
      <c r="M71"/>
      <c r="N71"/>
      <c r="O71"/>
      <c r="P71"/>
    </row>
    <row r="72" spans="1:16">
      <c r="B72"/>
      <c r="C72"/>
      <c r="D72"/>
      <c r="E72"/>
      <c r="F72"/>
      <c r="G72"/>
      <c r="H72"/>
      <c r="I72"/>
      <c r="J72"/>
      <c r="K72"/>
      <c r="L72"/>
      <c r="M72"/>
      <c r="N72"/>
      <c r="O72"/>
      <c r="P72"/>
    </row>
    <row r="73" spans="1:16">
      <c r="B73"/>
      <c r="C73"/>
      <c r="D73"/>
      <c r="E73"/>
      <c r="F73"/>
      <c r="G73"/>
      <c r="H73"/>
      <c r="I73"/>
      <c r="J73"/>
      <c r="K73"/>
      <c r="L73"/>
      <c r="M73"/>
      <c r="N73"/>
      <c r="O73"/>
      <c r="P73"/>
    </row>
    <row r="74" spans="1:16">
      <c r="B74"/>
      <c r="C74"/>
      <c r="D74"/>
      <c r="E74"/>
      <c r="F74"/>
      <c r="G74"/>
      <c r="H74"/>
      <c r="I74"/>
      <c r="J74"/>
      <c r="K74"/>
      <c r="L74"/>
      <c r="M74"/>
      <c r="N74"/>
      <c r="O74"/>
      <c r="P74"/>
    </row>
    <row r="75" spans="1:16">
      <c r="B75"/>
      <c r="C75"/>
      <c r="D75"/>
      <c r="E75"/>
      <c r="F75"/>
      <c r="G75"/>
      <c r="H75"/>
      <c r="I75"/>
      <c r="J75"/>
      <c r="K75"/>
      <c r="L75"/>
      <c r="M75"/>
      <c r="N75"/>
      <c r="O75"/>
      <c r="P75"/>
    </row>
    <row r="76" spans="1:16">
      <c r="B76"/>
      <c r="C76"/>
      <c r="D76"/>
      <c r="E76"/>
      <c r="F76"/>
      <c r="G76"/>
      <c r="H76"/>
      <c r="I76"/>
      <c r="J76"/>
      <c r="K76"/>
      <c r="L76"/>
      <c r="M76"/>
      <c r="N76"/>
      <c r="O76"/>
      <c r="P76"/>
    </row>
    <row r="77" spans="1:16">
      <c r="B77"/>
      <c r="C77"/>
      <c r="D77"/>
      <c r="E77"/>
      <c r="F77"/>
      <c r="G77"/>
      <c r="H77"/>
      <c r="I77"/>
      <c r="J77"/>
      <c r="K77"/>
      <c r="L77"/>
      <c r="M77"/>
      <c r="N77"/>
      <c r="O77"/>
      <c r="P77"/>
    </row>
    <row r="78" spans="1:16">
      <c r="B78"/>
      <c r="C78"/>
      <c r="D78"/>
      <c r="E78"/>
      <c r="F78"/>
      <c r="G78"/>
      <c r="H78"/>
      <c r="I78"/>
      <c r="J78"/>
      <c r="K78"/>
      <c r="L78"/>
      <c r="M78"/>
      <c r="N78"/>
      <c r="O78"/>
      <c r="P78"/>
    </row>
    <row r="79" spans="1:16">
      <c r="B79"/>
      <c r="C79"/>
      <c r="D79"/>
      <c r="E79"/>
      <c r="F79"/>
      <c r="G79"/>
      <c r="H79"/>
      <c r="I79"/>
      <c r="J79"/>
      <c r="K79"/>
      <c r="L79"/>
      <c r="M79"/>
      <c r="N79"/>
      <c r="O79"/>
      <c r="P79"/>
    </row>
    <row r="80" spans="1:16">
      <c r="B80"/>
      <c r="C80"/>
      <c r="D80"/>
      <c r="E80"/>
      <c r="F80"/>
      <c r="G80"/>
      <c r="H80"/>
      <c r="I80"/>
      <c r="J80"/>
      <c r="K80"/>
      <c r="L80"/>
      <c r="M80"/>
      <c r="N80"/>
      <c r="O80"/>
      <c r="P80"/>
    </row>
    <row r="81" spans="2:16">
      <c r="B81"/>
      <c r="C81"/>
      <c r="D81"/>
      <c r="E81"/>
      <c r="F81"/>
      <c r="G81"/>
      <c r="H81"/>
      <c r="I81"/>
      <c r="J81"/>
      <c r="K81"/>
      <c r="L81"/>
      <c r="M81"/>
      <c r="N81"/>
      <c r="O81"/>
      <c r="P81"/>
    </row>
    <row r="82" spans="2:16">
      <c r="B82"/>
      <c r="C82"/>
      <c r="D82"/>
      <c r="E82"/>
      <c r="F82"/>
      <c r="G82"/>
      <c r="H82"/>
      <c r="I82"/>
      <c r="J82"/>
      <c r="K82"/>
      <c r="L82"/>
      <c r="M82"/>
      <c r="N82"/>
      <c r="O82"/>
      <c r="P82"/>
    </row>
    <row r="83" spans="2:16">
      <c r="B83"/>
      <c r="C83"/>
      <c r="D83"/>
      <c r="E83"/>
      <c r="F83"/>
      <c r="G83"/>
      <c r="H83"/>
      <c r="I83"/>
      <c r="J83"/>
      <c r="K83"/>
      <c r="L83"/>
      <c r="M83"/>
      <c r="N83"/>
      <c r="O83"/>
      <c r="P83"/>
    </row>
    <row r="84" spans="2:16">
      <c r="B84"/>
      <c r="C84"/>
      <c r="D84"/>
      <c r="E84"/>
      <c r="F84"/>
      <c r="G84"/>
      <c r="H84"/>
      <c r="I84"/>
      <c r="J84"/>
      <c r="K84"/>
      <c r="L84"/>
      <c r="M84"/>
      <c r="N84"/>
      <c r="O84"/>
      <c r="P84"/>
    </row>
    <row r="85" spans="2:16">
      <c r="B85"/>
      <c r="C85"/>
      <c r="D85"/>
      <c r="E85"/>
      <c r="F85"/>
      <c r="G85"/>
      <c r="H85"/>
      <c r="I85"/>
      <c r="J85"/>
      <c r="K85"/>
      <c r="L85"/>
      <c r="M85"/>
      <c r="N85"/>
      <c r="O85"/>
      <c r="P85"/>
    </row>
    <row r="86" spans="2:16">
      <c r="B86"/>
      <c r="C86"/>
      <c r="D86"/>
      <c r="E86"/>
      <c r="F86"/>
      <c r="G86"/>
      <c r="H86"/>
      <c r="I86"/>
      <c r="J86"/>
      <c r="K86"/>
      <c r="L86"/>
      <c r="M86"/>
      <c r="N86"/>
      <c r="O86"/>
      <c r="P86"/>
    </row>
    <row r="87" spans="2:16">
      <c r="B87"/>
      <c r="C87"/>
      <c r="D87"/>
      <c r="E87"/>
      <c r="F87"/>
      <c r="G87"/>
      <c r="H87"/>
      <c r="I87"/>
      <c r="J87"/>
      <c r="K87"/>
      <c r="L87"/>
      <c r="M87"/>
      <c r="N87"/>
      <c r="O87"/>
      <c r="P87"/>
    </row>
    <row r="88" spans="2:16">
      <c r="B88"/>
      <c r="C88"/>
      <c r="D88"/>
      <c r="E88"/>
      <c r="F88"/>
      <c r="G88"/>
      <c r="H88"/>
      <c r="I88"/>
      <c r="J88"/>
      <c r="K88"/>
      <c r="L88"/>
      <c r="M88"/>
      <c r="N88"/>
      <c r="O88"/>
      <c r="P88"/>
    </row>
    <row r="89" spans="2:16">
      <c r="B89"/>
      <c r="C89"/>
      <c r="D89"/>
      <c r="E89"/>
      <c r="F89"/>
      <c r="G89"/>
      <c r="H89"/>
      <c r="I89"/>
      <c r="J89"/>
      <c r="K89"/>
      <c r="L89"/>
      <c r="M89"/>
      <c r="N89"/>
      <c r="O89"/>
      <c r="P89"/>
    </row>
    <row r="90" spans="2:16">
      <c r="B90"/>
      <c r="C90"/>
      <c r="D90"/>
      <c r="E90"/>
      <c r="F90"/>
      <c r="G90"/>
      <c r="H90"/>
      <c r="I90"/>
      <c r="J90"/>
      <c r="K90"/>
      <c r="L90"/>
      <c r="M90"/>
      <c r="N90"/>
      <c r="O90"/>
      <c r="P90"/>
    </row>
    <row r="91" spans="2:16">
      <c r="B91"/>
      <c r="C91"/>
      <c r="D91"/>
      <c r="E91"/>
      <c r="F91"/>
      <c r="G91"/>
      <c r="H91"/>
      <c r="I91"/>
      <c r="J91"/>
      <c r="K91"/>
      <c r="L91"/>
      <c r="M91"/>
      <c r="N91"/>
      <c r="O91"/>
      <c r="P91"/>
    </row>
    <row r="92" spans="2:16">
      <c r="B92"/>
      <c r="C92"/>
      <c r="D92"/>
      <c r="E92"/>
      <c r="F92"/>
      <c r="G92"/>
      <c r="H92"/>
      <c r="I92"/>
      <c r="J92"/>
      <c r="K92"/>
      <c r="L92"/>
      <c r="M92"/>
      <c r="N92"/>
      <c r="O92"/>
      <c r="P92"/>
    </row>
    <row r="93" spans="2:16">
      <c r="B93"/>
      <c r="C93"/>
      <c r="D93"/>
      <c r="E93"/>
      <c r="F93"/>
      <c r="G93"/>
      <c r="H93"/>
      <c r="I93"/>
      <c r="J93"/>
      <c r="K93"/>
      <c r="L93"/>
      <c r="M93"/>
      <c r="N93"/>
      <c r="O93"/>
      <c r="P93"/>
    </row>
    <row r="94" spans="2:16">
      <c r="B94"/>
      <c r="C94"/>
      <c r="D94"/>
      <c r="E94"/>
      <c r="F94"/>
      <c r="G94"/>
      <c r="H94"/>
      <c r="I94"/>
      <c r="J94"/>
      <c r="K94"/>
      <c r="L94"/>
      <c r="M94"/>
      <c r="N94"/>
      <c r="O94"/>
      <c r="P94"/>
    </row>
    <row r="95" spans="2:16">
      <c r="B95"/>
      <c r="C95"/>
      <c r="D95"/>
      <c r="E95"/>
      <c r="F95"/>
      <c r="G95"/>
      <c r="H95"/>
      <c r="I95"/>
      <c r="J95"/>
      <c r="K95"/>
      <c r="L95"/>
      <c r="M95"/>
      <c r="N95"/>
      <c r="O95"/>
      <c r="P95"/>
    </row>
    <row r="96" spans="2:16">
      <c r="B96"/>
      <c r="C96"/>
      <c r="D96"/>
      <c r="E96"/>
      <c r="F96"/>
      <c r="G96"/>
      <c r="H96"/>
      <c r="I96"/>
      <c r="J96"/>
      <c r="K96"/>
      <c r="L96"/>
      <c r="M96"/>
      <c r="N96"/>
      <c r="O96"/>
      <c r="P96"/>
    </row>
    <row r="97" spans="2:16">
      <c r="B97"/>
      <c r="C97"/>
      <c r="D97"/>
      <c r="E97"/>
      <c r="F97"/>
      <c r="G97"/>
      <c r="H97"/>
      <c r="I97"/>
      <c r="J97"/>
      <c r="K97"/>
      <c r="L97"/>
      <c r="M97"/>
      <c r="N97"/>
      <c r="O97"/>
      <c r="P97"/>
    </row>
    <row r="98" spans="2:16">
      <c r="B98"/>
      <c r="C98"/>
      <c r="D98"/>
      <c r="E98"/>
      <c r="F98"/>
      <c r="G98"/>
      <c r="H98"/>
      <c r="I98"/>
      <c r="J98"/>
      <c r="K98"/>
      <c r="L98"/>
      <c r="M98"/>
      <c r="N98"/>
      <c r="O98"/>
      <c r="P98"/>
    </row>
    <row r="99" spans="2:16">
      <c r="B99"/>
      <c r="C99"/>
      <c r="D99"/>
      <c r="E99"/>
      <c r="F99"/>
      <c r="G99"/>
      <c r="H99"/>
      <c r="I99"/>
      <c r="J99"/>
      <c r="K99"/>
      <c r="L99"/>
      <c r="M99"/>
      <c r="N99"/>
      <c r="O99"/>
      <c r="P99"/>
    </row>
    <row r="100" spans="2:16">
      <c r="B100"/>
      <c r="C100"/>
      <c r="D100"/>
      <c r="E100"/>
      <c r="F100"/>
      <c r="G100"/>
      <c r="H100"/>
      <c r="I100"/>
      <c r="J100"/>
      <c r="K100"/>
      <c r="L100"/>
      <c r="M100"/>
      <c r="N100"/>
      <c r="O100"/>
      <c r="P100"/>
    </row>
    <row r="101" spans="2:16">
      <c r="B101"/>
      <c r="C101"/>
      <c r="D101"/>
      <c r="E101"/>
      <c r="F101"/>
      <c r="G101"/>
      <c r="H101"/>
      <c r="I101"/>
      <c r="J101"/>
      <c r="K101"/>
      <c r="L101"/>
      <c r="M101"/>
      <c r="N101"/>
      <c r="O101"/>
      <c r="P101"/>
    </row>
    <row r="102" spans="2:16">
      <c r="B102"/>
      <c r="C102"/>
      <c r="D102"/>
      <c r="E102"/>
      <c r="F102"/>
      <c r="G102"/>
      <c r="H102"/>
      <c r="I102"/>
      <c r="J102"/>
      <c r="K102"/>
      <c r="L102"/>
      <c r="M102"/>
      <c r="N102"/>
      <c r="O102"/>
      <c r="P102"/>
    </row>
    <row r="103" spans="2:16">
      <c r="B103"/>
      <c r="C103"/>
      <c r="D103"/>
      <c r="E103"/>
      <c r="F103"/>
      <c r="G103"/>
      <c r="H103"/>
      <c r="I103"/>
      <c r="J103"/>
      <c r="K103"/>
      <c r="L103"/>
      <c r="M103"/>
      <c r="N103"/>
      <c r="O103"/>
      <c r="P103"/>
    </row>
    <row r="104" spans="2:16">
      <c r="B104"/>
      <c r="C104"/>
      <c r="D104"/>
      <c r="E104"/>
      <c r="F104"/>
      <c r="G104"/>
      <c r="H104"/>
      <c r="I104"/>
      <c r="J104"/>
      <c r="K104"/>
      <c r="L104"/>
      <c r="M104"/>
      <c r="N104"/>
      <c r="O104"/>
      <c r="P104"/>
    </row>
    <row r="105" spans="2:16">
      <c r="B105"/>
      <c r="C105"/>
      <c r="D105"/>
      <c r="E105"/>
      <c r="F105"/>
      <c r="G105"/>
      <c r="H105"/>
      <c r="I105"/>
      <c r="J105"/>
      <c r="K105"/>
      <c r="L105"/>
      <c r="M105"/>
      <c r="N105"/>
      <c r="O105"/>
      <c r="P105"/>
    </row>
    <row r="106" spans="2:16">
      <c r="B106"/>
      <c r="C106"/>
      <c r="D106"/>
      <c r="E106"/>
      <c r="F106"/>
      <c r="G106"/>
      <c r="H106"/>
      <c r="I106"/>
      <c r="J106"/>
      <c r="K106"/>
      <c r="L106"/>
      <c r="M106"/>
      <c r="N106"/>
      <c r="O106"/>
      <c r="P106"/>
    </row>
    <row r="107" spans="2:16">
      <c r="B107"/>
      <c r="C107"/>
      <c r="D107"/>
      <c r="E107"/>
      <c r="F107"/>
      <c r="G107"/>
      <c r="H107"/>
      <c r="I107"/>
      <c r="J107"/>
      <c r="K107"/>
      <c r="L107"/>
      <c r="M107"/>
      <c r="N107"/>
      <c r="O107"/>
      <c r="P107"/>
    </row>
    <row r="108" spans="2:16">
      <c r="B108"/>
      <c r="C108"/>
      <c r="D108"/>
      <c r="E108"/>
      <c r="F108"/>
      <c r="G108"/>
      <c r="H108"/>
      <c r="I108"/>
      <c r="J108"/>
      <c r="K108"/>
      <c r="L108"/>
      <c r="M108"/>
      <c r="N108"/>
      <c r="O108"/>
      <c r="P108"/>
    </row>
    <row r="109" spans="2:16">
      <c r="B109"/>
      <c r="C109"/>
      <c r="D109"/>
      <c r="E109"/>
      <c r="F109"/>
      <c r="G109"/>
      <c r="H109"/>
      <c r="I109"/>
      <c r="J109"/>
      <c r="K109"/>
      <c r="L109"/>
      <c r="M109"/>
      <c r="N109"/>
      <c r="O109"/>
      <c r="P109"/>
    </row>
    <row r="110" spans="2:16">
      <c r="B110"/>
      <c r="C110"/>
      <c r="D110"/>
      <c r="E110"/>
      <c r="F110"/>
      <c r="G110"/>
      <c r="H110"/>
      <c r="I110"/>
      <c r="J110"/>
      <c r="K110"/>
      <c r="L110"/>
      <c r="M110"/>
      <c r="N110"/>
      <c r="O110"/>
      <c r="P110"/>
    </row>
    <row r="111" spans="2:16">
      <c r="B111"/>
      <c r="C111"/>
      <c r="D111"/>
      <c r="E111"/>
      <c r="F111"/>
      <c r="G111"/>
      <c r="H111"/>
      <c r="I111"/>
      <c r="J111"/>
      <c r="K111"/>
      <c r="L111"/>
      <c r="M111"/>
      <c r="N111"/>
      <c r="O111"/>
      <c r="P111"/>
    </row>
    <row r="112" spans="2:16">
      <c r="B112"/>
      <c r="C112"/>
      <c r="D112"/>
      <c r="E112"/>
      <c r="F112"/>
      <c r="G112"/>
      <c r="H112"/>
      <c r="I112"/>
      <c r="J112"/>
      <c r="K112"/>
      <c r="L112"/>
      <c r="M112"/>
      <c r="N112"/>
      <c r="O112"/>
      <c r="P112"/>
    </row>
    <row r="113" spans="2:16">
      <c r="B113"/>
      <c r="C113"/>
      <c r="D113"/>
      <c r="E113"/>
      <c r="F113"/>
      <c r="G113"/>
      <c r="H113"/>
      <c r="I113"/>
      <c r="J113"/>
      <c r="K113"/>
      <c r="L113"/>
      <c r="M113"/>
      <c r="N113"/>
      <c r="O113"/>
      <c r="P113"/>
    </row>
    <row r="114" spans="2:16">
      <c r="B114"/>
      <c r="C114"/>
      <c r="D114"/>
      <c r="E114"/>
      <c r="F114"/>
      <c r="G114"/>
      <c r="H114"/>
      <c r="I114"/>
      <c r="J114"/>
      <c r="K114"/>
      <c r="L114"/>
      <c r="M114"/>
      <c r="N114"/>
      <c r="O114"/>
      <c r="P114"/>
    </row>
    <row r="115" spans="2:16">
      <c r="B115"/>
      <c r="C115"/>
      <c r="D115"/>
      <c r="E115"/>
      <c r="F115"/>
      <c r="G115"/>
      <c r="H115"/>
      <c r="I115"/>
      <c r="J115"/>
      <c r="K115"/>
      <c r="L115"/>
      <c r="M115"/>
      <c r="N115"/>
      <c r="O115"/>
      <c r="P115"/>
    </row>
    <row r="116" spans="2:16">
      <c r="B116"/>
      <c r="C116"/>
      <c r="D116"/>
      <c r="E116"/>
      <c r="F116"/>
      <c r="G116"/>
      <c r="H116"/>
      <c r="I116"/>
      <c r="J116"/>
      <c r="K116"/>
      <c r="L116"/>
      <c r="M116"/>
      <c r="N116"/>
      <c r="O116"/>
      <c r="P116"/>
    </row>
    <row r="117" spans="2:16">
      <c r="B117"/>
      <c r="C117"/>
      <c r="D117"/>
      <c r="E117"/>
      <c r="F117"/>
      <c r="G117"/>
      <c r="H117"/>
      <c r="I117"/>
      <c r="J117"/>
      <c r="K117"/>
      <c r="L117"/>
      <c r="M117"/>
      <c r="N117"/>
      <c r="O117"/>
      <c r="P117"/>
    </row>
    <row r="118" spans="2:16">
      <c r="B118"/>
      <c r="C118"/>
      <c r="D118"/>
      <c r="E118"/>
      <c r="F118"/>
      <c r="G118"/>
      <c r="H118"/>
      <c r="I118"/>
      <c r="J118"/>
      <c r="K118"/>
      <c r="L118"/>
      <c r="M118"/>
      <c r="N118"/>
      <c r="O118"/>
      <c r="P118"/>
    </row>
    <row r="119" spans="2:16">
      <c r="B119"/>
      <c r="C119"/>
      <c r="D119"/>
      <c r="E119"/>
      <c r="F119"/>
      <c r="G119"/>
      <c r="H119"/>
      <c r="I119"/>
      <c r="J119"/>
      <c r="K119"/>
      <c r="L119"/>
      <c r="M119"/>
      <c r="N119"/>
      <c r="O119"/>
      <c r="P119"/>
    </row>
    <row r="120" spans="2:16">
      <c r="B120"/>
      <c r="C120"/>
      <c r="D120"/>
      <c r="E120"/>
      <c r="F120"/>
      <c r="G120"/>
      <c r="H120"/>
      <c r="I120"/>
      <c r="J120"/>
      <c r="K120"/>
      <c r="L120"/>
      <c r="M120"/>
      <c r="N120"/>
      <c r="O120"/>
      <c r="P120"/>
    </row>
    <row r="121" spans="2:16">
      <c r="B121"/>
      <c r="C121"/>
      <c r="D121"/>
      <c r="E121"/>
      <c r="F121"/>
      <c r="G121"/>
      <c r="H121"/>
      <c r="I121"/>
      <c r="J121"/>
      <c r="K121"/>
      <c r="L121"/>
      <c r="M121"/>
      <c r="N121"/>
      <c r="O121"/>
      <c r="P121"/>
    </row>
    <row r="122" spans="2:16">
      <c r="B122"/>
      <c r="C122"/>
      <c r="D122"/>
      <c r="E122"/>
      <c r="F122"/>
      <c r="G122"/>
      <c r="H122"/>
      <c r="I122"/>
      <c r="J122"/>
      <c r="K122"/>
      <c r="L122"/>
      <c r="M122"/>
      <c r="N122"/>
      <c r="O122"/>
      <c r="P122"/>
    </row>
    <row r="123" spans="2:16">
      <c r="B123"/>
      <c r="C123"/>
      <c r="D123"/>
      <c r="E123"/>
      <c r="F123"/>
      <c r="G123"/>
      <c r="H123"/>
      <c r="I123"/>
      <c r="J123"/>
      <c r="K123"/>
      <c r="L123"/>
      <c r="M123"/>
      <c r="N123"/>
      <c r="O123"/>
      <c r="P123"/>
    </row>
    <row r="124" spans="2:16">
      <c r="B124"/>
      <c r="C124"/>
      <c r="D124"/>
      <c r="E124"/>
      <c r="F124"/>
      <c r="G124"/>
      <c r="H124"/>
      <c r="I124"/>
      <c r="J124"/>
      <c r="K124"/>
      <c r="L124"/>
      <c r="M124"/>
      <c r="N124"/>
      <c r="O124"/>
      <c r="P124"/>
    </row>
    <row r="125" spans="2:16">
      <c r="B125"/>
      <c r="C125"/>
      <c r="D125"/>
      <c r="E125"/>
      <c r="F125"/>
      <c r="G125"/>
      <c r="H125"/>
      <c r="I125"/>
      <c r="J125"/>
      <c r="K125"/>
      <c r="L125"/>
      <c r="M125"/>
      <c r="N125"/>
      <c r="O125"/>
      <c r="P125"/>
    </row>
    <row r="126" spans="2:16">
      <c r="B126"/>
      <c r="C126"/>
      <c r="D126"/>
      <c r="E126"/>
      <c r="F126"/>
      <c r="G126"/>
      <c r="H126"/>
      <c r="I126"/>
      <c r="J126"/>
      <c r="K126"/>
      <c r="L126"/>
      <c r="M126"/>
      <c r="N126"/>
      <c r="O126"/>
      <c r="P126"/>
    </row>
    <row r="127" spans="2:16">
      <c r="B127"/>
      <c r="C127"/>
      <c r="D127"/>
      <c r="E127"/>
      <c r="F127"/>
      <c r="G127"/>
      <c r="H127"/>
      <c r="I127"/>
      <c r="J127"/>
      <c r="K127"/>
      <c r="L127"/>
      <c r="M127"/>
      <c r="N127"/>
      <c r="O127"/>
      <c r="P127"/>
    </row>
    <row r="128" spans="2:16">
      <c r="B128"/>
      <c r="C128"/>
      <c r="D128"/>
      <c r="E128"/>
      <c r="F128"/>
      <c r="G128"/>
      <c r="H128"/>
      <c r="I128"/>
      <c r="J128"/>
      <c r="K128"/>
      <c r="L128"/>
      <c r="M128"/>
      <c r="N128"/>
      <c r="O128"/>
      <c r="P128"/>
    </row>
    <row r="129" spans="2:16">
      <c r="B129"/>
      <c r="C129"/>
      <c r="D129"/>
      <c r="E129"/>
      <c r="F129"/>
      <c r="G129"/>
      <c r="H129"/>
      <c r="I129"/>
      <c r="J129"/>
      <c r="K129"/>
      <c r="L129"/>
      <c r="M129"/>
      <c r="N129"/>
      <c r="O129"/>
      <c r="P129"/>
    </row>
    <row r="130" spans="2:16">
      <c r="B130"/>
      <c r="C130"/>
      <c r="D130"/>
      <c r="E130"/>
      <c r="F130"/>
      <c r="G130"/>
      <c r="H130"/>
      <c r="I130"/>
      <c r="J130"/>
      <c r="K130"/>
      <c r="L130"/>
      <c r="M130"/>
      <c r="N130"/>
      <c r="O130"/>
      <c r="P130"/>
    </row>
    <row r="131" spans="2:16">
      <c r="B131"/>
      <c r="C131"/>
      <c r="D131"/>
      <c r="E131"/>
      <c r="F131"/>
      <c r="G131"/>
      <c r="H131"/>
      <c r="I131"/>
      <c r="J131"/>
      <c r="K131"/>
      <c r="L131"/>
      <c r="M131"/>
      <c r="N131"/>
      <c r="O131"/>
      <c r="P131"/>
    </row>
    <row r="132" spans="2:16">
      <c r="B132"/>
      <c r="C132"/>
      <c r="D132"/>
      <c r="E132"/>
      <c r="F132"/>
      <c r="G132"/>
      <c r="H132"/>
      <c r="I132"/>
      <c r="J132"/>
      <c r="K132"/>
      <c r="L132"/>
      <c r="M132"/>
      <c r="N132"/>
      <c r="O132"/>
      <c r="P132"/>
    </row>
    <row r="133" spans="2:16">
      <c r="B133"/>
      <c r="C133"/>
      <c r="D133"/>
      <c r="E133"/>
      <c r="F133"/>
      <c r="G133"/>
      <c r="H133"/>
      <c r="I133"/>
      <c r="J133"/>
      <c r="K133"/>
      <c r="L133"/>
      <c r="M133"/>
      <c r="N133"/>
      <c r="O133"/>
      <c r="P133"/>
    </row>
    <row r="134" spans="2:16">
      <c r="B134"/>
      <c r="C134"/>
      <c r="D134"/>
      <c r="E134"/>
      <c r="F134"/>
      <c r="G134"/>
      <c r="H134"/>
      <c r="I134"/>
      <c r="J134"/>
      <c r="K134"/>
      <c r="L134"/>
      <c r="M134"/>
      <c r="N134"/>
      <c r="O134"/>
      <c r="P134"/>
    </row>
    <row r="135" spans="2:16">
      <c r="B135"/>
      <c r="C135"/>
      <c r="D135"/>
      <c r="E135"/>
      <c r="F135"/>
      <c r="G135"/>
      <c r="H135"/>
      <c r="I135"/>
      <c r="J135"/>
      <c r="K135"/>
      <c r="L135"/>
      <c r="M135"/>
      <c r="N135"/>
      <c r="O135"/>
      <c r="P135"/>
    </row>
    <row r="136" spans="2:16">
      <c r="B136"/>
      <c r="C136"/>
      <c r="D136"/>
      <c r="E136"/>
      <c r="F136"/>
      <c r="G136"/>
      <c r="H136"/>
      <c r="I136"/>
      <c r="J136"/>
      <c r="K136"/>
      <c r="L136"/>
      <c r="M136"/>
      <c r="N136"/>
      <c r="O136"/>
      <c r="P136"/>
    </row>
    <row r="137" spans="2:16">
      <c r="B137"/>
      <c r="C137"/>
      <c r="D137"/>
      <c r="E137"/>
      <c r="F137"/>
      <c r="G137"/>
      <c r="H137"/>
      <c r="I137"/>
      <c r="J137"/>
      <c r="K137"/>
      <c r="L137"/>
      <c r="M137"/>
      <c r="N137"/>
      <c r="O137"/>
      <c r="P137"/>
    </row>
    <row r="138" spans="2:16">
      <c r="B138"/>
      <c r="C138"/>
      <c r="D138"/>
      <c r="E138"/>
      <c r="F138"/>
      <c r="G138"/>
      <c r="H138"/>
      <c r="I138"/>
      <c r="J138"/>
      <c r="K138"/>
      <c r="L138"/>
      <c r="M138"/>
      <c r="N138"/>
      <c r="O138"/>
      <c r="P138"/>
    </row>
    <row r="139" spans="2:16">
      <c r="B139"/>
      <c r="C139"/>
      <c r="D139"/>
      <c r="E139"/>
      <c r="F139"/>
      <c r="G139"/>
      <c r="H139"/>
      <c r="I139"/>
      <c r="J139"/>
      <c r="K139"/>
      <c r="L139"/>
      <c r="M139"/>
      <c r="N139"/>
      <c r="O139"/>
      <c r="P139"/>
    </row>
    <row r="140" spans="2:16">
      <c r="B140"/>
      <c r="C140"/>
      <c r="D140"/>
      <c r="E140"/>
      <c r="F140"/>
      <c r="G140"/>
      <c r="H140"/>
      <c r="I140"/>
      <c r="J140"/>
      <c r="K140"/>
      <c r="L140"/>
      <c r="M140"/>
      <c r="N140"/>
      <c r="O140"/>
      <c r="P140"/>
    </row>
    <row r="141" spans="2:16">
      <c r="B141"/>
      <c r="C141"/>
      <c r="D141"/>
      <c r="E141"/>
      <c r="F141"/>
      <c r="G141"/>
      <c r="H141"/>
      <c r="I141"/>
      <c r="J141"/>
      <c r="K141"/>
      <c r="L141"/>
      <c r="M141"/>
      <c r="N141"/>
      <c r="O141"/>
      <c r="P141"/>
    </row>
    <row r="142" spans="2:16">
      <c r="B142"/>
      <c r="C142"/>
      <c r="D142"/>
      <c r="E142"/>
      <c r="F142"/>
      <c r="G142"/>
      <c r="H142"/>
      <c r="I142"/>
      <c r="J142"/>
      <c r="K142"/>
      <c r="L142"/>
      <c r="M142"/>
      <c r="N142"/>
      <c r="O142"/>
      <c r="P142"/>
    </row>
    <row r="143" spans="2:16">
      <c r="B143"/>
      <c r="C143"/>
      <c r="D143"/>
      <c r="E143"/>
      <c r="F143"/>
      <c r="G143"/>
      <c r="H143"/>
      <c r="I143"/>
      <c r="J143"/>
      <c r="K143"/>
      <c r="L143"/>
      <c r="M143"/>
      <c r="N143"/>
      <c r="O143"/>
      <c r="P143"/>
    </row>
    <row r="144" spans="2:16">
      <c r="B144"/>
      <c r="C144"/>
      <c r="D144"/>
      <c r="E144"/>
      <c r="F144"/>
      <c r="G144"/>
      <c r="H144"/>
      <c r="I144"/>
      <c r="J144"/>
      <c r="K144"/>
      <c r="L144"/>
      <c r="M144"/>
      <c r="N144"/>
      <c r="O144"/>
      <c r="P144"/>
    </row>
    <row r="145" spans="2:16">
      <c r="B145"/>
      <c r="C145"/>
      <c r="D145"/>
      <c r="E145"/>
      <c r="F145"/>
      <c r="G145"/>
      <c r="H145"/>
      <c r="I145"/>
      <c r="J145"/>
      <c r="K145"/>
      <c r="L145"/>
      <c r="M145"/>
      <c r="N145"/>
      <c r="O145"/>
      <c r="P145"/>
    </row>
    <row r="146" spans="2:16">
      <c r="B146"/>
      <c r="C146"/>
      <c r="D146"/>
      <c r="E146"/>
      <c r="F146"/>
      <c r="G146"/>
      <c r="H146"/>
      <c r="I146"/>
      <c r="J146"/>
      <c r="K146"/>
      <c r="L146"/>
      <c r="M146"/>
      <c r="N146"/>
      <c r="O146"/>
      <c r="P146"/>
    </row>
    <row r="147" spans="2:16">
      <c r="B147"/>
      <c r="C147"/>
      <c r="D147"/>
      <c r="E147"/>
      <c r="F147"/>
      <c r="G147"/>
      <c r="H147"/>
      <c r="I147"/>
      <c r="J147"/>
      <c r="K147"/>
      <c r="L147"/>
      <c r="M147"/>
      <c r="N147"/>
      <c r="O147"/>
      <c r="P147"/>
    </row>
    <row r="148" spans="2:16">
      <c r="B148"/>
      <c r="C148"/>
      <c r="D148"/>
      <c r="E148"/>
      <c r="F148"/>
      <c r="G148"/>
      <c r="H148"/>
      <c r="I148"/>
      <c r="J148"/>
      <c r="K148"/>
      <c r="L148"/>
      <c r="M148"/>
      <c r="N148"/>
      <c r="O148"/>
      <c r="P148"/>
    </row>
    <row r="149" spans="2:16">
      <c r="B149"/>
      <c r="C149"/>
      <c r="D149"/>
      <c r="E149"/>
      <c r="F149"/>
      <c r="G149"/>
      <c r="H149"/>
      <c r="I149"/>
      <c r="J149"/>
      <c r="K149"/>
      <c r="L149"/>
      <c r="M149"/>
      <c r="N149"/>
      <c r="O149"/>
      <c r="P149"/>
    </row>
    <row r="150" spans="2:16">
      <c r="B150"/>
      <c r="C150"/>
      <c r="D150"/>
      <c r="E150"/>
      <c r="F150"/>
      <c r="G150"/>
      <c r="H150"/>
      <c r="I150"/>
      <c r="J150"/>
      <c r="K150"/>
      <c r="L150"/>
      <c r="M150"/>
      <c r="N150"/>
      <c r="O150"/>
      <c r="P150"/>
    </row>
    <row r="151" spans="2:16">
      <c r="B151"/>
      <c r="C151"/>
      <c r="D151"/>
      <c r="E151"/>
      <c r="F151"/>
      <c r="G151"/>
      <c r="H151"/>
      <c r="I151"/>
      <c r="J151"/>
      <c r="K151"/>
      <c r="L151"/>
      <c r="M151"/>
      <c r="N151"/>
      <c r="O151"/>
      <c r="P151"/>
    </row>
    <row r="152" spans="2:16">
      <c r="B152"/>
      <c r="C152"/>
      <c r="D152"/>
      <c r="E152"/>
      <c r="F152"/>
      <c r="G152"/>
      <c r="H152"/>
      <c r="I152"/>
      <c r="J152"/>
      <c r="K152"/>
      <c r="L152"/>
      <c r="M152"/>
      <c r="N152"/>
      <c r="O152"/>
      <c r="P152"/>
    </row>
    <row r="153" spans="2:16">
      <c r="B153"/>
      <c r="C153"/>
      <c r="D153"/>
      <c r="E153"/>
      <c r="F153"/>
      <c r="G153"/>
      <c r="H153"/>
      <c r="I153"/>
      <c r="J153"/>
      <c r="K153"/>
      <c r="L153"/>
      <c r="M153"/>
      <c r="N153"/>
      <c r="O153"/>
      <c r="P153"/>
    </row>
    <row r="154" spans="2:16">
      <c r="B154"/>
      <c r="C154"/>
      <c r="D154"/>
      <c r="E154"/>
      <c r="F154"/>
      <c r="G154"/>
      <c r="H154"/>
      <c r="I154"/>
      <c r="J154"/>
      <c r="K154"/>
      <c r="L154"/>
      <c r="M154"/>
      <c r="N154"/>
      <c r="O154"/>
      <c r="P154"/>
    </row>
    <row r="155" spans="2:16">
      <c r="B155"/>
      <c r="C155"/>
      <c r="D155"/>
      <c r="E155"/>
      <c r="F155"/>
      <c r="G155"/>
      <c r="H155"/>
      <c r="I155"/>
      <c r="J155"/>
      <c r="K155"/>
      <c r="L155"/>
      <c r="M155"/>
      <c r="N155"/>
      <c r="O155"/>
      <c r="P155"/>
    </row>
    <row r="156" spans="2:16">
      <c r="B156"/>
      <c r="C156"/>
      <c r="D156"/>
      <c r="E156"/>
      <c r="F156"/>
      <c r="G156"/>
      <c r="H156"/>
      <c r="I156"/>
      <c r="J156"/>
      <c r="K156"/>
      <c r="L156"/>
      <c r="M156"/>
      <c r="N156"/>
      <c r="O156"/>
      <c r="P156"/>
    </row>
    <row r="157" spans="2:16">
      <c r="B157"/>
      <c r="C157"/>
      <c r="D157"/>
      <c r="E157"/>
      <c r="F157"/>
      <c r="G157"/>
      <c r="H157"/>
      <c r="I157"/>
      <c r="J157"/>
      <c r="K157"/>
      <c r="L157"/>
      <c r="M157"/>
      <c r="N157"/>
      <c r="O157"/>
      <c r="P157"/>
    </row>
    <row r="158" spans="2:16">
      <c r="B158"/>
      <c r="C158"/>
      <c r="D158"/>
      <c r="E158"/>
      <c r="F158"/>
      <c r="G158"/>
      <c r="H158"/>
      <c r="I158"/>
      <c r="J158"/>
      <c r="K158"/>
      <c r="L158"/>
      <c r="M158"/>
      <c r="N158"/>
      <c r="O158"/>
      <c r="P158"/>
    </row>
    <row r="159" spans="2:16">
      <c r="B159"/>
      <c r="C159"/>
      <c r="D159"/>
      <c r="E159"/>
      <c r="F159"/>
      <c r="G159"/>
      <c r="H159"/>
      <c r="I159"/>
      <c r="J159"/>
      <c r="K159"/>
      <c r="L159"/>
      <c r="M159"/>
      <c r="N159"/>
      <c r="O159"/>
      <c r="P159"/>
    </row>
    <row r="160" spans="2:16">
      <c r="B160"/>
      <c r="C160"/>
      <c r="D160"/>
      <c r="E160"/>
      <c r="F160"/>
      <c r="G160"/>
      <c r="H160"/>
      <c r="I160"/>
      <c r="J160"/>
      <c r="K160"/>
      <c r="L160"/>
      <c r="M160"/>
      <c r="N160"/>
      <c r="O160"/>
      <c r="P160"/>
    </row>
    <row r="161" spans="2:16">
      <c r="B161"/>
      <c r="C161"/>
      <c r="D161"/>
      <c r="E161"/>
      <c r="F161"/>
      <c r="G161"/>
      <c r="H161"/>
      <c r="I161"/>
      <c r="J161"/>
      <c r="K161"/>
      <c r="L161"/>
      <c r="M161"/>
      <c r="N161"/>
      <c r="O161"/>
      <c r="P161"/>
    </row>
    <row r="162" spans="2:16">
      <c r="B162"/>
      <c r="C162"/>
      <c r="D162"/>
      <c r="E162"/>
      <c r="F162"/>
      <c r="G162"/>
      <c r="H162"/>
      <c r="I162"/>
      <c r="J162"/>
      <c r="K162"/>
      <c r="L162"/>
      <c r="M162"/>
      <c r="N162"/>
      <c r="O162"/>
      <c r="P162"/>
    </row>
    <row r="163" spans="2:16">
      <c r="B163"/>
      <c r="C163"/>
      <c r="D163"/>
      <c r="E163"/>
      <c r="F163"/>
      <c r="G163"/>
      <c r="H163"/>
      <c r="I163"/>
      <c r="J163"/>
      <c r="K163"/>
      <c r="L163"/>
      <c r="M163"/>
      <c r="N163"/>
      <c r="O163"/>
      <c r="P163"/>
    </row>
    <row r="164" spans="2:16">
      <c r="B164"/>
      <c r="C164"/>
      <c r="D164"/>
      <c r="E164"/>
      <c r="F164"/>
      <c r="G164"/>
      <c r="H164"/>
      <c r="I164"/>
      <c r="J164"/>
      <c r="K164"/>
      <c r="L164"/>
      <c r="M164"/>
      <c r="N164"/>
      <c r="O164"/>
      <c r="P164"/>
    </row>
    <row r="165" spans="2:16">
      <c r="B165"/>
      <c r="C165"/>
      <c r="D165"/>
      <c r="E165"/>
      <c r="F165"/>
      <c r="G165"/>
      <c r="H165"/>
      <c r="I165"/>
      <c r="J165"/>
      <c r="K165"/>
      <c r="L165"/>
      <c r="M165"/>
      <c r="N165"/>
      <c r="O165"/>
      <c r="P165"/>
    </row>
    <row r="166" spans="2:16">
      <c r="B166"/>
      <c r="C166"/>
      <c r="D166"/>
      <c r="E166"/>
      <c r="F166"/>
      <c r="G166"/>
      <c r="H166"/>
      <c r="I166"/>
      <c r="J166"/>
      <c r="K166"/>
      <c r="L166"/>
      <c r="M166"/>
      <c r="N166"/>
      <c r="O166"/>
      <c r="P166"/>
    </row>
    <row r="167" spans="2:16">
      <c r="B167"/>
      <c r="C167"/>
      <c r="D167"/>
      <c r="E167"/>
      <c r="F167"/>
      <c r="G167"/>
      <c r="H167"/>
      <c r="I167"/>
      <c r="J167"/>
      <c r="K167"/>
      <c r="L167"/>
      <c r="M167"/>
      <c r="N167"/>
      <c r="O167"/>
      <c r="P167"/>
    </row>
    <row r="168" spans="2:16">
      <c r="B168"/>
      <c r="C168"/>
      <c r="D168"/>
      <c r="E168"/>
      <c r="F168"/>
      <c r="G168"/>
      <c r="H168"/>
      <c r="I168"/>
      <c r="J168"/>
      <c r="K168"/>
      <c r="L168"/>
      <c r="M168"/>
      <c r="N168"/>
      <c r="O168"/>
      <c r="P168"/>
    </row>
    <row r="169" spans="2:16">
      <c r="B169"/>
      <c r="C169"/>
      <c r="D169"/>
      <c r="E169"/>
      <c r="F169"/>
      <c r="G169"/>
      <c r="H169"/>
      <c r="I169"/>
      <c r="J169"/>
      <c r="K169"/>
      <c r="L169"/>
      <c r="M169"/>
      <c r="N169"/>
      <c r="O169"/>
      <c r="P169"/>
    </row>
    <row r="170" spans="2:16">
      <c r="B170"/>
      <c r="C170"/>
      <c r="D170"/>
      <c r="E170"/>
      <c r="F170"/>
      <c r="G170"/>
      <c r="H170"/>
      <c r="I170"/>
      <c r="J170"/>
      <c r="K170"/>
      <c r="L170"/>
      <c r="M170"/>
      <c r="N170"/>
      <c r="O170"/>
      <c r="P170"/>
    </row>
    <row r="171" spans="2:16">
      <c r="B171"/>
      <c r="C171"/>
      <c r="D171"/>
      <c r="E171"/>
      <c r="F171"/>
      <c r="G171"/>
      <c r="H171"/>
      <c r="I171"/>
      <c r="J171"/>
      <c r="K171"/>
      <c r="L171"/>
      <c r="M171"/>
      <c r="N171"/>
      <c r="O171"/>
      <c r="P171"/>
    </row>
    <row r="172" spans="2:16">
      <c r="B172"/>
      <c r="C172"/>
      <c r="D172"/>
      <c r="E172"/>
      <c r="F172"/>
      <c r="G172"/>
      <c r="H172"/>
      <c r="I172"/>
      <c r="J172"/>
      <c r="K172"/>
      <c r="L172"/>
      <c r="M172"/>
      <c r="N172"/>
      <c r="O172"/>
      <c r="P172"/>
    </row>
    <row r="173" spans="2:16">
      <c r="B173"/>
      <c r="C173"/>
      <c r="D173"/>
      <c r="E173"/>
      <c r="F173"/>
      <c r="G173"/>
      <c r="H173"/>
      <c r="I173"/>
      <c r="J173"/>
      <c r="K173"/>
      <c r="L173"/>
      <c r="M173"/>
      <c r="N173"/>
      <c r="O173"/>
      <c r="P173"/>
    </row>
    <row r="174" spans="2:16">
      <c r="B174"/>
      <c r="C174"/>
      <c r="D174"/>
      <c r="E174"/>
      <c r="F174"/>
      <c r="G174"/>
      <c r="H174"/>
      <c r="I174"/>
      <c r="J174"/>
      <c r="K174"/>
      <c r="L174"/>
      <c r="M174"/>
      <c r="N174"/>
      <c r="O174"/>
      <c r="P174"/>
    </row>
    <row r="175" spans="2:16">
      <c r="B175"/>
      <c r="C175"/>
      <c r="D175"/>
      <c r="E175"/>
      <c r="F175"/>
      <c r="G175"/>
      <c r="H175"/>
      <c r="I175"/>
      <c r="J175"/>
      <c r="K175"/>
      <c r="L175"/>
      <c r="M175"/>
      <c r="N175"/>
      <c r="O175"/>
      <c r="P175"/>
    </row>
    <row r="176" spans="2:16">
      <c r="B176"/>
      <c r="C176"/>
      <c r="D176"/>
      <c r="E176"/>
      <c r="F176"/>
      <c r="G176"/>
      <c r="H176"/>
      <c r="I176"/>
      <c r="J176"/>
      <c r="K176"/>
      <c r="L176"/>
      <c r="M176"/>
      <c r="N176"/>
      <c r="O176"/>
      <c r="P176"/>
    </row>
    <row r="177" spans="2:16">
      <c r="B177"/>
      <c r="C177"/>
      <c r="D177"/>
      <c r="E177"/>
      <c r="F177"/>
      <c r="G177"/>
      <c r="H177"/>
      <c r="I177"/>
      <c r="J177"/>
      <c r="K177"/>
      <c r="L177"/>
      <c r="M177"/>
      <c r="N177"/>
      <c r="O177"/>
      <c r="P177"/>
    </row>
    <row r="178" spans="2:16">
      <c r="B178"/>
      <c r="C178"/>
      <c r="D178"/>
      <c r="E178"/>
      <c r="F178"/>
      <c r="G178"/>
      <c r="H178"/>
      <c r="I178"/>
      <c r="J178"/>
      <c r="K178"/>
      <c r="L178"/>
      <c r="M178"/>
      <c r="N178"/>
      <c r="O178"/>
      <c r="P178"/>
    </row>
    <row r="179" spans="2:16">
      <c r="B179"/>
      <c r="C179"/>
      <c r="D179"/>
      <c r="E179"/>
      <c r="F179"/>
      <c r="G179"/>
      <c r="H179"/>
      <c r="I179"/>
      <c r="J179"/>
      <c r="K179"/>
      <c r="L179"/>
      <c r="M179"/>
      <c r="N179"/>
      <c r="O179"/>
      <c r="P179"/>
    </row>
    <row r="180" spans="2:16">
      <c r="B180"/>
      <c r="C180"/>
      <c r="D180"/>
      <c r="E180"/>
      <c r="F180"/>
      <c r="G180"/>
      <c r="H180"/>
      <c r="I180"/>
      <c r="J180"/>
      <c r="K180"/>
      <c r="L180"/>
      <c r="M180"/>
      <c r="N180"/>
      <c r="O180"/>
      <c r="P180"/>
    </row>
    <row r="181" spans="2:16">
      <c r="B181"/>
      <c r="C181"/>
      <c r="D181"/>
      <c r="E181"/>
      <c r="F181"/>
      <c r="G181"/>
      <c r="H181"/>
      <c r="I181"/>
      <c r="J181"/>
      <c r="K181"/>
      <c r="L181"/>
      <c r="M181"/>
      <c r="N181"/>
      <c r="O181"/>
      <c r="P181"/>
    </row>
    <row r="182" spans="2:16">
      <c r="B182"/>
      <c r="C182"/>
      <c r="D182"/>
      <c r="E182"/>
      <c r="F182"/>
      <c r="G182"/>
      <c r="H182"/>
      <c r="I182"/>
      <c r="J182"/>
      <c r="K182"/>
      <c r="L182"/>
      <c r="M182"/>
      <c r="N182"/>
      <c r="O182"/>
      <c r="P182"/>
    </row>
    <row r="183" spans="2:16">
      <c r="B183"/>
      <c r="C183"/>
      <c r="D183"/>
      <c r="E183"/>
      <c r="F183"/>
      <c r="G183"/>
      <c r="H183"/>
      <c r="I183"/>
      <c r="J183"/>
      <c r="K183"/>
      <c r="L183"/>
      <c r="M183"/>
      <c r="N183"/>
      <c r="O183"/>
      <c r="P183"/>
    </row>
    <row r="184" spans="2:16">
      <c r="B184"/>
      <c r="C184"/>
      <c r="D184"/>
      <c r="E184"/>
      <c r="F184"/>
      <c r="G184"/>
      <c r="H184"/>
      <c r="I184"/>
      <c r="J184"/>
      <c r="K184"/>
      <c r="L184"/>
      <c r="M184"/>
      <c r="N184"/>
      <c r="O184"/>
      <c r="P184"/>
    </row>
    <row r="185" spans="2:16">
      <c r="B185"/>
      <c r="C185"/>
      <c r="D185"/>
      <c r="E185"/>
      <c r="F185"/>
      <c r="G185"/>
      <c r="H185"/>
      <c r="I185"/>
      <c r="J185"/>
      <c r="K185"/>
      <c r="L185"/>
      <c r="M185"/>
      <c r="N185"/>
      <c r="O185"/>
      <c r="P185"/>
    </row>
    <row r="186" spans="2:16">
      <c r="B186"/>
      <c r="C186"/>
      <c r="D186"/>
      <c r="E186"/>
      <c r="F186"/>
      <c r="G186"/>
      <c r="H186"/>
      <c r="I186"/>
      <c r="J186"/>
      <c r="K186"/>
      <c r="L186"/>
      <c r="M186"/>
      <c r="N186"/>
      <c r="O186"/>
      <c r="P186"/>
    </row>
    <row r="187" spans="2:16">
      <c r="B187"/>
      <c r="C187"/>
      <c r="D187"/>
      <c r="E187"/>
      <c r="F187"/>
      <c r="G187"/>
      <c r="H187"/>
      <c r="I187"/>
      <c r="J187"/>
      <c r="K187"/>
      <c r="L187"/>
      <c r="M187"/>
      <c r="N187"/>
      <c r="O187"/>
      <c r="P187"/>
    </row>
    <row r="188" spans="2:16">
      <c r="B188"/>
      <c r="C188"/>
      <c r="D188"/>
      <c r="E188"/>
      <c r="F188"/>
      <c r="G188"/>
      <c r="H188"/>
      <c r="I188"/>
      <c r="J188"/>
      <c r="K188"/>
      <c r="L188"/>
      <c r="M188"/>
      <c r="N188"/>
      <c r="O188"/>
      <c r="P188"/>
    </row>
    <row r="189" spans="2:16">
      <c r="B189"/>
      <c r="C189"/>
      <c r="D189"/>
      <c r="E189"/>
      <c r="F189"/>
      <c r="G189"/>
      <c r="H189"/>
      <c r="I189"/>
      <c r="J189"/>
      <c r="K189"/>
      <c r="L189"/>
      <c r="M189"/>
      <c r="N189"/>
      <c r="O189"/>
      <c r="P189"/>
    </row>
    <row r="190" spans="2:16">
      <c r="B190"/>
      <c r="C190"/>
      <c r="D190"/>
      <c r="E190"/>
      <c r="F190"/>
      <c r="G190"/>
      <c r="H190"/>
      <c r="I190"/>
      <c r="J190"/>
      <c r="K190"/>
      <c r="L190"/>
      <c r="M190"/>
      <c r="N190"/>
      <c r="O190"/>
      <c r="P190"/>
    </row>
    <row r="191" spans="2:16">
      <c r="B191"/>
      <c r="C191"/>
      <c r="D191"/>
      <c r="E191"/>
      <c r="F191"/>
      <c r="G191"/>
      <c r="H191"/>
      <c r="I191"/>
      <c r="J191"/>
      <c r="K191"/>
      <c r="L191"/>
      <c r="M191"/>
      <c r="N191"/>
      <c r="O191"/>
      <c r="P191"/>
    </row>
    <row r="192" spans="2:16">
      <c r="B192"/>
      <c r="C192"/>
      <c r="D192"/>
      <c r="E192"/>
      <c r="F192"/>
      <c r="G192"/>
      <c r="H192"/>
      <c r="I192"/>
      <c r="J192"/>
      <c r="K192"/>
      <c r="L192"/>
      <c r="M192"/>
      <c r="N192"/>
      <c r="O192"/>
      <c r="P192"/>
    </row>
    <row r="193" spans="2:16">
      <c r="B193"/>
      <c r="C193"/>
      <c r="D193"/>
      <c r="E193"/>
      <c r="F193"/>
      <c r="G193"/>
      <c r="H193"/>
      <c r="I193"/>
      <c r="J193"/>
      <c r="K193"/>
      <c r="L193"/>
      <c r="M193"/>
      <c r="N193"/>
      <c r="O193"/>
      <c r="P193"/>
    </row>
    <row r="194" spans="2:16">
      <c r="B194"/>
      <c r="C194"/>
      <c r="D194"/>
      <c r="E194"/>
      <c r="F194"/>
      <c r="G194"/>
      <c r="H194"/>
      <c r="I194"/>
      <c r="J194"/>
      <c r="K194"/>
      <c r="L194"/>
      <c r="M194"/>
      <c r="N194"/>
      <c r="O194"/>
      <c r="P194"/>
    </row>
    <row r="195" spans="2:16">
      <c r="B195"/>
      <c r="C195"/>
      <c r="D195"/>
      <c r="E195"/>
      <c r="F195"/>
      <c r="G195"/>
      <c r="H195"/>
      <c r="I195"/>
      <c r="J195"/>
      <c r="K195"/>
      <c r="L195"/>
      <c r="M195"/>
      <c r="N195"/>
      <c r="O195"/>
      <c r="P195"/>
    </row>
    <row r="196" spans="2:16">
      <c r="B196"/>
      <c r="C196"/>
      <c r="D196"/>
      <c r="E196"/>
      <c r="F196"/>
      <c r="G196"/>
      <c r="H196"/>
      <c r="I196"/>
      <c r="J196"/>
      <c r="K196"/>
      <c r="L196"/>
      <c r="M196"/>
      <c r="N196"/>
      <c r="O196"/>
      <c r="P196"/>
    </row>
    <row r="197" spans="2:16">
      <c r="B197"/>
      <c r="C197"/>
      <c r="D197"/>
      <c r="E197"/>
      <c r="F197"/>
      <c r="G197"/>
      <c r="H197"/>
      <c r="I197"/>
      <c r="J197"/>
      <c r="K197"/>
      <c r="L197"/>
      <c r="M197"/>
      <c r="N197"/>
      <c r="O197"/>
      <c r="P197"/>
    </row>
    <row r="198" spans="2:16">
      <c r="B198"/>
      <c r="C198"/>
      <c r="D198"/>
      <c r="E198"/>
      <c r="F198"/>
      <c r="G198"/>
      <c r="H198"/>
      <c r="I198"/>
      <c r="J198"/>
      <c r="K198"/>
      <c r="L198"/>
      <c r="M198"/>
      <c r="N198"/>
      <c r="O198"/>
      <c r="P198"/>
    </row>
    <row r="199" spans="2:16">
      <c r="B199"/>
      <c r="C199"/>
      <c r="D199"/>
      <c r="E199"/>
      <c r="F199"/>
      <c r="G199"/>
      <c r="H199"/>
      <c r="I199"/>
      <c r="J199"/>
      <c r="K199"/>
      <c r="L199"/>
      <c r="M199"/>
      <c r="N199"/>
      <c r="O199"/>
      <c r="P199"/>
    </row>
    <row r="200" spans="2:16">
      <c r="B200"/>
      <c r="C200"/>
      <c r="D200"/>
      <c r="E200"/>
      <c r="F200"/>
      <c r="G200"/>
      <c r="H200"/>
      <c r="I200"/>
      <c r="J200"/>
      <c r="K200"/>
      <c r="L200"/>
      <c r="M200"/>
      <c r="N200"/>
      <c r="O200"/>
      <c r="P200"/>
    </row>
    <row r="201" spans="2:16">
      <c r="B201"/>
      <c r="C201"/>
      <c r="D201"/>
      <c r="E201"/>
      <c r="F201"/>
      <c r="G201"/>
      <c r="H201"/>
      <c r="I201"/>
      <c r="J201"/>
      <c r="K201"/>
      <c r="L201"/>
      <c r="M201"/>
      <c r="N201"/>
      <c r="O201"/>
      <c r="P201"/>
    </row>
    <row r="202" spans="2:16">
      <c r="B202"/>
      <c r="C202"/>
      <c r="D202"/>
      <c r="E202"/>
      <c r="F202"/>
      <c r="G202"/>
      <c r="H202"/>
      <c r="I202"/>
      <c r="J202"/>
      <c r="K202"/>
      <c r="L202"/>
      <c r="M202"/>
      <c r="N202"/>
      <c r="O202"/>
      <c r="P202"/>
    </row>
    <row r="203" spans="2:16">
      <c r="B203"/>
      <c r="C203"/>
      <c r="D203"/>
      <c r="E203"/>
      <c r="F203"/>
      <c r="G203"/>
      <c r="H203"/>
      <c r="I203"/>
      <c r="J203"/>
      <c r="K203"/>
      <c r="L203"/>
      <c r="M203"/>
      <c r="N203"/>
      <c r="O203"/>
      <c r="P203"/>
    </row>
    <row r="204" spans="2:16">
      <c r="B204"/>
      <c r="C204"/>
      <c r="D204"/>
      <c r="E204"/>
      <c r="F204"/>
      <c r="G204"/>
      <c r="H204"/>
      <c r="I204"/>
      <c r="J204"/>
      <c r="K204"/>
      <c r="L204"/>
      <c r="M204"/>
      <c r="N204"/>
      <c r="O204"/>
      <c r="P204"/>
    </row>
    <row r="205" spans="2:16">
      <c r="B205"/>
      <c r="C205"/>
      <c r="D205"/>
      <c r="E205"/>
      <c r="F205"/>
      <c r="G205"/>
      <c r="H205"/>
      <c r="I205"/>
      <c r="J205"/>
      <c r="K205"/>
      <c r="L205"/>
      <c r="M205"/>
      <c r="N205"/>
      <c r="O205"/>
      <c r="P205"/>
    </row>
    <row r="206" spans="2:16">
      <c r="B206"/>
      <c r="C206"/>
      <c r="D206"/>
      <c r="E206"/>
      <c r="F206"/>
      <c r="G206"/>
      <c r="H206"/>
      <c r="I206"/>
      <c r="J206"/>
      <c r="K206"/>
      <c r="L206"/>
      <c r="M206"/>
      <c r="N206"/>
      <c r="O206"/>
      <c r="P206"/>
    </row>
    <row r="207" spans="2:16">
      <c r="B207"/>
      <c r="C207"/>
      <c r="D207"/>
      <c r="E207"/>
      <c r="F207"/>
      <c r="G207"/>
      <c r="H207"/>
      <c r="I207"/>
      <c r="J207"/>
      <c r="K207"/>
      <c r="L207"/>
      <c r="M207"/>
      <c r="N207"/>
      <c r="O207"/>
      <c r="P207"/>
    </row>
    <row r="208" spans="2:16">
      <c r="B208"/>
      <c r="C208"/>
      <c r="D208"/>
      <c r="E208"/>
      <c r="F208"/>
      <c r="G208"/>
      <c r="H208"/>
      <c r="I208"/>
      <c r="J208"/>
      <c r="K208"/>
      <c r="L208"/>
      <c r="M208"/>
      <c r="N208"/>
      <c r="O208"/>
      <c r="P208"/>
    </row>
    <row r="209" spans="2:16">
      <c r="B209"/>
      <c r="C209"/>
      <c r="D209"/>
      <c r="E209"/>
      <c r="F209"/>
      <c r="G209"/>
      <c r="H209"/>
      <c r="I209"/>
      <c r="J209"/>
      <c r="K209"/>
      <c r="L209"/>
      <c r="M209"/>
      <c r="N209"/>
      <c r="O209"/>
      <c r="P209"/>
    </row>
    <row r="210" spans="2:16">
      <c r="B210"/>
      <c r="C210"/>
      <c r="D210"/>
      <c r="E210"/>
      <c r="F210"/>
      <c r="G210"/>
      <c r="H210"/>
      <c r="I210"/>
      <c r="J210"/>
      <c r="K210"/>
      <c r="L210"/>
      <c r="M210"/>
      <c r="N210"/>
      <c r="O210"/>
      <c r="P210"/>
    </row>
    <row r="211" spans="2:16">
      <c r="B211"/>
      <c r="C211"/>
      <c r="D211"/>
      <c r="E211"/>
      <c r="F211"/>
      <c r="G211"/>
      <c r="H211"/>
      <c r="I211"/>
      <c r="J211"/>
      <c r="K211"/>
      <c r="L211"/>
      <c r="M211"/>
      <c r="N211"/>
      <c r="O211"/>
      <c r="P211"/>
    </row>
    <row r="212" spans="2:16">
      <c r="B212"/>
      <c r="C212"/>
      <c r="D212"/>
      <c r="E212"/>
      <c r="F212"/>
      <c r="G212"/>
      <c r="H212"/>
      <c r="I212"/>
      <c r="J212"/>
      <c r="K212"/>
      <c r="L212"/>
      <c r="M212"/>
      <c r="N212"/>
      <c r="O212"/>
      <c r="P212"/>
    </row>
    <row r="213" spans="2:16">
      <c r="B213"/>
      <c r="C213"/>
      <c r="D213"/>
      <c r="E213"/>
      <c r="F213"/>
      <c r="G213"/>
      <c r="H213"/>
      <c r="I213"/>
      <c r="J213"/>
      <c r="K213"/>
      <c r="L213"/>
      <c r="M213"/>
      <c r="N213"/>
      <c r="O213"/>
      <c r="P213"/>
    </row>
    <row r="214" spans="2:16">
      <c r="B214"/>
      <c r="C214"/>
      <c r="D214"/>
      <c r="E214"/>
      <c r="F214"/>
      <c r="G214"/>
      <c r="H214"/>
      <c r="I214"/>
      <c r="J214"/>
      <c r="K214"/>
      <c r="L214"/>
      <c r="M214"/>
      <c r="N214"/>
      <c r="O214"/>
      <c r="P214"/>
    </row>
    <row r="215" spans="2:16">
      <c r="B215"/>
      <c r="C215"/>
      <c r="D215"/>
      <c r="E215"/>
      <c r="F215"/>
      <c r="G215"/>
      <c r="H215"/>
      <c r="I215"/>
      <c r="J215"/>
      <c r="K215"/>
      <c r="L215"/>
      <c r="M215"/>
      <c r="N215"/>
      <c r="O215"/>
      <c r="P215"/>
    </row>
    <row r="216" spans="2:16">
      <c r="B216"/>
      <c r="C216"/>
      <c r="D216"/>
      <c r="E216"/>
      <c r="F216"/>
      <c r="G216"/>
      <c r="H216"/>
      <c r="I216"/>
      <c r="J216"/>
      <c r="K216"/>
      <c r="L216"/>
      <c r="M216"/>
      <c r="N216"/>
      <c r="O216"/>
      <c r="P216"/>
    </row>
    <row r="217" spans="2:16">
      <c r="B217"/>
      <c r="C217"/>
      <c r="D217"/>
      <c r="E217"/>
      <c r="F217"/>
      <c r="G217"/>
      <c r="H217"/>
      <c r="I217"/>
      <c r="J217"/>
      <c r="K217"/>
      <c r="L217"/>
      <c r="M217"/>
      <c r="N217"/>
      <c r="O217"/>
      <c r="P217"/>
    </row>
    <row r="218" spans="2:16">
      <c r="B218"/>
      <c r="C218"/>
      <c r="D218"/>
      <c r="E218"/>
      <c r="F218"/>
      <c r="G218"/>
      <c r="H218"/>
      <c r="I218"/>
      <c r="J218"/>
      <c r="K218"/>
      <c r="L218"/>
      <c r="M218"/>
      <c r="N218"/>
      <c r="O218"/>
      <c r="P218"/>
    </row>
  </sheetData>
  <phoneticPr fontId="0" type="noConversion"/>
  <pageMargins left="0.25" right="0.2" top="0.7" bottom="0.56999999999999995" header="0.5" footer="0.38"/>
  <pageSetup scale="55" orientation="landscape" r:id="rId1"/>
  <headerFooter alignWithMargins="0">
    <oddFooter>&amp;R&amp;14&amp;P</oddFooter>
  </headerFooter>
</worksheet>
</file>

<file path=xl/worksheets/sheet80.xml><?xml version="1.0" encoding="utf-8"?>
<worksheet xmlns="http://schemas.openxmlformats.org/spreadsheetml/2006/main" xmlns:r="http://schemas.openxmlformats.org/officeDocument/2006/relationships">
  <sheetPr>
    <pageSetUpPr fitToPage="1"/>
  </sheetPr>
  <dimension ref="A1:U156"/>
  <sheetViews>
    <sheetView workbookViewId="0">
      <selection activeCell="J48" sqref="J48"/>
    </sheetView>
  </sheetViews>
  <sheetFormatPr baseColWidth="10" defaultColWidth="9" defaultRowHeight="15.75"/>
  <cols>
    <col min="1" max="1" width="33.25" customWidth="1"/>
    <col min="2" max="2" width="17.25" style="20" customWidth="1"/>
    <col min="3" max="3" width="9.75" style="21" customWidth="1"/>
    <col min="4" max="4" width="15.75" style="20" customWidth="1"/>
    <col min="5" max="5" width="9.75" style="21" customWidth="1"/>
    <col min="6" max="6" width="15.75" style="20" customWidth="1"/>
    <col min="7" max="7" width="9.75" style="21" customWidth="1"/>
    <col min="8" max="8" width="15.375" style="20" customWidth="1"/>
    <col min="9" max="9" width="9.75" style="21" customWidth="1"/>
    <col min="10" max="10" width="15.75" style="20" customWidth="1"/>
    <col min="11" max="11" width="9.75" style="21" customWidth="1"/>
    <col min="12" max="12" width="15.75" style="20" customWidth="1"/>
    <col min="13" max="13" width="10.125" style="21" customWidth="1"/>
    <col min="14" max="14" width="15.75" style="20" customWidth="1"/>
    <col min="15" max="15" width="9.75" style="21" customWidth="1"/>
    <col min="16" max="16" width="15.75" style="20" customWidth="1"/>
    <col min="17" max="17" width="8.75" style="20" customWidth="1"/>
    <col min="18" max="18" width="15.75" style="20" customWidth="1"/>
    <col min="19" max="21" width="15.75" customWidth="1"/>
  </cols>
  <sheetData>
    <row r="1" spans="1:21">
      <c r="A1" s="111" t="s">
        <v>400</v>
      </c>
      <c r="B1" s="42"/>
      <c r="C1" s="43"/>
      <c r="D1" s="42"/>
      <c r="E1" s="43"/>
      <c r="F1" s="42"/>
      <c r="G1" s="43"/>
      <c r="H1" s="42"/>
      <c r="I1" s="43"/>
      <c r="J1" s="42"/>
      <c r="K1" s="43"/>
      <c r="L1" s="42"/>
      <c r="M1" s="43"/>
      <c r="N1" s="42"/>
      <c r="O1" s="43"/>
      <c r="P1" s="42"/>
      <c r="Q1" s="42"/>
    </row>
    <row r="2" spans="1:21">
      <c r="A2" s="111" t="s">
        <v>291</v>
      </c>
      <c r="B2" s="42"/>
      <c r="C2" s="43"/>
      <c r="D2" s="42"/>
      <c r="E2" s="43"/>
      <c r="F2" s="42"/>
      <c r="G2" s="43"/>
      <c r="H2" s="42"/>
      <c r="I2" s="43"/>
      <c r="J2" s="42"/>
      <c r="K2" s="43"/>
      <c r="L2" s="42"/>
      <c r="M2" s="43"/>
      <c r="N2" s="42"/>
      <c r="O2" s="43"/>
      <c r="P2" s="42"/>
      <c r="Q2" s="42"/>
    </row>
    <row r="3" spans="1:21">
      <c r="A3" s="111" t="s">
        <v>387</v>
      </c>
      <c r="B3" s="42"/>
      <c r="C3" s="43"/>
      <c r="D3" s="42"/>
      <c r="E3" s="43"/>
      <c r="F3" s="42"/>
      <c r="G3" s="43"/>
      <c r="H3" s="42"/>
      <c r="I3" s="43"/>
      <c r="J3" s="42"/>
      <c r="K3" s="43"/>
      <c r="L3" s="42"/>
      <c r="M3" s="43"/>
      <c r="N3" s="42"/>
      <c r="O3" s="43"/>
      <c r="P3" s="42"/>
      <c r="Q3" s="42"/>
    </row>
    <row r="4" spans="1:21">
      <c r="A4" s="111" t="s">
        <v>198</v>
      </c>
      <c r="B4" s="42"/>
      <c r="C4" s="43"/>
      <c r="D4" s="42"/>
      <c r="E4" s="43"/>
      <c r="F4" s="42"/>
      <c r="G4" s="43"/>
      <c r="H4" s="42"/>
      <c r="I4" s="43"/>
      <c r="J4" s="42"/>
      <c r="K4" s="43"/>
      <c r="L4" s="42"/>
      <c r="M4" s="43"/>
      <c r="N4" s="42"/>
      <c r="O4" s="43"/>
      <c r="P4" s="42"/>
      <c r="Q4" s="42"/>
    </row>
    <row r="5" spans="1:21" ht="16.5" thickBot="1">
      <c r="B5" s="13"/>
      <c r="C5" s="19"/>
      <c r="D5" s="13"/>
      <c r="E5" s="19"/>
      <c r="F5" s="13"/>
      <c r="G5" s="19"/>
      <c r="H5" s="13"/>
      <c r="I5" s="19"/>
      <c r="J5" s="403" t="s">
        <v>195</v>
      </c>
      <c r="K5" s="404"/>
      <c r="L5" s="403"/>
      <c r="M5" s="404"/>
      <c r="N5" s="403"/>
      <c r="O5" s="404"/>
      <c r="P5" s="403"/>
      <c r="Q5" s="403"/>
    </row>
    <row r="6" spans="1:21" ht="16.5" thickBot="1">
      <c r="B6" s="200" t="str">
        <f>+'bphcomp  '!B7</f>
        <v>Déc. 14</v>
      </c>
      <c r="C6" s="201" t="s">
        <v>289</v>
      </c>
      <c r="D6" s="200" t="str">
        <f>+'bphcomp  '!D7</f>
        <v>Mars 15</v>
      </c>
      <c r="E6" s="201" t="s">
        <v>289</v>
      </c>
      <c r="F6" s="200" t="str">
        <f>+'bphcomp  '!F7</f>
        <v>Juin 15</v>
      </c>
      <c r="G6" s="201" t="s">
        <v>289</v>
      </c>
      <c r="H6" s="200" t="str">
        <f>+'bphcomp  '!H7</f>
        <v>Sept. 15</v>
      </c>
      <c r="I6" s="201" t="s">
        <v>289</v>
      </c>
      <c r="J6" s="202" t="str">
        <f>+'bphcomp  '!J7</f>
        <v>2014</v>
      </c>
      <c r="K6" s="201" t="s">
        <v>289</v>
      </c>
      <c r="L6" s="202" t="str">
        <f>+'bphcomp  '!L7</f>
        <v>2013</v>
      </c>
      <c r="M6" s="201" t="s">
        <v>289</v>
      </c>
      <c r="N6" s="202" t="str">
        <f>+'bphcomp  '!N7</f>
        <v>2012</v>
      </c>
      <c r="O6" s="201" t="s">
        <v>289</v>
      </c>
      <c r="P6" s="202" t="str">
        <f>+'bphcomp  '!P7</f>
        <v>2011</v>
      </c>
      <c r="Q6" s="201" t="s">
        <v>289</v>
      </c>
      <c r="R6" s="22"/>
      <c r="S6" s="17"/>
      <c r="T6" s="17"/>
      <c r="U6" s="17"/>
    </row>
    <row r="7" spans="1:21">
      <c r="A7" s="11" t="s">
        <v>244</v>
      </c>
      <c r="B7" s="120"/>
      <c r="C7" s="119"/>
      <c r="D7" s="120"/>
      <c r="E7" s="119"/>
      <c r="F7" s="120"/>
      <c r="G7" s="119"/>
      <c r="H7" s="120"/>
      <c r="I7" s="119"/>
      <c r="J7" s="197"/>
      <c r="K7" s="119"/>
      <c r="L7" s="197"/>
      <c r="M7" s="119"/>
      <c r="N7" s="197"/>
      <c r="O7" s="119"/>
      <c r="P7" s="197"/>
      <c r="Q7" s="119"/>
      <c r="R7" s="22"/>
      <c r="S7" s="17"/>
      <c r="T7" s="17"/>
      <c r="U7" s="17"/>
    </row>
    <row r="8" spans="1:21">
      <c r="A8" s="10" t="s">
        <v>255</v>
      </c>
      <c r="B8"/>
      <c r="I8" s="112" t="s">
        <v>0</v>
      </c>
    </row>
    <row r="9" spans="1:21">
      <c r="A9" s="10" t="s">
        <v>256</v>
      </c>
      <c r="B9" s="87">
        <f>+buhvar!B10</f>
        <v>381812.96687429899</v>
      </c>
      <c r="C9" s="102">
        <f t="shared" ref="C9:C14" si="0">+B9/$B$22</f>
        <v>6.7773268219295343E-2</v>
      </c>
      <c r="D9" s="87">
        <f>+buhvar!D10</f>
        <v>0</v>
      </c>
      <c r="E9" s="88">
        <v>0</v>
      </c>
      <c r="F9" s="87">
        <f>+buhvar!F10</f>
        <v>0</v>
      </c>
      <c r="G9" s="88">
        <v>0</v>
      </c>
      <c r="H9" s="87">
        <f>+buhvar!H10</f>
        <v>0</v>
      </c>
      <c r="I9" s="88">
        <v>0</v>
      </c>
      <c r="J9" s="87">
        <f>+buhvar!J10</f>
        <v>359366.72216178401</v>
      </c>
      <c r="K9" s="102">
        <f>+J9/$J$22</f>
        <v>7.2090130910406253E-2</v>
      </c>
      <c r="L9" s="87">
        <f>+buhvar!L10</f>
        <v>261204.22370552499</v>
      </c>
      <c r="M9" s="102">
        <f>+L9/$L$22</f>
        <v>6.4529709124839324E-2</v>
      </c>
      <c r="N9" s="87">
        <f>+buhvar!N10</f>
        <v>209436.95843423801</v>
      </c>
      <c r="O9" s="102">
        <f>+N9/$N$22</f>
        <v>6.3959762879397877E-2</v>
      </c>
      <c r="P9" s="87">
        <f>+buhvar!P10</f>
        <v>201180.01104191001</v>
      </c>
      <c r="Q9" s="102">
        <f>+P9/$P$22</f>
        <v>5.9311356195895039E-2</v>
      </c>
      <c r="R9" s="64"/>
      <c r="S9" s="10"/>
      <c r="T9" s="10"/>
    </row>
    <row r="10" spans="1:21">
      <c r="A10" s="10" t="s">
        <v>257</v>
      </c>
      <c r="B10" s="87">
        <f>+buhvar!B11</f>
        <v>1949652.4415752781</v>
      </c>
      <c r="C10" s="102">
        <f t="shared" si="0"/>
        <v>0.3460707972780474</v>
      </c>
      <c r="D10" s="87">
        <f>+buhvar!D11</f>
        <v>0</v>
      </c>
      <c r="E10" s="88">
        <v>0</v>
      </c>
      <c r="F10" s="87">
        <f>+buhvar!F11</f>
        <v>0</v>
      </c>
      <c r="G10" s="88">
        <v>0</v>
      </c>
      <c r="H10" s="87">
        <f>+buhvar!H11</f>
        <v>0</v>
      </c>
      <c r="I10" s="88">
        <v>0</v>
      </c>
      <c r="J10" s="87">
        <f>+buhvar!J11</f>
        <v>1593311.2488331432</v>
      </c>
      <c r="K10" s="102">
        <f t="shared" ref="K10:K28" si="1">+J10/$J$22</f>
        <v>0.31962340813987278</v>
      </c>
      <c r="L10" s="87">
        <f>+buhvar!L11</f>
        <v>1733403.6355144237</v>
      </c>
      <c r="M10" s="102">
        <f t="shared" ref="M10:M28" si="2">+L10/$L$22</f>
        <v>0.42823209674353668</v>
      </c>
      <c r="N10" s="87">
        <f>+buhvar!N11</f>
        <v>1113552.7789323621</v>
      </c>
      <c r="O10" s="102">
        <f t="shared" ref="O10:O28" si="3">+N10/$N$22</f>
        <v>0.34006687371069666</v>
      </c>
      <c r="P10" s="87">
        <f>+buhvar!P11</f>
        <v>1519274.6810427741</v>
      </c>
      <c r="Q10" s="102">
        <f t="shared" ref="Q10:Q28" si="4">+P10/$P$22</f>
        <v>0.44790852381433138</v>
      </c>
      <c r="R10" s="64"/>
      <c r="S10" s="10"/>
      <c r="T10" s="10"/>
    </row>
    <row r="11" spans="1:21">
      <c r="A11" s="10" t="s">
        <v>258</v>
      </c>
      <c r="B11" s="87">
        <f>+buhvar!B12</f>
        <v>189898.52423664901</v>
      </c>
      <c r="C11" s="102">
        <f t="shared" si="0"/>
        <v>3.3707717479841026E-2</v>
      </c>
      <c r="D11" s="87">
        <f>+buhvar!D12</f>
        <v>0</v>
      </c>
      <c r="E11" s="88">
        <v>0</v>
      </c>
      <c r="F11" s="87">
        <f>+buhvar!F12</f>
        <v>0</v>
      </c>
      <c r="G11" s="88">
        <v>0</v>
      </c>
      <c r="H11" s="87">
        <f>+buhvar!H12</f>
        <v>0</v>
      </c>
      <c r="I11" s="88">
        <v>0</v>
      </c>
      <c r="J11" s="87">
        <f>+buhvar!J12</f>
        <v>178291.53911967299</v>
      </c>
      <c r="K11" s="102">
        <f t="shared" si="1"/>
        <v>3.5765861452159438E-2</v>
      </c>
      <c r="L11" s="87">
        <f>+buhvar!L12</f>
        <v>149180.22100173199</v>
      </c>
      <c r="M11" s="102">
        <f t="shared" si="2"/>
        <v>3.6854519930251003E-2</v>
      </c>
      <c r="N11" s="87">
        <f>+buhvar!N12</f>
        <v>158639.735013642</v>
      </c>
      <c r="O11" s="102">
        <f t="shared" si="3"/>
        <v>4.8446844867206261E-2</v>
      </c>
      <c r="P11" s="87">
        <f>+buhvar!P12</f>
        <v>149426.77713698402</v>
      </c>
      <c r="Q11" s="102">
        <f t="shared" si="4"/>
        <v>4.4053605316335315E-2</v>
      </c>
      <c r="R11" s="64"/>
      <c r="S11" s="10"/>
      <c r="T11" s="10"/>
    </row>
    <row r="12" spans="1:21">
      <c r="A12" s="10" t="s">
        <v>259</v>
      </c>
      <c r="B12" s="87">
        <f>+buhvar!B13</f>
        <v>176205.18273558401</v>
      </c>
      <c r="C12" s="102">
        <f t="shared" si="0"/>
        <v>3.1277096765286776E-2</v>
      </c>
      <c r="D12" s="87">
        <f>+buhvar!D13</f>
        <v>0</v>
      </c>
      <c r="E12" s="88">
        <v>0</v>
      </c>
      <c r="F12" s="87">
        <f>+buhvar!F13</f>
        <v>0</v>
      </c>
      <c r="G12" s="88">
        <v>0</v>
      </c>
      <c r="H12" s="87">
        <f>+buhvar!H13</f>
        <v>0</v>
      </c>
      <c r="I12" s="88">
        <v>0</v>
      </c>
      <c r="J12" s="87">
        <f>+buhvar!J13</f>
        <v>128014.021989259</v>
      </c>
      <c r="K12" s="102">
        <f t="shared" si="1"/>
        <v>2.5680028323320062E-2</v>
      </c>
      <c r="L12" s="87">
        <f>+buhvar!L13</f>
        <v>130753.69359616199</v>
      </c>
      <c r="M12" s="102">
        <f t="shared" si="2"/>
        <v>3.2302302371155077E-2</v>
      </c>
      <c r="N12" s="87">
        <f>+buhvar!N13</f>
        <v>76348.916444676011</v>
      </c>
      <c r="O12" s="102">
        <f t="shared" si="3"/>
        <v>2.3316126381933464E-2</v>
      </c>
      <c r="P12" s="87">
        <f>+buhvar!P13</f>
        <v>55838.142408726002</v>
      </c>
      <c r="Q12" s="102">
        <f t="shared" si="4"/>
        <v>1.6462052748526471E-2</v>
      </c>
      <c r="R12" s="64"/>
      <c r="S12" s="10"/>
      <c r="T12" s="10"/>
    </row>
    <row r="13" spans="1:21">
      <c r="A13" s="10" t="s">
        <v>260</v>
      </c>
      <c r="B13" s="199">
        <f>+buhvar!B14</f>
        <v>308.82799999999997</v>
      </c>
      <c r="C13" s="294">
        <f t="shared" si="0"/>
        <v>5.4818156253240181E-5</v>
      </c>
      <c r="D13" s="199">
        <f>+buhvar!D14</f>
        <v>0</v>
      </c>
      <c r="E13" s="1530">
        <v>0</v>
      </c>
      <c r="F13" s="199">
        <f>+buhvar!F14</f>
        <v>0</v>
      </c>
      <c r="G13" s="1530">
        <v>0</v>
      </c>
      <c r="H13" s="199">
        <f>+buhvar!H14</f>
        <v>0</v>
      </c>
      <c r="I13" s="1530">
        <v>0</v>
      </c>
      <c r="J13" s="199">
        <f>+buhvar!J14</f>
        <v>1401.1219934389999</v>
      </c>
      <c r="K13" s="294">
        <f t="shared" si="1"/>
        <v>2.8106961969337355E-4</v>
      </c>
      <c r="L13" s="199">
        <f>+buhvar!L14</f>
        <v>28840.075408088</v>
      </c>
      <c r="M13" s="294">
        <f t="shared" si="2"/>
        <v>7.1248529247384673E-3</v>
      </c>
      <c r="N13" s="199">
        <f>+buhvar!N14</f>
        <v>34882.693079197998</v>
      </c>
      <c r="O13" s="294">
        <f t="shared" si="3"/>
        <v>1.0652794017923375E-2</v>
      </c>
      <c r="P13" s="199">
        <f>+buhvar!P14</f>
        <v>15745.951939594001</v>
      </c>
      <c r="Q13" s="294">
        <f t="shared" si="4"/>
        <v>4.6421797041165799E-3</v>
      </c>
      <c r="R13" s="64"/>
      <c r="S13" s="10"/>
      <c r="T13" s="10"/>
    </row>
    <row r="14" spans="1:21" ht="15.6" customHeight="1">
      <c r="A14" s="10"/>
      <c r="B14" s="87">
        <f>SUM(B9:B13)</f>
        <v>2697877.9434218104</v>
      </c>
      <c r="C14" s="102">
        <f t="shared" si="0"/>
        <v>0.47888369789872387</v>
      </c>
      <c r="D14" s="87">
        <f>SUM(D9:D13)</f>
        <v>0</v>
      </c>
      <c r="E14" s="88">
        <v>0</v>
      </c>
      <c r="F14" s="87">
        <f>SUM(F9:F13)</f>
        <v>0</v>
      </c>
      <c r="G14" s="88">
        <v>0</v>
      </c>
      <c r="H14" s="87">
        <f>SUM(H9:H13)</f>
        <v>0</v>
      </c>
      <c r="I14" s="88">
        <v>0</v>
      </c>
      <c r="J14" s="87">
        <f>SUM(J9:J13)</f>
        <v>2260384.6540972982</v>
      </c>
      <c r="K14" s="102">
        <f t="shared" si="1"/>
        <v>0.45344049844545187</v>
      </c>
      <c r="L14" s="87">
        <f>SUM(L9:L13)</f>
        <v>2303381.8492259309</v>
      </c>
      <c r="M14" s="102">
        <f t="shared" si="2"/>
        <v>0.56904348109452063</v>
      </c>
      <c r="N14" s="87">
        <f>SUM(N9:N13)</f>
        <v>1592861.0819041163</v>
      </c>
      <c r="O14" s="102">
        <f t="shared" si="3"/>
        <v>0.4864424018571577</v>
      </c>
      <c r="P14" s="87">
        <f>SUM(P9:P13)</f>
        <v>1941465.5635699881</v>
      </c>
      <c r="Q14" s="102">
        <f t="shared" si="4"/>
        <v>0.57237771777920476</v>
      </c>
      <c r="R14" s="64"/>
      <c r="S14" s="10"/>
      <c r="T14" s="10"/>
    </row>
    <row r="15" spans="1:21" ht="7.9" customHeight="1">
      <c r="A15" s="10"/>
      <c r="B15" s="87"/>
      <c r="C15" s="102" t="s">
        <v>0</v>
      </c>
      <c r="D15" s="87"/>
      <c r="E15" s="88" t="s">
        <v>0</v>
      </c>
      <c r="F15" s="87"/>
      <c r="G15" s="88" t="s">
        <v>0</v>
      </c>
      <c r="H15" s="87"/>
      <c r="I15" s="88" t="s">
        <v>0</v>
      </c>
      <c r="J15" s="87"/>
      <c r="K15" s="102" t="s">
        <v>0</v>
      </c>
      <c r="L15" s="87"/>
      <c r="M15" s="102" t="s">
        <v>0</v>
      </c>
      <c r="N15" s="87"/>
      <c r="O15" s="102" t="s">
        <v>0</v>
      </c>
      <c r="P15" s="87"/>
      <c r="Q15" s="102" t="s">
        <v>0</v>
      </c>
      <c r="R15" s="64"/>
      <c r="S15" s="10"/>
      <c r="T15" s="10"/>
    </row>
    <row r="16" spans="1:21" ht="15.6" customHeight="1">
      <c r="A16" s="10" t="s">
        <v>401</v>
      </c>
      <c r="B16" s="87">
        <f>+buhvar!B17</f>
        <v>180000</v>
      </c>
      <c r="C16" s="102">
        <f t="shared" ref="C16:C22" si="5">+B16/$B$22</f>
        <v>3.1950691406165355E-2</v>
      </c>
      <c r="D16" s="87">
        <f>+buhvar!D17</f>
        <v>0</v>
      </c>
      <c r="E16" s="88">
        <v>0</v>
      </c>
      <c r="F16" s="87">
        <f>+buhvar!F17</f>
        <v>0</v>
      </c>
      <c r="G16" s="88">
        <v>0</v>
      </c>
      <c r="H16" s="87">
        <f>+buhvar!H17</f>
        <v>0</v>
      </c>
      <c r="I16" s="88">
        <v>0</v>
      </c>
      <c r="J16" s="87">
        <f>+buhvar!J17</f>
        <v>0</v>
      </c>
      <c r="K16" s="102">
        <f t="shared" si="1"/>
        <v>0</v>
      </c>
      <c r="L16" s="87">
        <f>+buhvar!L17</f>
        <v>0</v>
      </c>
      <c r="M16" s="102">
        <f t="shared" si="2"/>
        <v>0</v>
      </c>
      <c r="N16" s="87">
        <f>+buhvar!N17</f>
        <v>0</v>
      </c>
      <c r="O16" s="102">
        <f t="shared" si="3"/>
        <v>0</v>
      </c>
      <c r="P16" s="87">
        <f>+buhvar!P17</f>
        <v>0</v>
      </c>
      <c r="Q16" s="102">
        <f t="shared" si="4"/>
        <v>0</v>
      </c>
      <c r="R16" s="64"/>
      <c r="S16" s="10"/>
      <c r="T16" s="10"/>
    </row>
    <row r="17" spans="1:20" ht="15.6" customHeight="1">
      <c r="A17" s="10" t="s">
        <v>909</v>
      </c>
      <c r="B17" s="87">
        <v>0</v>
      </c>
      <c r="C17" s="102">
        <v>0</v>
      </c>
      <c r="D17" s="87">
        <v>0</v>
      </c>
      <c r="E17" s="88">
        <v>0</v>
      </c>
      <c r="F17" s="87">
        <v>0</v>
      </c>
      <c r="G17" s="88">
        <v>0</v>
      </c>
      <c r="H17" s="87">
        <v>0</v>
      </c>
      <c r="I17" s="88">
        <v>0</v>
      </c>
      <c r="J17" s="87">
        <v>0</v>
      </c>
      <c r="K17" s="102">
        <v>0</v>
      </c>
      <c r="L17" s="87">
        <v>0</v>
      </c>
      <c r="M17" s="102">
        <v>0</v>
      </c>
      <c r="N17" s="87">
        <v>0</v>
      </c>
      <c r="O17" s="102">
        <v>0</v>
      </c>
      <c r="P17" s="87">
        <v>0</v>
      </c>
      <c r="Q17" s="102">
        <v>0</v>
      </c>
      <c r="R17" s="64"/>
      <c r="S17" s="10"/>
      <c r="T17" s="10"/>
    </row>
    <row r="18" spans="1:20" ht="16.149999999999999" customHeight="1">
      <c r="A18" s="10" t="s">
        <v>262</v>
      </c>
      <c r="B18" s="87">
        <f>+buhvar!B19</f>
        <v>134723.54717347602</v>
      </c>
      <c r="C18" s="102">
        <f t="shared" si="5"/>
        <v>2.3913947116020517E-2</v>
      </c>
      <c r="D18" s="87">
        <f>+buhvar!D19</f>
        <v>0</v>
      </c>
      <c r="E18" s="88">
        <v>0</v>
      </c>
      <c r="F18" s="87">
        <f>+buhvar!F19</f>
        <v>0</v>
      </c>
      <c r="G18" s="88">
        <v>0</v>
      </c>
      <c r="H18" s="87">
        <f>+buhvar!H19</f>
        <v>0</v>
      </c>
      <c r="I18" s="88">
        <v>0</v>
      </c>
      <c r="J18" s="87">
        <f>+buhvar!J19</f>
        <v>139331.34312741199</v>
      </c>
      <c r="K18" s="102">
        <f t="shared" si="1"/>
        <v>2.7950319677780146E-2</v>
      </c>
      <c r="L18" s="87">
        <f>+buhvar!L19</f>
        <v>25084.971210718002</v>
      </c>
      <c r="M18" s="102">
        <f t="shared" si="2"/>
        <v>6.197165852331361E-3</v>
      </c>
      <c r="N18" s="87">
        <f>+buhvar!N19</f>
        <v>24215.426527732005</v>
      </c>
      <c r="O18" s="102">
        <f t="shared" si="3"/>
        <v>7.3951271557619489E-3</v>
      </c>
      <c r="P18" s="87">
        <f>+buhvar!P19</f>
        <v>23328.127456934002</v>
      </c>
      <c r="Q18" s="102">
        <f t="shared" si="4"/>
        <v>6.8775365396178158E-3</v>
      </c>
      <c r="R18" s="64"/>
      <c r="S18" s="10"/>
      <c r="T18" s="10"/>
    </row>
    <row r="19" spans="1:20">
      <c r="A19" s="10" t="s">
        <v>263</v>
      </c>
      <c r="B19" s="87">
        <f>+buhvar!B20</f>
        <v>2291639.3848394938</v>
      </c>
      <c r="C19" s="102">
        <f t="shared" si="5"/>
        <v>0.40677479332900707</v>
      </c>
      <c r="D19" s="87">
        <f>+buhvar!D20</f>
        <v>0</v>
      </c>
      <c r="E19" s="88">
        <v>0</v>
      </c>
      <c r="F19" s="87">
        <f>+buhvar!F20</f>
        <v>0</v>
      </c>
      <c r="G19" s="88">
        <v>0</v>
      </c>
      <c r="H19" s="87">
        <f>+buhvar!H20</f>
        <v>0</v>
      </c>
      <c r="I19" s="88">
        <v>0</v>
      </c>
      <c r="J19" s="87">
        <f>+buhvar!J20</f>
        <v>2277488.0100037898</v>
      </c>
      <c r="K19" s="102">
        <f t="shared" si="1"/>
        <v>0.45687148715494952</v>
      </c>
      <c r="L19" s="87">
        <f>+buhvar!L20</f>
        <v>1419069.286724146</v>
      </c>
      <c r="M19" s="102">
        <f t="shared" si="2"/>
        <v>0.35057675178919945</v>
      </c>
      <c r="N19" s="87">
        <f>+buhvar!N20</f>
        <v>1384144.9737510919</v>
      </c>
      <c r="O19" s="102">
        <f t="shared" si="3"/>
        <v>0.42270277879168117</v>
      </c>
      <c r="P19" s="87">
        <f>+buhvar!P20</f>
        <v>1123957.013653338</v>
      </c>
      <c r="Q19" s="102">
        <f t="shared" si="4"/>
        <v>0.33136201971765578</v>
      </c>
      <c r="R19" s="64"/>
      <c r="S19" s="10"/>
      <c r="T19" s="10"/>
    </row>
    <row r="20" spans="1:20">
      <c r="A20" s="10" t="s">
        <v>264</v>
      </c>
      <c r="B20" s="87">
        <f>+buhvar!B21</f>
        <v>280545.03700000001</v>
      </c>
      <c r="C20" s="102">
        <f t="shared" si="5"/>
        <v>4.9797821681768009E-2</v>
      </c>
      <c r="D20" s="87">
        <f>+buhvar!D21</f>
        <v>0</v>
      </c>
      <c r="E20" s="88">
        <v>0</v>
      </c>
      <c r="F20" s="87">
        <f>+buhvar!F21</f>
        <v>0</v>
      </c>
      <c r="G20" s="88">
        <v>0</v>
      </c>
      <c r="H20" s="87">
        <f>+buhvar!H21</f>
        <v>0</v>
      </c>
      <c r="I20" s="88">
        <v>0</v>
      </c>
      <c r="J20" s="87">
        <f>+buhvar!J21</f>
        <v>254813.43122000009</v>
      </c>
      <c r="K20" s="102">
        <f t="shared" si="1"/>
        <v>5.1116401384849949E-2</v>
      </c>
      <c r="L20" s="87">
        <f>+buhvar!L21</f>
        <v>236486.56621999992</v>
      </c>
      <c r="M20" s="102">
        <f t="shared" si="2"/>
        <v>5.8423287011288329E-2</v>
      </c>
      <c r="N20" s="87">
        <f>+buhvar!N21</f>
        <v>213238.20509</v>
      </c>
      <c r="O20" s="102">
        <f t="shared" si="3"/>
        <v>6.5120622149730439E-2</v>
      </c>
      <c r="P20" s="87">
        <f>+buhvar!P21</f>
        <v>236518.38985999997</v>
      </c>
      <c r="Q20" s="102">
        <f t="shared" si="4"/>
        <v>6.9729723123156881E-2</v>
      </c>
      <c r="R20" s="64"/>
      <c r="S20" s="10"/>
      <c r="T20" s="10"/>
    </row>
    <row r="21" spans="1:20" ht="16.5" thickBot="1">
      <c r="A21" s="10" t="s">
        <v>265</v>
      </c>
      <c r="B21" s="97">
        <f>+buhvar!B22</f>
        <v>48894.990172113896</v>
      </c>
      <c r="C21" s="295">
        <f t="shared" si="5"/>
        <v>8.679048568314994E-3</v>
      </c>
      <c r="D21" s="97">
        <f>+buhvar!D22</f>
        <v>0</v>
      </c>
      <c r="E21" s="1531">
        <v>0</v>
      </c>
      <c r="F21" s="97">
        <f>+buhvar!F22</f>
        <v>0</v>
      </c>
      <c r="G21" s="1531">
        <v>0</v>
      </c>
      <c r="H21" s="97">
        <f>+buhvar!H22</f>
        <v>0</v>
      </c>
      <c r="I21" s="1531">
        <v>0</v>
      </c>
      <c r="J21" s="97">
        <f>+buhvar!J22</f>
        <v>52946.767101435013</v>
      </c>
      <c r="K21" s="295">
        <f t="shared" si="1"/>
        <v>1.0621293336968707E-2</v>
      </c>
      <c r="L21" s="97">
        <f>+buhvar!L22</f>
        <v>63790.76399575801</v>
      </c>
      <c r="M21" s="295">
        <f t="shared" si="2"/>
        <v>1.5759314252660257E-2</v>
      </c>
      <c r="N21" s="97">
        <f>+buhvar!N22</f>
        <v>60051.489842443996</v>
      </c>
      <c r="O21" s="295">
        <f t="shared" si="3"/>
        <v>1.8339070045668666E-2</v>
      </c>
      <c r="P21" s="97">
        <f>+buhvar!P22</f>
        <v>66661.624046710014</v>
      </c>
      <c r="Q21" s="295">
        <f t="shared" si="4"/>
        <v>1.9653002840364704E-2</v>
      </c>
      <c r="R21" s="64"/>
      <c r="S21" s="10"/>
      <c r="T21" s="10"/>
    </row>
    <row r="22" spans="1:20">
      <c r="A22" s="10" t="s">
        <v>54</v>
      </c>
      <c r="B22" s="90">
        <f>SUM(B14:B21)</f>
        <v>5633680.9026068952</v>
      </c>
      <c r="C22" s="109">
        <f t="shared" si="5"/>
        <v>1</v>
      </c>
      <c r="D22" s="90">
        <f>SUM(D14:D21)</f>
        <v>0</v>
      </c>
      <c r="E22" s="47">
        <v>0</v>
      </c>
      <c r="F22" s="90">
        <f>SUM(F14:F21)</f>
        <v>0</v>
      </c>
      <c r="G22" s="47">
        <v>0</v>
      </c>
      <c r="H22" s="90">
        <f>SUM(H14:H21)</f>
        <v>0</v>
      </c>
      <c r="I22" s="47">
        <v>0</v>
      </c>
      <c r="J22" s="90">
        <f>SUM(J14:J21)</f>
        <v>4984964.2055499339</v>
      </c>
      <c r="K22" s="102">
        <f t="shared" si="1"/>
        <v>1</v>
      </c>
      <c r="L22" s="90">
        <f>SUM(L14:L21)</f>
        <v>4047813.4373765527</v>
      </c>
      <c r="M22" s="102">
        <f t="shared" si="2"/>
        <v>1</v>
      </c>
      <c r="N22" s="90">
        <f>SUM(N14:N21)</f>
        <v>3274511.1771153845</v>
      </c>
      <c r="O22" s="102">
        <f t="shared" si="3"/>
        <v>1</v>
      </c>
      <c r="P22" s="90">
        <f>SUM(P14:P21)</f>
        <v>3391930.7185869701</v>
      </c>
      <c r="Q22" s="102">
        <f t="shared" si="4"/>
        <v>1</v>
      </c>
      <c r="R22" s="64"/>
      <c r="S22" s="10"/>
      <c r="T22" s="10"/>
    </row>
    <row r="23" spans="1:20" ht="13.15" customHeight="1">
      <c r="A23" s="10"/>
      <c r="B23" s="87"/>
      <c r="C23" s="102" t="s">
        <v>0</v>
      </c>
      <c r="D23" s="87"/>
      <c r="E23" s="88" t="s">
        <v>0</v>
      </c>
      <c r="F23" s="87"/>
      <c r="G23" s="88" t="s">
        <v>0</v>
      </c>
      <c r="H23" s="87"/>
      <c r="I23" s="88" t="s">
        <v>0</v>
      </c>
      <c r="J23" s="87"/>
      <c r="K23" s="102" t="s">
        <v>0</v>
      </c>
      <c r="L23" s="87"/>
      <c r="M23" s="102" t="s">
        <v>0</v>
      </c>
      <c r="N23" s="87"/>
      <c r="O23" s="102" t="s">
        <v>0</v>
      </c>
      <c r="P23" s="87"/>
      <c r="Q23" s="102" t="s">
        <v>0</v>
      </c>
      <c r="R23" s="64"/>
      <c r="S23" s="10"/>
      <c r="T23" s="10"/>
    </row>
    <row r="24" spans="1:20" ht="13.15" customHeight="1">
      <c r="A24" s="10"/>
      <c r="B24" s="87"/>
      <c r="C24" s="102"/>
      <c r="D24" s="87"/>
      <c r="E24" s="88"/>
      <c r="F24" s="87"/>
      <c r="G24" s="88"/>
      <c r="H24" s="102" t="s">
        <v>0</v>
      </c>
      <c r="I24" s="88"/>
      <c r="J24" s="87"/>
      <c r="K24" s="102"/>
      <c r="L24" s="87"/>
      <c r="M24" s="102"/>
      <c r="N24" s="87"/>
      <c r="O24" s="102"/>
      <c r="P24" s="87"/>
      <c r="Q24" s="102"/>
      <c r="R24" s="64"/>
      <c r="S24" s="10"/>
      <c r="T24" s="10"/>
    </row>
    <row r="25" spans="1:20">
      <c r="A25" s="11" t="s">
        <v>266</v>
      </c>
      <c r="B25" s="87"/>
      <c r="C25" s="102" t="s">
        <v>0</v>
      </c>
      <c r="D25" s="87"/>
      <c r="E25" s="88" t="s">
        <v>0</v>
      </c>
      <c r="F25" s="87"/>
      <c r="G25" s="88" t="s">
        <v>0</v>
      </c>
      <c r="H25" s="88" t="s">
        <v>0</v>
      </c>
      <c r="I25" s="88" t="s">
        <v>0</v>
      </c>
      <c r="J25" s="87"/>
      <c r="K25" s="102" t="s">
        <v>0</v>
      </c>
      <c r="L25" s="87"/>
      <c r="M25" s="102" t="s">
        <v>0</v>
      </c>
      <c r="N25" s="87"/>
      <c r="O25" s="102" t="s">
        <v>0</v>
      </c>
      <c r="P25" s="87"/>
      <c r="Q25" s="102" t="s">
        <v>0</v>
      </c>
      <c r="R25" s="64"/>
      <c r="S25" s="10"/>
      <c r="T25" s="10"/>
    </row>
    <row r="26" spans="1:20">
      <c r="A26" s="10" t="s">
        <v>267</v>
      </c>
      <c r="B26" s="87"/>
      <c r="C26" s="102" t="s">
        <v>0</v>
      </c>
      <c r="D26" s="87"/>
      <c r="E26" s="88" t="s">
        <v>0</v>
      </c>
      <c r="F26" s="87"/>
      <c r="G26" s="88" t="s">
        <v>0</v>
      </c>
      <c r="H26" s="98" t="s">
        <v>0</v>
      </c>
      <c r="I26" s="88" t="s">
        <v>0</v>
      </c>
      <c r="J26" s="87"/>
      <c r="K26" s="102" t="s">
        <v>0</v>
      </c>
      <c r="L26" s="87"/>
      <c r="M26" s="102" t="s">
        <v>0</v>
      </c>
      <c r="N26" s="87"/>
      <c r="O26" s="102" t="s">
        <v>0</v>
      </c>
      <c r="P26" s="87"/>
      <c r="Q26" s="102" t="s">
        <v>0</v>
      </c>
      <c r="R26" s="64"/>
      <c r="S26" s="10"/>
      <c r="T26" s="10"/>
    </row>
    <row r="27" spans="1:20">
      <c r="A27" s="10" t="s">
        <v>268</v>
      </c>
      <c r="B27" s="87">
        <f>+buhvar!B27</f>
        <v>1619897.1617202419</v>
      </c>
      <c r="C27" s="102">
        <f>+B27/$B$22</f>
        <v>0.28753796846581436</v>
      </c>
      <c r="D27" s="87">
        <f>+buhvar!D27</f>
        <v>0</v>
      </c>
      <c r="E27" s="88">
        <v>0</v>
      </c>
      <c r="F27" s="87">
        <f>+buhvar!F27</f>
        <v>0</v>
      </c>
      <c r="G27" s="88">
        <v>0</v>
      </c>
      <c r="H27" s="87">
        <f>+buhvar!H27</f>
        <v>0</v>
      </c>
      <c r="I27" s="88">
        <v>0</v>
      </c>
      <c r="J27" s="87">
        <f>+buhvar!J27</f>
        <v>1369420.8002174557</v>
      </c>
      <c r="K27" s="102">
        <f t="shared" si="1"/>
        <v>0.27471025743631861</v>
      </c>
      <c r="L27" s="87">
        <f>+buhvar!L27</f>
        <v>1177082.3591220009</v>
      </c>
      <c r="M27" s="102">
        <f t="shared" si="2"/>
        <v>0.29079461722546313</v>
      </c>
      <c r="N27" s="87">
        <f>+buhvar!N27</f>
        <v>902954.35886984994</v>
      </c>
      <c r="O27" s="102">
        <f t="shared" si="3"/>
        <v>0.27575241311751747</v>
      </c>
      <c r="P27" s="87">
        <f>+buhvar!P27</f>
        <v>937957.14332893805</v>
      </c>
      <c r="Q27" s="102">
        <f t="shared" si="4"/>
        <v>0.27652603226509226</v>
      </c>
      <c r="R27" s="64"/>
      <c r="S27" s="10"/>
      <c r="T27" s="10"/>
    </row>
    <row r="28" spans="1:20">
      <c r="A28" s="10" t="s">
        <v>269</v>
      </c>
      <c r="B28" s="87">
        <f>+buhvar!B28</f>
        <v>1841834.3011840901</v>
      </c>
      <c r="C28" s="102">
        <f>+B28/$B$22</f>
        <v>0.32693266321346154</v>
      </c>
      <c r="D28" s="87">
        <f>+buhvar!D28</f>
        <v>0</v>
      </c>
      <c r="E28" s="88">
        <v>0</v>
      </c>
      <c r="F28" s="87">
        <f>+buhvar!F28</f>
        <v>0</v>
      </c>
      <c r="G28" s="88">
        <v>0</v>
      </c>
      <c r="H28" s="87">
        <f>+buhvar!H28</f>
        <v>0</v>
      </c>
      <c r="I28" s="88">
        <v>0</v>
      </c>
      <c r="J28" s="87">
        <f>+buhvar!J28</f>
        <v>1710134.4278298719</v>
      </c>
      <c r="K28" s="102">
        <f t="shared" si="1"/>
        <v>0.34305851703527174</v>
      </c>
      <c r="L28" s="87">
        <f>+buhvar!L28</f>
        <v>1742798.0918011959</v>
      </c>
      <c r="M28" s="102">
        <f t="shared" si="2"/>
        <v>0.43055296859993847</v>
      </c>
      <c r="N28" s="87">
        <f>+buhvar!N28</f>
        <v>1709736.717832484</v>
      </c>
      <c r="O28" s="102">
        <f t="shared" si="3"/>
        <v>0.52213494636431279</v>
      </c>
      <c r="P28" s="87">
        <f>+buhvar!P28</f>
        <v>1671035.8748480282</v>
      </c>
      <c r="Q28" s="102">
        <f t="shared" si="4"/>
        <v>0.49265035564881993</v>
      </c>
      <c r="R28" s="64"/>
      <c r="S28" s="10"/>
      <c r="T28" s="10"/>
    </row>
    <row r="29" spans="1:20">
      <c r="A29" s="10" t="s">
        <v>270</v>
      </c>
      <c r="B29" s="199">
        <f>+buhvar!B29</f>
        <v>1237077.9101916431</v>
      </c>
      <c r="C29" s="294">
        <f>+B29/$B$22</f>
        <v>0.21958608085509515</v>
      </c>
      <c r="D29" s="199">
        <f>+buhvar!D29</f>
        <v>0</v>
      </c>
      <c r="E29" s="1530">
        <v>0</v>
      </c>
      <c r="F29" s="199">
        <f>+buhvar!F29</f>
        <v>0</v>
      </c>
      <c r="G29" s="1530">
        <v>0</v>
      </c>
      <c r="H29" s="199">
        <f>+buhvar!H29</f>
        <v>0</v>
      </c>
      <c r="I29" s="1530">
        <v>0</v>
      </c>
      <c r="J29" s="199">
        <f>+buhvar!J29</f>
        <v>1003470.5567614848</v>
      </c>
      <c r="K29" s="294">
        <f t="shared" ref="K29:K45" si="6">+J29/$J$22</f>
        <v>0.20129945078528069</v>
      </c>
      <c r="L29" s="199">
        <f>+buhvar!L29</f>
        <v>639978.886855155</v>
      </c>
      <c r="M29" s="294">
        <f t="shared" ref="M29:M45" si="7">+L29/$L$22</f>
        <v>0.15810483777383147</v>
      </c>
      <c r="N29" s="199">
        <f>+buhvar!N29</f>
        <v>615245.14662978007</v>
      </c>
      <c r="O29" s="294">
        <f t="shared" ref="O29:O45" si="8">+N29/$N$22</f>
        <v>0.18788915760298855</v>
      </c>
      <c r="P29" s="199">
        <f>+buhvar!P29</f>
        <v>697635.35004883213</v>
      </c>
      <c r="Q29" s="294">
        <f t="shared" ref="Q29:Q45" si="9">+P29/$P$22</f>
        <v>0.20567499985361054</v>
      </c>
      <c r="R29" s="64"/>
      <c r="S29" s="10"/>
      <c r="T29" s="10"/>
    </row>
    <row r="30" spans="1:20">
      <c r="A30" s="10"/>
      <c r="B30" s="87">
        <f>SUM(B27:B29)</f>
        <v>4698809.3730959753</v>
      </c>
      <c r="C30" s="102">
        <f>+B30/$B$22</f>
        <v>0.83405671253437108</v>
      </c>
      <c r="D30" s="87">
        <f>SUM(D27:D29)</f>
        <v>0</v>
      </c>
      <c r="E30" s="88">
        <v>0</v>
      </c>
      <c r="F30" s="87">
        <f>SUM(F27:F29)</f>
        <v>0</v>
      </c>
      <c r="G30" s="88">
        <v>0</v>
      </c>
      <c r="H30" s="87">
        <f>SUM(H27:H29)</f>
        <v>0</v>
      </c>
      <c r="I30" s="88">
        <v>0</v>
      </c>
      <c r="J30" s="87">
        <f>SUM(J27:J29)</f>
        <v>4083025.7848088127</v>
      </c>
      <c r="K30" s="102">
        <f t="shared" si="6"/>
        <v>0.81906822525687106</v>
      </c>
      <c r="L30" s="87">
        <f>SUM(L27:L29)</f>
        <v>3559859.3377783522</v>
      </c>
      <c r="M30" s="102">
        <f t="shared" si="7"/>
        <v>0.87945242359923315</v>
      </c>
      <c r="N30" s="87">
        <f>SUM(N27:N29)</f>
        <v>3227936.2233321141</v>
      </c>
      <c r="O30" s="102">
        <f t="shared" si="8"/>
        <v>0.98577651708481884</v>
      </c>
      <c r="P30" s="87">
        <f>SUM(P27:P29)</f>
        <v>3306628.3682257985</v>
      </c>
      <c r="Q30" s="102">
        <f t="shared" si="9"/>
        <v>0.97485138776752278</v>
      </c>
      <c r="R30" s="64"/>
      <c r="S30" s="10"/>
      <c r="T30" s="10"/>
    </row>
    <row r="31" spans="1:20" ht="7.9" customHeight="1">
      <c r="A31" s="10"/>
      <c r="B31" s="87"/>
      <c r="C31" s="102" t="s">
        <v>0</v>
      </c>
      <c r="D31" s="87"/>
      <c r="E31" s="88" t="s">
        <v>0</v>
      </c>
      <c r="F31" s="87"/>
      <c r="G31" s="88" t="s">
        <v>0</v>
      </c>
      <c r="H31" s="87"/>
      <c r="I31" s="88" t="s">
        <v>0</v>
      </c>
      <c r="J31" s="87"/>
      <c r="K31" s="102" t="s">
        <v>0</v>
      </c>
      <c r="L31" s="87"/>
      <c r="M31" s="102" t="s">
        <v>0</v>
      </c>
      <c r="N31" s="87"/>
      <c r="O31" s="102" t="s">
        <v>0</v>
      </c>
      <c r="P31" s="87"/>
      <c r="Q31" s="102" t="s">
        <v>0</v>
      </c>
      <c r="R31" s="64"/>
      <c r="S31" s="10"/>
      <c r="T31" s="10"/>
    </row>
    <row r="32" spans="1:20">
      <c r="A32" s="10" t="s">
        <v>271</v>
      </c>
      <c r="B32" s="87"/>
      <c r="C32" s="102" t="s">
        <v>0</v>
      </c>
      <c r="D32" s="87"/>
      <c r="E32" s="88" t="s">
        <v>0</v>
      </c>
      <c r="F32" s="87"/>
      <c r="G32" s="88" t="s">
        <v>0</v>
      </c>
      <c r="H32" s="87"/>
      <c r="I32" s="88" t="s">
        <v>0</v>
      </c>
      <c r="J32" s="87"/>
      <c r="K32" s="102" t="s">
        <v>0</v>
      </c>
      <c r="L32" s="87"/>
      <c r="M32" s="102" t="s">
        <v>0</v>
      </c>
      <c r="N32" s="87"/>
      <c r="O32" s="102" t="s">
        <v>0</v>
      </c>
      <c r="P32" s="87"/>
      <c r="Q32" s="102" t="s">
        <v>0</v>
      </c>
      <c r="R32" s="64"/>
      <c r="S32" s="10"/>
      <c r="T32" s="10"/>
    </row>
    <row r="33" spans="1:21">
      <c r="A33" s="10" t="s">
        <v>272</v>
      </c>
      <c r="B33" s="87">
        <f>+buhvar!B33</f>
        <v>0</v>
      </c>
      <c r="C33" s="102">
        <f>+B33/$B$22</f>
        <v>0</v>
      </c>
      <c r="D33" s="87">
        <f>+buhvar!D33</f>
        <v>0</v>
      </c>
      <c r="E33" s="88">
        <v>0</v>
      </c>
      <c r="F33" s="87">
        <f>+buhvar!F33</f>
        <v>0</v>
      </c>
      <c r="G33" s="88">
        <v>0</v>
      </c>
      <c r="H33" s="87">
        <f>+buhvar!H33</f>
        <v>0</v>
      </c>
      <c r="I33" s="88">
        <v>0</v>
      </c>
      <c r="J33" s="87">
        <f>+buhvar!J33</f>
        <v>0</v>
      </c>
      <c r="K33" s="102">
        <f t="shared" si="6"/>
        <v>0</v>
      </c>
      <c r="L33" s="87">
        <f>+buhvar!L33</f>
        <v>0</v>
      </c>
      <c r="M33" s="102">
        <f t="shared" si="7"/>
        <v>0</v>
      </c>
      <c r="N33" s="87">
        <f>+buhvar!N33</f>
        <v>0</v>
      </c>
      <c r="O33" s="102">
        <f t="shared" si="8"/>
        <v>0</v>
      </c>
      <c r="P33" s="87">
        <f>+buhvar!P33</f>
        <v>0</v>
      </c>
      <c r="Q33" s="102">
        <f t="shared" si="9"/>
        <v>0</v>
      </c>
      <c r="R33" s="64"/>
      <c r="S33" s="10"/>
      <c r="T33" s="10"/>
    </row>
    <row r="34" spans="1:21">
      <c r="A34" s="10" t="s">
        <v>273</v>
      </c>
      <c r="B34" s="87">
        <f>+buhvar!B34</f>
        <v>0</v>
      </c>
      <c r="C34" s="102">
        <f>+B34/$B$22</f>
        <v>0</v>
      </c>
      <c r="D34" s="87">
        <f>+buhvar!D34</f>
        <v>0</v>
      </c>
      <c r="E34" s="88">
        <v>0</v>
      </c>
      <c r="F34" s="87">
        <f>+buhvar!F34</f>
        <v>0</v>
      </c>
      <c r="G34" s="88">
        <v>0</v>
      </c>
      <c r="H34" s="87">
        <f>+buhvar!H34</f>
        <v>0</v>
      </c>
      <c r="I34" s="88">
        <v>0</v>
      </c>
      <c r="J34" s="87">
        <f>+buhvar!J34</f>
        <v>0</v>
      </c>
      <c r="K34" s="102">
        <f t="shared" si="6"/>
        <v>0</v>
      </c>
      <c r="L34" s="87">
        <f>+buhvar!L34</f>
        <v>0</v>
      </c>
      <c r="M34" s="102">
        <f t="shared" si="7"/>
        <v>0</v>
      </c>
      <c r="N34" s="87">
        <f>+buhvar!N34</f>
        <v>0</v>
      </c>
      <c r="O34" s="102">
        <f t="shared" si="8"/>
        <v>0</v>
      </c>
      <c r="P34" s="87">
        <f>+buhvar!P34</f>
        <v>0</v>
      </c>
      <c r="Q34" s="102">
        <f t="shared" si="9"/>
        <v>0</v>
      </c>
      <c r="R34" s="64"/>
      <c r="S34" s="10"/>
      <c r="T34" s="10"/>
    </row>
    <row r="35" spans="1:21" ht="18">
      <c r="A35" s="10" t="s">
        <v>274</v>
      </c>
      <c r="B35" s="199">
        <f>+buhvar!B35</f>
        <v>242476.060946212</v>
      </c>
      <c r="C35" s="294">
        <f>+B35/$B$22</f>
        <v>4.3040432203749791E-2</v>
      </c>
      <c r="D35" s="199">
        <f>+buhvar!D35</f>
        <v>0</v>
      </c>
      <c r="E35" s="1530">
        <v>0</v>
      </c>
      <c r="F35" s="199">
        <f>+buhvar!F35</f>
        <v>0</v>
      </c>
      <c r="G35" s="1530">
        <v>0</v>
      </c>
      <c r="H35" s="199">
        <f>+buhvar!H35</f>
        <v>0</v>
      </c>
      <c r="I35" s="1530">
        <v>0</v>
      </c>
      <c r="J35" s="199">
        <f>+buhvar!J35</f>
        <v>222978.337094883</v>
      </c>
      <c r="K35" s="294">
        <f t="shared" si="6"/>
        <v>4.4730178171918156E-2</v>
      </c>
      <c r="L35" s="199">
        <f>+buhvar!L35</f>
        <v>154021.34902756099</v>
      </c>
      <c r="M35" s="294">
        <f t="shared" si="7"/>
        <v>3.8050505886799091E-2</v>
      </c>
      <c r="N35" s="199">
        <f>+buhvar!N35</f>
        <v>122885.84126214201</v>
      </c>
      <c r="O35" s="294">
        <f t="shared" si="8"/>
        <v>3.7527995665721271E-2</v>
      </c>
      <c r="P35" s="199">
        <f>+buhvar!P35</f>
        <v>110687.06894135599</v>
      </c>
      <c r="Q35" s="294">
        <f t="shared" si="9"/>
        <v>3.2632467501419557E-2</v>
      </c>
      <c r="R35" s="68"/>
      <c r="S35" s="70"/>
      <c r="T35" s="70"/>
      <c r="U35" s="15"/>
    </row>
    <row r="36" spans="1:21">
      <c r="A36" s="10"/>
      <c r="B36" s="87">
        <f>SUM(B33:B35)</f>
        <v>242476.060946212</v>
      </c>
      <c r="C36" s="102">
        <f>+B36/$B$22</f>
        <v>4.3040432203749791E-2</v>
      </c>
      <c r="D36" s="87">
        <f>SUM(D33:D35)</f>
        <v>0</v>
      </c>
      <c r="E36" s="88">
        <v>0</v>
      </c>
      <c r="F36" s="87">
        <f>SUM(F33:F35)</f>
        <v>0</v>
      </c>
      <c r="G36" s="88">
        <v>0</v>
      </c>
      <c r="H36" s="87">
        <f>SUM(H33:H35)</f>
        <v>0</v>
      </c>
      <c r="I36" s="88">
        <v>0</v>
      </c>
      <c r="J36" s="87">
        <f>SUM(J33:J35)</f>
        <v>222978.337094883</v>
      </c>
      <c r="K36" s="102">
        <f t="shared" si="6"/>
        <v>4.4730178171918156E-2</v>
      </c>
      <c r="L36" s="87">
        <f>SUM(L33:L35)</f>
        <v>154021.34902756099</v>
      </c>
      <c r="M36" s="102">
        <f t="shared" si="7"/>
        <v>3.8050505886799091E-2</v>
      </c>
      <c r="N36" s="87">
        <f>SUM(N33:N35)</f>
        <v>122885.84126214201</v>
      </c>
      <c r="O36" s="102">
        <f t="shared" si="8"/>
        <v>3.7527995665721271E-2</v>
      </c>
      <c r="P36" s="87">
        <f>SUM(P33:P35)</f>
        <v>110687.06894135599</v>
      </c>
      <c r="Q36" s="102">
        <f t="shared" si="9"/>
        <v>3.2632467501419557E-2</v>
      </c>
      <c r="R36" s="64"/>
      <c r="S36" s="10"/>
      <c r="T36" s="10"/>
    </row>
    <row r="37" spans="1:21" ht="7.15" customHeight="1">
      <c r="A37" s="10"/>
      <c r="B37" s="87"/>
      <c r="C37" s="102" t="s">
        <v>0</v>
      </c>
      <c r="D37" s="87"/>
      <c r="E37" s="88" t="s">
        <v>0</v>
      </c>
      <c r="F37" s="87"/>
      <c r="G37" s="88" t="s">
        <v>0</v>
      </c>
      <c r="H37" s="87"/>
      <c r="I37" s="88" t="s">
        <v>0</v>
      </c>
      <c r="J37" s="87"/>
      <c r="K37" s="102" t="s">
        <v>0</v>
      </c>
      <c r="L37" s="87"/>
      <c r="M37" s="102" t="s">
        <v>0</v>
      </c>
      <c r="N37" s="87"/>
      <c r="O37" s="102" t="s">
        <v>0</v>
      </c>
      <c r="P37" s="87"/>
      <c r="Q37" s="102" t="s">
        <v>0</v>
      </c>
      <c r="R37" s="64"/>
      <c r="S37" s="10"/>
      <c r="T37" s="10"/>
    </row>
    <row r="38" spans="1:21">
      <c r="A38" s="10" t="s">
        <v>275</v>
      </c>
      <c r="B38" s="87"/>
      <c r="C38" s="102" t="s">
        <v>0</v>
      </c>
      <c r="D38" s="87"/>
      <c r="E38" s="88" t="s">
        <v>0</v>
      </c>
      <c r="F38" s="87"/>
      <c r="G38" s="88" t="s">
        <v>0</v>
      </c>
      <c r="H38" s="87"/>
      <c r="I38" s="88" t="s">
        <v>0</v>
      </c>
      <c r="J38" s="87"/>
      <c r="K38" s="102" t="s">
        <v>0</v>
      </c>
      <c r="L38" s="87"/>
      <c r="M38" s="102" t="s">
        <v>0</v>
      </c>
      <c r="N38" s="87"/>
      <c r="O38" s="102" t="s">
        <v>0</v>
      </c>
      <c r="P38" s="87"/>
      <c r="Q38" s="102" t="s">
        <v>0</v>
      </c>
      <c r="R38" s="64"/>
      <c r="S38" s="10"/>
      <c r="T38" s="10"/>
    </row>
    <row r="39" spans="1:21">
      <c r="A39" s="10" t="s">
        <v>272</v>
      </c>
      <c r="B39" s="87">
        <f>+buhvar!B39</f>
        <v>200000</v>
      </c>
      <c r="C39" s="102">
        <f>+B39/$B$22</f>
        <v>3.5500768229072617E-2</v>
      </c>
      <c r="D39" s="87">
        <f>+buhvar!D39</f>
        <v>0</v>
      </c>
      <c r="E39" s="88">
        <v>0</v>
      </c>
      <c r="F39" s="87">
        <f>+buhvar!F39</f>
        <v>0</v>
      </c>
      <c r="G39" s="88">
        <v>0</v>
      </c>
      <c r="H39" s="87">
        <f>+buhvar!H39</f>
        <v>0</v>
      </c>
      <c r="I39" s="88">
        <v>0</v>
      </c>
      <c r="J39" s="87">
        <f>+buhvar!J39</f>
        <v>200000</v>
      </c>
      <c r="K39" s="102">
        <f t="shared" si="6"/>
        <v>4.0120649166815091E-2</v>
      </c>
      <c r="L39" s="87">
        <f>+buhvar!L39</f>
        <v>0</v>
      </c>
      <c r="M39" s="102">
        <f t="shared" si="7"/>
        <v>0</v>
      </c>
      <c r="N39" s="87">
        <f>+buhvar!N39</f>
        <v>0</v>
      </c>
      <c r="O39" s="102">
        <f t="shared" si="8"/>
        <v>0</v>
      </c>
      <c r="P39" s="87">
        <f>+buhvar!P39</f>
        <v>0</v>
      </c>
      <c r="Q39" s="102">
        <f t="shared" si="9"/>
        <v>0</v>
      </c>
      <c r="R39" s="64"/>
      <c r="S39" s="10"/>
      <c r="T39" s="10"/>
    </row>
    <row r="40" spans="1:21">
      <c r="A40" s="10" t="s">
        <v>276</v>
      </c>
      <c r="B40" s="87">
        <f>+buhvar!B40</f>
        <v>0</v>
      </c>
      <c r="C40" s="102">
        <f>+B40/$B$22</f>
        <v>0</v>
      </c>
      <c r="D40" s="87">
        <f>+buhvar!D40</f>
        <v>0</v>
      </c>
      <c r="E40" s="88">
        <v>0</v>
      </c>
      <c r="F40" s="87">
        <f>+buhvar!F40</f>
        <v>0</v>
      </c>
      <c r="G40" s="88">
        <v>0</v>
      </c>
      <c r="H40" s="87">
        <f>+buhvar!H40</f>
        <v>0</v>
      </c>
      <c r="I40" s="88">
        <v>0</v>
      </c>
      <c r="J40" s="87">
        <f>+buhvar!J40</f>
        <v>0</v>
      </c>
      <c r="K40" s="102">
        <f t="shared" si="6"/>
        <v>0</v>
      </c>
      <c r="L40" s="87">
        <f>+buhvar!L40</f>
        <v>0</v>
      </c>
      <c r="M40" s="102">
        <f t="shared" si="7"/>
        <v>0</v>
      </c>
      <c r="N40" s="87">
        <f>+buhvar!N40</f>
        <v>0</v>
      </c>
      <c r="O40" s="102">
        <f t="shared" si="8"/>
        <v>0</v>
      </c>
      <c r="P40" s="87">
        <f>+buhvar!P40</f>
        <v>0</v>
      </c>
      <c r="Q40" s="102">
        <f t="shared" si="9"/>
        <v>0</v>
      </c>
      <c r="R40" s="64"/>
      <c r="S40" s="10"/>
      <c r="T40" s="10"/>
    </row>
    <row r="41" spans="1:21">
      <c r="A41" s="10" t="s">
        <v>274</v>
      </c>
      <c r="B41" s="199">
        <f>+buhvar!B41</f>
        <v>1670.0527500000001</v>
      </c>
      <c r="C41" s="294">
        <f>+B41/$B$22</f>
        <v>2.9644077804037678E-4</v>
      </c>
      <c r="D41" s="199">
        <f>+buhvar!D41</f>
        <v>0</v>
      </c>
      <c r="E41" s="1530">
        <v>0</v>
      </c>
      <c r="F41" s="199">
        <f>+buhvar!F41</f>
        <v>0</v>
      </c>
      <c r="G41" s="1530">
        <v>0</v>
      </c>
      <c r="H41" s="199">
        <f>+buhvar!H41</f>
        <v>0</v>
      </c>
      <c r="I41" s="1530">
        <v>0</v>
      </c>
      <c r="J41" s="199">
        <f>+buhvar!J41</f>
        <v>7049.5000599999994</v>
      </c>
      <c r="K41" s="294">
        <f t="shared" si="6"/>
        <v>1.4141525935435094E-3</v>
      </c>
      <c r="L41" s="199">
        <f>+buhvar!L41</f>
        <v>5422.8541799999994</v>
      </c>
      <c r="M41" s="294">
        <f t="shared" si="7"/>
        <v>1.3396996338632223E-3</v>
      </c>
      <c r="N41" s="199">
        <f>+buhvar!N41</f>
        <v>7564.8392976499999</v>
      </c>
      <c r="O41" s="294">
        <f t="shared" si="8"/>
        <v>2.3102194155019177E-3</v>
      </c>
      <c r="P41" s="199">
        <f>+buhvar!P41</f>
        <v>7814.7519376700002</v>
      </c>
      <c r="Q41" s="294">
        <f t="shared" si="9"/>
        <v>2.3039243976438039E-3</v>
      </c>
      <c r="R41" s="64"/>
      <c r="S41" s="10"/>
      <c r="T41" s="10"/>
    </row>
    <row r="42" spans="1:21">
      <c r="A42" s="10"/>
      <c r="B42" s="87">
        <f>SUM(B39:B41)</f>
        <v>201670.05275</v>
      </c>
      <c r="C42" s="102">
        <f>+B42/$B$22</f>
        <v>3.5797209007112994E-2</v>
      </c>
      <c r="D42" s="87">
        <f>SUM(D39:D41)</f>
        <v>0</v>
      </c>
      <c r="E42" s="88">
        <v>0</v>
      </c>
      <c r="F42" s="87">
        <f>SUM(F39:F41)</f>
        <v>0</v>
      </c>
      <c r="G42" s="88">
        <v>0</v>
      </c>
      <c r="H42" s="87">
        <f>SUM(H39:H41)</f>
        <v>0</v>
      </c>
      <c r="I42" s="88">
        <v>0</v>
      </c>
      <c r="J42" s="87">
        <f>SUM(J39:J41)</f>
        <v>207049.50005999999</v>
      </c>
      <c r="K42" s="102">
        <f t="shared" si="6"/>
        <v>4.1534801760358599E-2</v>
      </c>
      <c r="L42" s="87">
        <f>SUM(L39:L41)</f>
        <v>5422.8541799999994</v>
      </c>
      <c r="M42" s="102">
        <f t="shared" si="7"/>
        <v>1.3396996338632223E-3</v>
      </c>
      <c r="N42" s="87">
        <f>SUM(N39:N41)</f>
        <v>7564.8392976499999</v>
      </c>
      <c r="O42" s="102">
        <f t="shared" si="8"/>
        <v>2.3102194155019177E-3</v>
      </c>
      <c r="P42" s="87">
        <f>SUM(P39:P41)</f>
        <v>7814.7519376700002</v>
      </c>
      <c r="Q42" s="102">
        <f t="shared" si="9"/>
        <v>2.3039243976438039E-3</v>
      </c>
      <c r="R42" s="64"/>
      <c r="S42" s="10"/>
      <c r="T42" s="10"/>
    </row>
    <row r="43" spans="1:21" ht="8.4499999999999993" customHeight="1">
      <c r="A43" s="10"/>
      <c r="B43" s="87"/>
      <c r="C43" s="102" t="s">
        <v>0</v>
      </c>
      <c r="D43" s="87"/>
      <c r="E43" s="88" t="s">
        <v>0</v>
      </c>
      <c r="F43" s="87"/>
      <c r="G43" s="88" t="s">
        <v>0</v>
      </c>
      <c r="H43" s="87"/>
      <c r="I43" s="88" t="s">
        <v>0</v>
      </c>
      <c r="J43" s="87"/>
      <c r="K43" s="102" t="s">
        <v>0</v>
      </c>
      <c r="L43" s="87"/>
      <c r="M43" s="102" t="s">
        <v>0</v>
      </c>
      <c r="N43" s="87"/>
      <c r="O43" s="102" t="s">
        <v>0</v>
      </c>
      <c r="P43" s="87"/>
      <c r="Q43" s="102" t="s">
        <v>0</v>
      </c>
      <c r="R43" s="64"/>
      <c r="S43" s="10"/>
      <c r="T43" s="10"/>
    </row>
    <row r="44" spans="1:21" ht="17.25">
      <c r="A44" s="10" t="s">
        <v>277</v>
      </c>
      <c r="B44" s="199">
        <f>+buhvar!B44</f>
        <v>208053.94415511104</v>
      </c>
      <c r="C44" s="294">
        <f>+B44/$B$22</f>
        <v>3.6930374252975073E-2</v>
      </c>
      <c r="D44" s="199">
        <f>+buhvar!D44</f>
        <v>0</v>
      </c>
      <c r="E44" s="1530">
        <v>0</v>
      </c>
      <c r="F44" s="199">
        <f>+buhvar!F44</f>
        <v>0</v>
      </c>
      <c r="G44" s="1530">
        <v>0</v>
      </c>
      <c r="H44" s="199">
        <f>+buhvar!H44</f>
        <v>0</v>
      </c>
      <c r="I44" s="1530">
        <v>0</v>
      </c>
      <c r="J44" s="199">
        <f>+buhvar!J44</f>
        <v>202639.537648242</v>
      </c>
      <c r="K44" s="294">
        <f t="shared" si="6"/>
        <v>4.0650148986553676E-2</v>
      </c>
      <c r="L44" s="199">
        <f>+buhvar!L44</f>
        <v>174889.35611522602</v>
      </c>
      <c r="M44" s="294">
        <f t="shared" si="7"/>
        <v>4.3205883576633998E-2</v>
      </c>
      <c r="N44" s="199">
        <f>+buhvar!N44</f>
        <v>143634.70773921005</v>
      </c>
      <c r="O44" s="294">
        <f t="shared" si="8"/>
        <v>4.3864473190084567E-2</v>
      </c>
      <c r="P44" s="199">
        <f>+buhvar!P44</f>
        <v>149604.899336698</v>
      </c>
      <c r="Q44" s="294">
        <f t="shared" si="9"/>
        <v>4.410611882987435E-2</v>
      </c>
      <c r="R44" s="68"/>
      <c r="S44" s="10"/>
      <c r="T44" s="10"/>
    </row>
    <row r="45" spans="1:21">
      <c r="A45" s="10"/>
      <c r="B45" s="87">
        <f>+B30+B36+B42+B44</f>
        <v>5351009.4309472982</v>
      </c>
      <c r="C45" s="102">
        <f>+B45/$B$22</f>
        <v>0.94982472799820894</v>
      </c>
      <c r="D45" s="87">
        <f>+D30+D36+D42+D44</f>
        <v>0</v>
      </c>
      <c r="E45" s="88">
        <v>0</v>
      </c>
      <c r="F45" s="87">
        <f>+F30+F36+F42+F44</f>
        <v>0</v>
      </c>
      <c r="G45" s="88">
        <v>0</v>
      </c>
      <c r="H45" s="87">
        <f>+H30+H36+H42+H44</f>
        <v>0</v>
      </c>
      <c r="I45" s="88">
        <v>0</v>
      </c>
      <c r="J45" s="87">
        <f>+J30+J36+J42+J44</f>
        <v>4715693.1596119385</v>
      </c>
      <c r="K45" s="102">
        <f t="shared" si="6"/>
        <v>0.94598335417570167</v>
      </c>
      <c r="L45" s="87">
        <f>+L30+L36+L42+L44</f>
        <v>3894192.8971011392</v>
      </c>
      <c r="M45" s="102">
        <f t="shared" si="7"/>
        <v>0.96204851269652947</v>
      </c>
      <c r="N45" s="87">
        <f>+N30+N36+N42+N44</f>
        <v>3502021.6116311164</v>
      </c>
      <c r="O45" s="102">
        <f t="shared" si="8"/>
        <v>1.0694792053561266</v>
      </c>
      <c r="P45" s="87">
        <f>+P30+P36+P42+P44</f>
        <v>3574735.0884415228</v>
      </c>
      <c r="Q45" s="102">
        <f t="shared" si="9"/>
        <v>1.0538938984964605</v>
      </c>
      <c r="R45" s="64"/>
      <c r="S45" s="10"/>
      <c r="T45" s="10"/>
    </row>
    <row r="46" spans="1:21" ht="8.4499999999999993" customHeight="1">
      <c r="A46" s="10"/>
      <c r="B46" s="87"/>
      <c r="C46" s="102" t="s">
        <v>0</v>
      </c>
      <c r="D46" s="87"/>
      <c r="E46" s="88" t="s">
        <v>0</v>
      </c>
      <c r="F46" s="87"/>
      <c r="G46" s="88" t="s">
        <v>0</v>
      </c>
      <c r="H46" s="87"/>
      <c r="I46" s="88" t="s">
        <v>0</v>
      </c>
      <c r="J46" s="87"/>
      <c r="K46" s="102" t="s">
        <v>0</v>
      </c>
      <c r="L46" s="87"/>
      <c r="M46" s="102" t="s">
        <v>0</v>
      </c>
      <c r="N46" s="87"/>
      <c r="O46" s="102" t="s">
        <v>0</v>
      </c>
      <c r="P46" s="87"/>
      <c r="Q46" s="102" t="s">
        <v>0</v>
      </c>
      <c r="R46" s="64"/>
      <c r="S46" s="10"/>
      <c r="T46" s="10"/>
    </row>
    <row r="47" spans="1:21">
      <c r="A47" s="11" t="s">
        <v>278</v>
      </c>
      <c r="B47" s="87"/>
      <c r="C47" s="102" t="s">
        <v>0</v>
      </c>
      <c r="D47" s="87"/>
      <c r="E47" s="88" t="s">
        <v>0</v>
      </c>
      <c r="F47" s="87"/>
      <c r="G47" s="88" t="s">
        <v>0</v>
      </c>
      <c r="H47" s="87"/>
      <c r="I47" s="88" t="s">
        <v>0</v>
      </c>
      <c r="J47" s="87"/>
      <c r="K47" s="102" t="s">
        <v>0</v>
      </c>
      <c r="L47" s="87"/>
      <c r="M47" s="102" t="s">
        <v>0</v>
      </c>
      <c r="N47" s="87"/>
      <c r="O47" s="102" t="s">
        <v>0</v>
      </c>
      <c r="P47" s="87"/>
      <c r="Q47" s="102" t="s">
        <v>0</v>
      </c>
      <c r="R47" s="64"/>
      <c r="S47" s="10"/>
      <c r="T47" s="10"/>
    </row>
    <row r="48" spans="1:21">
      <c r="A48" s="10" t="s">
        <v>279</v>
      </c>
      <c r="B48" s="87">
        <f>+buhvar!B48</f>
        <v>448651</v>
      </c>
      <c r="C48" s="102">
        <f t="shared" ref="C48:C53" si="10">+B48/$B$22</f>
        <v>7.963727583370829E-2</v>
      </c>
      <c r="D48" s="87">
        <f>+buhvar!D48</f>
        <v>0</v>
      </c>
      <c r="E48" s="88">
        <v>0</v>
      </c>
      <c r="F48" s="87">
        <f>+buhvar!F48</f>
        <v>0</v>
      </c>
      <c r="G48" s="88">
        <v>0</v>
      </c>
      <c r="H48" s="87">
        <f>+buhvar!H48</f>
        <v>0</v>
      </c>
      <c r="I48" s="88">
        <v>0</v>
      </c>
      <c r="J48" s="87">
        <f>+buhvar!J48</f>
        <v>448651</v>
      </c>
      <c r="K48" s="102">
        <f t="shared" ref="K48:K53" si="11">+J48/$J$22</f>
        <v>9.0000846846703786E-2</v>
      </c>
      <c r="L48" s="87">
        <f>+buhvar!L48</f>
        <v>450000</v>
      </c>
      <c r="M48" s="102">
        <f t="shared" ref="M48:M53" si="12">+L48/$L$22</f>
        <v>0.11117113151629132</v>
      </c>
      <c r="N48" s="87">
        <f>+buhvar!N48</f>
        <v>150202.375</v>
      </c>
      <c r="O48" s="102">
        <f t="shared" ref="O48:O53" si="13">+N48/$N$22</f>
        <v>4.587016714119687E-2</v>
      </c>
      <c r="P48" s="87">
        <f>+buhvar!P48</f>
        <v>150202.375</v>
      </c>
      <c r="Q48" s="102">
        <f t="shared" ref="Q48:Q53" si="14">+P48/$P$22</f>
        <v>4.4282265017067377E-2</v>
      </c>
      <c r="R48" s="64"/>
      <c r="S48" s="10"/>
      <c r="T48" s="10"/>
    </row>
    <row r="49" spans="1:21">
      <c r="A49" s="10" t="s">
        <v>280</v>
      </c>
      <c r="B49" s="87">
        <f>+buhvar!B49</f>
        <v>33754.820760000002</v>
      </c>
      <c r="C49" s="102">
        <f t="shared" si="10"/>
        <v>5.9916103420732444E-3</v>
      </c>
      <c r="D49" s="87">
        <f>+buhvar!D49</f>
        <v>0</v>
      </c>
      <c r="E49" s="88">
        <v>0</v>
      </c>
      <c r="F49" s="87">
        <f>+buhvar!F49</f>
        <v>0</v>
      </c>
      <c r="G49" s="88">
        <v>0</v>
      </c>
      <c r="H49" s="87">
        <f>+buhvar!H49</f>
        <v>0</v>
      </c>
      <c r="I49" s="88">
        <v>0</v>
      </c>
      <c r="J49" s="87">
        <f>+buhvar!J49</f>
        <v>34306.199999999997</v>
      </c>
      <c r="K49" s="102">
        <f t="shared" si="11"/>
        <v>6.8819350722329588E-3</v>
      </c>
      <c r="L49" s="87">
        <f>+buhvar!L49</f>
        <v>21734.104950000001</v>
      </c>
      <c r="M49" s="102">
        <f t="shared" si="12"/>
        <v>5.369344532856285E-3</v>
      </c>
      <c r="N49" s="87">
        <f>+buhvar!N49</f>
        <v>24498.97294</v>
      </c>
      <c r="O49" s="102">
        <f t="shared" si="13"/>
        <v>7.4817191375666286E-3</v>
      </c>
      <c r="P49" s="87">
        <f>+buhvar!P49</f>
        <v>26065.105</v>
      </c>
      <c r="Q49" s="102">
        <f t="shared" si="14"/>
        <v>7.684444985025623E-3</v>
      </c>
      <c r="R49" s="64"/>
      <c r="S49" s="10"/>
      <c r="T49" s="10"/>
    </row>
    <row r="50" spans="1:21">
      <c r="A50" s="10" t="s">
        <v>281</v>
      </c>
      <c r="B50" s="87">
        <f>+buhvar!B50</f>
        <v>93847.200150000004</v>
      </c>
      <c r="C50" s="102">
        <f t="shared" si="10"/>
        <v>1.6658238507362696E-2</v>
      </c>
      <c r="D50" s="87">
        <f>+buhvar!D50</f>
        <v>0</v>
      </c>
      <c r="E50" s="88">
        <v>0</v>
      </c>
      <c r="F50" s="87">
        <f>+buhvar!F50</f>
        <v>0</v>
      </c>
      <c r="G50" s="88">
        <v>0</v>
      </c>
      <c r="H50" s="87">
        <f>+buhvar!H50</f>
        <v>0</v>
      </c>
      <c r="I50" s="88">
        <v>0</v>
      </c>
      <c r="J50" s="87">
        <f>+buhvar!J50</f>
        <v>93847.2</v>
      </c>
      <c r="K50" s="102">
        <f t="shared" si="11"/>
        <v>1.8826052932439646E-2</v>
      </c>
      <c r="L50" s="87">
        <f>+buhvar!L50</f>
        <v>110320.3655</v>
      </c>
      <c r="M50" s="102">
        <f t="shared" si="12"/>
        <v>2.7254310804279619E-2</v>
      </c>
      <c r="N50" s="87">
        <f>+buhvar!N50</f>
        <v>105320.72348</v>
      </c>
      <c r="O50" s="102">
        <f t="shared" si="13"/>
        <v>3.2163800269199322E-2</v>
      </c>
      <c r="P50" s="87">
        <f>+buhvar!P50</f>
        <v>105320.72348</v>
      </c>
      <c r="Q50" s="102">
        <f t="shared" si="14"/>
        <v>3.1050375794195204E-2</v>
      </c>
      <c r="R50" s="64"/>
      <c r="S50" s="10"/>
      <c r="T50" s="10"/>
    </row>
    <row r="51" spans="1:21" ht="18">
      <c r="A51" s="10" t="s">
        <v>282</v>
      </c>
      <c r="B51" s="199">
        <f>+buhvar!B51</f>
        <v>-293581.54925000004</v>
      </c>
      <c r="C51" s="294">
        <f t="shared" si="10"/>
        <v>-5.2111852681281594E-2</v>
      </c>
      <c r="D51" s="199">
        <f>+buhvar!D51</f>
        <v>0</v>
      </c>
      <c r="E51" s="88">
        <v>0</v>
      </c>
      <c r="F51" s="199">
        <f>+buhvar!F51</f>
        <v>0</v>
      </c>
      <c r="G51" s="88">
        <v>0</v>
      </c>
      <c r="H51" s="199">
        <f>+buhvar!H51</f>
        <v>0</v>
      </c>
      <c r="I51" s="88">
        <v>0</v>
      </c>
      <c r="J51" s="199">
        <f>+buhvar!J51</f>
        <v>-307533.40000000002</v>
      </c>
      <c r="K51" s="294">
        <f t="shared" si="11"/>
        <v>-6.1692198242389064E-2</v>
      </c>
      <c r="L51" s="199">
        <f>+buhvar!L51</f>
        <v>-428433.93017000001</v>
      </c>
      <c r="M51" s="294">
        <f t="shared" si="12"/>
        <v>-0.10584329954882365</v>
      </c>
      <c r="N51" s="199">
        <f>+buhvar!N51</f>
        <v>-507532.50594</v>
      </c>
      <c r="O51" s="294">
        <f t="shared" si="13"/>
        <v>-0.15499489190539292</v>
      </c>
      <c r="P51" s="199">
        <f>+buhvar!P51</f>
        <v>-464392.59516000003</v>
      </c>
      <c r="Q51" s="294">
        <f t="shared" si="14"/>
        <v>-0.13691099072726914</v>
      </c>
      <c r="R51" s="68"/>
      <c r="S51" s="70"/>
      <c r="T51" s="70"/>
      <c r="U51" s="15"/>
    </row>
    <row r="52" spans="1:21" ht="16.5" thickBot="1">
      <c r="A52" s="10" t="s">
        <v>54</v>
      </c>
      <c r="B52" s="97">
        <f>SUM(B48:B51)</f>
        <v>282671.47166000004</v>
      </c>
      <c r="C52" s="295">
        <f t="shared" si="10"/>
        <v>5.0175272001862649E-2</v>
      </c>
      <c r="D52" s="97">
        <f>SUM(D48:D51)</f>
        <v>0</v>
      </c>
      <c r="E52" s="1532">
        <v>0</v>
      </c>
      <c r="F52" s="97">
        <f>SUM(F48:F51)</f>
        <v>0</v>
      </c>
      <c r="G52" s="1532">
        <v>0</v>
      </c>
      <c r="H52" s="97">
        <f>SUM(H48:H51)</f>
        <v>0</v>
      </c>
      <c r="I52" s="1532">
        <v>0</v>
      </c>
      <c r="J52" s="97">
        <f>SUM(J48:J51)</f>
        <v>269271</v>
      </c>
      <c r="K52" s="295">
        <f t="shared" si="11"/>
        <v>5.4016636608987333E-2</v>
      </c>
      <c r="L52" s="97">
        <f>SUM(L48:L51)</f>
        <v>153620.54028000002</v>
      </c>
      <c r="M52" s="295">
        <f t="shared" si="12"/>
        <v>3.7951487304603577E-2</v>
      </c>
      <c r="N52" s="97">
        <f>SUM(N48:N51)</f>
        <v>-227510.43452000001</v>
      </c>
      <c r="O52" s="295">
        <f t="shared" si="13"/>
        <v>-6.9479205357430115E-2</v>
      </c>
      <c r="P52" s="97">
        <f>SUM(P48:P51)</f>
        <v>-182804.39168</v>
      </c>
      <c r="Q52" s="295">
        <f t="shared" si="14"/>
        <v>-5.3893904930980931E-2</v>
      </c>
      <c r="R52" s="64"/>
      <c r="S52" s="10"/>
      <c r="T52" s="10"/>
    </row>
    <row r="53" spans="1:21">
      <c r="A53" s="10" t="s">
        <v>0</v>
      </c>
      <c r="B53" s="90">
        <f>+B30+B36+B42+B44+B52</f>
        <v>5633680.9026072985</v>
      </c>
      <c r="C53" s="109">
        <f t="shared" si="10"/>
        <v>1.0000000000000715</v>
      </c>
      <c r="D53" s="90">
        <f>+D30+D36+D42+D44+D52</f>
        <v>0</v>
      </c>
      <c r="E53" s="47">
        <v>0</v>
      </c>
      <c r="F53" s="90">
        <f>+F30+F36+F42+F44+F52</f>
        <v>0</v>
      </c>
      <c r="G53" s="47">
        <v>0</v>
      </c>
      <c r="H53" s="90">
        <f>+H30+H36+H42+H44+H52</f>
        <v>0</v>
      </c>
      <c r="I53" s="47">
        <v>0</v>
      </c>
      <c r="J53" s="90">
        <f>+J30+J36+J42+J44+J52</f>
        <v>4984964.1596119385</v>
      </c>
      <c r="K53" s="109">
        <f t="shared" si="11"/>
        <v>0.99999999078468904</v>
      </c>
      <c r="L53" s="90">
        <f>+L30+L36+L42+L44+L52</f>
        <v>4047813.437381139</v>
      </c>
      <c r="M53" s="102">
        <f t="shared" si="12"/>
        <v>1.0000000000011331</v>
      </c>
      <c r="N53" s="90">
        <f>+N30+N36+N42+N44+N52</f>
        <v>3274511.1771111162</v>
      </c>
      <c r="O53" s="102">
        <f t="shared" si="13"/>
        <v>0.99999999999869649</v>
      </c>
      <c r="P53" s="90">
        <f>+P30+P36+P42+P44+P52</f>
        <v>3391930.6967615229</v>
      </c>
      <c r="Q53" s="102">
        <f t="shared" si="14"/>
        <v>0.99999999356547964</v>
      </c>
      <c r="R53" s="64"/>
      <c r="S53" s="10"/>
      <c r="T53" s="10"/>
    </row>
    <row r="56" spans="1:21">
      <c r="B56"/>
      <c r="C56"/>
      <c r="D56"/>
      <c r="E56"/>
      <c r="F56"/>
      <c r="G56"/>
      <c r="H56"/>
      <c r="I56"/>
      <c r="J56"/>
      <c r="K56"/>
      <c r="L56"/>
      <c r="M56"/>
      <c r="N56"/>
      <c r="O56"/>
      <c r="P56"/>
      <c r="Q56"/>
    </row>
    <row r="57" spans="1:21">
      <c r="B57"/>
      <c r="C57"/>
      <c r="D57"/>
      <c r="E57"/>
      <c r="F57"/>
      <c r="G57"/>
      <c r="H57"/>
      <c r="I57"/>
      <c r="J57"/>
      <c r="K57"/>
      <c r="L57"/>
      <c r="M57"/>
      <c r="N57"/>
      <c r="O57"/>
      <c r="P57"/>
      <c r="Q57"/>
    </row>
    <row r="58" spans="1:21">
      <c r="B58"/>
      <c r="C58"/>
      <c r="D58"/>
      <c r="E58"/>
      <c r="F58"/>
      <c r="G58"/>
      <c r="H58"/>
      <c r="I58"/>
      <c r="J58"/>
      <c r="K58"/>
      <c r="L58"/>
      <c r="M58"/>
      <c r="N58"/>
      <c r="O58"/>
      <c r="P58"/>
      <c r="Q58"/>
    </row>
    <row r="59" spans="1:21">
      <c r="B59"/>
      <c r="C59"/>
      <c r="D59"/>
      <c r="E59"/>
      <c r="F59"/>
      <c r="G59"/>
      <c r="H59"/>
      <c r="I59"/>
      <c r="J59"/>
      <c r="K59"/>
      <c r="L59"/>
      <c r="M59"/>
      <c r="N59"/>
      <c r="O59"/>
      <c r="P59"/>
      <c r="Q59"/>
    </row>
    <row r="60" spans="1:21">
      <c r="B60"/>
      <c r="C60"/>
      <c r="D60"/>
      <c r="E60"/>
      <c r="F60"/>
      <c r="G60"/>
      <c r="H60"/>
      <c r="I60"/>
      <c r="J60"/>
      <c r="K60"/>
      <c r="L60"/>
      <c r="M60"/>
      <c r="N60"/>
      <c r="O60"/>
      <c r="P60"/>
      <c r="Q60"/>
    </row>
    <row r="61" spans="1:21">
      <c r="B61"/>
      <c r="C61"/>
      <c r="D61"/>
      <c r="E61"/>
      <c r="F61"/>
      <c r="G61"/>
      <c r="H61"/>
      <c r="I61"/>
      <c r="J61"/>
      <c r="K61"/>
      <c r="L61"/>
      <c r="M61"/>
      <c r="N61"/>
      <c r="O61"/>
      <c r="P61"/>
      <c r="Q61"/>
    </row>
    <row r="62" spans="1:21">
      <c r="B62"/>
      <c r="C62"/>
      <c r="D62"/>
      <c r="E62"/>
      <c r="F62"/>
      <c r="G62"/>
      <c r="H62"/>
      <c r="I62"/>
      <c r="J62"/>
      <c r="K62"/>
      <c r="L62"/>
      <c r="M62"/>
      <c r="N62"/>
      <c r="O62"/>
      <c r="P62"/>
      <c r="Q62"/>
    </row>
    <row r="63" spans="1:21">
      <c r="B63"/>
      <c r="C63"/>
      <c r="D63"/>
      <c r="E63"/>
      <c r="F63"/>
      <c r="G63"/>
      <c r="H63"/>
      <c r="I63"/>
      <c r="J63"/>
      <c r="K63"/>
      <c r="L63"/>
      <c r="M63"/>
      <c r="N63"/>
      <c r="O63"/>
      <c r="P63"/>
      <c r="Q63"/>
    </row>
    <row r="64" spans="1:21">
      <c r="B64"/>
      <c r="C64"/>
      <c r="D64"/>
      <c r="E64"/>
      <c r="F64"/>
      <c r="G64"/>
      <c r="H64"/>
      <c r="I64"/>
      <c r="J64"/>
      <c r="K64"/>
      <c r="L64"/>
      <c r="M64"/>
      <c r="N64"/>
      <c r="O64"/>
      <c r="P64"/>
      <c r="Q64"/>
    </row>
    <row r="65" spans="2:17">
      <c r="B65"/>
      <c r="C65"/>
      <c r="D65"/>
      <c r="E65"/>
      <c r="F65"/>
      <c r="G65"/>
      <c r="H65"/>
      <c r="I65"/>
      <c r="J65"/>
      <c r="K65"/>
      <c r="L65"/>
      <c r="M65"/>
      <c r="N65"/>
      <c r="O65"/>
      <c r="P65"/>
      <c r="Q65"/>
    </row>
    <row r="66" spans="2:17">
      <c r="B66"/>
      <c r="C66"/>
      <c r="D66"/>
      <c r="E66"/>
      <c r="F66"/>
      <c r="G66"/>
      <c r="H66"/>
      <c r="I66"/>
      <c r="J66"/>
      <c r="K66"/>
      <c r="L66"/>
      <c r="M66"/>
      <c r="N66"/>
      <c r="O66"/>
      <c r="P66"/>
      <c r="Q66"/>
    </row>
    <row r="67" spans="2:17">
      <c r="B67"/>
      <c r="C67"/>
      <c r="D67"/>
      <c r="E67"/>
      <c r="F67"/>
      <c r="G67"/>
      <c r="H67"/>
      <c r="I67"/>
      <c r="J67"/>
      <c r="K67"/>
      <c r="L67"/>
      <c r="M67"/>
      <c r="N67"/>
      <c r="O67"/>
      <c r="P67"/>
      <c r="Q67"/>
    </row>
    <row r="68" spans="2:17">
      <c r="B68"/>
      <c r="C68"/>
      <c r="D68"/>
      <c r="E68"/>
      <c r="F68"/>
      <c r="G68"/>
      <c r="H68"/>
      <c r="I68"/>
      <c r="J68"/>
      <c r="K68"/>
      <c r="L68"/>
      <c r="M68"/>
      <c r="N68"/>
      <c r="O68"/>
      <c r="P68"/>
      <c r="Q68"/>
    </row>
    <row r="69" spans="2:17">
      <c r="B69"/>
      <c r="C69"/>
      <c r="D69"/>
      <c r="E69"/>
      <c r="F69"/>
      <c r="G69"/>
      <c r="H69"/>
      <c r="I69"/>
      <c r="J69"/>
      <c r="K69"/>
      <c r="L69"/>
      <c r="M69"/>
      <c r="N69"/>
      <c r="O69"/>
      <c r="P69"/>
      <c r="Q69"/>
    </row>
    <row r="70" spans="2:17">
      <c r="B70"/>
      <c r="C70"/>
      <c r="D70"/>
      <c r="E70"/>
      <c r="F70"/>
      <c r="G70"/>
      <c r="H70"/>
      <c r="I70"/>
      <c r="J70"/>
      <c r="K70"/>
      <c r="L70"/>
      <c r="M70"/>
      <c r="N70"/>
      <c r="O70"/>
      <c r="P70"/>
      <c r="Q70"/>
    </row>
    <row r="71" spans="2:17">
      <c r="B71"/>
      <c r="C71"/>
      <c r="D71"/>
      <c r="E71"/>
      <c r="F71"/>
      <c r="G71"/>
      <c r="H71"/>
      <c r="I71"/>
      <c r="J71"/>
      <c r="K71"/>
      <c r="L71"/>
      <c r="M71"/>
      <c r="N71"/>
      <c r="O71"/>
      <c r="P71"/>
      <c r="Q71"/>
    </row>
    <row r="72" spans="2:17">
      <c r="B72"/>
      <c r="C72"/>
      <c r="D72"/>
      <c r="E72"/>
      <c r="F72"/>
      <c r="G72"/>
      <c r="H72"/>
      <c r="I72"/>
      <c r="J72"/>
      <c r="K72"/>
      <c r="L72"/>
      <c r="M72"/>
      <c r="N72"/>
      <c r="O72"/>
      <c r="P72"/>
      <c r="Q72"/>
    </row>
    <row r="73" spans="2:17">
      <c r="B73"/>
      <c r="C73"/>
      <c r="D73"/>
      <c r="E73"/>
      <c r="F73"/>
      <c r="G73"/>
      <c r="H73"/>
      <c r="I73"/>
      <c r="J73"/>
      <c r="K73"/>
      <c r="L73"/>
      <c r="M73"/>
      <c r="N73"/>
      <c r="O73"/>
      <c r="P73"/>
      <c r="Q73"/>
    </row>
    <row r="74" spans="2:17">
      <c r="B74"/>
      <c r="C74"/>
      <c r="D74"/>
      <c r="E74"/>
      <c r="F74"/>
      <c r="G74"/>
      <c r="H74"/>
      <c r="I74"/>
      <c r="J74"/>
      <c r="K74"/>
      <c r="L74"/>
      <c r="M74"/>
      <c r="N74"/>
      <c r="O74"/>
      <c r="P74"/>
      <c r="Q74"/>
    </row>
    <row r="75" spans="2:17">
      <c r="B75"/>
      <c r="C75"/>
      <c r="D75"/>
      <c r="E75"/>
      <c r="F75"/>
      <c r="G75"/>
      <c r="H75"/>
      <c r="I75"/>
      <c r="J75"/>
      <c r="K75"/>
      <c r="L75"/>
      <c r="M75"/>
      <c r="N75"/>
      <c r="O75"/>
      <c r="P75"/>
      <c r="Q75"/>
    </row>
    <row r="76" spans="2:17">
      <c r="B76"/>
      <c r="C76"/>
      <c r="D76"/>
      <c r="E76"/>
      <c r="F76"/>
      <c r="G76"/>
      <c r="H76"/>
      <c r="I76"/>
      <c r="J76"/>
      <c r="K76"/>
      <c r="L76"/>
      <c r="M76"/>
      <c r="N76"/>
      <c r="O76"/>
      <c r="P76"/>
      <c r="Q76"/>
    </row>
    <row r="77" spans="2:17">
      <c r="B77"/>
      <c r="C77"/>
      <c r="D77"/>
      <c r="E77"/>
      <c r="F77"/>
      <c r="G77"/>
      <c r="H77"/>
      <c r="I77"/>
      <c r="J77"/>
      <c r="K77"/>
      <c r="L77"/>
      <c r="M77"/>
      <c r="N77"/>
      <c r="O77"/>
      <c r="P77"/>
      <c r="Q77"/>
    </row>
    <row r="78" spans="2:17">
      <c r="B78"/>
      <c r="C78"/>
      <c r="D78"/>
      <c r="E78"/>
      <c r="F78"/>
      <c r="G78"/>
      <c r="H78"/>
      <c r="I78"/>
      <c r="J78"/>
      <c r="K78"/>
      <c r="L78"/>
      <c r="M78"/>
      <c r="N78"/>
      <c r="O78"/>
      <c r="P78"/>
      <c r="Q78"/>
    </row>
    <row r="79" spans="2:17">
      <c r="B79"/>
      <c r="C79"/>
      <c r="D79"/>
      <c r="E79"/>
      <c r="F79"/>
      <c r="G79"/>
      <c r="H79"/>
      <c r="I79"/>
      <c r="J79"/>
      <c r="K79"/>
      <c r="L79"/>
      <c r="M79"/>
      <c r="N79"/>
      <c r="O79"/>
      <c r="P79"/>
      <c r="Q79"/>
    </row>
    <row r="80" spans="2:17">
      <c r="B80"/>
      <c r="C80"/>
      <c r="D80"/>
      <c r="E80"/>
      <c r="F80"/>
      <c r="G80"/>
      <c r="H80"/>
      <c r="I80"/>
      <c r="J80"/>
      <c r="K80"/>
      <c r="L80"/>
      <c r="M80"/>
      <c r="N80"/>
      <c r="O80"/>
      <c r="P80"/>
      <c r="Q80"/>
    </row>
    <row r="81" spans="2:17">
      <c r="B81"/>
      <c r="C81"/>
      <c r="D81"/>
      <c r="E81"/>
      <c r="F81"/>
      <c r="G81"/>
      <c r="H81"/>
      <c r="I81"/>
      <c r="J81"/>
      <c r="K81"/>
      <c r="L81"/>
      <c r="M81"/>
      <c r="N81"/>
      <c r="O81"/>
      <c r="P81"/>
      <c r="Q81"/>
    </row>
    <row r="82" spans="2:17">
      <c r="B82"/>
      <c r="C82"/>
      <c r="D82"/>
      <c r="E82"/>
      <c r="F82"/>
      <c r="G82"/>
      <c r="H82"/>
      <c r="I82"/>
      <c r="J82"/>
      <c r="K82"/>
      <c r="L82"/>
      <c r="M82"/>
      <c r="N82"/>
      <c r="O82"/>
      <c r="P82"/>
      <c r="Q82"/>
    </row>
    <row r="83" spans="2:17">
      <c r="B83"/>
      <c r="C83"/>
      <c r="D83"/>
      <c r="E83"/>
      <c r="F83"/>
      <c r="G83"/>
      <c r="H83"/>
      <c r="I83"/>
      <c r="J83"/>
      <c r="K83"/>
      <c r="L83"/>
      <c r="M83"/>
      <c r="N83"/>
      <c r="O83"/>
      <c r="P83"/>
      <c r="Q83"/>
    </row>
    <row r="84" spans="2:17">
      <c r="B84"/>
      <c r="C84"/>
      <c r="D84"/>
      <c r="E84"/>
      <c r="F84"/>
      <c r="G84"/>
      <c r="H84"/>
      <c r="I84"/>
      <c r="J84"/>
      <c r="K84"/>
      <c r="L84"/>
      <c r="M84"/>
      <c r="N84"/>
      <c r="O84"/>
      <c r="P84"/>
      <c r="Q84"/>
    </row>
    <row r="85" spans="2:17">
      <c r="B85"/>
      <c r="C85"/>
      <c r="D85"/>
      <c r="E85"/>
      <c r="F85"/>
      <c r="G85"/>
      <c r="H85"/>
      <c r="I85"/>
      <c r="J85"/>
      <c r="K85"/>
      <c r="L85"/>
      <c r="M85"/>
      <c r="N85"/>
      <c r="O85"/>
      <c r="P85"/>
      <c r="Q85"/>
    </row>
    <row r="86" spans="2:17">
      <c r="B86"/>
      <c r="C86"/>
      <c r="D86"/>
      <c r="E86"/>
      <c r="F86"/>
      <c r="G86"/>
      <c r="H86"/>
      <c r="I86"/>
      <c r="J86"/>
      <c r="K86"/>
      <c r="L86"/>
      <c r="M86"/>
      <c r="N86"/>
      <c r="O86"/>
      <c r="P86"/>
      <c r="Q86"/>
    </row>
    <row r="87" spans="2:17">
      <c r="B87"/>
      <c r="C87"/>
      <c r="D87"/>
      <c r="E87"/>
      <c r="F87"/>
      <c r="G87"/>
      <c r="H87"/>
      <c r="I87"/>
      <c r="J87"/>
      <c r="K87"/>
      <c r="L87"/>
      <c r="M87"/>
      <c r="N87"/>
      <c r="O87"/>
      <c r="P87"/>
      <c r="Q87"/>
    </row>
    <row r="88" spans="2:17">
      <c r="B88"/>
      <c r="C88"/>
      <c r="D88"/>
      <c r="E88"/>
      <c r="F88"/>
      <c r="G88"/>
      <c r="H88"/>
      <c r="I88"/>
      <c r="J88"/>
      <c r="K88"/>
      <c r="L88"/>
      <c r="M88"/>
      <c r="N88"/>
      <c r="O88"/>
      <c r="P88"/>
      <c r="Q88"/>
    </row>
    <row r="89" spans="2:17">
      <c r="B89"/>
      <c r="C89"/>
      <c r="D89"/>
      <c r="E89"/>
      <c r="F89"/>
      <c r="G89"/>
      <c r="H89"/>
      <c r="I89"/>
      <c r="J89"/>
      <c r="K89"/>
      <c r="L89"/>
      <c r="M89"/>
      <c r="N89"/>
      <c r="O89"/>
      <c r="P89"/>
      <c r="Q89"/>
    </row>
    <row r="90" spans="2:17">
      <c r="B90"/>
      <c r="C90"/>
      <c r="D90"/>
      <c r="E90"/>
      <c r="F90"/>
      <c r="G90"/>
      <c r="H90"/>
      <c r="I90"/>
      <c r="J90"/>
      <c r="K90"/>
      <c r="L90"/>
      <c r="M90"/>
      <c r="N90"/>
      <c r="O90"/>
      <c r="P90"/>
      <c r="Q90"/>
    </row>
    <row r="91" spans="2:17">
      <c r="B91"/>
      <c r="C91"/>
      <c r="D91"/>
      <c r="E91"/>
      <c r="F91"/>
      <c r="G91"/>
      <c r="H91"/>
      <c r="I91"/>
      <c r="J91"/>
      <c r="K91"/>
      <c r="L91"/>
      <c r="M91"/>
      <c r="N91"/>
      <c r="O91"/>
      <c r="P91"/>
      <c r="Q91"/>
    </row>
    <row r="92" spans="2:17">
      <c r="B92"/>
      <c r="C92"/>
      <c r="D92"/>
      <c r="E92"/>
      <c r="F92"/>
      <c r="G92"/>
      <c r="H92"/>
      <c r="I92"/>
      <c r="J92"/>
      <c r="K92"/>
      <c r="L92"/>
      <c r="M92"/>
      <c r="N92"/>
      <c r="O92"/>
      <c r="P92"/>
      <c r="Q92"/>
    </row>
    <row r="93" spans="2:17">
      <c r="B93"/>
      <c r="C93"/>
      <c r="D93"/>
      <c r="E93"/>
      <c r="F93"/>
      <c r="G93"/>
      <c r="H93"/>
      <c r="I93"/>
      <c r="J93"/>
      <c r="K93"/>
      <c r="L93"/>
      <c r="M93"/>
      <c r="N93"/>
      <c r="O93"/>
      <c r="P93"/>
      <c r="Q93"/>
    </row>
    <row r="94" spans="2:17">
      <c r="B94"/>
      <c r="C94"/>
      <c r="D94"/>
      <c r="E94"/>
      <c r="F94"/>
      <c r="G94"/>
      <c r="H94"/>
      <c r="I94"/>
      <c r="J94"/>
      <c r="K94"/>
      <c r="L94"/>
      <c r="M94"/>
      <c r="N94"/>
      <c r="O94"/>
      <c r="P94"/>
      <c r="Q94"/>
    </row>
    <row r="95" spans="2:17">
      <c r="B95"/>
      <c r="C95"/>
      <c r="D95"/>
      <c r="E95"/>
      <c r="F95"/>
      <c r="G95"/>
      <c r="H95"/>
      <c r="I95"/>
      <c r="J95"/>
      <c r="K95"/>
      <c r="L95"/>
      <c r="M95"/>
      <c r="N95"/>
      <c r="O95"/>
      <c r="P95"/>
      <c r="Q95"/>
    </row>
    <row r="96" spans="2:17">
      <c r="B96"/>
      <c r="C96"/>
      <c r="D96"/>
      <c r="E96"/>
      <c r="F96"/>
      <c r="G96"/>
      <c r="H96"/>
      <c r="I96"/>
      <c r="J96"/>
      <c r="K96"/>
      <c r="L96"/>
      <c r="M96"/>
      <c r="N96"/>
      <c r="O96"/>
      <c r="P96"/>
      <c r="Q96"/>
    </row>
    <row r="97" spans="2:17">
      <c r="B97"/>
      <c r="C97"/>
      <c r="D97"/>
      <c r="E97"/>
      <c r="F97"/>
      <c r="G97"/>
      <c r="H97"/>
      <c r="I97"/>
      <c r="J97"/>
      <c r="K97"/>
      <c r="L97"/>
      <c r="M97"/>
      <c r="N97"/>
      <c r="O97"/>
      <c r="P97"/>
      <c r="Q97"/>
    </row>
    <row r="98" spans="2:17">
      <c r="B98"/>
      <c r="C98"/>
      <c r="D98"/>
      <c r="E98"/>
      <c r="F98"/>
      <c r="G98"/>
      <c r="H98"/>
      <c r="I98"/>
      <c r="J98"/>
      <c r="K98"/>
      <c r="L98"/>
      <c r="M98"/>
      <c r="N98"/>
      <c r="O98"/>
      <c r="P98"/>
      <c r="Q98"/>
    </row>
    <row r="99" spans="2:17">
      <c r="B99"/>
      <c r="C99"/>
      <c r="D99"/>
      <c r="E99"/>
      <c r="F99"/>
      <c r="G99"/>
      <c r="H99"/>
      <c r="I99"/>
      <c r="J99"/>
      <c r="K99"/>
      <c r="L99"/>
      <c r="M99"/>
      <c r="N99"/>
      <c r="O99"/>
      <c r="P99"/>
      <c r="Q99"/>
    </row>
    <row r="100" spans="2:17">
      <c r="B100"/>
      <c r="C100"/>
      <c r="D100"/>
      <c r="E100"/>
      <c r="F100"/>
      <c r="G100"/>
      <c r="H100"/>
      <c r="I100"/>
      <c r="J100"/>
      <c r="K100"/>
      <c r="L100"/>
      <c r="M100"/>
      <c r="N100"/>
      <c r="O100"/>
      <c r="P100"/>
      <c r="Q100"/>
    </row>
    <row r="101" spans="2:17">
      <c r="B101"/>
      <c r="C101"/>
      <c r="D101"/>
      <c r="E101"/>
      <c r="F101"/>
      <c r="G101"/>
      <c r="H101"/>
      <c r="I101"/>
      <c r="J101"/>
      <c r="K101"/>
      <c r="L101"/>
      <c r="M101"/>
      <c r="N101"/>
      <c r="O101"/>
      <c r="P101"/>
      <c r="Q101"/>
    </row>
    <row r="102" spans="2:17">
      <c r="B102"/>
      <c r="C102"/>
      <c r="D102"/>
      <c r="E102"/>
      <c r="F102"/>
      <c r="G102"/>
      <c r="H102"/>
      <c r="I102"/>
      <c r="J102"/>
      <c r="K102"/>
      <c r="L102"/>
      <c r="M102"/>
      <c r="N102"/>
      <c r="O102"/>
      <c r="P102"/>
      <c r="Q102"/>
    </row>
    <row r="103" spans="2:17">
      <c r="B103"/>
      <c r="C103"/>
      <c r="D103"/>
      <c r="E103"/>
      <c r="F103"/>
      <c r="G103"/>
      <c r="H103"/>
      <c r="I103"/>
      <c r="J103"/>
      <c r="K103"/>
      <c r="L103"/>
      <c r="M103"/>
      <c r="N103"/>
      <c r="O103"/>
      <c r="P103"/>
      <c r="Q103"/>
    </row>
    <row r="104" spans="2:17">
      <c r="B104"/>
      <c r="C104"/>
      <c r="D104"/>
      <c r="E104"/>
      <c r="F104"/>
      <c r="G104"/>
      <c r="H104"/>
      <c r="I104"/>
      <c r="J104"/>
      <c r="K104"/>
      <c r="L104"/>
      <c r="M104"/>
      <c r="N104"/>
      <c r="O104"/>
      <c r="P104"/>
      <c r="Q104"/>
    </row>
    <row r="105" spans="2:17">
      <c r="B105"/>
      <c r="C105"/>
      <c r="D105"/>
      <c r="E105"/>
      <c r="F105"/>
      <c r="G105"/>
      <c r="H105"/>
      <c r="I105"/>
      <c r="J105"/>
      <c r="K105"/>
      <c r="L105"/>
      <c r="M105"/>
      <c r="N105"/>
      <c r="O105"/>
      <c r="P105"/>
      <c r="Q105"/>
    </row>
    <row r="106" spans="2:17">
      <c r="B106"/>
      <c r="C106"/>
      <c r="D106"/>
      <c r="E106"/>
      <c r="F106"/>
      <c r="G106"/>
      <c r="H106"/>
      <c r="I106"/>
      <c r="J106"/>
      <c r="K106"/>
      <c r="L106"/>
      <c r="M106"/>
      <c r="N106"/>
      <c r="O106"/>
      <c r="P106"/>
      <c r="Q106"/>
    </row>
    <row r="107" spans="2:17">
      <c r="B107"/>
      <c r="C107"/>
      <c r="D107"/>
      <c r="E107"/>
      <c r="F107"/>
      <c r="G107"/>
      <c r="H107"/>
      <c r="I107"/>
      <c r="J107"/>
      <c r="K107"/>
      <c r="L107"/>
      <c r="M107"/>
      <c r="N107"/>
      <c r="O107"/>
      <c r="P107"/>
      <c r="Q107"/>
    </row>
    <row r="108" spans="2:17">
      <c r="B108"/>
      <c r="C108"/>
      <c r="D108"/>
      <c r="E108"/>
      <c r="F108"/>
      <c r="G108"/>
      <c r="H108"/>
      <c r="I108"/>
      <c r="J108"/>
      <c r="K108"/>
      <c r="L108"/>
      <c r="M108"/>
      <c r="N108"/>
      <c r="O108"/>
      <c r="P108"/>
      <c r="Q108"/>
    </row>
    <row r="109" spans="2:17">
      <c r="B109"/>
      <c r="C109"/>
      <c r="D109"/>
      <c r="E109"/>
      <c r="F109"/>
      <c r="G109"/>
      <c r="H109"/>
      <c r="I109"/>
      <c r="J109"/>
      <c r="K109"/>
      <c r="L109"/>
      <c r="M109"/>
      <c r="N109"/>
      <c r="O109"/>
      <c r="P109"/>
      <c r="Q109"/>
    </row>
    <row r="110" spans="2:17">
      <c r="B110"/>
      <c r="C110"/>
      <c r="D110"/>
      <c r="E110"/>
      <c r="F110"/>
      <c r="G110"/>
      <c r="H110"/>
      <c r="I110"/>
      <c r="J110"/>
      <c r="K110"/>
      <c r="L110"/>
      <c r="M110"/>
      <c r="N110"/>
      <c r="O110"/>
      <c r="P110"/>
      <c r="Q110"/>
    </row>
    <row r="111" spans="2:17">
      <c r="B111"/>
      <c r="C111"/>
      <c r="D111"/>
      <c r="E111"/>
      <c r="F111"/>
      <c r="G111"/>
      <c r="H111"/>
      <c r="I111"/>
      <c r="J111"/>
      <c r="K111"/>
      <c r="L111"/>
      <c r="M111"/>
      <c r="N111"/>
      <c r="O111"/>
      <c r="P111"/>
      <c r="Q111"/>
    </row>
    <row r="112" spans="2:17">
      <c r="B112"/>
      <c r="C112"/>
      <c r="D112"/>
      <c r="E112"/>
      <c r="F112"/>
      <c r="G112"/>
      <c r="H112"/>
      <c r="I112"/>
      <c r="J112"/>
      <c r="K112"/>
      <c r="L112"/>
      <c r="M112"/>
      <c r="N112"/>
      <c r="O112"/>
      <c r="P112"/>
      <c r="Q112"/>
    </row>
    <row r="113" spans="2:17">
      <c r="B113"/>
      <c r="C113"/>
      <c r="D113"/>
      <c r="E113"/>
      <c r="F113"/>
      <c r="G113"/>
      <c r="H113"/>
      <c r="I113"/>
      <c r="J113"/>
      <c r="K113"/>
      <c r="L113"/>
      <c r="M113"/>
      <c r="N113"/>
      <c r="O113"/>
      <c r="P113"/>
      <c r="Q113"/>
    </row>
    <row r="114" spans="2:17">
      <c r="B114"/>
      <c r="C114"/>
      <c r="D114"/>
      <c r="E114"/>
      <c r="F114"/>
      <c r="G114"/>
      <c r="H114"/>
      <c r="I114"/>
      <c r="J114"/>
      <c r="K114"/>
      <c r="L114"/>
      <c r="M114"/>
      <c r="N114"/>
      <c r="O114"/>
      <c r="P114"/>
      <c r="Q114"/>
    </row>
    <row r="115" spans="2:17">
      <c r="B115"/>
      <c r="C115"/>
      <c r="D115"/>
      <c r="E115"/>
      <c r="F115"/>
      <c r="G115"/>
      <c r="H115"/>
      <c r="I115"/>
      <c r="J115"/>
      <c r="K115"/>
      <c r="L115"/>
      <c r="M115"/>
      <c r="N115"/>
      <c r="O115"/>
      <c r="P115"/>
      <c r="Q115"/>
    </row>
    <row r="116" spans="2:17">
      <c r="B116"/>
      <c r="C116"/>
      <c r="D116"/>
      <c r="E116"/>
      <c r="F116"/>
      <c r="G116"/>
      <c r="H116"/>
      <c r="I116"/>
      <c r="J116"/>
      <c r="K116"/>
      <c r="L116"/>
      <c r="M116"/>
      <c r="N116"/>
      <c r="O116"/>
      <c r="P116"/>
      <c r="Q116"/>
    </row>
    <row r="117" spans="2:17">
      <c r="B117"/>
      <c r="C117"/>
      <c r="D117"/>
      <c r="E117"/>
      <c r="F117"/>
      <c r="G117"/>
      <c r="H117"/>
      <c r="I117"/>
      <c r="J117"/>
      <c r="K117"/>
      <c r="L117"/>
      <c r="M117"/>
      <c r="N117"/>
      <c r="O117"/>
      <c r="P117"/>
      <c r="Q117"/>
    </row>
    <row r="118" spans="2:17">
      <c r="B118"/>
      <c r="C118"/>
      <c r="D118"/>
      <c r="E118"/>
      <c r="F118"/>
      <c r="G118"/>
      <c r="H118"/>
      <c r="I118"/>
      <c r="J118"/>
      <c r="K118"/>
      <c r="L118"/>
      <c r="M118"/>
      <c r="N118"/>
      <c r="O118"/>
      <c r="P118"/>
      <c r="Q118"/>
    </row>
    <row r="119" spans="2:17">
      <c r="B119"/>
      <c r="C119"/>
      <c r="D119"/>
      <c r="E119"/>
      <c r="F119"/>
      <c r="G119"/>
      <c r="H119"/>
      <c r="I119"/>
      <c r="J119"/>
      <c r="K119"/>
      <c r="L119"/>
      <c r="M119"/>
      <c r="N119"/>
      <c r="O119"/>
      <c r="P119"/>
      <c r="Q119"/>
    </row>
    <row r="120" spans="2:17">
      <c r="B120"/>
      <c r="C120"/>
      <c r="D120"/>
      <c r="E120"/>
      <c r="F120"/>
      <c r="G120"/>
      <c r="H120"/>
      <c r="I120"/>
      <c r="J120"/>
      <c r="K120"/>
      <c r="L120"/>
      <c r="M120"/>
      <c r="N120"/>
      <c r="O120"/>
      <c r="P120"/>
      <c r="Q120"/>
    </row>
    <row r="121" spans="2:17">
      <c r="B121"/>
      <c r="C121"/>
      <c r="D121"/>
      <c r="E121"/>
      <c r="F121"/>
      <c r="G121"/>
      <c r="H121"/>
      <c r="I121"/>
      <c r="J121"/>
      <c r="K121"/>
      <c r="L121"/>
      <c r="M121"/>
      <c r="N121"/>
      <c r="O121"/>
      <c r="P121"/>
      <c r="Q121"/>
    </row>
    <row r="122" spans="2:17">
      <c r="B122"/>
      <c r="C122"/>
      <c r="D122"/>
      <c r="E122"/>
      <c r="F122"/>
      <c r="G122"/>
      <c r="H122"/>
      <c r="I122"/>
      <c r="J122"/>
      <c r="K122"/>
      <c r="L122"/>
      <c r="M122"/>
      <c r="N122"/>
      <c r="O122"/>
      <c r="P122"/>
      <c r="Q122"/>
    </row>
    <row r="123" spans="2:17">
      <c r="B123"/>
      <c r="C123"/>
      <c r="D123"/>
      <c r="E123"/>
      <c r="F123"/>
      <c r="G123"/>
      <c r="H123"/>
      <c r="I123"/>
      <c r="J123"/>
      <c r="K123"/>
      <c r="L123"/>
      <c r="M123"/>
      <c r="N123"/>
      <c r="O123"/>
      <c r="P123"/>
      <c r="Q123"/>
    </row>
    <row r="124" spans="2:17">
      <c r="B124"/>
      <c r="C124"/>
      <c r="D124"/>
      <c r="E124"/>
      <c r="F124"/>
      <c r="G124"/>
      <c r="H124"/>
      <c r="I124"/>
      <c r="J124"/>
      <c r="K124"/>
      <c r="L124"/>
      <c r="M124"/>
      <c r="N124"/>
      <c r="O124"/>
      <c r="P124"/>
      <c r="Q124"/>
    </row>
    <row r="125" spans="2:17">
      <c r="B125"/>
      <c r="C125"/>
      <c r="D125"/>
      <c r="E125"/>
      <c r="F125"/>
      <c r="G125"/>
      <c r="H125"/>
      <c r="I125"/>
      <c r="J125"/>
      <c r="K125"/>
      <c r="L125"/>
      <c r="M125"/>
      <c r="N125"/>
      <c r="O125"/>
      <c r="P125"/>
      <c r="Q125"/>
    </row>
    <row r="126" spans="2:17">
      <c r="B126"/>
      <c r="C126"/>
      <c r="D126"/>
      <c r="E126"/>
      <c r="F126"/>
      <c r="G126"/>
      <c r="H126"/>
      <c r="I126"/>
      <c r="J126"/>
      <c r="K126"/>
      <c r="L126"/>
      <c r="M126"/>
      <c r="N126"/>
      <c r="O126"/>
      <c r="P126"/>
      <c r="Q126"/>
    </row>
    <row r="127" spans="2:17">
      <c r="B127"/>
      <c r="C127"/>
      <c r="D127"/>
      <c r="E127"/>
      <c r="F127"/>
      <c r="G127"/>
      <c r="H127"/>
      <c r="I127"/>
      <c r="J127"/>
      <c r="K127"/>
      <c r="L127"/>
      <c r="M127"/>
      <c r="N127"/>
      <c r="O127"/>
      <c r="P127"/>
      <c r="Q127"/>
    </row>
    <row r="128" spans="2:17">
      <c r="B128"/>
      <c r="C128"/>
      <c r="D128"/>
      <c r="E128"/>
      <c r="F128"/>
      <c r="G128"/>
      <c r="H128"/>
      <c r="I128"/>
      <c r="J128"/>
      <c r="K128"/>
      <c r="L128"/>
      <c r="M128"/>
      <c r="N128"/>
      <c r="O128"/>
      <c r="P128"/>
      <c r="Q128"/>
    </row>
    <row r="129" spans="2:17">
      <c r="B129"/>
      <c r="C129"/>
      <c r="D129"/>
      <c r="E129"/>
      <c r="F129"/>
      <c r="G129"/>
      <c r="H129"/>
      <c r="I129"/>
      <c r="J129"/>
      <c r="K129"/>
      <c r="L129"/>
      <c r="M129"/>
      <c r="N129"/>
      <c r="O129"/>
      <c r="P129"/>
      <c r="Q129"/>
    </row>
    <row r="130" spans="2:17">
      <c r="B130"/>
      <c r="C130"/>
      <c r="D130"/>
      <c r="E130"/>
      <c r="F130"/>
      <c r="G130"/>
      <c r="H130"/>
      <c r="I130"/>
      <c r="J130"/>
      <c r="K130"/>
      <c r="L130"/>
      <c r="M130"/>
      <c r="N130"/>
      <c r="O130"/>
      <c r="P130"/>
      <c r="Q130"/>
    </row>
    <row r="131" spans="2:17">
      <c r="B131"/>
      <c r="C131"/>
      <c r="D131"/>
      <c r="E131"/>
      <c r="F131"/>
      <c r="G131"/>
      <c r="H131"/>
      <c r="I131"/>
      <c r="J131"/>
      <c r="K131"/>
      <c r="L131"/>
      <c r="M131"/>
      <c r="N131"/>
      <c r="O131"/>
      <c r="P131"/>
      <c r="Q131"/>
    </row>
    <row r="132" spans="2:17">
      <c r="B132"/>
      <c r="C132"/>
      <c r="D132"/>
      <c r="E132"/>
      <c r="F132"/>
      <c r="G132"/>
      <c r="H132"/>
      <c r="I132"/>
      <c r="J132"/>
      <c r="K132"/>
      <c r="L132"/>
      <c r="M132"/>
      <c r="N132"/>
      <c r="O132"/>
      <c r="P132"/>
      <c r="Q132"/>
    </row>
    <row r="133" spans="2:17">
      <c r="B133"/>
      <c r="C133"/>
      <c r="D133"/>
      <c r="E133"/>
      <c r="F133"/>
      <c r="G133"/>
      <c r="H133"/>
      <c r="I133"/>
      <c r="J133"/>
      <c r="K133"/>
      <c r="L133"/>
      <c r="M133"/>
      <c r="N133"/>
      <c r="O133"/>
      <c r="P133"/>
      <c r="Q133"/>
    </row>
    <row r="134" spans="2:17">
      <c r="B134"/>
      <c r="C134"/>
      <c r="D134"/>
      <c r="E134"/>
      <c r="F134"/>
      <c r="G134"/>
      <c r="H134"/>
      <c r="I134"/>
      <c r="J134"/>
      <c r="K134"/>
      <c r="L134"/>
      <c r="M134"/>
      <c r="N134"/>
      <c r="O134"/>
      <c r="P134"/>
      <c r="Q134"/>
    </row>
    <row r="135" spans="2:17">
      <c r="B135"/>
      <c r="C135"/>
      <c r="D135"/>
      <c r="E135"/>
      <c r="F135"/>
      <c r="G135"/>
      <c r="H135"/>
      <c r="I135"/>
      <c r="J135"/>
      <c r="K135"/>
      <c r="L135"/>
      <c r="M135"/>
      <c r="N135"/>
      <c r="O135"/>
      <c r="P135"/>
      <c r="Q135"/>
    </row>
    <row r="136" spans="2:17">
      <c r="B136"/>
      <c r="C136"/>
      <c r="D136"/>
      <c r="E136"/>
      <c r="F136"/>
      <c r="G136"/>
      <c r="H136"/>
      <c r="I136"/>
      <c r="J136"/>
      <c r="K136"/>
      <c r="L136"/>
      <c r="M136"/>
      <c r="N136"/>
      <c r="O136"/>
      <c r="P136"/>
      <c r="Q136"/>
    </row>
    <row r="137" spans="2:17">
      <c r="B137"/>
      <c r="C137"/>
      <c r="D137"/>
      <c r="E137"/>
      <c r="F137"/>
      <c r="G137"/>
      <c r="H137"/>
      <c r="I137"/>
      <c r="J137"/>
      <c r="K137"/>
      <c r="L137"/>
      <c r="M137"/>
      <c r="N137"/>
      <c r="O137"/>
      <c r="P137"/>
      <c r="Q137"/>
    </row>
    <row r="138" spans="2:17">
      <c r="B138"/>
      <c r="C138"/>
      <c r="D138"/>
      <c r="E138"/>
      <c r="F138"/>
      <c r="G138"/>
      <c r="H138"/>
      <c r="I138"/>
      <c r="J138"/>
      <c r="K138"/>
      <c r="L138"/>
      <c r="M138"/>
      <c r="N138"/>
      <c r="O138"/>
      <c r="P138"/>
      <c r="Q138"/>
    </row>
    <row r="139" spans="2:17">
      <c r="B139"/>
      <c r="C139"/>
      <c r="D139"/>
      <c r="E139"/>
      <c r="F139"/>
      <c r="G139"/>
      <c r="H139"/>
      <c r="I139"/>
      <c r="J139"/>
      <c r="K139"/>
      <c r="L139"/>
      <c r="M139"/>
      <c r="N139"/>
      <c r="O139"/>
      <c r="P139"/>
      <c r="Q139"/>
    </row>
    <row r="140" spans="2:17">
      <c r="B140"/>
      <c r="C140"/>
      <c r="D140"/>
      <c r="E140"/>
      <c r="F140"/>
      <c r="G140"/>
      <c r="H140"/>
      <c r="I140"/>
      <c r="J140"/>
      <c r="K140"/>
      <c r="L140"/>
      <c r="M140"/>
      <c r="N140"/>
      <c r="O140"/>
      <c r="P140"/>
      <c r="Q140"/>
    </row>
    <row r="141" spans="2:17">
      <c r="B141"/>
      <c r="C141"/>
      <c r="D141"/>
      <c r="E141"/>
      <c r="F141"/>
      <c r="G141"/>
      <c r="H141"/>
      <c r="I141"/>
      <c r="J141"/>
      <c r="K141"/>
      <c r="L141"/>
      <c r="M141"/>
      <c r="N141"/>
      <c r="O141"/>
      <c r="P141"/>
      <c r="Q141"/>
    </row>
    <row r="142" spans="2:17">
      <c r="B142"/>
      <c r="C142"/>
      <c r="D142"/>
      <c r="E142"/>
      <c r="F142"/>
      <c r="G142"/>
      <c r="H142"/>
      <c r="I142"/>
      <c r="J142"/>
      <c r="K142"/>
      <c r="L142"/>
      <c r="M142"/>
      <c r="N142"/>
      <c r="O142"/>
      <c r="P142"/>
      <c r="Q142"/>
    </row>
    <row r="143" spans="2:17">
      <c r="B143"/>
      <c r="C143"/>
      <c r="D143"/>
      <c r="E143"/>
      <c r="F143"/>
      <c r="G143"/>
      <c r="H143"/>
      <c r="I143"/>
      <c r="J143"/>
      <c r="K143"/>
      <c r="L143"/>
      <c r="M143"/>
      <c r="N143"/>
      <c r="O143"/>
      <c r="P143"/>
      <c r="Q143"/>
    </row>
    <row r="144" spans="2:17">
      <c r="B144"/>
      <c r="C144"/>
      <c r="D144"/>
      <c r="E144"/>
      <c r="F144"/>
      <c r="G144"/>
      <c r="H144"/>
      <c r="I144"/>
      <c r="J144"/>
      <c r="K144"/>
      <c r="L144"/>
      <c r="M144"/>
      <c r="N144"/>
      <c r="O144"/>
      <c r="P144"/>
      <c r="Q144"/>
    </row>
    <row r="145" spans="2:17">
      <c r="B145"/>
      <c r="C145"/>
      <c r="D145"/>
      <c r="E145"/>
      <c r="F145"/>
      <c r="G145"/>
      <c r="H145"/>
      <c r="I145"/>
      <c r="J145"/>
      <c r="K145"/>
      <c r="L145"/>
      <c r="M145"/>
      <c r="N145"/>
      <c r="O145"/>
      <c r="P145"/>
      <c r="Q145"/>
    </row>
    <row r="146" spans="2:17">
      <c r="B146"/>
      <c r="C146"/>
      <c r="D146"/>
      <c r="E146"/>
      <c r="F146"/>
      <c r="G146"/>
      <c r="H146"/>
      <c r="I146"/>
      <c r="J146"/>
      <c r="K146"/>
      <c r="L146"/>
      <c r="M146"/>
      <c r="N146"/>
      <c r="O146"/>
      <c r="P146"/>
      <c r="Q146"/>
    </row>
    <row r="147" spans="2:17">
      <c r="B147"/>
      <c r="C147"/>
      <c r="D147"/>
      <c r="E147"/>
      <c r="F147"/>
      <c r="G147"/>
      <c r="H147"/>
      <c r="I147"/>
      <c r="J147"/>
      <c r="K147"/>
      <c r="L147"/>
      <c r="M147"/>
      <c r="N147"/>
      <c r="O147"/>
      <c r="P147"/>
      <c r="Q147"/>
    </row>
    <row r="148" spans="2:17">
      <c r="B148"/>
      <c r="C148"/>
      <c r="D148"/>
      <c r="E148"/>
      <c r="F148"/>
      <c r="G148"/>
      <c r="H148"/>
      <c r="I148"/>
      <c r="J148"/>
      <c r="K148"/>
      <c r="L148"/>
      <c r="M148"/>
      <c r="N148"/>
      <c r="O148"/>
      <c r="P148"/>
      <c r="Q148"/>
    </row>
    <row r="149" spans="2:17">
      <c r="B149"/>
      <c r="C149"/>
      <c r="D149"/>
      <c r="E149"/>
      <c r="F149"/>
      <c r="G149"/>
      <c r="H149"/>
      <c r="I149"/>
      <c r="J149"/>
      <c r="K149"/>
      <c r="L149"/>
      <c r="M149"/>
      <c r="N149"/>
      <c r="O149"/>
      <c r="P149"/>
      <c r="Q149"/>
    </row>
    <row r="150" spans="2:17">
      <c r="B150"/>
      <c r="C150"/>
      <c r="D150"/>
      <c r="E150"/>
      <c r="F150"/>
      <c r="G150"/>
      <c r="H150"/>
      <c r="I150"/>
      <c r="J150"/>
      <c r="K150"/>
      <c r="L150"/>
      <c r="M150"/>
      <c r="N150"/>
      <c r="O150"/>
      <c r="P150"/>
      <c r="Q150"/>
    </row>
    <row r="151" spans="2:17">
      <c r="B151"/>
      <c r="C151"/>
      <c r="D151"/>
      <c r="E151"/>
      <c r="F151"/>
      <c r="G151"/>
      <c r="H151"/>
      <c r="I151"/>
      <c r="J151"/>
      <c r="K151"/>
      <c r="L151"/>
      <c r="M151"/>
      <c r="N151"/>
      <c r="O151"/>
      <c r="P151"/>
      <c r="Q151"/>
    </row>
    <row r="152" spans="2:17">
      <c r="B152"/>
      <c r="C152"/>
      <c r="D152"/>
      <c r="E152"/>
      <c r="F152"/>
      <c r="G152"/>
      <c r="H152"/>
      <c r="I152"/>
      <c r="J152"/>
      <c r="K152"/>
      <c r="L152"/>
      <c r="M152"/>
      <c r="N152"/>
      <c r="O152"/>
      <c r="P152"/>
      <c r="Q152"/>
    </row>
    <row r="153" spans="2:17">
      <c r="B153"/>
      <c r="C153"/>
      <c r="D153"/>
      <c r="E153"/>
      <c r="F153"/>
      <c r="G153"/>
      <c r="H153"/>
      <c r="I153"/>
      <c r="J153"/>
      <c r="K153"/>
      <c r="L153"/>
      <c r="M153"/>
      <c r="N153"/>
      <c r="O153"/>
      <c r="P153"/>
      <c r="Q153"/>
    </row>
    <row r="154" spans="2:17">
      <c r="B154"/>
      <c r="C154"/>
      <c r="D154"/>
      <c r="E154"/>
      <c r="F154"/>
      <c r="G154"/>
      <c r="H154"/>
      <c r="I154"/>
      <c r="J154"/>
      <c r="K154"/>
      <c r="L154"/>
      <c r="M154"/>
      <c r="N154"/>
      <c r="O154"/>
      <c r="P154"/>
      <c r="Q154"/>
    </row>
    <row r="155" spans="2:17">
      <c r="B155"/>
      <c r="C155"/>
      <c r="D155"/>
      <c r="E155"/>
      <c r="F155"/>
      <c r="G155"/>
      <c r="H155"/>
      <c r="I155"/>
      <c r="J155"/>
      <c r="K155"/>
      <c r="L155"/>
      <c r="M155"/>
      <c r="N155"/>
      <c r="O155"/>
      <c r="P155"/>
      <c r="Q155"/>
    </row>
    <row r="156" spans="2:17">
      <c r="B156"/>
      <c r="C156"/>
      <c r="D156"/>
      <c r="E156"/>
      <c r="F156"/>
      <c r="G156"/>
      <c r="H156"/>
      <c r="I156"/>
      <c r="J156"/>
      <c r="K156"/>
      <c r="L156"/>
      <c r="M156"/>
      <c r="N156"/>
      <c r="O156"/>
      <c r="P156"/>
      <c r="Q156"/>
    </row>
  </sheetData>
  <phoneticPr fontId="0" type="noConversion"/>
  <pageMargins left="0.27" right="0.23" top="0.82" bottom="0.75" header="0.5" footer="0.5"/>
  <pageSetup scale="52" orientation="landscape" r:id="rId1"/>
  <headerFooter alignWithMargins="0">
    <oddFooter>&amp;R&amp;16&amp;P</oddFooter>
  </headerFooter>
</worksheet>
</file>

<file path=xl/worksheets/sheet81.xml><?xml version="1.0" encoding="utf-8"?>
<worksheet xmlns="http://schemas.openxmlformats.org/spreadsheetml/2006/main" xmlns:r="http://schemas.openxmlformats.org/officeDocument/2006/relationships">
  <sheetPr>
    <pageSetUpPr fitToPage="1"/>
  </sheetPr>
  <dimension ref="A1:O175"/>
  <sheetViews>
    <sheetView topLeftCell="A7" workbookViewId="0">
      <pane xSplit="1" ySplit="2" topLeftCell="B9" activePane="bottomRight" state="frozen"/>
      <selection activeCell="K60" sqref="K60"/>
      <selection pane="topRight" activeCell="K60" sqref="K60"/>
      <selection pane="bottomLeft" activeCell="K60" sqref="K60"/>
      <selection pane="bottomRight" activeCell="C52" sqref="C52"/>
    </sheetView>
  </sheetViews>
  <sheetFormatPr baseColWidth="10" defaultColWidth="9" defaultRowHeight="15.75"/>
  <cols>
    <col min="1" max="1" width="33.25" customWidth="1"/>
    <col min="2" max="2" width="17.625" style="20" customWidth="1"/>
    <col min="3" max="3" width="15.75" style="21" customWidth="1"/>
    <col min="4" max="4" width="15.75" style="20" customWidth="1"/>
    <col min="5" max="5" width="15.375" style="21" customWidth="1"/>
    <col min="6" max="6" width="11" style="20" customWidth="1"/>
    <col min="7" max="7" width="9.75" style="21" customWidth="1"/>
    <col min="8" max="8" width="17.875" style="20" customWidth="1"/>
    <col min="9" max="9" width="15.75" style="20" customWidth="1"/>
    <col min="10" max="10" width="15.75" style="21" customWidth="1"/>
    <col min="11" max="11" width="15.25" style="20" customWidth="1"/>
    <col min="12" max="12" width="15.75" style="20" customWidth="1"/>
    <col min="13" max="15" width="15.75" customWidth="1"/>
  </cols>
  <sheetData>
    <row r="1" spans="1:15">
      <c r="A1" s="111" t="s">
        <v>400</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298" t="s">
        <v>0</v>
      </c>
      <c r="D6" s="215" t="s">
        <v>0</v>
      </c>
    </row>
    <row r="7" spans="1:15" ht="16.5" thickBot="1">
      <c r="B7" s="367" t="str">
        <f>+'bphgdes&amp;$'!B7</f>
        <v>Décembre 14</v>
      </c>
      <c r="C7" s="43"/>
      <c r="D7" s="42"/>
      <c r="E7" s="43"/>
      <c r="H7" s="367" t="str">
        <f>+'bphgdes&amp;$'!H7</f>
        <v>Septembre 14</v>
      </c>
      <c r="I7" s="193"/>
      <c r="J7" s="194"/>
      <c r="K7" s="42"/>
    </row>
    <row r="8" spans="1:15" ht="16.5" thickTop="1">
      <c r="A8" s="86" t="s">
        <v>244</v>
      </c>
      <c r="B8" s="348" t="s">
        <v>297</v>
      </c>
      <c r="C8" s="349" t="s">
        <v>294</v>
      </c>
      <c r="D8" s="354" t="s">
        <v>295</v>
      </c>
      <c r="E8" s="353" t="s">
        <v>296</v>
      </c>
      <c r="F8" s="120" t="s">
        <v>0</v>
      </c>
      <c r="G8" s="119" t="s">
        <v>0</v>
      </c>
      <c r="H8" s="348" t="s">
        <v>297</v>
      </c>
      <c r="I8" s="350" t="s">
        <v>294</v>
      </c>
      <c r="J8" s="352" t="s">
        <v>295</v>
      </c>
      <c r="K8" s="361" t="s">
        <v>296</v>
      </c>
      <c r="L8" s="22"/>
      <c r="M8" s="17"/>
      <c r="N8" s="17"/>
      <c r="O8" s="17"/>
    </row>
    <row r="9" spans="1:15">
      <c r="A9" s="10" t="s">
        <v>255</v>
      </c>
      <c r="B9" s="121"/>
      <c r="C9" s="122"/>
      <c r="D9" s="322"/>
      <c r="E9" s="328" t="s">
        <v>0</v>
      </c>
      <c r="H9" s="128"/>
      <c r="I9" s="81"/>
      <c r="J9" s="326" t="s">
        <v>0</v>
      </c>
      <c r="K9" s="123"/>
    </row>
    <row r="10" spans="1:15">
      <c r="A10" s="10" t="s">
        <v>256</v>
      </c>
      <c r="B10" s="124">
        <v>100713.005064299</v>
      </c>
      <c r="C10" s="91">
        <v>281099.96181000001</v>
      </c>
      <c r="D10" s="323">
        <f t="shared" ref="D10:D15" si="0">SUM(B10:C10)</f>
        <v>381812.96687429899</v>
      </c>
      <c r="E10" s="329">
        <f t="shared" ref="E10:E15" si="1">+B10/D10</f>
        <v>0.26377575881925425</v>
      </c>
      <c r="F10" s="87" t="s">
        <v>0</v>
      </c>
      <c r="G10" s="98" t="s">
        <v>0</v>
      </c>
      <c r="H10" s="124">
        <v>76438.163261783993</v>
      </c>
      <c r="I10" s="91">
        <v>282928.5589</v>
      </c>
      <c r="J10" s="323">
        <f t="shared" ref="J10:J15" si="2">SUM(H10:I10)</f>
        <v>359366.72216178401</v>
      </c>
      <c r="K10" s="330">
        <f t="shared" ref="K10:K15" si="3">+H10/J10</f>
        <v>0.21270239715566136</v>
      </c>
    </row>
    <row r="11" spans="1:15">
      <c r="A11" s="10" t="s">
        <v>257</v>
      </c>
      <c r="B11" s="124">
        <v>1275374.404265278</v>
      </c>
      <c r="C11" s="91">
        <v>674278.03730999993</v>
      </c>
      <c r="D11" s="323">
        <f t="shared" si="0"/>
        <v>1949652.4415752781</v>
      </c>
      <c r="E11" s="329">
        <f t="shared" si="1"/>
        <v>0.65415474936384166</v>
      </c>
      <c r="F11" s="87" t="s">
        <v>0</v>
      </c>
      <c r="G11" s="98" t="s">
        <v>0</v>
      </c>
      <c r="H11" s="124">
        <v>889620.40549314301</v>
      </c>
      <c r="I11" s="91">
        <v>703690.84334000002</v>
      </c>
      <c r="J11" s="323">
        <f t="shared" si="2"/>
        <v>1593311.2488331432</v>
      </c>
      <c r="K11" s="330">
        <f t="shared" si="3"/>
        <v>0.55834690563105849</v>
      </c>
    </row>
    <row r="12" spans="1:15">
      <c r="A12" s="10" t="s">
        <v>258</v>
      </c>
      <c r="B12" s="124">
        <v>189898.52423664901</v>
      </c>
      <c r="C12" s="91">
        <v>0</v>
      </c>
      <c r="D12" s="323">
        <f t="shared" si="0"/>
        <v>189898.52423664901</v>
      </c>
      <c r="E12" s="329">
        <f t="shared" si="1"/>
        <v>1</v>
      </c>
      <c r="F12" s="87" t="s">
        <v>0</v>
      </c>
      <c r="G12" s="98" t="s">
        <v>0</v>
      </c>
      <c r="H12" s="124">
        <v>178291.53911967299</v>
      </c>
      <c r="I12" s="91">
        <v>0</v>
      </c>
      <c r="J12" s="323">
        <f t="shared" si="2"/>
        <v>178291.53911967299</v>
      </c>
      <c r="K12" s="330">
        <f t="shared" si="3"/>
        <v>1</v>
      </c>
    </row>
    <row r="13" spans="1:15">
      <c r="A13" s="10" t="s">
        <v>259</v>
      </c>
      <c r="B13" s="124">
        <v>78335.210645583997</v>
      </c>
      <c r="C13" s="91">
        <v>97869.97209000001</v>
      </c>
      <c r="D13" s="323">
        <f t="shared" si="0"/>
        <v>176205.18273558401</v>
      </c>
      <c r="E13" s="329">
        <f>+B13/D13</f>
        <v>0.44456814169385089</v>
      </c>
      <c r="F13" s="87" t="s">
        <v>0</v>
      </c>
      <c r="G13" s="98" t="s">
        <v>0</v>
      </c>
      <c r="H13" s="124">
        <v>69353.792849258985</v>
      </c>
      <c r="I13" s="91">
        <v>58660.229140000003</v>
      </c>
      <c r="J13" s="323">
        <f t="shared" si="2"/>
        <v>128014.021989259</v>
      </c>
      <c r="K13" s="330">
        <f t="shared" si="3"/>
        <v>0.54176715778118512</v>
      </c>
    </row>
    <row r="14" spans="1:15">
      <c r="A14" s="10" t="s">
        <v>260</v>
      </c>
      <c r="B14" s="685">
        <v>0</v>
      </c>
      <c r="C14" s="224">
        <v>308.82799999999997</v>
      </c>
      <c r="D14" s="684">
        <f t="shared" si="0"/>
        <v>308.82799999999997</v>
      </c>
      <c r="E14" s="329">
        <f>+B14/D14</f>
        <v>0</v>
      </c>
      <c r="F14" s="87" t="s">
        <v>0</v>
      </c>
      <c r="G14" s="98" t="s">
        <v>0</v>
      </c>
      <c r="H14" s="685">
        <v>1392.7931934389999</v>
      </c>
      <c r="I14" s="224">
        <v>8.3287999999999993</v>
      </c>
      <c r="J14" s="684">
        <f t="shared" si="2"/>
        <v>1401.1219934389999</v>
      </c>
      <c r="K14" s="330">
        <f t="shared" si="3"/>
        <v>0.99405562111008106</v>
      </c>
    </row>
    <row r="15" spans="1:15" ht="15.6" customHeight="1">
      <c r="A15" s="10"/>
      <c r="B15" s="124">
        <f>SUM(B10:B14)</f>
        <v>1644321.1442118101</v>
      </c>
      <c r="C15" s="91">
        <f>SUM(C10:C14)</f>
        <v>1053556.7992099999</v>
      </c>
      <c r="D15" s="323">
        <f t="shared" si="0"/>
        <v>2697877.9434218099</v>
      </c>
      <c r="E15" s="329">
        <f t="shared" si="1"/>
        <v>0.60948685548252113</v>
      </c>
      <c r="F15" s="87" t="s">
        <v>0</v>
      </c>
      <c r="G15" s="98" t="s">
        <v>0</v>
      </c>
      <c r="H15" s="124">
        <f>SUM(H10:H14)</f>
        <v>1215096.693917298</v>
      </c>
      <c r="I15" s="91">
        <f>SUM(I10:I14)</f>
        <v>1045287.9601799999</v>
      </c>
      <c r="J15" s="323">
        <f t="shared" si="2"/>
        <v>2260384.6540972982</v>
      </c>
      <c r="K15" s="330">
        <f t="shared" si="3"/>
        <v>0.53756191085209615</v>
      </c>
    </row>
    <row r="16" spans="1:15" ht="7.9" customHeight="1">
      <c r="A16" s="10"/>
      <c r="B16" s="124"/>
      <c r="C16" s="92" t="s">
        <v>0</v>
      </c>
      <c r="D16" s="323"/>
      <c r="E16" s="329" t="s">
        <v>0</v>
      </c>
      <c r="F16" s="87"/>
      <c r="G16" s="98" t="s">
        <v>0</v>
      </c>
      <c r="H16" s="124"/>
      <c r="I16" s="92" t="s">
        <v>0</v>
      </c>
      <c r="J16" s="327" t="s">
        <v>0</v>
      </c>
      <c r="K16" s="330"/>
    </row>
    <row r="17" spans="1:11" ht="15.6" customHeight="1">
      <c r="A17" s="10" t="s">
        <v>261</v>
      </c>
      <c r="B17" s="124">
        <v>0</v>
      </c>
      <c r="C17" s="91">
        <v>180000</v>
      </c>
      <c r="D17" s="323">
        <f t="shared" ref="D17:D23" si="4">SUM(B17:C17)</f>
        <v>180000</v>
      </c>
      <c r="E17" s="129">
        <v>0</v>
      </c>
      <c r="F17"/>
      <c r="G17"/>
      <c r="H17" s="124">
        <v>0</v>
      </c>
      <c r="I17" s="91">
        <v>0</v>
      </c>
      <c r="J17" s="323">
        <f t="shared" ref="J17:J23" si="5">SUM(H17:I17)</f>
        <v>0</v>
      </c>
      <c r="K17" s="331">
        <v>0</v>
      </c>
    </row>
    <row r="18" spans="1:11" ht="15.6" customHeight="1">
      <c r="A18" s="10" t="s">
        <v>909</v>
      </c>
      <c r="B18" s="124">
        <v>0</v>
      </c>
      <c r="C18" s="91">
        <v>0</v>
      </c>
      <c r="D18" s="323">
        <f t="shared" si="4"/>
        <v>0</v>
      </c>
      <c r="E18" s="129">
        <v>0</v>
      </c>
      <c r="F18"/>
      <c r="G18"/>
      <c r="H18" s="124">
        <v>0</v>
      </c>
      <c r="I18" s="91">
        <v>0</v>
      </c>
      <c r="J18" s="323">
        <f t="shared" si="5"/>
        <v>0</v>
      </c>
      <c r="K18" s="331">
        <v>0</v>
      </c>
    </row>
    <row r="19" spans="1:11">
      <c r="A19" s="10" t="s">
        <v>262</v>
      </c>
      <c r="B19" s="124">
        <v>31457.269683476003</v>
      </c>
      <c r="C19" s="91">
        <v>103266.27748999999</v>
      </c>
      <c r="D19" s="323">
        <f t="shared" si="4"/>
        <v>134723.54717347599</v>
      </c>
      <c r="E19" s="329">
        <f>+B19/D19</f>
        <v>0.23349496315570012</v>
      </c>
      <c r="F19"/>
      <c r="G19"/>
      <c r="H19" s="124">
        <v>30635.893127412</v>
      </c>
      <c r="I19" s="91">
        <v>108695.45</v>
      </c>
      <c r="J19" s="323">
        <f t="shared" si="5"/>
        <v>139331.34312741199</v>
      </c>
      <c r="K19" s="330">
        <f>+H19/J19</f>
        <v>0.21987797174535889</v>
      </c>
    </row>
    <row r="20" spans="1:11">
      <c r="A20" s="10" t="s">
        <v>298</v>
      </c>
      <c r="B20" s="124">
        <v>1467844.4063494934</v>
      </c>
      <c r="C20" s="91">
        <v>823794.97849000001</v>
      </c>
      <c r="D20" s="323">
        <f t="shared" si="4"/>
        <v>2291639.3848394933</v>
      </c>
      <c r="E20" s="329">
        <f>+B20/D20</f>
        <v>0.64052154804989159</v>
      </c>
      <c r="F20"/>
      <c r="G20"/>
      <c r="H20" s="124">
        <v>1481479.12430379</v>
      </c>
      <c r="I20" s="91">
        <v>796008.88569999987</v>
      </c>
      <c r="J20" s="323">
        <f t="shared" si="5"/>
        <v>2277488.0100037898</v>
      </c>
      <c r="K20" s="330">
        <f>+H20/J20</f>
        <v>0.65048822114384031</v>
      </c>
    </row>
    <row r="21" spans="1:11">
      <c r="A21" s="10" t="s">
        <v>264</v>
      </c>
      <c r="B21" s="124">
        <v>0</v>
      </c>
      <c r="C21" s="91">
        <v>280545.03700000001</v>
      </c>
      <c r="D21" s="323">
        <f t="shared" si="4"/>
        <v>280545.03700000001</v>
      </c>
      <c r="E21" s="129">
        <f>+B21/D21</f>
        <v>0</v>
      </c>
      <c r="F21"/>
      <c r="G21"/>
      <c r="H21" s="124">
        <v>0</v>
      </c>
      <c r="I21" s="91">
        <v>254813.43122000009</v>
      </c>
      <c r="J21" s="323">
        <f t="shared" si="5"/>
        <v>254813.43122000009</v>
      </c>
      <c r="K21" s="331">
        <v>0</v>
      </c>
    </row>
    <row r="22" spans="1:11">
      <c r="A22" s="10" t="s">
        <v>265</v>
      </c>
      <c r="B22" s="685">
        <v>-316235.53028788604</v>
      </c>
      <c r="C22" s="224">
        <v>365130.52045999997</v>
      </c>
      <c r="D22" s="684">
        <f t="shared" si="4"/>
        <v>48894.990172113932</v>
      </c>
      <c r="E22" s="329">
        <f>+B22/D22</f>
        <v>-6.4676468729150756</v>
      </c>
      <c r="F22"/>
      <c r="G22"/>
      <c r="H22" s="685">
        <v>-308876.12403856503</v>
      </c>
      <c r="I22" s="224">
        <v>361822.89114000002</v>
      </c>
      <c r="J22" s="684">
        <f t="shared" si="5"/>
        <v>52946.767101434991</v>
      </c>
      <c r="K22" s="330">
        <f>+H22/J22</f>
        <v>-5.8337107428452173</v>
      </c>
    </row>
    <row r="23" spans="1:11">
      <c r="A23" s="10" t="s">
        <v>54</v>
      </c>
      <c r="B23" s="125">
        <f>SUM(B15:B22)</f>
        <v>2827387.2899568938</v>
      </c>
      <c r="C23" s="94">
        <f>SUM(C15:C22)</f>
        <v>2806293.6126499996</v>
      </c>
      <c r="D23" s="324">
        <f t="shared" si="4"/>
        <v>5633680.9026068933</v>
      </c>
      <c r="E23" s="369">
        <f>+B23/D23</f>
        <v>0.50187210437292729</v>
      </c>
      <c r="F23"/>
      <c r="G23"/>
      <c r="H23" s="125">
        <f>SUM(H15:H22)</f>
        <v>2418335.5873099351</v>
      </c>
      <c r="I23" s="94">
        <f>SUM(I15:I22)</f>
        <v>2566628.6182399997</v>
      </c>
      <c r="J23" s="324">
        <f t="shared" si="5"/>
        <v>4984964.2055499349</v>
      </c>
      <c r="K23" s="369">
        <f>+H23/J23</f>
        <v>0.48512596833042804</v>
      </c>
    </row>
    <row r="24" spans="1:11" ht="7.9" customHeight="1">
      <c r="A24" s="10"/>
      <c r="B24" s="124"/>
      <c r="C24" s="91" t="s">
        <v>0</v>
      </c>
      <c r="D24" s="323"/>
      <c r="E24" s="329" t="s">
        <v>0</v>
      </c>
      <c r="F24"/>
      <c r="G24"/>
      <c r="H24" s="124"/>
      <c r="I24" s="91" t="s">
        <v>0</v>
      </c>
      <c r="J24" s="327" t="s">
        <v>0</v>
      </c>
      <c r="K24" s="330"/>
    </row>
    <row r="25" spans="1:11">
      <c r="A25" s="86" t="s">
        <v>266</v>
      </c>
      <c r="B25" s="124"/>
      <c r="C25" s="91" t="s">
        <v>0</v>
      </c>
      <c r="D25" s="323"/>
      <c r="E25" s="329" t="s">
        <v>0</v>
      </c>
      <c r="F25"/>
      <c r="G25"/>
      <c r="H25" s="124"/>
      <c r="I25" s="91" t="s">
        <v>0</v>
      </c>
      <c r="J25" s="327" t="s">
        <v>0</v>
      </c>
      <c r="K25" s="330"/>
    </row>
    <row r="26" spans="1:11">
      <c r="A26" s="10" t="s">
        <v>267</v>
      </c>
      <c r="B26" s="124"/>
      <c r="C26" s="91" t="s">
        <v>0</v>
      </c>
      <c r="D26" s="323"/>
      <c r="E26" s="329" t="s">
        <v>0</v>
      </c>
      <c r="F26"/>
      <c r="G26"/>
      <c r="H26" s="124"/>
      <c r="I26" s="91" t="s">
        <v>0</v>
      </c>
      <c r="J26" s="327" t="s">
        <v>0</v>
      </c>
      <c r="K26" s="330"/>
    </row>
    <row r="27" spans="1:11">
      <c r="A27" s="10" t="s">
        <v>268</v>
      </c>
      <c r="B27" s="124">
        <v>811297.89367024205</v>
      </c>
      <c r="C27" s="91">
        <v>808599.26804999996</v>
      </c>
      <c r="D27" s="323">
        <f>SUM(B27:C27)</f>
        <v>1619897.1617202419</v>
      </c>
      <c r="E27" s="329">
        <f>+B27/D27</f>
        <v>0.50083296201882854</v>
      </c>
      <c r="F27"/>
      <c r="G27"/>
      <c r="H27" s="124">
        <v>712429.91306745587</v>
      </c>
      <c r="I27" s="91">
        <v>656990.88714999997</v>
      </c>
      <c r="J27" s="323">
        <f>SUM(H27:I27)</f>
        <v>1369420.8002174557</v>
      </c>
      <c r="K27" s="330">
        <f>+H27/J27</f>
        <v>0.52024177882673195</v>
      </c>
    </row>
    <row r="28" spans="1:11">
      <c r="A28" s="10" t="s">
        <v>269</v>
      </c>
      <c r="B28" s="124">
        <v>832674.31916409009</v>
      </c>
      <c r="C28" s="91">
        <v>1009159.98202</v>
      </c>
      <c r="D28" s="323">
        <f>SUM(B28:C28)</f>
        <v>1841834.3011840901</v>
      </c>
      <c r="E28" s="329">
        <f>+B28/D28</f>
        <v>0.45208970135303439</v>
      </c>
      <c r="F28"/>
      <c r="G28"/>
      <c r="H28" s="124">
        <v>714708.43951987196</v>
      </c>
      <c r="I28" s="91">
        <v>995425.98830999993</v>
      </c>
      <c r="J28" s="323">
        <f>SUM(H28:I28)</f>
        <v>1710134.4278298719</v>
      </c>
      <c r="K28" s="330">
        <f>+H28/J28</f>
        <v>0.41792529750238605</v>
      </c>
    </row>
    <row r="29" spans="1:11">
      <c r="A29" s="10" t="s">
        <v>270</v>
      </c>
      <c r="B29" s="685">
        <v>853789.03467164305</v>
      </c>
      <c r="C29" s="224">
        <v>383288.87552</v>
      </c>
      <c r="D29" s="512">
        <f>SUM(B29:C29)</f>
        <v>1237077.9101916431</v>
      </c>
      <c r="E29" s="329">
        <f>+B29/D29</f>
        <v>0.69016593671079096</v>
      </c>
      <c r="F29"/>
      <c r="G29"/>
      <c r="H29" s="685">
        <v>684844.66968148493</v>
      </c>
      <c r="I29" s="224">
        <v>318625.88707999996</v>
      </c>
      <c r="J29" s="684">
        <f>SUM(H29:I29)</f>
        <v>1003470.5567614848</v>
      </c>
      <c r="K29" s="330">
        <f>+H29/J29</f>
        <v>0.68247609764624695</v>
      </c>
    </row>
    <row r="30" spans="1:11">
      <c r="A30" s="10"/>
      <c r="B30" s="124">
        <f>SUM(B27:B29)</f>
        <v>2497761.247505975</v>
      </c>
      <c r="C30" s="91">
        <f>SUM(C27:C29)</f>
        <v>2201048.1255900003</v>
      </c>
      <c r="D30" s="323">
        <f>SUM(B30:C30)</f>
        <v>4698809.3730959753</v>
      </c>
      <c r="E30" s="329">
        <f>+B30/D30</f>
        <v>0.53157322401871299</v>
      </c>
      <c r="F30"/>
      <c r="G30"/>
      <c r="H30" s="124">
        <f>SUM(H27:H29)</f>
        <v>2111983.0222688126</v>
      </c>
      <c r="I30" s="91">
        <f>SUM(I27:I29)</f>
        <v>1971042.7625399998</v>
      </c>
      <c r="J30" s="323">
        <f>SUM(H30:I30)</f>
        <v>4083025.7848088127</v>
      </c>
      <c r="K30" s="330">
        <f>+H30/J30</f>
        <v>0.51725929092257894</v>
      </c>
    </row>
    <row r="31" spans="1:11" ht="7.9" customHeight="1">
      <c r="A31" s="10"/>
      <c r="B31" s="124"/>
      <c r="C31" s="91" t="s">
        <v>0</v>
      </c>
      <c r="D31" s="323"/>
      <c r="E31" s="329" t="s">
        <v>0</v>
      </c>
      <c r="F31"/>
      <c r="G31"/>
      <c r="H31" s="124"/>
      <c r="I31" s="91" t="s">
        <v>0</v>
      </c>
      <c r="J31" s="327" t="s">
        <v>0</v>
      </c>
      <c r="K31" s="330"/>
    </row>
    <row r="32" spans="1:11">
      <c r="A32" s="10" t="s">
        <v>271</v>
      </c>
      <c r="B32" s="124"/>
      <c r="C32" s="91" t="s">
        <v>0</v>
      </c>
      <c r="D32" s="323"/>
      <c r="E32" s="329" t="s">
        <v>0</v>
      </c>
      <c r="F32"/>
      <c r="G32"/>
      <c r="H32" s="124"/>
      <c r="I32" s="91" t="s">
        <v>0</v>
      </c>
      <c r="J32" s="327" t="s">
        <v>0</v>
      </c>
      <c r="K32" s="330"/>
    </row>
    <row r="33" spans="1:15">
      <c r="A33" s="10" t="s">
        <v>272</v>
      </c>
      <c r="B33" s="124">
        <v>0</v>
      </c>
      <c r="C33" s="91">
        <v>0</v>
      </c>
      <c r="D33" s="323">
        <f>SUM(B33:C33)</f>
        <v>0</v>
      </c>
      <c r="E33" s="129">
        <v>0</v>
      </c>
      <c r="F33"/>
      <c r="G33"/>
      <c r="H33" s="124">
        <v>0</v>
      </c>
      <c r="I33" s="91">
        <v>0</v>
      </c>
      <c r="J33" s="323">
        <f>SUM(H33:I33)</f>
        <v>0</v>
      </c>
      <c r="K33" s="331">
        <v>0</v>
      </c>
    </row>
    <row r="34" spans="1:15">
      <c r="A34" s="10" t="s">
        <v>273</v>
      </c>
      <c r="B34" s="124">
        <v>0</v>
      </c>
      <c r="C34" s="91">
        <v>0</v>
      </c>
      <c r="D34" s="323">
        <f>SUM(B34:C34)</f>
        <v>0</v>
      </c>
      <c r="E34" s="129">
        <v>0</v>
      </c>
      <c r="F34"/>
      <c r="G34"/>
      <c r="H34" s="124">
        <v>0</v>
      </c>
      <c r="I34" s="91">
        <v>0</v>
      </c>
      <c r="J34" s="323">
        <f>SUM(H34:I34)</f>
        <v>0</v>
      </c>
      <c r="K34" s="331">
        <v>0</v>
      </c>
    </row>
    <row r="35" spans="1:15" ht="18">
      <c r="A35" s="10" t="s">
        <v>274</v>
      </c>
      <c r="B35" s="685">
        <v>147240.08817621198</v>
      </c>
      <c r="C35" s="224">
        <v>95235.972769999993</v>
      </c>
      <c r="D35" s="684">
        <f>SUM(B35:C35)</f>
        <v>242476.06094621198</v>
      </c>
      <c r="E35" s="329">
        <f>+B35/D35</f>
        <v>0.60723556627255659</v>
      </c>
      <c r="F35"/>
      <c r="G35"/>
      <c r="H35" s="685">
        <v>111701.09275488298</v>
      </c>
      <c r="I35" s="224">
        <v>111277.24434</v>
      </c>
      <c r="J35" s="684">
        <f>SUM(H35:I35)</f>
        <v>222978.33709488297</v>
      </c>
      <c r="K35" s="330">
        <f>+H35/J35</f>
        <v>0.50095042509600973</v>
      </c>
      <c r="L35" s="14"/>
      <c r="M35" s="15"/>
      <c r="N35" s="15"/>
      <c r="O35" s="15"/>
    </row>
    <row r="36" spans="1:15">
      <c r="A36" s="10"/>
      <c r="B36" s="124">
        <f>SUM(B33:B35)</f>
        <v>147240.08817621198</v>
      </c>
      <c r="C36" s="91">
        <f>SUM(C33:C35)</f>
        <v>95235.972769999993</v>
      </c>
      <c r="D36" s="323">
        <f>SUM(B36:C36)</f>
        <v>242476.06094621198</v>
      </c>
      <c r="E36" s="329">
        <f>+B36/D36</f>
        <v>0.60723556627255659</v>
      </c>
      <c r="F36"/>
      <c r="G36"/>
      <c r="H36" s="124">
        <f>SUM(H33:H35)</f>
        <v>111701.09275488298</v>
      </c>
      <c r="I36" s="91">
        <f>SUM(I33:I35)</f>
        <v>111277.24434</v>
      </c>
      <c r="J36" s="323">
        <f>SUM(H36:I36)</f>
        <v>222978.33709488297</v>
      </c>
      <c r="K36" s="330">
        <f>+H36/J36</f>
        <v>0.50095042509600973</v>
      </c>
    </row>
    <row r="37" spans="1:15" ht="7.15" customHeight="1">
      <c r="A37" s="10"/>
      <c r="B37" s="124"/>
      <c r="C37" s="91" t="s">
        <v>0</v>
      </c>
      <c r="D37" s="323"/>
      <c r="E37" s="329" t="s">
        <v>54</v>
      </c>
      <c r="F37"/>
      <c r="G37"/>
      <c r="H37" s="124"/>
      <c r="I37" s="91" t="s">
        <v>0</v>
      </c>
      <c r="J37" s="327" t="s">
        <v>0</v>
      </c>
      <c r="K37" s="330"/>
    </row>
    <row r="38" spans="1:15">
      <c r="A38" s="10" t="s">
        <v>275</v>
      </c>
      <c r="B38" s="124"/>
      <c r="C38" s="91" t="s">
        <v>0</v>
      </c>
      <c r="D38" s="323"/>
      <c r="E38" s="329" t="s">
        <v>0</v>
      </c>
      <c r="F38"/>
      <c r="G38"/>
      <c r="H38" s="124"/>
      <c r="I38" s="91" t="s">
        <v>0</v>
      </c>
      <c r="J38" s="327" t="s">
        <v>0</v>
      </c>
      <c r="K38" s="330"/>
    </row>
    <row r="39" spans="1:15">
      <c r="A39" s="10" t="s">
        <v>272</v>
      </c>
      <c r="B39" s="124">
        <v>0</v>
      </c>
      <c r="C39" s="91">
        <v>200000</v>
      </c>
      <c r="D39" s="323">
        <f>SUM(B39:C39)</f>
        <v>200000</v>
      </c>
      <c r="E39" s="129">
        <v>0</v>
      </c>
      <c r="F39"/>
      <c r="G39"/>
      <c r="H39" s="124">
        <v>0</v>
      </c>
      <c r="I39" s="91">
        <v>200000</v>
      </c>
      <c r="J39" s="323">
        <f>SUM(H39:I39)</f>
        <v>200000</v>
      </c>
      <c r="K39" s="331">
        <v>0</v>
      </c>
    </row>
    <row r="40" spans="1:15">
      <c r="A40" s="10" t="s">
        <v>276</v>
      </c>
      <c r="B40" s="124">
        <v>0</v>
      </c>
      <c r="C40" s="91">
        <v>0</v>
      </c>
      <c r="D40" s="323">
        <f>SUM(B40:C40)</f>
        <v>0</v>
      </c>
      <c r="E40" s="129">
        <v>0</v>
      </c>
      <c r="F40"/>
      <c r="G40"/>
      <c r="H40" s="124">
        <v>0</v>
      </c>
      <c r="I40" s="91">
        <v>0</v>
      </c>
      <c r="J40" s="323">
        <f>SUM(H40:I40)</f>
        <v>0</v>
      </c>
      <c r="K40" s="331">
        <v>0</v>
      </c>
    </row>
    <row r="41" spans="1:15">
      <c r="A41" s="10" t="s">
        <v>274</v>
      </c>
      <c r="B41" s="685">
        <v>1402.431</v>
      </c>
      <c r="C41" s="224">
        <v>267.62175000000002</v>
      </c>
      <c r="D41" s="684">
        <f>SUM(B41:C41)</f>
        <v>1670.0527500000001</v>
      </c>
      <c r="E41" s="129">
        <f>+B41/D41</f>
        <v>0.83975251679924479</v>
      </c>
      <c r="F41"/>
      <c r="G41"/>
      <c r="H41" s="685">
        <v>0</v>
      </c>
      <c r="I41" s="224">
        <v>7049.5000599999994</v>
      </c>
      <c r="J41" s="684">
        <f>SUM(H41:I41)</f>
        <v>7049.5000599999994</v>
      </c>
      <c r="K41" s="330">
        <f>+H41/J41</f>
        <v>0</v>
      </c>
    </row>
    <row r="42" spans="1:15">
      <c r="A42" s="10"/>
      <c r="B42" s="124">
        <f>SUM(B39:B41)</f>
        <v>1402.431</v>
      </c>
      <c r="C42" s="91">
        <f>SUM(C39:C41)</f>
        <v>200267.62174999999</v>
      </c>
      <c r="D42" s="323">
        <f>SUM(B42:C42)</f>
        <v>201670.05275</v>
      </c>
      <c r="E42" s="129">
        <f>+B42/D42</f>
        <v>6.9540865432237559E-3</v>
      </c>
      <c r="F42"/>
      <c r="G42"/>
      <c r="H42" s="124">
        <f>SUM(H39:H41)</f>
        <v>0</v>
      </c>
      <c r="I42" s="91">
        <f>SUM(I39:I41)</f>
        <v>207049.50005999999</v>
      </c>
      <c r="J42" s="323">
        <f>SUM(H42:I42)</f>
        <v>207049.50005999999</v>
      </c>
      <c r="K42" s="330">
        <f>+H42/J42</f>
        <v>0</v>
      </c>
    </row>
    <row r="43" spans="1:15" ht="8.4499999999999993" customHeight="1">
      <c r="A43" s="10"/>
      <c r="B43" s="124"/>
      <c r="C43" s="91" t="s">
        <v>0</v>
      </c>
      <c r="D43" s="323"/>
      <c r="E43" s="329" t="s">
        <v>0</v>
      </c>
      <c r="F43"/>
      <c r="G43"/>
      <c r="H43" s="124"/>
      <c r="I43" s="91" t="s">
        <v>0</v>
      </c>
      <c r="J43" s="327" t="s">
        <v>0</v>
      </c>
      <c r="K43" s="330"/>
    </row>
    <row r="44" spans="1:15" ht="18">
      <c r="A44" s="10" t="s">
        <v>277</v>
      </c>
      <c r="B44" s="685">
        <v>206674.78064511105</v>
      </c>
      <c r="C44" s="224">
        <v>1379.1635099999999</v>
      </c>
      <c r="D44" s="684">
        <f>SUM(B44:C44)</f>
        <v>208053.94415511106</v>
      </c>
      <c r="E44" s="329">
        <f>+B44/D44</f>
        <v>0.99337112538000338</v>
      </c>
      <c r="F44"/>
      <c r="G44"/>
      <c r="H44" s="685">
        <v>199780.60370824201</v>
      </c>
      <c r="I44" s="224">
        <v>2858.9339400000003</v>
      </c>
      <c r="J44" s="684">
        <f>SUM(H44:I44)</f>
        <v>202639.537648242</v>
      </c>
      <c r="K44" s="330">
        <f>+H44/J44</f>
        <v>0.98589152949528169</v>
      </c>
      <c r="L44" s="14"/>
    </row>
    <row r="45" spans="1:15">
      <c r="A45" s="10"/>
      <c r="B45" s="124">
        <f>+B30+B36+B42+B44</f>
        <v>2853078.5473272977</v>
      </c>
      <c r="C45" s="91">
        <f>+C30+C36+C42+C44</f>
        <v>2497930.88362</v>
      </c>
      <c r="D45" s="323">
        <f>+D30+D36+D42+D44</f>
        <v>5351009.4309472982</v>
      </c>
      <c r="E45" s="329">
        <f>+B45/D45</f>
        <v>0.53318510911729278</v>
      </c>
      <c r="F45"/>
      <c r="G45"/>
      <c r="H45" s="124">
        <f>+H30+H36+H42+H44</f>
        <v>2423464.7187319375</v>
      </c>
      <c r="I45" s="91">
        <f>+I30+I36+I42+I44</f>
        <v>2292228.4408799997</v>
      </c>
      <c r="J45" s="323">
        <f>+J30+J36+J42+J44</f>
        <v>4715693.1596119367</v>
      </c>
      <c r="K45" s="330">
        <f>+H45/J45</f>
        <v>0.51391484490296413</v>
      </c>
    </row>
    <row r="46" spans="1:15" ht="8.4499999999999993" customHeight="1">
      <c r="A46" s="10"/>
      <c r="B46" s="124"/>
      <c r="C46" s="92" t="s">
        <v>0</v>
      </c>
      <c r="D46" s="323"/>
      <c r="E46" s="329" t="s">
        <v>0</v>
      </c>
      <c r="F46"/>
      <c r="G46"/>
      <c r="H46" s="124"/>
      <c r="I46" s="92" t="s">
        <v>0</v>
      </c>
      <c r="J46" s="327" t="s">
        <v>0</v>
      </c>
      <c r="K46" s="330"/>
    </row>
    <row r="47" spans="1:15">
      <c r="A47" s="86" t="s">
        <v>278</v>
      </c>
      <c r="B47" s="124"/>
      <c r="C47" s="92" t="s">
        <v>0</v>
      </c>
      <c r="D47" s="323"/>
      <c r="E47" s="329" t="s">
        <v>0</v>
      </c>
      <c r="F47"/>
      <c r="G47"/>
      <c r="H47" s="124"/>
      <c r="I47" s="92" t="s">
        <v>0</v>
      </c>
      <c r="J47" s="327" t="s">
        <v>0</v>
      </c>
      <c r="K47" s="330"/>
    </row>
    <row r="48" spans="1:15">
      <c r="A48" s="10" t="s">
        <v>279</v>
      </c>
      <c r="B48" s="124">
        <v>0</v>
      </c>
      <c r="C48" s="91">
        <f>+buhvar!B48</f>
        <v>448651</v>
      </c>
      <c r="D48" s="323">
        <f>SUM(B48:C48)</f>
        <v>448651</v>
      </c>
      <c r="E48" s="129">
        <f>+B48/D48</f>
        <v>0</v>
      </c>
      <c r="F48"/>
      <c r="G48"/>
      <c r="H48" s="124">
        <v>0</v>
      </c>
      <c r="I48" s="87">
        <v>448651</v>
      </c>
      <c r="J48" s="323">
        <f>SUM(H48:I48)</f>
        <v>448651</v>
      </c>
      <c r="K48" s="331">
        <v>0</v>
      </c>
    </row>
    <row r="49" spans="1:15">
      <c r="A49" s="10" t="s">
        <v>280</v>
      </c>
      <c r="B49" s="124">
        <v>0</v>
      </c>
      <c r="C49" s="91">
        <f>+buhvar!B49</f>
        <v>33754.820760000002</v>
      </c>
      <c r="D49" s="323">
        <f>SUM(B49:C49)</f>
        <v>33754.820760000002</v>
      </c>
      <c r="E49" s="129">
        <f>+B49/D49</f>
        <v>0</v>
      </c>
      <c r="F49"/>
      <c r="G49"/>
      <c r="H49" s="124">
        <v>0</v>
      </c>
      <c r="I49" s="87">
        <f>7193.1+27113.1</f>
        <v>34306.199999999997</v>
      </c>
      <c r="J49" s="323">
        <f>SUM(H49:I49)</f>
        <v>34306.199999999997</v>
      </c>
      <c r="K49" s="331">
        <v>0</v>
      </c>
    </row>
    <row r="50" spans="1:15">
      <c r="A50" s="10" t="s">
        <v>281</v>
      </c>
      <c r="B50" s="124">
        <v>0</v>
      </c>
      <c r="C50" s="91">
        <f>+buhvar!B50</f>
        <v>93847.200150000004</v>
      </c>
      <c r="D50" s="323">
        <f>SUM(B50:C50)</f>
        <v>93847.200150000004</v>
      </c>
      <c r="E50" s="129">
        <f>+B50/D50</f>
        <v>0</v>
      </c>
      <c r="F50"/>
      <c r="G50"/>
      <c r="H50" s="124">
        <v>0</v>
      </c>
      <c r="I50" s="87">
        <v>93847.2</v>
      </c>
      <c r="J50" s="323">
        <f>SUM(H50:I50)</f>
        <v>93847.2</v>
      </c>
      <c r="K50" s="331">
        <v>0</v>
      </c>
    </row>
    <row r="51" spans="1:15" ht="18">
      <c r="A51" s="10" t="s">
        <v>282</v>
      </c>
      <c r="B51" s="685">
        <v>0</v>
      </c>
      <c r="C51" s="199">
        <f>+buhvar!B51</f>
        <v>-293581.54925000004</v>
      </c>
      <c r="D51" s="512">
        <f>SUM(B51:C51)</f>
        <v>-293581.54925000004</v>
      </c>
      <c r="E51" s="129">
        <f>+B51/D51</f>
        <v>0</v>
      </c>
      <c r="F51"/>
      <c r="G51"/>
      <c r="H51" s="685">
        <v>0</v>
      </c>
      <c r="I51" s="199">
        <v>-307533.40000000002</v>
      </c>
      <c r="J51" s="684">
        <f>SUM(H51:I51)</f>
        <v>-307533.40000000002</v>
      </c>
      <c r="K51" s="331">
        <v>0</v>
      </c>
      <c r="L51" s="14"/>
      <c r="M51" s="15"/>
      <c r="N51" s="15"/>
      <c r="O51" s="15"/>
    </row>
    <row r="52" spans="1:15">
      <c r="A52" s="10" t="s">
        <v>54</v>
      </c>
      <c r="B52" s="124">
        <f>SUM(B48:B51)</f>
        <v>0</v>
      </c>
      <c r="C52" s="91">
        <f>SUM(C48:C51)</f>
        <v>282671.47166000004</v>
      </c>
      <c r="D52" s="603">
        <f>SUM(D48:D51)</f>
        <v>282671.47166000004</v>
      </c>
      <c r="E52" s="329" t="s">
        <v>0</v>
      </c>
      <c r="F52"/>
      <c r="G52"/>
      <c r="H52" s="124">
        <f>SUM(H48:H51)</f>
        <v>0</v>
      </c>
      <c r="I52" s="91">
        <f>SUM(I48:I51)</f>
        <v>269271</v>
      </c>
      <c r="J52" s="323">
        <f>SUM(H52:I52)</f>
        <v>269271</v>
      </c>
      <c r="K52" s="331">
        <v>0</v>
      </c>
    </row>
    <row r="53" spans="1:15">
      <c r="A53" s="10" t="s">
        <v>0</v>
      </c>
      <c r="B53" s="124"/>
      <c r="C53" s="92" t="s">
        <v>0</v>
      </c>
      <c r="D53" s="323"/>
      <c r="E53" s="329" t="s">
        <v>0</v>
      </c>
      <c r="F53"/>
      <c r="G53"/>
      <c r="H53" s="124"/>
      <c r="I53" s="92" t="s">
        <v>0</v>
      </c>
      <c r="J53" s="327" t="s">
        <v>0</v>
      </c>
      <c r="K53" s="330"/>
    </row>
    <row r="54" spans="1:15" ht="16.5" thickBot="1">
      <c r="A54" s="10" t="s">
        <v>0</v>
      </c>
      <c r="B54" s="126">
        <f>+B30+B36+B42+B44+B52</f>
        <v>2853078.5473272977</v>
      </c>
      <c r="C54" s="127">
        <f>+C30+C36+C42+C44+C52</f>
        <v>2780602.3552799998</v>
      </c>
      <c r="D54" s="325">
        <f>SUM(B54:C54)</f>
        <v>5633680.9026072975</v>
      </c>
      <c r="E54" s="368">
        <f>+B54/D54</f>
        <v>0.50643240123999178</v>
      </c>
      <c r="F54"/>
      <c r="G54"/>
      <c r="H54" s="126">
        <f>+H30+H36+H42+H44+H52</f>
        <v>2423464.7187319375</v>
      </c>
      <c r="I54" s="127">
        <f>+I30+I36+I42+I44+I52</f>
        <v>2561499.4408799997</v>
      </c>
      <c r="J54" s="325">
        <f>SUM(H54:I54)</f>
        <v>4984964.1596119367</v>
      </c>
      <c r="K54" s="368">
        <f>+H54/J54</f>
        <v>0.48615489322206007</v>
      </c>
    </row>
    <row r="55" spans="1:15" ht="16.5" thickTop="1">
      <c r="A55" s="10"/>
      <c r="B55" s="90"/>
      <c r="C55" s="88" t="s">
        <v>0</v>
      </c>
      <c r="D55" s="90"/>
      <c r="E55" s="98" t="s">
        <v>0</v>
      </c>
      <c r="F55"/>
      <c r="G55"/>
      <c r="H55" s="90"/>
      <c r="I55" s="88" t="s">
        <v>0</v>
      </c>
      <c r="J55" s="88" t="s">
        <v>0</v>
      </c>
    </row>
    <row r="56" spans="1:15">
      <c r="A56" s="10"/>
      <c r="B56" s="90" t="str">
        <f>+'bphgdes&amp;$'!B56</f>
        <v xml:space="preserve">* converties au taux de 46,7477 Gdes </v>
      </c>
      <c r="C56" s="88"/>
      <c r="D56" s="90"/>
      <c r="E56" s="98"/>
      <c r="F56"/>
      <c r="G56"/>
      <c r="H56" s="90" t="str">
        <f>+'bphgdes&amp;$'!H56</f>
        <v xml:space="preserve">* converties au taux de 45,5577 Gdes </v>
      </c>
      <c r="I56" s="88"/>
      <c r="J56" s="88"/>
    </row>
    <row r="57" spans="1:15">
      <c r="A57" s="10"/>
      <c r="B57" s="90"/>
      <c r="C57" s="88"/>
      <c r="D57" s="90"/>
      <c r="E57" s="98"/>
      <c r="F57"/>
      <c r="G57"/>
      <c r="H57"/>
      <c r="I57" s="90"/>
      <c r="J57" s="88"/>
    </row>
    <row r="58" spans="1:15">
      <c r="A58" s="10"/>
      <c r="B58" s="90"/>
      <c r="C58" s="88"/>
      <c r="D58" s="90"/>
      <c r="E58" s="98"/>
      <c r="F58"/>
      <c r="G58"/>
      <c r="H58"/>
      <c r="I58" s="90"/>
      <c r="J58" s="88"/>
    </row>
    <row r="59" spans="1:15">
      <c r="C59" s="48"/>
      <c r="E59" s="112" t="s">
        <v>0</v>
      </c>
      <c r="F59"/>
      <c r="G59"/>
      <c r="H59"/>
      <c r="J59" s="48"/>
    </row>
    <row r="60" spans="1:15">
      <c r="C60" s="48"/>
      <c r="E60" s="112" t="s">
        <v>0</v>
      </c>
      <c r="F60"/>
      <c r="G60"/>
      <c r="H60"/>
      <c r="J60" s="48"/>
    </row>
    <row r="61" spans="1:15">
      <c r="B61"/>
      <c r="C61"/>
      <c r="D61"/>
      <c r="E61" s="112"/>
      <c r="F61"/>
      <c r="G61"/>
      <c r="H61"/>
      <c r="J61" s="48"/>
    </row>
    <row r="62" spans="1:15">
      <c r="B62"/>
      <c r="C62"/>
      <c r="D62"/>
      <c r="E62" s="112" t="s">
        <v>0</v>
      </c>
      <c r="F62"/>
      <c r="G62"/>
      <c r="H62"/>
      <c r="I62"/>
      <c r="J62"/>
    </row>
    <row r="63" spans="1:15">
      <c r="B63"/>
      <c r="C63"/>
      <c r="D63"/>
      <c r="E63" s="112" t="s">
        <v>0</v>
      </c>
      <c r="F63"/>
      <c r="G63"/>
      <c r="H63"/>
      <c r="I63"/>
      <c r="J63"/>
    </row>
    <row r="64" spans="1:15">
      <c r="B64"/>
      <c r="C64"/>
      <c r="D64"/>
      <c r="E64" s="112" t="s">
        <v>0</v>
      </c>
      <c r="F64"/>
      <c r="G64"/>
      <c r="H64"/>
      <c r="I64"/>
      <c r="J64"/>
    </row>
    <row r="65" spans="2:12">
      <c r="B65"/>
      <c r="C65"/>
      <c r="D65"/>
      <c r="E65" s="112" t="s">
        <v>0</v>
      </c>
      <c r="F65"/>
      <c r="G65"/>
      <c r="H65"/>
      <c r="I65"/>
      <c r="J65"/>
    </row>
    <row r="66" spans="2:12">
      <c r="B66"/>
      <c r="C66"/>
      <c r="D66"/>
      <c r="E66" s="112" t="s">
        <v>0</v>
      </c>
      <c r="F66"/>
      <c r="G66"/>
      <c r="H66"/>
      <c r="I66"/>
      <c r="J66"/>
    </row>
    <row r="67" spans="2:12">
      <c r="B67"/>
      <c r="C67"/>
      <c r="D67"/>
      <c r="E67" s="112" t="s">
        <v>0</v>
      </c>
      <c r="F67"/>
      <c r="G67"/>
      <c r="H67"/>
      <c r="I67"/>
      <c r="J67"/>
    </row>
    <row r="68" spans="2:12">
      <c r="B68"/>
      <c r="C68"/>
      <c r="D68"/>
      <c r="E68" s="112" t="s">
        <v>0</v>
      </c>
      <c r="F68"/>
      <c r="G68"/>
      <c r="H68"/>
      <c r="I68"/>
      <c r="J68"/>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row r="173" spans="2:12">
      <c r="B173"/>
      <c r="C173"/>
      <c r="D173"/>
      <c r="E173"/>
      <c r="F173"/>
      <c r="G173"/>
      <c r="H173"/>
      <c r="I173"/>
      <c r="J173"/>
      <c r="K173"/>
      <c r="L173"/>
    </row>
    <row r="174" spans="2:12">
      <c r="B174"/>
      <c r="C174"/>
      <c r="D174"/>
      <c r="E174"/>
      <c r="F174"/>
      <c r="G174"/>
      <c r="H174"/>
      <c r="I174"/>
      <c r="J174"/>
      <c r="K174"/>
      <c r="L174"/>
    </row>
    <row r="175" spans="2:12">
      <c r="B175"/>
      <c r="C175"/>
      <c r="D175"/>
      <c r="E175"/>
      <c r="F175"/>
      <c r="G175"/>
      <c r="H175"/>
      <c r="I175"/>
      <c r="J175"/>
      <c r="K175"/>
      <c r="L175"/>
    </row>
  </sheetData>
  <phoneticPr fontId="0" type="noConversion"/>
  <pageMargins left="0.56999999999999995" right="0.28999999999999998" top="0.61" bottom="0.52" header="0.34" footer="0.22"/>
  <pageSetup scale="60" orientation="landscape" r:id="rId1"/>
  <headerFooter alignWithMargins="0">
    <oddFooter>&amp;R&amp;14&amp;P</oddFooter>
  </headerFooter>
</worksheet>
</file>

<file path=xl/worksheets/sheet82.xml><?xml version="1.0" encoding="utf-8"?>
<worksheet xmlns="http://schemas.openxmlformats.org/spreadsheetml/2006/main" xmlns:r="http://schemas.openxmlformats.org/officeDocument/2006/relationships">
  <sheetPr>
    <pageSetUpPr fitToPage="1"/>
  </sheetPr>
  <dimension ref="A1:V127"/>
  <sheetViews>
    <sheetView workbookViewId="0">
      <selection activeCell="B9" sqref="B9"/>
    </sheetView>
  </sheetViews>
  <sheetFormatPr baseColWidth="10" defaultColWidth="9" defaultRowHeight="15.75"/>
  <cols>
    <col min="1" max="1" width="50" customWidth="1"/>
    <col min="2" max="2" width="15.75" style="27" customWidth="1"/>
    <col min="3" max="3" width="9.75" style="27" customWidth="1"/>
    <col min="4" max="4" width="15.75" style="27" customWidth="1"/>
    <col min="5" max="5" width="9" style="27"/>
    <col min="6" max="6" width="15.75" style="27" customWidth="1"/>
    <col min="7" max="7" width="9" style="27"/>
    <col min="8" max="8" width="15.75" style="27" customWidth="1"/>
    <col min="9" max="9" width="6.375" style="27" customWidth="1"/>
    <col min="10" max="10" width="15.75" style="27" customWidth="1"/>
    <col min="11" max="11" width="9.5" style="27" customWidth="1"/>
    <col min="12" max="12" width="15.75" style="27" customWidth="1"/>
    <col min="13" max="13" width="9" style="27"/>
    <col min="14" max="14" width="15.75" style="27" customWidth="1"/>
    <col min="15" max="15" width="9" style="27"/>
    <col min="16" max="16" width="15.75" style="27" customWidth="1"/>
    <col min="17" max="17" width="5.375" style="27" customWidth="1"/>
    <col min="18" max="18" width="16.125" style="27" customWidth="1"/>
    <col min="19" max="19" width="9.875" style="27" customWidth="1"/>
    <col min="20" max="20" width="16.625" style="27" customWidth="1"/>
    <col min="21" max="21" width="14.875" style="27" customWidth="1"/>
  </cols>
  <sheetData>
    <row r="1" spans="1:22">
      <c r="A1" s="111" t="s">
        <v>400</v>
      </c>
      <c r="B1" s="44"/>
      <c r="C1" s="44"/>
      <c r="D1" s="44"/>
      <c r="E1" s="44"/>
      <c r="F1" s="44"/>
      <c r="G1" s="44"/>
      <c r="H1" s="44"/>
      <c r="I1" s="44"/>
      <c r="J1" s="44"/>
      <c r="K1" s="44"/>
      <c r="L1" s="44"/>
      <c r="M1" s="44"/>
      <c r="N1" s="44"/>
      <c r="O1" s="44"/>
      <c r="P1" s="44"/>
      <c r="Q1" s="44"/>
      <c r="R1" s="44"/>
      <c r="S1" s="44"/>
      <c r="T1" s="44"/>
    </row>
    <row r="2" spans="1:22">
      <c r="A2" s="111" t="s">
        <v>331</v>
      </c>
      <c r="B2" s="44"/>
      <c r="C2" s="44"/>
      <c r="D2" s="44"/>
      <c r="E2" s="44"/>
      <c r="F2" s="44"/>
      <c r="G2" s="44"/>
      <c r="H2" s="44"/>
      <c r="I2" s="44"/>
      <c r="J2" s="44"/>
      <c r="K2" s="44"/>
      <c r="L2" s="44"/>
      <c r="M2" s="44"/>
      <c r="N2" s="44"/>
      <c r="O2" s="44"/>
      <c r="P2" s="44"/>
      <c r="Q2" s="44"/>
      <c r="R2" s="44"/>
      <c r="S2" s="44"/>
      <c r="T2" s="44"/>
    </row>
    <row r="3" spans="1:22">
      <c r="A3" s="111" t="s">
        <v>388</v>
      </c>
      <c r="B3" s="44"/>
      <c r="C3" s="44"/>
      <c r="D3" s="44"/>
      <c r="E3" s="44"/>
      <c r="F3" s="44"/>
      <c r="G3" s="44"/>
      <c r="H3" s="44"/>
      <c r="I3" s="44"/>
      <c r="J3" s="44"/>
      <c r="K3" s="44"/>
      <c r="L3" s="44"/>
      <c r="M3" s="44"/>
      <c r="N3" s="44"/>
      <c r="O3" s="44"/>
      <c r="P3" s="44"/>
      <c r="Q3" s="44"/>
      <c r="R3" s="44"/>
      <c r="S3" s="44"/>
      <c r="T3" s="44"/>
    </row>
    <row r="4" spans="1:22">
      <c r="A4" s="111" t="s">
        <v>198</v>
      </c>
      <c r="B4" s="44"/>
      <c r="C4" s="44"/>
      <c r="D4" s="44"/>
      <c r="E4" s="44"/>
      <c r="F4" s="44"/>
      <c r="G4" s="44"/>
      <c r="H4" s="44"/>
      <c r="I4" s="44"/>
      <c r="J4" s="44"/>
      <c r="K4" s="44"/>
      <c r="L4" s="44"/>
      <c r="M4" s="44"/>
      <c r="N4" s="44"/>
      <c r="O4" s="44"/>
      <c r="P4" s="44"/>
      <c r="Q4" s="44"/>
      <c r="R4" s="44"/>
      <c r="S4" s="44"/>
      <c r="T4" s="44"/>
    </row>
    <row r="5" spans="1:22">
      <c r="A5" t="s">
        <v>0</v>
      </c>
    </row>
    <row r="6" spans="1:22" s="11" customFormat="1" ht="16.5" thickBot="1">
      <c r="B6" s="1022">
        <f>+'BPHRÉSULT  '!B6</f>
        <v>2015</v>
      </c>
      <c r="C6" s="357"/>
      <c r="D6" s="357"/>
      <c r="E6" s="357"/>
      <c r="F6" s="357"/>
      <c r="G6" s="357"/>
      <c r="H6" s="357"/>
      <c r="I6" s="137"/>
      <c r="J6" s="299" t="str">
        <f>+'BPHRÉSULT  '!J6</f>
        <v>2014</v>
      </c>
      <c r="K6" s="357"/>
      <c r="L6" s="357"/>
      <c r="M6" s="357"/>
      <c r="N6" s="357"/>
      <c r="O6" s="357"/>
      <c r="P6" s="357"/>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29"/>
      <c r="R7" s="29"/>
      <c r="S7" s="29"/>
      <c r="T7" s="29"/>
      <c r="U7" s="29"/>
      <c r="V7" s="17"/>
    </row>
    <row r="8" spans="1:22">
      <c r="A8" t="s">
        <v>300</v>
      </c>
      <c r="B8" s="27" t="s">
        <v>0</v>
      </c>
    </row>
    <row r="9" spans="1:22">
      <c r="A9" t="s">
        <v>301</v>
      </c>
      <c r="B9" s="24" t="s">
        <v>0</v>
      </c>
      <c r="C9" s="136" t="s">
        <v>0</v>
      </c>
      <c r="D9" s="138" t="s">
        <v>0</v>
      </c>
      <c r="E9" s="138" t="s">
        <v>0</v>
      </c>
      <c r="F9" s="138" t="s">
        <v>0</v>
      </c>
      <c r="G9" s="138" t="s">
        <v>0</v>
      </c>
      <c r="H9" s="138" t="s">
        <v>0</v>
      </c>
      <c r="I9" s="103"/>
      <c r="J9" s="135" t="s">
        <v>0</v>
      </c>
      <c r="K9" s="136" t="s">
        <v>0</v>
      </c>
      <c r="L9" s="135" t="s">
        <v>0</v>
      </c>
      <c r="M9" s="136" t="s">
        <v>0</v>
      </c>
      <c r="N9" s="135" t="s">
        <v>0</v>
      </c>
      <c r="O9" s="136" t="s">
        <v>0</v>
      </c>
      <c r="P9" s="135" t="s">
        <v>0</v>
      </c>
      <c r="Q9" s="103"/>
      <c r="R9" s="103"/>
      <c r="S9" s="103"/>
      <c r="T9" s="103"/>
    </row>
    <row r="10" spans="1:22">
      <c r="A10" t="s">
        <v>302</v>
      </c>
      <c r="B10" s="87">
        <f>+B50</f>
        <v>72251.401149999991</v>
      </c>
      <c r="C10" s="88">
        <v>0</v>
      </c>
      <c r="D10" s="87">
        <f>+F50</f>
        <v>0</v>
      </c>
      <c r="E10" s="88">
        <v>0</v>
      </c>
      <c r="F10" s="87">
        <f>+J50</f>
        <v>0</v>
      </c>
      <c r="G10" s="88">
        <v>0</v>
      </c>
      <c r="H10" s="87">
        <f>+N50</f>
        <v>0</v>
      </c>
      <c r="I10" s="103"/>
      <c r="J10" s="24">
        <f>+D50</f>
        <v>59163.600659999996</v>
      </c>
      <c r="K10" s="52">
        <f t="shared" ref="K10:K15" si="0">+(-J10+L10)/ABS(J10)</f>
        <v>-0.10932212589915752</v>
      </c>
      <c r="L10" s="24">
        <f>+H50</f>
        <v>52695.710059999998</v>
      </c>
      <c r="M10" s="52">
        <f t="shared" ref="M10:M15" si="1">+(-L10+N10)/ABS(L10)</f>
        <v>0.12290629223186517</v>
      </c>
      <c r="N10" s="24">
        <f>+L50</f>
        <v>59172.344399999994</v>
      </c>
      <c r="O10" s="52">
        <f t="shared" ref="O10:O15" si="2">+(-N10+P10)/ABS(N10)</f>
        <v>0.11862029620715876</v>
      </c>
      <c r="P10" s="24">
        <f>+P50</f>
        <v>66191.385420000006</v>
      </c>
      <c r="Q10" s="103"/>
      <c r="R10" s="103"/>
      <c r="S10" s="103"/>
      <c r="T10" s="103"/>
    </row>
    <row r="11" spans="1:22">
      <c r="A11" t="s">
        <v>322</v>
      </c>
      <c r="B11" s="87">
        <f>+B51</f>
        <v>2800.0285699999999</v>
      </c>
      <c r="C11" s="88">
        <v>0</v>
      </c>
      <c r="D11" s="87">
        <f>+F51</f>
        <v>0</v>
      </c>
      <c r="E11" s="88">
        <v>0</v>
      </c>
      <c r="F11" s="87">
        <f>+J51</f>
        <v>0</v>
      </c>
      <c r="G11" s="88">
        <v>0</v>
      </c>
      <c r="H11" s="87">
        <f>+N51</f>
        <v>0</v>
      </c>
      <c r="I11" s="103"/>
      <c r="J11" s="24">
        <f>+D51</f>
        <v>80.75</v>
      </c>
      <c r="K11" s="52">
        <f t="shared" si="0"/>
        <v>0.2348518885448917</v>
      </c>
      <c r="L11" s="24">
        <f>+H51</f>
        <v>99.714290000000005</v>
      </c>
      <c r="M11" s="52">
        <f t="shared" si="1"/>
        <v>-0.89684818494921847</v>
      </c>
      <c r="N11" s="24">
        <f>+L51</f>
        <v>10.28571</v>
      </c>
      <c r="O11" s="49">
        <v>0</v>
      </c>
      <c r="P11" s="24">
        <f>+P51</f>
        <v>0</v>
      </c>
      <c r="Q11" s="103"/>
      <c r="R11" s="103"/>
      <c r="S11" s="103"/>
      <c r="T11" s="103"/>
    </row>
    <row r="12" spans="1:22">
      <c r="A12" t="s">
        <v>304</v>
      </c>
      <c r="B12" s="199">
        <f>+B52</f>
        <v>117.14523543200001</v>
      </c>
      <c r="C12" s="88">
        <v>0</v>
      </c>
      <c r="D12" s="199">
        <f>+F52</f>
        <v>0</v>
      </c>
      <c r="E12" s="88">
        <v>0</v>
      </c>
      <c r="F12" s="199">
        <f>+J52</f>
        <v>0</v>
      </c>
      <c r="G12" s="88">
        <v>0</v>
      </c>
      <c r="H12" s="199">
        <f>+N52</f>
        <v>0</v>
      </c>
      <c r="I12" s="103"/>
      <c r="J12" s="199">
        <f>+D52</f>
        <v>81.962103400000004</v>
      </c>
      <c r="K12" s="52">
        <f t="shared" si="0"/>
        <v>-0.73005687801809138</v>
      </c>
      <c r="L12" s="199">
        <f>+H52</f>
        <v>22.125106076000009</v>
      </c>
      <c r="M12" s="52">
        <f t="shared" si="1"/>
        <v>-7.438649913571542E-2</v>
      </c>
      <c r="N12" s="199">
        <f>+L52</f>
        <v>20.479296892000022</v>
      </c>
      <c r="O12" s="52">
        <f t="shared" si="2"/>
        <v>-0.2012091944723792</v>
      </c>
      <c r="P12" s="199">
        <f>+P52</f>
        <v>16.358674060999999</v>
      </c>
      <c r="Q12" s="103"/>
      <c r="R12" s="103"/>
      <c r="S12" s="103"/>
      <c r="T12" s="103"/>
    </row>
    <row r="13" spans="1:22">
      <c r="B13" s="87">
        <f>SUM(B10:B12)</f>
        <v>75168.574955431992</v>
      </c>
      <c r="C13" s="88">
        <v>0</v>
      </c>
      <c r="D13" s="87">
        <f>SUM(D10:D12)</f>
        <v>0</v>
      </c>
      <c r="E13" s="88">
        <v>0</v>
      </c>
      <c r="F13" s="87">
        <f>SUM(F10:F12)</f>
        <v>0</v>
      </c>
      <c r="G13" s="88">
        <v>0</v>
      </c>
      <c r="H13" s="87">
        <f>SUM(H10:H12)</f>
        <v>0</v>
      </c>
      <c r="I13" s="103"/>
      <c r="J13" s="87">
        <f>SUM(J10:J12)</f>
        <v>59326.312763399997</v>
      </c>
      <c r="K13" s="52">
        <f t="shared" si="0"/>
        <v>-0.10971123948460575</v>
      </c>
      <c r="L13" s="87">
        <f>SUM(L10:L12)</f>
        <v>52817.549456075998</v>
      </c>
      <c r="M13" s="52">
        <f t="shared" si="1"/>
        <v>0.12089845168084402</v>
      </c>
      <c r="N13" s="87">
        <f>SUM(N10:N12)</f>
        <v>59203.109406891992</v>
      </c>
      <c r="O13" s="52">
        <f t="shared" si="2"/>
        <v>0.11831531751191417</v>
      </c>
      <c r="P13" s="87">
        <f>SUM(P10:P12)</f>
        <v>66207.74409406101</v>
      </c>
      <c r="Q13" s="103"/>
      <c r="R13" s="103"/>
      <c r="S13" s="103"/>
      <c r="T13" s="103"/>
    </row>
    <row r="14" spans="1:22">
      <c r="A14" t="s">
        <v>305</v>
      </c>
      <c r="B14" s="199">
        <f>+B54</f>
        <v>9257.7749499999991</v>
      </c>
      <c r="C14" s="88">
        <v>0</v>
      </c>
      <c r="D14" s="199">
        <f>+F54</f>
        <v>0</v>
      </c>
      <c r="E14" s="88">
        <v>0</v>
      </c>
      <c r="F14" s="199">
        <f>+J54</f>
        <v>0</v>
      </c>
      <c r="G14" s="88">
        <v>0</v>
      </c>
      <c r="H14" s="199">
        <f>+N54</f>
        <v>0</v>
      </c>
      <c r="I14" s="103"/>
      <c r="J14" s="199">
        <f>+D54</f>
        <v>2494.3072000000002</v>
      </c>
      <c r="K14" s="52">
        <f t="shared" si="0"/>
        <v>-6.4780974051632648E-2</v>
      </c>
      <c r="L14" s="199">
        <f>+H54</f>
        <v>2332.7235499999997</v>
      </c>
      <c r="M14" s="52">
        <f t="shared" si="1"/>
        <v>0.40721520130407246</v>
      </c>
      <c r="N14" s="199">
        <f>+L54</f>
        <v>3282.6440400000001</v>
      </c>
      <c r="O14" s="52">
        <f t="shared" si="2"/>
        <v>0.43592842006713567</v>
      </c>
      <c r="P14" s="199">
        <f>+P54</f>
        <v>4713.6418699999995</v>
      </c>
      <c r="Q14" s="103"/>
      <c r="R14" s="103"/>
      <c r="S14" s="103"/>
      <c r="T14" s="103"/>
    </row>
    <row r="15" spans="1:22">
      <c r="B15" s="24">
        <f>+B13-B14</f>
        <v>65910.800005431985</v>
      </c>
      <c r="C15" s="88">
        <v>0</v>
      </c>
      <c r="D15" s="24">
        <f>+D13-D14</f>
        <v>0</v>
      </c>
      <c r="E15" s="88">
        <v>0</v>
      </c>
      <c r="F15" s="24">
        <f>+F13-F14</f>
        <v>0</v>
      </c>
      <c r="G15" s="88">
        <v>0</v>
      </c>
      <c r="H15" s="24">
        <f>+H13-H14</f>
        <v>0</v>
      </c>
      <c r="I15" s="103"/>
      <c r="J15" s="24">
        <f>+J13-J14</f>
        <v>56832.005563399995</v>
      </c>
      <c r="K15" s="52">
        <f t="shared" si="0"/>
        <v>-0.11168318968161849</v>
      </c>
      <c r="L15" s="24">
        <f>+L13-L14</f>
        <v>50484.825906075996</v>
      </c>
      <c r="M15" s="52">
        <f t="shared" si="1"/>
        <v>0.10766877696931509</v>
      </c>
      <c r="N15" s="24">
        <f>+N13-N14</f>
        <v>55920.465366891993</v>
      </c>
      <c r="O15" s="52">
        <f t="shared" si="2"/>
        <v>9.9670788156010576E-2</v>
      </c>
      <c r="P15" s="24">
        <f>+P13-P14</f>
        <v>61494.102224061011</v>
      </c>
      <c r="Q15" s="103"/>
      <c r="R15" s="103"/>
      <c r="S15" s="103"/>
      <c r="T15" s="103"/>
    </row>
    <row r="16" spans="1:22" ht="9" customHeight="1">
      <c r="B16" s="87"/>
      <c r="C16" s="88" t="s">
        <v>0</v>
      </c>
      <c r="D16" s="103"/>
      <c r="E16" s="88" t="s">
        <v>0</v>
      </c>
      <c r="F16" s="103"/>
      <c r="G16" s="88" t="s">
        <v>0</v>
      </c>
      <c r="H16" s="103"/>
      <c r="I16" s="103"/>
      <c r="J16" s="87"/>
      <c r="K16" s="102"/>
      <c r="L16" s="87"/>
      <c r="M16" s="102"/>
      <c r="N16" s="87"/>
      <c r="O16" s="102"/>
      <c r="P16" s="87"/>
      <c r="Q16" s="103"/>
      <c r="R16" s="103"/>
      <c r="S16" s="103"/>
      <c r="T16" s="103"/>
    </row>
    <row r="17" spans="1:20">
      <c r="A17" t="s">
        <v>306</v>
      </c>
      <c r="B17" s="87"/>
      <c r="C17" s="88" t="s">
        <v>0</v>
      </c>
      <c r="D17" s="103"/>
      <c r="E17" s="88" t="s">
        <v>0</v>
      </c>
      <c r="F17" s="103"/>
      <c r="G17" s="88" t="s">
        <v>0</v>
      </c>
      <c r="H17" s="103"/>
      <c r="I17" s="103"/>
      <c r="J17" s="87"/>
      <c r="K17" s="102"/>
      <c r="L17" s="87"/>
      <c r="M17" s="102"/>
      <c r="N17" s="87"/>
      <c r="O17" s="102" t="s">
        <v>0</v>
      </c>
      <c r="P17" s="87"/>
      <c r="Q17" s="103"/>
      <c r="R17" s="103"/>
      <c r="S17" s="103"/>
      <c r="T17" s="103"/>
    </row>
    <row r="18" spans="1:20">
      <c r="A18" t="s">
        <v>307</v>
      </c>
      <c r="B18" s="87">
        <f>+B58</f>
        <v>25371.921430000002</v>
      </c>
      <c r="C18" s="88">
        <v>0</v>
      </c>
      <c r="D18" s="87">
        <f>+F58</f>
        <v>0</v>
      </c>
      <c r="E18" s="88">
        <v>0</v>
      </c>
      <c r="F18" s="87">
        <f>+J58</f>
        <v>0</v>
      </c>
      <c r="G18" s="88">
        <v>0</v>
      </c>
      <c r="H18" s="87">
        <f>+N58</f>
        <v>0</v>
      </c>
      <c r="I18" s="103"/>
      <c r="J18" s="87">
        <f>+D58</f>
        <v>22713.380980000002</v>
      </c>
      <c r="K18" s="52">
        <f>+(-J18+L18)/ABS(J18)</f>
        <v>-0.147825447605379</v>
      </c>
      <c r="L18" s="87">
        <f>+H58</f>
        <v>19355.76527</v>
      </c>
      <c r="M18" s="52">
        <f>+(-L18+N18)/ABS(L18)</f>
        <v>0.12717628291428446</v>
      </c>
      <c r="N18" s="87">
        <f>+L58</f>
        <v>21817.359550000001</v>
      </c>
      <c r="O18" s="52">
        <f>+(-N18+P18)/ABS(N18)</f>
        <v>0.29764427015642214</v>
      </c>
      <c r="P18" s="87">
        <f>+P58</f>
        <v>28311.171609999998</v>
      </c>
      <c r="Q18" s="103"/>
      <c r="R18" s="103"/>
      <c r="S18" s="103"/>
      <c r="T18" s="103"/>
    </row>
    <row r="19" spans="1:20">
      <c r="A19" t="s">
        <v>308</v>
      </c>
      <c r="B19" s="87">
        <f>+B59</f>
        <v>8947.7318400000004</v>
      </c>
      <c r="C19" s="88">
        <v>0</v>
      </c>
      <c r="D19" s="87">
        <f>+F59</f>
        <v>0</v>
      </c>
      <c r="E19" s="88">
        <v>0</v>
      </c>
      <c r="F19" s="87">
        <f>+J59</f>
        <v>0</v>
      </c>
      <c r="G19" s="88">
        <v>0</v>
      </c>
      <c r="H19" s="87">
        <f>+N59</f>
        <v>0</v>
      </c>
      <c r="I19" s="103"/>
      <c r="J19" s="87">
        <f>+D59</f>
        <v>4504.1293299999998</v>
      </c>
      <c r="K19" s="52">
        <f>+(-J19+L19)/ABS(J19)</f>
        <v>0.51910293836966726</v>
      </c>
      <c r="L19" s="87">
        <f>+H59</f>
        <v>6842.2361000000001</v>
      </c>
      <c r="M19" s="52">
        <f>+(-L19+N19)/ABS(L19)</f>
        <v>-0.34817538816001981</v>
      </c>
      <c r="N19" s="87">
        <f>+L59</f>
        <v>4459.9378900000002</v>
      </c>
      <c r="O19" s="52">
        <f>+(-N19+P19)/ABS(N19)</f>
        <v>3.3843104998935312</v>
      </c>
      <c r="P19" s="87">
        <f>+P59</f>
        <v>19553.752520000002</v>
      </c>
      <c r="Q19" s="103"/>
      <c r="R19" s="103"/>
      <c r="S19" s="103"/>
      <c r="T19" s="103"/>
    </row>
    <row r="20" spans="1:20">
      <c r="A20" t="s">
        <v>274</v>
      </c>
      <c r="B20" s="199">
        <f>+B60</f>
        <v>8097.0782099999997</v>
      </c>
      <c r="C20" s="88">
        <v>0</v>
      </c>
      <c r="D20" s="199">
        <f>+F60</f>
        <v>0</v>
      </c>
      <c r="E20" s="88">
        <v>0</v>
      </c>
      <c r="F20" s="199">
        <f>+J60</f>
        <v>0</v>
      </c>
      <c r="G20" s="88">
        <v>0</v>
      </c>
      <c r="H20" s="199">
        <f>+N60</f>
        <v>0</v>
      </c>
      <c r="I20" s="103"/>
      <c r="J20" s="199">
        <f>+D60</f>
        <v>11595.589214144002</v>
      </c>
      <c r="K20" s="52">
        <f>+(-J20+L20)/ABS(J20)</f>
        <v>-0.21775419270700677</v>
      </c>
      <c r="L20" s="199">
        <f>+H60</f>
        <v>9070.6010458559995</v>
      </c>
      <c r="M20" s="52">
        <f>+(-L20+N20)/ABS(L20)</f>
        <v>-0.4524852997179386</v>
      </c>
      <c r="N20" s="199">
        <f>+L60</f>
        <v>4966.287413</v>
      </c>
      <c r="O20" s="52">
        <f>+(-N20+P20)/ABS(N20)</f>
        <v>0.42060261726539744</v>
      </c>
      <c r="P20" s="199">
        <f>+P60</f>
        <v>7055.1208969999998</v>
      </c>
      <c r="Q20" s="103"/>
      <c r="R20" s="103"/>
      <c r="S20" s="103"/>
      <c r="T20" s="103"/>
    </row>
    <row r="21" spans="1:20">
      <c r="B21" s="24">
        <f>SUM(B18:B20)</f>
        <v>42416.731480000002</v>
      </c>
      <c r="C21" s="88">
        <v>0</v>
      </c>
      <c r="D21" s="24">
        <f>SUM(D18:D20)</f>
        <v>0</v>
      </c>
      <c r="E21" s="88">
        <v>0</v>
      </c>
      <c r="F21" s="24">
        <f>SUM(F18:F20)</f>
        <v>0</v>
      </c>
      <c r="G21" s="88">
        <v>0</v>
      </c>
      <c r="H21" s="24">
        <f>SUM(H18:H20)</f>
        <v>0</v>
      </c>
      <c r="I21" s="103"/>
      <c r="J21" s="24">
        <f>SUM(J18:J20)</f>
        <v>38813.099524144003</v>
      </c>
      <c r="K21" s="52">
        <f>+(-J21+L21)/ABS(J21)</f>
        <v>-9.1322186368628572E-2</v>
      </c>
      <c r="L21" s="24">
        <f>SUM(L18:L20)</f>
        <v>35268.602415855996</v>
      </c>
      <c r="M21" s="52">
        <f>+(-L21+N21)/ABS(L21)</f>
        <v>-0.11412466860457264</v>
      </c>
      <c r="N21" s="24">
        <f>SUM(N18:N20)</f>
        <v>31243.584853</v>
      </c>
      <c r="O21" s="52">
        <f>+(-N21+P21)/ABS(N21)</f>
        <v>0.75780229078695471</v>
      </c>
      <c r="P21" s="24">
        <f>SUM(P18:P20)</f>
        <v>54920.045027</v>
      </c>
      <c r="Q21" s="103"/>
      <c r="R21" s="103"/>
      <c r="S21" s="103"/>
      <c r="T21" s="103"/>
    </row>
    <row r="22" spans="1:20">
      <c r="B22" s="199"/>
      <c r="C22" s="88" t="s">
        <v>0</v>
      </c>
      <c r="D22" s="199"/>
      <c r="E22" s="88" t="s">
        <v>0</v>
      </c>
      <c r="F22" s="300"/>
      <c r="G22" s="88" t="s">
        <v>0</v>
      </c>
      <c r="H22" s="300"/>
      <c r="I22" s="103"/>
      <c r="J22" s="199"/>
      <c r="K22" s="102"/>
      <c r="L22" s="199"/>
      <c r="M22" s="102"/>
      <c r="N22" s="199"/>
      <c r="O22" s="102"/>
      <c r="P22" s="199"/>
      <c r="Q22" s="103"/>
      <c r="R22" s="103"/>
      <c r="S22" s="103"/>
      <c r="T22" s="103"/>
    </row>
    <row r="23" spans="1:20">
      <c r="A23" t="s">
        <v>309</v>
      </c>
      <c r="B23" s="24">
        <f>+B15+B21</f>
        <v>108327.53148543199</v>
      </c>
      <c r="C23" s="88">
        <v>0</v>
      </c>
      <c r="D23" s="24">
        <f>+D15+D21</f>
        <v>0</v>
      </c>
      <c r="E23" s="88">
        <v>0</v>
      </c>
      <c r="F23" s="24">
        <f>+F15+F21</f>
        <v>0</v>
      </c>
      <c r="G23" s="88">
        <v>0</v>
      </c>
      <c r="H23" s="24">
        <f>+H15+H21</f>
        <v>0</v>
      </c>
      <c r="I23" s="103"/>
      <c r="J23" s="24">
        <f>+J15+J21</f>
        <v>95645.105087543998</v>
      </c>
      <c r="K23" s="52">
        <f>+(-J23+L23)/ABS(J23)</f>
        <v>-0.10342062729251174</v>
      </c>
      <c r="L23" s="24">
        <f>+L15+L21</f>
        <v>85753.428321931991</v>
      </c>
      <c r="M23" s="52">
        <f>+(-L23+N23)/ABS(L23)</f>
        <v>1.6449743474561861E-2</v>
      </c>
      <c r="N23" s="24">
        <f>+N15+N21</f>
        <v>87164.050219892</v>
      </c>
      <c r="O23" s="52">
        <f>+(-N23+P23)/ABS(N23)</f>
        <v>0.33557523953256768</v>
      </c>
      <c r="P23" s="24">
        <f>+P15+P21</f>
        <v>116414.14725106102</v>
      </c>
      <c r="Q23" s="103"/>
      <c r="R23" s="103"/>
      <c r="S23" s="103"/>
      <c r="T23" s="103"/>
    </row>
    <row r="24" spans="1:20">
      <c r="B24" s="87"/>
      <c r="C24" s="88" t="s">
        <v>0</v>
      </c>
      <c r="D24" s="87"/>
      <c r="E24" s="88" t="s">
        <v>0</v>
      </c>
      <c r="F24" s="103"/>
      <c r="G24" s="88" t="s">
        <v>0</v>
      </c>
      <c r="H24" s="103"/>
      <c r="I24" s="103"/>
      <c r="J24" s="87"/>
      <c r="K24" s="102"/>
      <c r="L24" s="87"/>
      <c r="M24" s="102"/>
      <c r="N24" s="87"/>
      <c r="O24" s="102"/>
      <c r="P24" s="87"/>
      <c r="Q24" s="103"/>
      <c r="R24" s="103"/>
      <c r="S24" s="103"/>
      <c r="T24" s="103"/>
    </row>
    <row r="25" spans="1:20">
      <c r="A25" t="s">
        <v>310</v>
      </c>
      <c r="B25" s="87">
        <f>+B65</f>
        <v>3811.9420599999999</v>
      </c>
      <c r="C25" s="88">
        <v>0</v>
      </c>
      <c r="D25" s="87">
        <f>+F65</f>
        <v>0</v>
      </c>
      <c r="E25" s="88">
        <v>0</v>
      </c>
      <c r="F25" s="87">
        <f>+J65</f>
        <v>0</v>
      </c>
      <c r="G25" s="88">
        <v>0</v>
      </c>
      <c r="H25" s="87">
        <f>+N65</f>
        <v>0</v>
      </c>
      <c r="I25" s="103"/>
      <c r="J25" s="87">
        <f>+D65</f>
        <v>7042.1881800000001</v>
      </c>
      <c r="K25" s="52">
        <f>+(-J25+L25)/ABS(J25)</f>
        <v>-0.63657928692271903</v>
      </c>
      <c r="L25" s="87">
        <f>+H65</f>
        <v>2559.2770499999997</v>
      </c>
      <c r="M25" s="52">
        <f>+(-L25+N25)/ABS(L25)</f>
        <v>-1.7861855010968817</v>
      </c>
      <c r="N25" s="87">
        <f>+L65</f>
        <v>-2012.066509999999</v>
      </c>
      <c r="O25" s="52">
        <f>+(-N25+P25)/ABS(N25)</f>
        <v>-8.6103589438502244</v>
      </c>
      <c r="P25" s="87">
        <f>+P65</f>
        <v>-19336.681379999998</v>
      </c>
      <c r="Q25" s="103"/>
      <c r="R25" s="103"/>
      <c r="S25" s="103"/>
      <c r="T25" s="103"/>
    </row>
    <row r="26" spans="1:20">
      <c r="B26" s="87"/>
      <c r="C26" s="88" t="s">
        <v>0</v>
      </c>
      <c r="D26" s="87"/>
      <c r="E26" s="88" t="s">
        <v>0</v>
      </c>
      <c r="F26" s="103"/>
      <c r="G26" s="88" t="s">
        <v>0</v>
      </c>
      <c r="H26" s="103"/>
      <c r="I26" s="103"/>
      <c r="J26" s="87"/>
      <c r="K26" s="102"/>
      <c r="L26" s="87"/>
      <c r="M26" s="102"/>
      <c r="N26" s="87"/>
      <c r="O26" s="102"/>
      <c r="P26" s="87"/>
      <c r="Q26" s="103"/>
      <c r="R26" s="103"/>
      <c r="S26" s="103"/>
      <c r="T26" s="103"/>
    </row>
    <row r="27" spans="1:20">
      <c r="A27" t="s">
        <v>311</v>
      </c>
      <c r="B27" s="199"/>
      <c r="C27" s="88" t="s">
        <v>0</v>
      </c>
      <c r="D27" s="199"/>
      <c r="E27" s="88" t="s">
        <v>0</v>
      </c>
      <c r="F27" s="300"/>
      <c r="G27" s="88" t="s">
        <v>0</v>
      </c>
      <c r="H27" s="300"/>
      <c r="I27" s="103"/>
      <c r="J27" s="199"/>
      <c r="K27" s="102"/>
      <c r="L27" s="199"/>
      <c r="M27" s="102"/>
      <c r="N27" s="199"/>
      <c r="O27" s="102"/>
      <c r="P27" s="199"/>
      <c r="Q27" s="103"/>
      <c r="R27" s="103"/>
      <c r="S27" s="103"/>
      <c r="T27" s="103"/>
    </row>
    <row r="28" spans="1:20">
      <c r="A28" t="s">
        <v>312</v>
      </c>
      <c r="B28" s="24">
        <f>+B23-B25</f>
        <v>104515.58942543199</v>
      </c>
      <c r="C28" s="88">
        <v>0</v>
      </c>
      <c r="D28" s="24">
        <f>+D23-D25</f>
        <v>0</v>
      </c>
      <c r="E28" s="88">
        <v>0</v>
      </c>
      <c r="F28" s="24">
        <f>+F23-F25</f>
        <v>0</v>
      </c>
      <c r="G28" s="88">
        <v>0</v>
      </c>
      <c r="H28" s="24">
        <f>+H23-H25</f>
        <v>0</v>
      </c>
      <c r="I28" s="103"/>
      <c r="J28" s="24">
        <f>+J23-J25</f>
        <v>88602.916907544</v>
      </c>
      <c r="K28" s="52">
        <f>+(-J28+L28)/ABS(J28)</f>
        <v>-6.1045006466954023E-2</v>
      </c>
      <c r="L28" s="24">
        <f>+L23-L25</f>
        <v>83194.151271931987</v>
      </c>
      <c r="M28" s="52">
        <f>+(-L28+N28)/ABS(L28)</f>
        <v>7.1903677920904643E-2</v>
      </c>
      <c r="N28" s="24">
        <f>+N23-N25</f>
        <v>89176.116729892005</v>
      </c>
      <c r="O28" s="52">
        <f>+(-N28+P28)/ABS(N28)</f>
        <v>0.52227786552133049</v>
      </c>
      <c r="P28" s="24">
        <f>+P23-P25</f>
        <v>135750.82863106101</v>
      </c>
      <c r="Q28" s="103"/>
      <c r="R28" s="103"/>
      <c r="S28" s="103"/>
      <c r="T28" s="103"/>
    </row>
    <row r="29" spans="1:20">
      <c r="B29" s="87"/>
      <c r="C29" s="88" t="s">
        <v>0</v>
      </c>
      <c r="D29" s="87"/>
      <c r="E29" s="88" t="s">
        <v>0</v>
      </c>
      <c r="F29" s="103"/>
      <c r="G29" s="88" t="s">
        <v>0</v>
      </c>
      <c r="H29" s="103"/>
      <c r="I29" s="103"/>
      <c r="J29" s="87"/>
      <c r="K29" s="102"/>
      <c r="L29" s="87"/>
      <c r="M29" s="102"/>
      <c r="N29" s="87"/>
      <c r="O29" s="102"/>
      <c r="P29" s="87"/>
      <c r="Q29" s="103"/>
      <c r="R29" s="103"/>
      <c r="S29" s="103"/>
      <c r="T29" s="103"/>
    </row>
    <row r="30" spans="1:20">
      <c r="A30" t="s">
        <v>313</v>
      </c>
      <c r="B30" s="87"/>
      <c r="C30" s="88" t="s">
        <v>0</v>
      </c>
      <c r="D30" s="87"/>
      <c r="E30" s="88" t="s">
        <v>0</v>
      </c>
      <c r="F30" s="103"/>
      <c r="G30" s="88" t="s">
        <v>0</v>
      </c>
      <c r="H30" s="103"/>
      <c r="I30" s="103"/>
      <c r="J30" s="87"/>
      <c r="K30" s="102"/>
      <c r="L30" s="87"/>
      <c r="M30" s="102"/>
      <c r="N30" s="87"/>
      <c r="O30" s="102"/>
      <c r="P30" s="87"/>
      <c r="Q30" s="103"/>
      <c r="R30" s="103"/>
      <c r="S30" s="103"/>
      <c r="T30" s="103"/>
    </row>
    <row r="31" spans="1:20">
      <c r="A31" t="s">
        <v>314</v>
      </c>
      <c r="B31" s="87">
        <f>+B71</f>
        <v>43286.630740000001</v>
      </c>
      <c r="C31" s="88">
        <v>0</v>
      </c>
      <c r="D31" s="87">
        <f>+F71</f>
        <v>0</v>
      </c>
      <c r="E31" s="88">
        <v>0</v>
      </c>
      <c r="F31" s="87">
        <f>+J71</f>
        <v>0</v>
      </c>
      <c r="G31" s="88">
        <v>0</v>
      </c>
      <c r="H31" s="87">
        <f>+N71</f>
        <v>0</v>
      </c>
      <c r="I31" s="103"/>
      <c r="J31" s="87">
        <f>+D71</f>
        <v>38672.523289999997</v>
      </c>
      <c r="K31" s="52">
        <f>+(-J31+L31)/ABS(J31)</f>
        <v>0.11337129018249803</v>
      </c>
      <c r="L31" s="87">
        <f>+H71</f>
        <v>43056.87715</v>
      </c>
      <c r="M31" s="52">
        <f>+(-L31+N31)/ABS(L31)</f>
        <v>-0.11079322760405994</v>
      </c>
      <c r="N31" s="87">
        <f>+L71</f>
        <v>38286.466760000003</v>
      </c>
      <c r="O31" s="52">
        <f>+(-N31+P31)/ABS(N31)</f>
        <v>-3.8710617756674698E-2</v>
      </c>
      <c r="P31" s="87">
        <f>+P71</f>
        <v>36804.373980000011</v>
      </c>
      <c r="Q31" s="103"/>
      <c r="R31" s="103"/>
      <c r="S31" s="103"/>
      <c r="T31" s="103"/>
    </row>
    <row r="32" spans="1:20">
      <c r="A32" t="s">
        <v>315</v>
      </c>
      <c r="B32" s="87">
        <f>+B72</f>
        <v>20123.974719999998</v>
      </c>
      <c r="C32" s="88">
        <v>0</v>
      </c>
      <c r="D32" s="87">
        <f>+F72</f>
        <v>0</v>
      </c>
      <c r="E32" s="88">
        <v>0</v>
      </c>
      <c r="F32" s="87">
        <f>+J72</f>
        <v>0</v>
      </c>
      <c r="G32" s="88">
        <v>0</v>
      </c>
      <c r="H32" s="87">
        <f>+N72</f>
        <v>0</v>
      </c>
      <c r="I32" s="103"/>
      <c r="J32" s="87">
        <f>+D72</f>
        <v>12829.7541</v>
      </c>
      <c r="K32" s="52">
        <f>+(-J32+L32)/ABS(J32)</f>
        <v>0.23690107695309054</v>
      </c>
      <c r="L32" s="87">
        <f>+H72</f>
        <v>15869.136663333329</v>
      </c>
      <c r="M32" s="52">
        <f>+(-L32+N32)/ABS(L32)</f>
        <v>5.825006381532892E-2</v>
      </c>
      <c r="N32" s="87">
        <f>+L72</f>
        <v>16793.514886666671</v>
      </c>
      <c r="O32" s="52">
        <f>+(-N32+P32)/ABS(N32)</f>
        <v>0.16820136001284716</v>
      </c>
      <c r="P32" s="87">
        <f>+P72</f>
        <v>19618.20693</v>
      </c>
      <c r="Q32" s="103"/>
      <c r="R32" s="103"/>
      <c r="S32" s="103"/>
      <c r="T32" s="103"/>
    </row>
    <row r="33" spans="1:22">
      <c r="A33" t="s">
        <v>316</v>
      </c>
      <c r="B33" s="87">
        <f>+B73</f>
        <v>5796.6174000000001</v>
      </c>
      <c r="C33" s="88">
        <v>0</v>
      </c>
      <c r="D33" s="87">
        <f>+F73</f>
        <v>0</v>
      </c>
      <c r="E33" s="88">
        <v>0</v>
      </c>
      <c r="F33" s="87">
        <f>+J73</f>
        <v>0</v>
      </c>
      <c r="G33" s="88">
        <v>0</v>
      </c>
      <c r="H33" s="87">
        <f>+N73</f>
        <v>0</v>
      </c>
      <c r="I33" s="103"/>
      <c r="J33" s="87">
        <f>+D73</f>
        <v>6751.5914099999991</v>
      </c>
      <c r="K33" s="52">
        <f>+(-J33+L33)/ABS(J33)</f>
        <v>5.8965592824581262E-2</v>
      </c>
      <c r="L33" s="87">
        <f>+H73</f>
        <v>7149.7029999999995</v>
      </c>
      <c r="M33" s="52">
        <f>+(-L33+N33)/ABS(L33)</f>
        <v>2.0511394968834442E-2</v>
      </c>
      <c r="N33" s="87">
        <f>+L73</f>
        <v>7296.35338214286</v>
      </c>
      <c r="O33" s="52">
        <f>+(-N33+P33)/ABS(N33)</f>
        <v>-0.25414490323673489</v>
      </c>
      <c r="P33" s="87">
        <f>+P73</f>
        <v>5442.0223578571395</v>
      </c>
      <c r="Q33" s="103"/>
      <c r="R33" s="103"/>
      <c r="S33" s="103"/>
      <c r="T33" s="103"/>
    </row>
    <row r="34" spans="1:22">
      <c r="A34" t="s">
        <v>317</v>
      </c>
      <c r="B34" s="199">
        <f>+B74</f>
        <v>21907.940689999999</v>
      </c>
      <c r="C34" s="88">
        <v>0</v>
      </c>
      <c r="D34" s="199">
        <f>+F74</f>
        <v>0</v>
      </c>
      <c r="E34" s="88">
        <v>0</v>
      </c>
      <c r="F34" s="199">
        <f>+J74</f>
        <v>0</v>
      </c>
      <c r="G34" s="88">
        <v>0</v>
      </c>
      <c r="H34" s="199">
        <f>+N74</f>
        <v>0</v>
      </c>
      <c r="I34" s="103"/>
      <c r="J34" s="199">
        <f>+D74</f>
        <v>22547.11765</v>
      </c>
      <c r="K34" s="52">
        <f>+(-J34+L34)/ABS(J34)</f>
        <v>0.26760878819674766</v>
      </c>
      <c r="L34" s="199">
        <f>+H74</f>
        <v>28580.924481646001</v>
      </c>
      <c r="M34" s="52">
        <f>+(-L34+N34)/ABS(L34)</f>
        <v>-0.10611842997729824</v>
      </c>
      <c r="N34" s="199">
        <f>+L74</f>
        <v>25547.961648354001</v>
      </c>
      <c r="O34" s="52">
        <f>+(-N34+P34)/ABS(N34)</f>
        <v>1.4232512406322899</v>
      </c>
      <c r="P34" s="199">
        <f>+P74</f>
        <v>61909.129759999996</v>
      </c>
      <c r="Q34" s="103"/>
      <c r="R34" s="103"/>
      <c r="S34" s="103"/>
      <c r="T34" s="103"/>
    </row>
    <row r="35" spans="1:22">
      <c r="B35" s="24">
        <f>SUM(B31:B34)</f>
        <v>91115.163549999997</v>
      </c>
      <c r="C35" s="88">
        <v>0</v>
      </c>
      <c r="D35" s="24">
        <f>SUM(D31:D34)</f>
        <v>0</v>
      </c>
      <c r="E35" s="88">
        <v>0</v>
      </c>
      <c r="F35" s="24">
        <f>SUM(F31:F34)</f>
        <v>0</v>
      </c>
      <c r="G35" s="88">
        <v>0</v>
      </c>
      <c r="H35" s="24">
        <f>SUM(H31:H34)</f>
        <v>0</v>
      </c>
      <c r="I35" s="103"/>
      <c r="J35" s="24">
        <f>SUM(J31:J34)</f>
        <v>80800.986449999997</v>
      </c>
      <c r="K35" s="52">
        <f>+(-J35+L35)/ABS(J35)</f>
        <v>0.17147878328878166</v>
      </c>
      <c r="L35" s="24">
        <f>SUM(L31:L34)</f>
        <v>94656.64129497933</v>
      </c>
      <c r="M35" s="52">
        <f>+(-L35+N35)/ABS(L35)</f>
        <v>-7.1123848529927494E-2</v>
      </c>
      <c r="N35" s="24">
        <f>SUM(N31:N34)</f>
        <v>87924.29667716354</v>
      </c>
      <c r="O35" s="52">
        <f>+(-N35+P35)/ABS(N35)</f>
        <v>0.40773071500729707</v>
      </c>
      <c r="P35" s="24">
        <f>SUM(P31:P34)</f>
        <v>123773.73302785715</v>
      </c>
      <c r="Q35" s="103"/>
      <c r="R35" s="103"/>
      <c r="S35" s="103"/>
      <c r="T35" s="103"/>
    </row>
    <row r="36" spans="1:22" ht="9" customHeight="1">
      <c r="B36" s="199"/>
      <c r="C36" s="88" t="s">
        <v>0</v>
      </c>
      <c r="D36" s="199"/>
      <c r="E36" s="88">
        <v>0</v>
      </c>
      <c r="F36" s="300"/>
      <c r="G36" s="88" t="s">
        <v>0</v>
      </c>
      <c r="H36" s="300"/>
      <c r="I36" s="103"/>
      <c r="J36" s="199"/>
      <c r="K36" s="102"/>
      <c r="L36" s="199"/>
      <c r="M36" s="102"/>
      <c r="N36" s="199"/>
      <c r="O36" s="102"/>
      <c r="P36" s="199"/>
      <c r="Q36" s="103"/>
      <c r="R36" s="103"/>
      <c r="S36" s="103"/>
      <c r="T36" s="103"/>
    </row>
    <row r="37" spans="1:22" ht="16.899999999999999" customHeight="1">
      <c r="A37" t="s">
        <v>318</v>
      </c>
      <c r="B37" s="24">
        <f>+B28-B35</f>
        <v>13400.425875431989</v>
      </c>
      <c r="C37" s="88">
        <v>0</v>
      </c>
      <c r="D37" s="24">
        <f>+D28-D35</f>
        <v>0</v>
      </c>
      <c r="E37" s="88">
        <v>0</v>
      </c>
      <c r="F37" s="24">
        <f>+F28-F35</f>
        <v>0</v>
      </c>
      <c r="G37" s="88">
        <v>0</v>
      </c>
      <c r="H37" s="24">
        <f>+H28-H35</f>
        <v>0</v>
      </c>
      <c r="I37" s="103"/>
      <c r="J37" s="24">
        <f>+J28-J35</f>
        <v>7801.9304575440037</v>
      </c>
      <c r="K37" s="52">
        <f>+(-J37+L37)/ABS(J37)</f>
        <v>-2.4691863873208195</v>
      </c>
      <c r="L37" s="24">
        <f>+L28-L35</f>
        <v>-11462.490023047343</v>
      </c>
      <c r="M37" s="52">
        <f>+(-L37+N37)/ABS(L37)</f>
        <v>1.1092101323718897</v>
      </c>
      <c r="N37" s="24">
        <f>+N28-N35</f>
        <v>1251.8200527284644</v>
      </c>
      <c r="O37" s="52">
        <f>+(-N37+P37)/ABS(N37)</f>
        <v>8.5677454416060961</v>
      </c>
      <c r="P37" s="24">
        <f>+P28-P35</f>
        <v>11977.095603203867</v>
      </c>
      <c r="Q37" s="103"/>
      <c r="R37" s="103"/>
      <c r="S37" s="103"/>
      <c r="T37" s="103"/>
    </row>
    <row r="38" spans="1:22">
      <c r="B38" s="87"/>
      <c r="C38" s="88" t="s">
        <v>0</v>
      </c>
      <c r="D38" s="87"/>
      <c r="E38" s="88" t="s">
        <v>0</v>
      </c>
      <c r="F38" s="103"/>
      <c r="G38" s="88" t="s">
        <v>0</v>
      </c>
      <c r="H38" s="103"/>
      <c r="I38" s="103"/>
      <c r="J38" s="87"/>
      <c r="K38" s="102"/>
      <c r="L38" s="87"/>
      <c r="M38" s="102"/>
      <c r="N38" s="87"/>
      <c r="O38" s="102"/>
      <c r="P38" s="87"/>
      <c r="Q38" s="103"/>
      <c r="R38" s="103"/>
      <c r="S38" s="103"/>
      <c r="T38" s="103"/>
    </row>
    <row r="39" spans="1:22">
      <c r="A39" t="s">
        <v>319</v>
      </c>
      <c r="B39" s="87">
        <f>+B79</f>
        <v>0</v>
      </c>
      <c r="C39" s="88">
        <v>0</v>
      </c>
      <c r="D39" s="87">
        <f>+F79</f>
        <v>0</v>
      </c>
      <c r="E39" s="88">
        <v>0</v>
      </c>
      <c r="F39" s="87">
        <f>+J79</f>
        <v>0</v>
      </c>
      <c r="G39" s="88">
        <v>0</v>
      </c>
      <c r="H39" s="87">
        <f>+N79</f>
        <v>0</v>
      </c>
      <c r="I39" s="103"/>
      <c r="J39" s="87">
        <f>+D79</f>
        <v>0</v>
      </c>
      <c r="K39" s="88">
        <v>0</v>
      </c>
      <c r="L39" s="87">
        <f>+H79</f>
        <v>0</v>
      </c>
      <c r="M39" s="88">
        <v>0</v>
      </c>
      <c r="N39" s="87">
        <f>+L79</f>
        <v>0</v>
      </c>
      <c r="O39" s="88">
        <v>0</v>
      </c>
      <c r="P39" s="87">
        <f>+P79</f>
        <v>0</v>
      </c>
      <c r="Q39" s="103"/>
      <c r="R39" s="103"/>
      <c r="S39" s="103"/>
      <c r="T39" s="103"/>
    </row>
    <row r="40" spans="1:22">
      <c r="B40" s="199"/>
      <c r="C40" s="88" t="s">
        <v>0</v>
      </c>
      <c r="D40" s="199"/>
      <c r="E40" s="88" t="s">
        <v>0</v>
      </c>
      <c r="F40" s="300"/>
      <c r="G40" s="88" t="s">
        <v>0</v>
      </c>
      <c r="H40" s="300"/>
      <c r="I40" s="103"/>
      <c r="J40" s="199"/>
      <c r="K40" s="102"/>
      <c r="L40" s="199"/>
      <c r="M40" s="102"/>
      <c r="N40" s="199"/>
      <c r="O40" s="102"/>
      <c r="P40" s="199"/>
      <c r="Q40" s="103"/>
      <c r="R40" s="103"/>
      <c r="S40" s="103"/>
      <c r="T40" s="103"/>
    </row>
    <row r="41" spans="1:22">
      <c r="A41" s="11" t="s">
        <v>372</v>
      </c>
      <c r="B41" s="13">
        <f>B37-B39</f>
        <v>13400.425875431989</v>
      </c>
      <c r="C41" s="47">
        <v>0</v>
      </c>
      <c r="D41" s="13">
        <f>+D37-D39</f>
        <v>0</v>
      </c>
      <c r="E41" s="47">
        <v>0</v>
      </c>
      <c r="F41" s="13">
        <f>+F37-F39</f>
        <v>0</v>
      </c>
      <c r="G41" s="47">
        <v>0</v>
      </c>
      <c r="H41" s="13">
        <f>+H37-H39</f>
        <v>0</v>
      </c>
      <c r="I41" s="103"/>
      <c r="J41" s="13">
        <f>+J37-J39</f>
        <v>7801.9304575440037</v>
      </c>
      <c r="K41" s="109">
        <f>+(-J41+L41)/ABS(J41)</f>
        <v>-2.4691863873208195</v>
      </c>
      <c r="L41" s="13">
        <f>+L37-L39</f>
        <v>-11462.490023047343</v>
      </c>
      <c r="M41" s="109">
        <f>+(-L41+N41)/ABS(L41)</f>
        <v>1.1092101323718897</v>
      </c>
      <c r="N41" s="13">
        <f>+N37-N39</f>
        <v>1251.8200527284644</v>
      </c>
      <c r="O41" s="109">
        <f>+(-N41+P41)/ABS(N41)</f>
        <v>8.5677454416060961</v>
      </c>
      <c r="P41" s="13">
        <f>+P37-P39</f>
        <v>11977.095603203867</v>
      </c>
      <c r="Q41" s="103"/>
      <c r="R41" s="103"/>
      <c r="S41" s="103"/>
      <c r="T41" s="103"/>
    </row>
    <row r="42" spans="1:22" ht="5.45" customHeight="1">
      <c r="B42" s="57"/>
      <c r="C42" s="27" t="s">
        <v>0</v>
      </c>
      <c r="G42" s="46"/>
    </row>
    <row r="43" spans="1:22" ht="7.9" customHeight="1" thickBot="1">
      <c r="A43" s="25"/>
      <c r="B43" s="58"/>
      <c r="C43" s="30" t="s">
        <v>0</v>
      </c>
      <c r="D43" s="30"/>
      <c r="E43" s="30"/>
      <c r="F43" s="30"/>
      <c r="G43" s="30"/>
      <c r="H43" s="30"/>
      <c r="I43" s="30"/>
      <c r="J43" s="30"/>
      <c r="K43" s="30"/>
      <c r="L43" s="30"/>
      <c r="M43" s="30"/>
      <c r="N43" s="30"/>
      <c r="O43" s="30"/>
      <c r="P43" s="30"/>
      <c r="Q43" s="30"/>
      <c r="R43" s="30"/>
      <c r="S43" s="30"/>
      <c r="T43" s="30"/>
    </row>
    <row r="44" spans="1:22" ht="7.9" customHeight="1">
      <c r="A44" s="26"/>
      <c r="B44" s="59"/>
      <c r="C44" s="27" t="s">
        <v>0</v>
      </c>
      <c r="D44" s="31"/>
      <c r="E44" s="31"/>
      <c r="F44" s="31"/>
      <c r="G44" s="31"/>
      <c r="H44" s="31"/>
      <c r="I44" s="31"/>
      <c r="J44" s="31"/>
      <c r="K44" s="31"/>
      <c r="L44" s="31"/>
      <c r="M44" s="31"/>
      <c r="N44" s="31"/>
      <c r="O44" s="31"/>
    </row>
    <row r="45" spans="1:22" ht="7.9" customHeight="1">
      <c r="A45" s="26"/>
      <c r="B45" s="59"/>
      <c r="C45" s="27" t="s">
        <v>0</v>
      </c>
      <c r="D45" s="31"/>
      <c r="E45" s="31"/>
      <c r="F45" s="31"/>
      <c r="G45" s="31"/>
      <c r="H45" s="31"/>
      <c r="I45" s="31"/>
      <c r="J45" s="31"/>
      <c r="K45" s="31"/>
      <c r="L45" s="31"/>
      <c r="M45" s="31"/>
      <c r="N45" s="31"/>
      <c r="O45" s="31"/>
    </row>
    <row r="46" spans="1:22" s="11" customFormat="1">
      <c r="B46" s="360" t="str">
        <f>+'BPHRÉSULT  '!B46</f>
        <v xml:space="preserve"> 2015</v>
      </c>
      <c r="C46" s="137" t="s">
        <v>0</v>
      </c>
      <c r="D46" s="360" t="str">
        <f>+'BPHRÉSULT  '!D46</f>
        <v xml:space="preserve"> 2014</v>
      </c>
      <c r="E46" s="137"/>
      <c r="F46" s="360" t="str">
        <f>+'BPHRÉSULT  '!F46</f>
        <v xml:space="preserve"> 2015</v>
      </c>
      <c r="G46" s="137" t="s">
        <v>0</v>
      </c>
      <c r="H46" s="360" t="str">
        <f>+'BPHRÉSULT  '!H46</f>
        <v xml:space="preserve"> 2014</v>
      </c>
      <c r="I46" s="137"/>
      <c r="J46" s="360" t="str">
        <f>+'BPHRÉSULT  '!J46</f>
        <v xml:space="preserve"> 2015</v>
      </c>
      <c r="K46" s="137" t="s">
        <v>0</v>
      </c>
      <c r="L46" s="360" t="str">
        <f>+'BPHRÉSULT  '!L46</f>
        <v xml:space="preserve"> 2014</v>
      </c>
      <c r="M46" s="137"/>
      <c r="N46" s="360" t="str">
        <f>+'BPHRÉSULT  '!N46</f>
        <v xml:space="preserve"> 2015</v>
      </c>
      <c r="O46" s="137" t="s">
        <v>0</v>
      </c>
      <c r="P46" s="360" t="str">
        <f>+'BPHRÉSULT  '!P46</f>
        <v xml:space="preserve"> 2014</v>
      </c>
      <c r="Q46" s="137"/>
      <c r="R46" s="1024" t="str">
        <f>+'BPHRÉSULT  '!R46</f>
        <v xml:space="preserve"> 2014 (oct.-déc. 14)</v>
      </c>
      <c r="S46" s="137"/>
      <c r="T46" s="1024" t="str">
        <f>+'BPHRÉSULT  '!T46</f>
        <v xml:space="preserve"> 2013 (oct. -déc. 13)</v>
      </c>
      <c r="U46" s="360" t="str">
        <f>+'BPHRÉSULT  '!U46</f>
        <v>2014</v>
      </c>
    </row>
    <row r="47" spans="1:22" ht="16.5" thickBot="1">
      <c r="B47" s="301"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57" t="s">
        <v>0</v>
      </c>
      <c r="F48" s="27" t="s">
        <v>0</v>
      </c>
    </row>
    <row r="49" spans="1:21">
      <c r="A49" t="s">
        <v>301</v>
      </c>
      <c r="B49" s="135" t="s">
        <v>0</v>
      </c>
      <c r="C49" s="102" t="s">
        <v>0</v>
      </c>
      <c r="D49" s="135" t="s">
        <v>0</v>
      </c>
      <c r="E49" s="103" t="s">
        <v>0</v>
      </c>
      <c r="F49" s="135" t="s">
        <v>0</v>
      </c>
      <c r="G49" s="102" t="s">
        <v>0</v>
      </c>
      <c r="H49" s="135" t="s">
        <v>0</v>
      </c>
      <c r="I49" s="103" t="s">
        <v>0</v>
      </c>
      <c r="J49" s="135" t="s">
        <v>0</v>
      </c>
      <c r="K49" s="102" t="s">
        <v>0</v>
      </c>
      <c r="L49" s="135" t="s">
        <v>0</v>
      </c>
      <c r="M49" s="103" t="s">
        <v>0</v>
      </c>
      <c r="N49" s="135" t="s">
        <v>0</v>
      </c>
      <c r="O49" s="102" t="s">
        <v>0</v>
      </c>
      <c r="P49" s="135" t="s">
        <v>0</v>
      </c>
      <c r="Q49" s="103"/>
      <c r="R49" s="135" t="s">
        <v>0</v>
      </c>
      <c r="S49" s="102" t="s">
        <v>0</v>
      </c>
      <c r="T49" s="135" t="s">
        <v>0</v>
      </c>
      <c r="U49" s="135" t="s">
        <v>0</v>
      </c>
    </row>
    <row r="50" spans="1:21">
      <c r="A50" t="s">
        <v>302</v>
      </c>
      <c r="B50" s="87">
        <v>72251.401149999991</v>
      </c>
      <c r="C50" s="102">
        <f t="shared" ref="C50:C55" si="3">+(B50-D50)/ABS(D50)</f>
        <v>0.22121372506066123</v>
      </c>
      <c r="D50" s="87">
        <v>59163.600659999996</v>
      </c>
      <c r="E50" s="103"/>
      <c r="F50" s="87">
        <v>0</v>
      </c>
      <c r="G50" s="88">
        <v>0</v>
      </c>
      <c r="H50" s="87">
        <v>52695.710059999998</v>
      </c>
      <c r="I50" s="103"/>
      <c r="J50" s="87">
        <v>0</v>
      </c>
      <c r="K50" s="88">
        <v>0</v>
      </c>
      <c r="L50" s="87">
        <v>59172.344399999994</v>
      </c>
      <c r="M50" s="103"/>
      <c r="N50" s="87">
        <v>0</v>
      </c>
      <c r="O50" s="88">
        <v>0</v>
      </c>
      <c r="P50" s="87">
        <v>66191.385420000006</v>
      </c>
      <c r="Q50" s="103"/>
      <c r="R50" s="87">
        <f>+B50+F50+J50+N50</f>
        <v>72251.401149999991</v>
      </c>
      <c r="S50" s="102">
        <f t="shared" ref="S50:S55" si="4">+(R50-T50)/ABS(T50)</f>
        <v>0.22121372506066123</v>
      </c>
      <c r="T50" s="91">
        <f>+D50</f>
        <v>59163.600659999996</v>
      </c>
      <c r="U50" s="87">
        <f>+D50+H50+L50+P50</f>
        <v>237223.04053999999</v>
      </c>
    </row>
    <row r="51" spans="1:21">
      <c r="A51" t="s">
        <v>322</v>
      </c>
      <c r="B51" s="87">
        <v>2800.0285699999999</v>
      </c>
      <c r="C51" s="102">
        <f t="shared" si="3"/>
        <v>33.675276408668729</v>
      </c>
      <c r="D51" s="87">
        <v>80.75</v>
      </c>
      <c r="E51" s="103"/>
      <c r="F51" s="87">
        <v>0</v>
      </c>
      <c r="G51" s="88">
        <v>0</v>
      </c>
      <c r="H51" s="87">
        <v>99.714290000000005</v>
      </c>
      <c r="I51" s="103"/>
      <c r="J51" s="87">
        <v>0</v>
      </c>
      <c r="K51" s="88">
        <v>0</v>
      </c>
      <c r="L51" s="87">
        <v>10.28571</v>
      </c>
      <c r="M51" s="103"/>
      <c r="N51" s="87">
        <v>0</v>
      </c>
      <c r="O51" s="88">
        <v>0</v>
      </c>
      <c r="P51" s="87">
        <v>0</v>
      </c>
      <c r="Q51" s="103"/>
      <c r="R51" s="87">
        <f>+B51+F51+J51+N51</f>
        <v>2800.0285699999999</v>
      </c>
      <c r="S51" s="102">
        <f t="shared" si="4"/>
        <v>33.675276408668729</v>
      </c>
      <c r="T51" s="91">
        <f>+D51</f>
        <v>80.75</v>
      </c>
      <c r="U51" s="87">
        <f>+D51+H51+L51+P51</f>
        <v>190.75</v>
      </c>
    </row>
    <row r="52" spans="1:21">
      <c r="A52" t="s">
        <v>304</v>
      </c>
      <c r="B52" s="199">
        <v>117.14523543200001</v>
      </c>
      <c r="C52" s="102">
        <f t="shared" si="3"/>
        <v>0.4292609702839813</v>
      </c>
      <c r="D52" s="199">
        <v>81.962103400000004</v>
      </c>
      <c r="E52" s="103"/>
      <c r="F52" s="199">
        <v>0</v>
      </c>
      <c r="G52" s="88">
        <v>0</v>
      </c>
      <c r="H52" s="199">
        <v>22.125106076000009</v>
      </c>
      <c r="I52" s="103"/>
      <c r="J52" s="199">
        <v>0</v>
      </c>
      <c r="K52" s="88">
        <v>0</v>
      </c>
      <c r="L52" s="199">
        <v>20.479296892000022</v>
      </c>
      <c r="M52" s="103"/>
      <c r="N52" s="199">
        <v>0</v>
      </c>
      <c r="O52" s="88">
        <v>0</v>
      </c>
      <c r="P52" s="199">
        <v>16.358674060999999</v>
      </c>
      <c r="Q52" s="103"/>
      <c r="R52" s="199">
        <f>+B52+F52+J52+N52</f>
        <v>117.14523543200001</v>
      </c>
      <c r="S52" s="102">
        <f t="shared" si="4"/>
        <v>0.4292609702839813</v>
      </c>
      <c r="T52" s="199">
        <f>+D52</f>
        <v>81.962103400000004</v>
      </c>
      <c r="U52" s="199">
        <f>+D52+H52+L52+P52</f>
        <v>140.92518042900002</v>
      </c>
    </row>
    <row r="53" spans="1:21">
      <c r="B53" s="87">
        <f>SUM(B50:B52)</f>
        <v>75168.574955431992</v>
      </c>
      <c r="C53" s="102">
        <f t="shared" si="3"/>
        <v>0.26703601579307173</v>
      </c>
      <c r="D53" s="87">
        <f>SUM(D50:D52)</f>
        <v>59326.312763399997</v>
      </c>
      <c r="E53" s="103"/>
      <c r="F53" s="87">
        <f>SUM(F50:F52)</f>
        <v>0</v>
      </c>
      <c r="G53" s="88">
        <v>0</v>
      </c>
      <c r="H53" s="87">
        <f>SUM(H50:H52)</f>
        <v>52817.549456075998</v>
      </c>
      <c r="I53" s="103"/>
      <c r="J53" s="87">
        <f>SUM(J50:J52)</f>
        <v>0</v>
      </c>
      <c r="K53" s="88">
        <v>0</v>
      </c>
      <c r="L53" s="87">
        <f>SUM(L50:L52)</f>
        <v>59203.109406891992</v>
      </c>
      <c r="M53" s="103"/>
      <c r="N53" s="87">
        <f>SUM(N50:N52)</f>
        <v>0</v>
      </c>
      <c r="O53" s="88">
        <v>0</v>
      </c>
      <c r="P53" s="87">
        <f>SUM(P50:P52)</f>
        <v>66207.74409406101</v>
      </c>
      <c r="Q53" s="103"/>
      <c r="R53" s="87">
        <f>SUM(R50:R52)</f>
        <v>75168.574955431992</v>
      </c>
      <c r="S53" s="102">
        <f t="shared" si="4"/>
        <v>0.26703601579307173</v>
      </c>
      <c r="T53" s="87">
        <f>SUM(T50:T52)</f>
        <v>59326.312763399997</v>
      </c>
      <c r="U53" s="87">
        <f>SUM(U50:U52)</f>
        <v>237554.715720429</v>
      </c>
    </row>
    <row r="54" spans="1:21">
      <c r="A54" t="s">
        <v>305</v>
      </c>
      <c r="B54" s="199">
        <v>9257.7749499999991</v>
      </c>
      <c r="C54" s="102">
        <f t="shared" si="3"/>
        <v>2.7115616512673331</v>
      </c>
      <c r="D54" s="199">
        <v>2494.3072000000002</v>
      </c>
      <c r="E54" s="103" t="s">
        <v>0</v>
      </c>
      <c r="F54" s="199">
        <v>0</v>
      </c>
      <c r="G54" s="88">
        <v>0</v>
      </c>
      <c r="H54" s="199">
        <v>2332.7235499999997</v>
      </c>
      <c r="I54" s="103"/>
      <c r="J54" s="199">
        <v>0</v>
      </c>
      <c r="K54" s="88">
        <v>0</v>
      </c>
      <c r="L54" s="199">
        <v>3282.6440400000001</v>
      </c>
      <c r="M54" s="103" t="s">
        <v>0</v>
      </c>
      <c r="N54" s="199">
        <v>0</v>
      </c>
      <c r="O54" s="88">
        <v>0</v>
      </c>
      <c r="P54" s="199">
        <v>4713.6418699999995</v>
      </c>
      <c r="Q54" s="103"/>
      <c r="R54" s="199">
        <f>+B54+F54+J54+N54</f>
        <v>9257.7749499999991</v>
      </c>
      <c r="S54" s="102">
        <f t="shared" si="4"/>
        <v>2.7115616512673331</v>
      </c>
      <c r="T54" s="199">
        <f>+D54</f>
        <v>2494.3072000000002</v>
      </c>
      <c r="U54" s="199">
        <f>+D54+H54+L54+P54</f>
        <v>12823.31666</v>
      </c>
    </row>
    <row r="55" spans="1:21">
      <c r="B55" s="24">
        <f>+B53-B54</f>
        <v>65910.800005431985</v>
      </c>
      <c r="C55" s="102">
        <f t="shared" si="3"/>
        <v>0.15974791584477824</v>
      </c>
      <c r="D55" s="24">
        <f>+D53-D54</f>
        <v>56832.005563399995</v>
      </c>
      <c r="E55" s="105" t="s">
        <v>0</v>
      </c>
      <c r="F55" s="24">
        <f>+F53-F54</f>
        <v>0</v>
      </c>
      <c r="G55" s="88">
        <v>0</v>
      </c>
      <c r="H55" s="24">
        <f>+H53-H54</f>
        <v>50484.825906075996</v>
      </c>
      <c r="I55" s="105"/>
      <c r="J55" s="24">
        <f>+J53-J54</f>
        <v>0</v>
      </c>
      <c r="K55" s="88">
        <v>0</v>
      </c>
      <c r="L55" s="24">
        <f>+L53-L54</f>
        <v>55920.465366891993</v>
      </c>
      <c r="M55" s="105" t="s">
        <v>0</v>
      </c>
      <c r="N55" s="24">
        <f>+N53-N54</f>
        <v>0</v>
      </c>
      <c r="O55" s="88">
        <v>0</v>
      </c>
      <c r="P55" s="24">
        <f>+P53-P54</f>
        <v>61494.102224061011</v>
      </c>
      <c r="Q55" s="105"/>
      <c r="R55" s="24">
        <f>+R53-R54</f>
        <v>65910.800005431985</v>
      </c>
      <c r="S55" s="102">
        <f t="shared" si="4"/>
        <v>0.15974791584477824</v>
      </c>
      <c r="T55" s="24">
        <f>+T53-T54</f>
        <v>56832.005563399995</v>
      </c>
      <c r="U55" s="24">
        <f>+U53-U54</f>
        <v>224731.39906042899</v>
      </c>
    </row>
    <row r="56" spans="1:21">
      <c r="B56" s="87"/>
      <c r="C56" s="102" t="s">
        <v>0</v>
      </c>
      <c r="D56" s="87"/>
      <c r="E56" s="103" t="s">
        <v>0</v>
      </c>
      <c r="F56" s="87"/>
      <c r="G56" s="88" t="s">
        <v>0</v>
      </c>
      <c r="H56" s="87"/>
      <c r="I56" s="103"/>
      <c r="J56" s="87"/>
      <c r="K56" s="88" t="s">
        <v>0</v>
      </c>
      <c r="L56" s="87"/>
      <c r="M56" s="103" t="s">
        <v>0</v>
      </c>
      <c r="N56" s="87"/>
      <c r="O56" s="88" t="s">
        <v>0</v>
      </c>
      <c r="P56" s="87"/>
      <c r="Q56" s="103"/>
      <c r="R56" s="87"/>
      <c r="S56" s="88"/>
      <c r="T56" s="87"/>
      <c r="U56" s="87"/>
    </row>
    <row r="57" spans="1:21">
      <c r="A57" t="s">
        <v>306</v>
      </c>
      <c r="B57" s="87"/>
      <c r="C57" s="102" t="s">
        <v>0</v>
      </c>
      <c r="D57" s="87"/>
      <c r="E57" s="103" t="s">
        <v>0</v>
      </c>
      <c r="F57" s="87"/>
      <c r="G57" s="88" t="s">
        <v>0</v>
      </c>
      <c r="H57" s="87"/>
      <c r="I57" s="103"/>
      <c r="J57" s="87"/>
      <c r="K57" s="88" t="s">
        <v>0</v>
      </c>
      <c r="L57" s="87"/>
      <c r="M57" s="103" t="s">
        <v>0</v>
      </c>
      <c r="N57" s="87"/>
      <c r="O57" s="88" t="s">
        <v>0</v>
      </c>
      <c r="P57" s="87"/>
      <c r="Q57" s="103"/>
      <c r="R57" s="87"/>
      <c r="S57" s="88" t="s">
        <v>0</v>
      </c>
      <c r="T57" s="87"/>
      <c r="U57" s="87"/>
    </row>
    <row r="58" spans="1:21">
      <c r="A58" t="s">
        <v>307</v>
      </c>
      <c r="B58" s="87">
        <v>25371.921430000002</v>
      </c>
      <c r="C58" s="102">
        <f>+(B58-D58)/ABS(D58)</f>
        <v>0.11704732344079231</v>
      </c>
      <c r="D58" s="87">
        <v>22713.380980000002</v>
      </c>
      <c r="E58" s="103" t="s">
        <v>0</v>
      </c>
      <c r="F58" s="87">
        <v>0</v>
      </c>
      <c r="G58" s="88">
        <v>0</v>
      </c>
      <c r="H58" s="87">
        <v>19355.76527</v>
      </c>
      <c r="I58" s="103"/>
      <c r="J58" s="87">
        <v>0</v>
      </c>
      <c r="K58" s="88">
        <v>0</v>
      </c>
      <c r="L58" s="87">
        <v>21817.359550000001</v>
      </c>
      <c r="M58" s="103" t="s">
        <v>0</v>
      </c>
      <c r="N58" s="87">
        <v>0</v>
      </c>
      <c r="O58" s="88">
        <v>0</v>
      </c>
      <c r="P58" s="87">
        <v>28311.171609999998</v>
      </c>
      <c r="Q58" s="103"/>
      <c r="R58" s="87">
        <f>+B58+F58+J58+N58</f>
        <v>25371.921430000002</v>
      </c>
      <c r="S58" s="102">
        <f>+(R58-T58)/ABS(T58)</f>
        <v>0.11704732344079231</v>
      </c>
      <c r="T58" s="91">
        <f>+D58</f>
        <v>22713.380980000002</v>
      </c>
      <c r="U58" s="87">
        <f>+D58+H58+L58+P58</f>
        <v>92197.677410000004</v>
      </c>
    </row>
    <row r="59" spans="1:21">
      <c r="A59" t="s">
        <v>308</v>
      </c>
      <c r="B59" s="87">
        <v>8947.7318400000004</v>
      </c>
      <c r="C59" s="102">
        <f>+(B59-D59)/ABS(D59)</f>
        <v>0.98656192671980869</v>
      </c>
      <c r="D59" s="87">
        <v>4504.1293299999998</v>
      </c>
      <c r="E59" s="103" t="s">
        <v>0</v>
      </c>
      <c r="F59" s="87">
        <v>0</v>
      </c>
      <c r="G59" s="88">
        <v>0</v>
      </c>
      <c r="H59" s="87">
        <v>6842.2361000000001</v>
      </c>
      <c r="I59" s="103"/>
      <c r="J59" s="87">
        <v>0</v>
      </c>
      <c r="K59" s="88">
        <v>0</v>
      </c>
      <c r="L59" s="87">
        <v>4459.9378900000002</v>
      </c>
      <c r="M59" s="103" t="s">
        <v>0</v>
      </c>
      <c r="N59" s="87">
        <v>0</v>
      </c>
      <c r="O59" s="88">
        <v>0</v>
      </c>
      <c r="P59" s="87">
        <v>19553.752520000002</v>
      </c>
      <c r="Q59" s="103"/>
      <c r="R59" s="87">
        <f>+B59+F59+J59+N59</f>
        <v>8947.7318400000004</v>
      </c>
      <c r="S59" s="102">
        <f>+(R59-T59)/ABS(T59)</f>
        <v>0.98656192671980869</v>
      </c>
      <c r="T59" s="91">
        <f>+D59</f>
        <v>4504.1293299999998</v>
      </c>
      <c r="U59" s="87">
        <f>+D59+H59+L59+P59</f>
        <v>35360.055840000001</v>
      </c>
    </row>
    <row r="60" spans="1:21">
      <c r="A60" t="s">
        <v>274</v>
      </c>
      <c r="B60" s="199">
        <v>8097.0782099999997</v>
      </c>
      <c r="C60" s="102">
        <f>+(B60-D60)/ABS(D60)</f>
        <v>-0.30171049866759753</v>
      </c>
      <c r="D60" s="199">
        <v>11595.589214144002</v>
      </c>
      <c r="E60" s="103" t="s">
        <v>0</v>
      </c>
      <c r="F60" s="199">
        <v>0</v>
      </c>
      <c r="G60" s="88">
        <v>0</v>
      </c>
      <c r="H60" s="199">
        <v>9070.6010458559995</v>
      </c>
      <c r="I60" s="103"/>
      <c r="J60" s="199">
        <v>0</v>
      </c>
      <c r="K60" s="88">
        <v>0</v>
      </c>
      <c r="L60" s="199">
        <v>4966.287413</v>
      </c>
      <c r="M60" s="103" t="s">
        <v>0</v>
      </c>
      <c r="N60" s="199">
        <v>0</v>
      </c>
      <c r="O60" s="88">
        <v>0</v>
      </c>
      <c r="P60" s="199">
        <v>7055.1208969999998</v>
      </c>
      <c r="Q60" s="103"/>
      <c r="R60" s="199">
        <f>+B60+F60+J60+N60</f>
        <v>8097.0782099999997</v>
      </c>
      <c r="S60" s="102">
        <f>+(R60-T60)/ABS(T60)</f>
        <v>-0.30171049866759753</v>
      </c>
      <c r="T60" s="199">
        <f>+D60</f>
        <v>11595.589214144002</v>
      </c>
      <c r="U60" s="199">
        <f>+D60+H60+L60+P60</f>
        <v>32687.598570000002</v>
      </c>
    </row>
    <row r="61" spans="1:21">
      <c r="B61" s="24">
        <f>SUM(B58:B60)</f>
        <v>42416.731480000002</v>
      </c>
      <c r="C61" s="102">
        <f>+(B61-D61)/ABS(D61)</f>
        <v>9.2845765992337986E-2</v>
      </c>
      <c r="D61" s="24">
        <f>SUM(D58:D60)</f>
        <v>38813.099524144003</v>
      </c>
      <c r="E61" s="103" t="s">
        <v>0</v>
      </c>
      <c r="F61" s="24">
        <f>SUM(F58:F60)</f>
        <v>0</v>
      </c>
      <c r="G61" s="88">
        <v>0</v>
      </c>
      <c r="H61" s="24">
        <f>SUM(H58:H60)</f>
        <v>35268.602415855996</v>
      </c>
      <c r="I61" s="103"/>
      <c r="J61" s="24">
        <f>SUM(J58:J60)</f>
        <v>0</v>
      </c>
      <c r="K61" s="88">
        <v>0</v>
      </c>
      <c r="L61" s="24">
        <f>SUM(L58:L60)</f>
        <v>31243.584853</v>
      </c>
      <c r="M61" s="103" t="s">
        <v>0</v>
      </c>
      <c r="N61" s="24">
        <f>SUM(N58:N60)</f>
        <v>0</v>
      </c>
      <c r="O61" s="88">
        <v>0</v>
      </c>
      <c r="P61" s="24">
        <f>SUM(P58:P60)</f>
        <v>54920.045027</v>
      </c>
      <c r="Q61" s="103"/>
      <c r="R61" s="24">
        <f>SUM(R58:R60)</f>
        <v>42416.731480000002</v>
      </c>
      <c r="S61" s="102">
        <f>+(R61-T61)/ABS(T61)</f>
        <v>9.2845765992337986E-2</v>
      </c>
      <c r="T61" s="24">
        <f>SUM(T58:T60)</f>
        <v>38813.099524144003</v>
      </c>
      <c r="U61" s="87">
        <f>SUM(U58:U60)</f>
        <v>160245.33182000002</v>
      </c>
    </row>
    <row r="62" spans="1:21">
      <c r="B62" s="199"/>
      <c r="C62" s="102" t="s">
        <v>0</v>
      </c>
      <c r="D62" s="199"/>
      <c r="E62" s="103" t="s">
        <v>0</v>
      </c>
      <c r="F62" s="199"/>
      <c r="G62" s="88" t="s">
        <v>0</v>
      </c>
      <c r="H62" s="199"/>
      <c r="I62" s="103"/>
      <c r="J62" s="199"/>
      <c r="K62" s="88" t="s">
        <v>0</v>
      </c>
      <c r="L62" s="199"/>
      <c r="M62" s="103" t="s">
        <v>0</v>
      </c>
      <c r="N62" s="199"/>
      <c r="O62" s="88" t="s">
        <v>0</v>
      </c>
      <c r="P62" s="199"/>
      <c r="Q62" s="103"/>
      <c r="R62" s="199"/>
      <c r="S62" s="88"/>
      <c r="T62" s="199"/>
      <c r="U62" s="199"/>
    </row>
    <row r="63" spans="1:21">
      <c r="A63" t="s">
        <v>309</v>
      </c>
      <c r="B63" s="24">
        <f>+B55+B61</f>
        <v>108327.53148543199</v>
      </c>
      <c r="C63" s="102">
        <f>+(B63-D63)/ABS(D63)</f>
        <v>0.13259880248215275</v>
      </c>
      <c r="D63" s="24">
        <f>+D55+D61</f>
        <v>95645.105087543998</v>
      </c>
      <c r="E63" s="103" t="s">
        <v>0</v>
      </c>
      <c r="F63" s="24">
        <f>+F55+F61</f>
        <v>0</v>
      </c>
      <c r="G63" s="88">
        <v>0</v>
      </c>
      <c r="H63" s="24">
        <f>+H55+H61</f>
        <v>85753.428321931991</v>
      </c>
      <c r="I63" s="103"/>
      <c r="J63" s="24">
        <f>+J55+J61</f>
        <v>0</v>
      </c>
      <c r="K63" s="88">
        <v>0</v>
      </c>
      <c r="L63" s="24">
        <f>+L55+L61</f>
        <v>87164.050219892</v>
      </c>
      <c r="M63" s="103" t="s">
        <v>0</v>
      </c>
      <c r="N63" s="24">
        <f>+N55+N61</f>
        <v>0</v>
      </c>
      <c r="O63" s="88">
        <v>0</v>
      </c>
      <c r="P63" s="24">
        <f>+P55+P61</f>
        <v>116414.14725106102</v>
      </c>
      <c r="Q63" s="103"/>
      <c r="R63" s="24">
        <f>+R55+R61</f>
        <v>108327.53148543199</v>
      </c>
      <c r="S63" s="102">
        <f>+(R63-T63)/ABS(T63)</f>
        <v>0.13259880248215275</v>
      </c>
      <c r="T63" s="24">
        <f>+T55+T61</f>
        <v>95645.105087543998</v>
      </c>
      <c r="U63" s="87">
        <f>+U55+U61</f>
        <v>384976.73088042904</v>
      </c>
    </row>
    <row r="64" spans="1:21">
      <c r="B64" s="87"/>
      <c r="C64" s="102" t="s">
        <v>0</v>
      </c>
      <c r="D64" s="87"/>
      <c r="E64" s="103" t="s">
        <v>0</v>
      </c>
      <c r="F64" s="87"/>
      <c r="G64" s="88" t="s">
        <v>0</v>
      </c>
      <c r="H64" s="87"/>
      <c r="I64" s="103"/>
      <c r="J64" s="87"/>
      <c r="K64" s="88" t="s">
        <v>0</v>
      </c>
      <c r="L64" s="87"/>
      <c r="M64" s="103" t="s">
        <v>0</v>
      </c>
      <c r="N64" s="87"/>
      <c r="O64" s="88" t="s">
        <v>0</v>
      </c>
      <c r="P64" s="87"/>
      <c r="Q64" s="103"/>
      <c r="R64" s="87"/>
      <c r="S64" s="88"/>
      <c r="T64" s="87"/>
      <c r="U64" s="87"/>
    </row>
    <row r="65" spans="1:21">
      <c r="A65" t="s">
        <v>310</v>
      </c>
      <c r="B65" s="87">
        <v>3811.9420599999999</v>
      </c>
      <c r="C65" s="102">
        <f>+(B65-D65)/ABS(D65)</f>
        <v>-0.45869920505305217</v>
      </c>
      <c r="D65" s="87">
        <v>7042.1881800000001</v>
      </c>
      <c r="E65" s="103" t="s">
        <v>0</v>
      </c>
      <c r="F65" s="87">
        <v>0</v>
      </c>
      <c r="G65" s="88">
        <v>0</v>
      </c>
      <c r="H65" s="87">
        <v>2559.2770499999997</v>
      </c>
      <c r="I65" s="103"/>
      <c r="J65" s="87">
        <v>0</v>
      </c>
      <c r="K65" s="88">
        <v>0</v>
      </c>
      <c r="L65" s="87">
        <v>-2012.066509999999</v>
      </c>
      <c r="M65" s="103" t="s">
        <v>0</v>
      </c>
      <c r="N65" s="87">
        <v>0</v>
      </c>
      <c r="O65" s="88">
        <v>0</v>
      </c>
      <c r="P65" s="87">
        <v>-19336.681379999998</v>
      </c>
      <c r="Q65" s="103"/>
      <c r="R65" s="87">
        <f>+B65+F65+J65+N65</f>
        <v>3811.9420599999999</v>
      </c>
      <c r="S65" s="102">
        <f>+(R65-T65)/ABS(T65)</f>
        <v>-0.45869920505305217</v>
      </c>
      <c r="T65" s="91">
        <f>+D65</f>
        <v>7042.1881800000001</v>
      </c>
      <c r="U65" s="87">
        <f>+D65+H65+L65+P65</f>
        <v>-11747.282659999997</v>
      </c>
    </row>
    <row r="66" spans="1:21">
      <c r="B66" s="87"/>
      <c r="C66" s="102" t="s">
        <v>0</v>
      </c>
      <c r="D66" s="87"/>
      <c r="E66" s="103" t="s">
        <v>0</v>
      </c>
      <c r="F66" s="87"/>
      <c r="G66" s="88" t="s">
        <v>0</v>
      </c>
      <c r="H66" s="87"/>
      <c r="I66" s="103"/>
      <c r="J66" s="87"/>
      <c r="K66" s="88" t="s">
        <v>0</v>
      </c>
      <c r="L66" s="87"/>
      <c r="M66" s="103" t="s">
        <v>0</v>
      </c>
      <c r="N66" s="87"/>
      <c r="O66" s="88" t="s">
        <v>0</v>
      </c>
      <c r="P66" s="87"/>
      <c r="Q66" s="103"/>
      <c r="R66" s="87"/>
      <c r="S66" s="88"/>
      <c r="T66" s="87"/>
      <c r="U66" s="87"/>
    </row>
    <row r="67" spans="1:21">
      <c r="A67" t="s">
        <v>311</v>
      </c>
      <c r="B67" s="199"/>
      <c r="C67" s="102" t="s">
        <v>0</v>
      </c>
      <c r="D67" s="199"/>
      <c r="E67" s="103" t="s">
        <v>0</v>
      </c>
      <c r="F67" s="199"/>
      <c r="G67" s="88" t="s">
        <v>0</v>
      </c>
      <c r="H67" s="199"/>
      <c r="I67" s="103"/>
      <c r="J67" s="199"/>
      <c r="K67" s="88" t="s">
        <v>0</v>
      </c>
      <c r="L67" s="199"/>
      <c r="M67" s="103" t="s">
        <v>0</v>
      </c>
      <c r="N67" s="199"/>
      <c r="O67" s="88" t="s">
        <v>0</v>
      </c>
      <c r="P67" s="199"/>
      <c r="Q67" s="103"/>
      <c r="R67" s="199"/>
      <c r="S67" s="88"/>
      <c r="T67" s="199"/>
      <c r="U67" s="199"/>
    </row>
    <row r="68" spans="1:21">
      <c r="A68" t="s">
        <v>312</v>
      </c>
      <c r="B68" s="24">
        <f>+B63-B65</f>
        <v>104515.58942543199</v>
      </c>
      <c r="C68" s="102">
        <f>+(B68-D68)/ABS(D68)</f>
        <v>0.17959535727805276</v>
      </c>
      <c r="D68" s="24">
        <f>+D63-D65</f>
        <v>88602.916907544</v>
      </c>
      <c r="E68" s="103" t="s">
        <v>0</v>
      </c>
      <c r="F68" s="24">
        <f>+F63-F65</f>
        <v>0</v>
      </c>
      <c r="G68" s="88">
        <v>0</v>
      </c>
      <c r="H68" s="24">
        <f>+H63-H65</f>
        <v>83194.151271931987</v>
      </c>
      <c r="I68" s="103"/>
      <c r="J68" s="24">
        <f>+J63-J65</f>
        <v>0</v>
      </c>
      <c r="K68" s="88">
        <v>0</v>
      </c>
      <c r="L68" s="24">
        <f>+L63-L65</f>
        <v>89176.116729892005</v>
      </c>
      <c r="M68" s="103" t="s">
        <v>0</v>
      </c>
      <c r="N68" s="24">
        <f>+N63-N65</f>
        <v>0</v>
      </c>
      <c r="O68" s="88">
        <v>0</v>
      </c>
      <c r="P68" s="24">
        <f>+P63-P65</f>
        <v>135750.82863106101</v>
      </c>
      <c r="Q68" s="103"/>
      <c r="R68" s="24">
        <f>+R63-R65</f>
        <v>104515.58942543199</v>
      </c>
      <c r="S68" s="102">
        <f>+(R68-T68)/ABS(T68)</f>
        <v>0.17959535727805276</v>
      </c>
      <c r="T68" s="24">
        <f>+T63-T65</f>
        <v>88602.916907544</v>
      </c>
      <c r="U68" s="87">
        <f>+U63-U65</f>
        <v>396724.01354042906</v>
      </c>
    </row>
    <row r="69" spans="1:21">
      <c r="B69" s="87"/>
      <c r="C69" s="102" t="s">
        <v>0</v>
      </c>
      <c r="D69" s="87"/>
      <c r="E69" s="103" t="s">
        <v>0</v>
      </c>
      <c r="F69" s="87"/>
      <c r="G69" s="88" t="s">
        <v>0</v>
      </c>
      <c r="H69" s="87"/>
      <c r="I69" s="103"/>
      <c r="J69" s="87"/>
      <c r="K69" s="88" t="s">
        <v>0</v>
      </c>
      <c r="L69" s="87"/>
      <c r="M69" s="103" t="s">
        <v>0</v>
      </c>
      <c r="N69" s="87"/>
      <c r="O69" s="88" t="s">
        <v>0</v>
      </c>
      <c r="P69" s="87"/>
      <c r="Q69" s="103"/>
      <c r="R69" s="87"/>
      <c r="S69" s="88"/>
      <c r="T69" s="87"/>
      <c r="U69" s="87"/>
    </row>
    <row r="70" spans="1:21">
      <c r="A70" t="s">
        <v>313</v>
      </c>
      <c r="B70" s="87"/>
      <c r="C70" s="102" t="s">
        <v>0</v>
      </c>
      <c r="D70" s="87"/>
      <c r="E70" s="103" t="s">
        <v>0</v>
      </c>
      <c r="F70" s="87"/>
      <c r="G70" s="88" t="s">
        <v>0</v>
      </c>
      <c r="H70" s="87"/>
      <c r="I70" s="103"/>
      <c r="J70" s="87"/>
      <c r="K70" s="88" t="s">
        <v>0</v>
      </c>
      <c r="L70" s="87"/>
      <c r="M70" s="103" t="s">
        <v>0</v>
      </c>
      <c r="N70" s="87"/>
      <c r="O70" s="88" t="s">
        <v>0</v>
      </c>
      <c r="P70" s="87"/>
      <c r="Q70" s="103"/>
      <c r="R70" s="87"/>
      <c r="S70" s="88"/>
      <c r="T70" s="87"/>
      <c r="U70" s="87"/>
    </row>
    <row r="71" spans="1:21">
      <c r="A71" t="s">
        <v>314</v>
      </c>
      <c r="B71" s="87">
        <v>43286.630740000001</v>
      </c>
      <c r="C71" s="102">
        <f>+(B71-D71)/ABS(D71)</f>
        <v>0.11931229352166753</v>
      </c>
      <c r="D71" s="87">
        <v>38672.523289999997</v>
      </c>
      <c r="E71" s="103" t="s">
        <v>0</v>
      </c>
      <c r="F71" s="87">
        <v>0</v>
      </c>
      <c r="G71" s="88">
        <v>0</v>
      </c>
      <c r="H71" s="87">
        <v>43056.87715</v>
      </c>
      <c r="I71" s="103"/>
      <c r="J71" s="87">
        <v>0</v>
      </c>
      <c r="K71" s="88">
        <v>0</v>
      </c>
      <c r="L71" s="87">
        <v>38286.466760000003</v>
      </c>
      <c r="M71" s="103" t="s">
        <v>0</v>
      </c>
      <c r="N71" s="87">
        <v>0</v>
      </c>
      <c r="O71" s="88">
        <v>0</v>
      </c>
      <c r="P71" s="87">
        <v>36804.373980000011</v>
      </c>
      <c r="Q71" s="103"/>
      <c r="R71" s="87">
        <f>+B71+F71+J71+N71</f>
        <v>43286.630740000001</v>
      </c>
      <c r="S71" s="102">
        <f>+(R71-T71)/ABS(T71)</f>
        <v>0.11931229352166753</v>
      </c>
      <c r="T71" s="91">
        <f>+D71</f>
        <v>38672.523289999997</v>
      </c>
      <c r="U71" s="87">
        <f>+D71+H71+L71+P71</f>
        <v>156820.24118000001</v>
      </c>
    </row>
    <row r="72" spans="1:21">
      <c r="A72" t="s">
        <v>315</v>
      </c>
      <c r="B72" s="87">
        <v>20123.974719999998</v>
      </c>
      <c r="C72" s="102">
        <f>+(B72-D72)/ABS(D72)</f>
        <v>0.56853939390779107</v>
      </c>
      <c r="D72" s="87">
        <v>12829.7541</v>
      </c>
      <c r="E72" s="103" t="s">
        <v>0</v>
      </c>
      <c r="F72" s="87">
        <v>0</v>
      </c>
      <c r="G72" s="88">
        <v>0</v>
      </c>
      <c r="H72" s="87">
        <v>15869.136663333329</v>
      </c>
      <c r="I72" s="103"/>
      <c r="J72" s="87">
        <v>0</v>
      </c>
      <c r="K72" s="88">
        <v>0</v>
      </c>
      <c r="L72" s="87">
        <v>16793.514886666671</v>
      </c>
      <c r="M72" s="103" t="s">
        <v>0</v>
      </c>
      <c r="N72" s="87">
        <v>0</v>
      </c>
      <c r="O72" s="88">
        <v>0</v>
      </c>
      <c r="P72" s="87">
        <v>19618.20693</v>
      </c>
      <c r="Q72" s="103"/>
      <c r="R72" s="87">
        <f>+B72+F72+J72+N72</f>
        <v>20123.974719999998</v>
      </c>
      <c r="S72" s="102">
        <f>+(R72-T72)/ABS(T72)</f>
        <v>0.56853939390779107</v>
      </c>
      <c r="T72" s="91">
        <f>+D72</f>
        <v>12829.7541</v>
      </c>
      <c r="U72" s="87">
        <f>+D72+H72+L72+P72</f>
        <v>65110.612580000001</v>
      </c>
    </row>
    <row r="73" spans="1:21">
      <c r="A73" t="s">
        <v>316</v>
      </c>
      <c r="B73" s="87">
        <v>5796.6174000000001</v>
      </c>
      <c r="C73" s="102">
        <f>+(B73-D73)/ABS(D73)</f>
        <v>-0.14144428357817332</v>
      </c>
      <c r="D73" s="87">
        <v>6751.5914099999991</v>
      </c>
      <c r="E73" s="103" t="s">
        <v>0</v>
      </c>
      <c r="F73" s="87">
        <v>0</v>
      </c>
      <c r="G73" s="88">
        <v>0</v>
      </c>
      <c r="H73" s="87">
        <v>7149.7029999999995</v>
      </c>
      <c r="I73" s="103"/>
      <c r="J73" s="87">
        <v>0</v>
      </c>
      <c r="K73" s="88">
        <v>0</v>
      </c>
      <c r="L73" s="87">
        <v>7296.35338214286</v>
      </c>
      <c r="M73" s="103" t="s">
        <v>0</v>
      </c>
      <c r="N73" s="87">
        <v>0</v>
      </c>
      <c r="O73" s="88">
        <v>0</v>
      </c>
      <c r="P73" s="87">
        <v>5442.0223578571395</v>
      </c>
      <c r="Q73" s="103"/>
      <c r="R73" s="87">
        <f>+B73+F73+J73+N73</f>
        <v>5796.6174000000001</v>
      </c>
      <c r="S73" s="102">
        <f>+(R73-T73)/ABS(T73)</f>
        <v>-0.14144428357817332</v>
      </c>
      <c r="T73" s="91">
        <f>+D73</f>
        <v>6751.5914099999991</v>
      </c>
      <c r="U73" s="87">
        <f>+D73+H73+L73+P73</f>
        <v>26639.670149999998</v>
      </c>
    </row>
    <row r="74" spans="1:21">
      <c r="A74" t="s">
        <v>317</v>
      </c>
      <c r="B74" s="199">
        <v>21907.940689999999</v>
      </c>
      <c r="C74" s="102">
        <f>+(B74-D74)/ABS(D74)</f>
        <v>-2.8348499791502203E-2</v>
      </c>
      <c r="D74" s="199">
        <v>22547.11765</v>
      </c>
      <c r="E74" s="103" t="s">
        <v>0</v>
      </c>
      <c r="F74" s="199">
        <v>0</v>
      </c>
      <c r="G74" s="88">
        <v>0</v>
      </c>
      <c r="H74" s="199">
        <v>28580.924481646001</v>
      </c>
      <c r="I74" s="103"/>
      <c r="J74" s="199">
        <v>0</v>
      </c>
      <c r="K74" s="88">
        <v>0</v>
      </c>
      <c r="L74" s="199">
        <v>25547.961648354001</v>
      </c>
      <c r="M74" s="103" t="s">
        <v>0</v>
      </c>
      <c r="N74" s="199">
        <v>0</v>
      </c>
      <c r="O74" s="88">
        <v>0</v>
      </c>
      <c r="P74" s="199">
        <v>61909.129759999996</v>
      </c>
      <c r="Q74" s="103"/>
      <c r="R74" s="199">
        <f>+B74+F74+J74+N74</f>
        <v>21907.940689999999</v>
      </c>
      <c r="S74" s="102">
        <f>+(R74-T74)/ABS(T74)</f>
        <v>-2.8348499791502203E-2</v>
      </c>
      <c r="T74" s="199">
        <f>+D74</f>
        <v>22547.11765</v>
      </c>
      <c r="U74" s="199">
        <f>+D74+H74+L74+P74</f>
        <v>138585.13354000001</v>
      </c>
    </row>
    <row r="75" spans="1:21">
      <c r="B75" s="24">
        <f>SUM(B71:B74)</f>
        <v>91115.163549999997</v>
      </c>
      <c r="C75" s="102">
        <f>+(B75-D75)/ABS(D75)</f>
        <v>0.12764914827348622</v>
      </c>
      <c r="D75" s="24">
        <f>SUM(D71:D74)</f>
        <v>80800.986449999997</v>
      </c>
      <c r="E75" s="103" t="s">
        <v>0</v>
      </c>
      <c r="F75" s="24">
        <f>SUM(F71:F74)</f>
        <v>0</v>
      </c>
      <c r="G75" s="88">
        <v>0</v>
      </c>
      <c r="H75" s="24">
        <f>SUM(H71:H74)</f>
        <v>94656.64129497933</v>
      </c>
      <c r="I75" s="103"/>
      <c r="J75" s="24">
        <f>SUM(J71:J74)</f>
        <v>0</v>
      </c>
      <c r="K75" s="88">
        <v>0</v>
      </c>
      <c r="L75" s="24">
        <f>SUM(L71:L74)</f>
        <v>87924.29667716354</v>
      </c>
      <c r="M75" s="103" t="s">
        <v>0</v>
      </c>
      <c r="N75" s="24">
        <f>SUM(N71:N74)</f>
        <v>0</v>
      </c>
      <c r="O75" s="88">
        <v>0</v>
      </c>
      <c r="P75" s="24">
        <f>SUM(P71:P74)</f>
        <v>123773.73302785715</v>
      </c>
      <c r="Q75" s="103"/>
      <c r="R75" s="24">
        <f>SUM(R71:R74)</f>
        <v>91115.163549999997</v>
      </c>
      <c r="S75" s="102">
        <f>+(R75-T75)/ABS(T75)</f>
        <v>0.12764914827348622</v>
      </c>
      <c r="T75" s="24">
        <f>SUM(T71:T74)</f>
        <v>80800.986449999997</v>
      </c>
      <c r="U75" s="87">
        <f>SUM(U71:U74)</f>
        <v>387155.65745000006</v>
      </c>
    </row>
    <row r="76" spans="1:21">
      <c r="B76" s="199"/>
      <c r="C76" s="102"/>
      <c r="D76" s="199"/>
      <c r="E76" s="103"/>
      <c r="F76" s="199"/>
      <c r="G76" s="88"/>
      <c r="H76" s="199"/>
      <c r="I76" s="103"/>
      <c r="J76" s="199"/>
      <c r="K76" s="88"/>
      <c r="L76" s="199"/>
      <c r="M76" s="103"/>
      <c r="N76" s="199"/>
      <c r="O76" s="88"/>
      <c r="P76" s="199"/>
      <c r="Q76" s="103"/>
      <c r="R76" s="199"/>
      <c r="S76" s="88"/>
      <c r="T76" s="199"/>
      <c r="U76" s="199"/>
    </row>
    <row r="77" spans="1:21">
      <c r="A77" t="s">
        <v>318</v>
      </c>
      <c r="B77" s="24">
        <f>+B68-B75</f>
        <v>13400.425875431989</v>
      </c>
      <c r="C77" s="102">
        <f>+(B77-D77)/ABS(D77)</f>
        <v>0.71757822610102506</v>
      </c>
      <c r="D77" s="24">
        <f>+D68-D75</f>
        <v>7801.9304575440037</v>
      </c>
      <c r="E77" s="103" t="s">
        <v>0</v>
      </c>
      <c r="F77" s="24">
        <f>+F68-F75</f>
        <v>0</v>
      </c>
      <c r="G77" s="88">
        <v>0</v>
      </c>
      <c r="H77" s="24">
        <f>+H68-H75</f>
        <v>-11462.490023047343</v>
      </c>
      <c r="I77" s="103"/>
      <c r="J77" s="24">
        <f>+J68-J75</f>
        <v>0</v>
      </c>
      <c r="K77" s="88">
        <v>0</v>
      </c>
      <c r="L77" s="24">
        <f>+L68-L75</f>
        <v>1251.8200527284644</v>
      </c>
      <c r="M77" s="103" t="s">
        <v>0</v>
      </c>
      <c r="N77" s="24">
        <f>+N68-N75</f>
        <v>0</v>
      </c>
      <c r="O77" s="88">
        <v>0</v>
      </c>
      <c r="P77" s="24">
        <f>+P68-P75</f>
        <v>11977.095603203867</v>
      </c>
      <c r="Q77" s="103"/>
      <c r="R77" s="24">
        <f>+R68-R75</f>
        <v>13400.425875431989</v>
      </c>
      <c r="S77" s="102">
        <f>+(R77-T77)/ABS(T77)</f>
        <v>0.71757822610102506</v>
      </c>
      <c r="T77" s="24">
        <f>+T68-T75</f>
        <v>7801.9304575440037</v>
      </c>
      <c r="U77" s="87">
        <f>+U68-U75</f>
        <v>9568.3560904290061</v>
      </c>
    </row>
    <row r="78" spans="1:21">
      <c r="B78" s="87"/>
      <c r="C78" s="102" t="s">
        <v>0</v>
      </c>
      <c r="D78" s="87"/>
      <c r="E78" s="103" t="s">
        <v>0</v>
      </c>
      <c r="F78" s="87"/>
      <c r="G78" s="88" t="s">
        <v>0</v>
      </c>
      <c r="H78" s="87"/>
      <c r="I78" s="103"/>
      <c r="J78" s="87"/>
      <c r="K78" s="88" t="s">
        <v>0</v>
      </c>
      <c r="L78" s="87"/>
      <c r="M78" s="103" t="s">
        <v>0</v>
      </c>
      <c r="N78" s="87"/>
      <c r="O78" s="88" t="s">
        <v>0</v>
      </c>
      <c r="P78" s="87"/>
      <c r="Q78" s="103"/>
      <c r="R78" s="87"/>
      <c r="S78" s="88"/>
      <c r="T78" s="87"/>
      <c r="U78" s="87"/>
    </row>
    <row r="79" spans="1:21">
      <c r="A79" t="s">
        <v>319</v>
      </c>
      <c r="B79" s="87">
        <v>0</v>
      </c>
      <c r="C79" s="88">
        <v>0</v>
      </c>
      <c r="D79" s="87">
        <v>0</v>
      </c>
      <c r="E79" s="103" t="s">
        <v>0</v>
      </c>
      <c r="F79" s="87">
        <v>0</v>
      </c>
      <c r="G79" s="88">
        <v>0</v>
      </c>
      <c r="H79" s="87">
        <v>0</v>
      </c>
      <c r="I79" s="103"/>
      <c r="J79" s="87">
        <v>0</v>
      </c>
      <c r="K79" s="88">
        <v>0</v>
      </c>
      <c r="L79" s="87">
        <v>0</v>
      </c>
      <c r="M79" s="103" t="s">
        <v>0</v>
      </c>
      <c r="N79" s="87">
        <v>0</v>
      </c>
      <c r="O79" s="88">
        <v>0</v>
      </c>
      <c r="P79" s="87">
        <v>0</v>
      </c>
      <c r="Q79" s="103"/>
      <c r="R79" s="87">
        <f>+B79+F79+J79+N79</f>
        <v>0</v>
      </c>
      <c r="S79" s="88">
        <v>0</v>
      </c>
      <c r="T79" s="91">
        <f>+D79+H79+L79+P79</f>
        <v>0</v>
      </c>
      <c r="U79" s="87">
        <f>+D79+H79+L79+P79</f>
        <v>0</v>
      </c>
    </row>
    <row r="80" spans="1:21" ht="16.5" thickBot="1">
      <c r="B80" s="97"/>
      <c r="C80" s="102" t="s">
        <v>0</v>
      </c>
      <c r="D80" s="97"/>
      <c r="E80" s="103" t="s">
        <v>0</v>
      </c>
      <c r="F80" s="97"/>
      <c r="G80" s="88" t="s">
        <v>0</v>
      </c>
      <c r="H80" s="97"/>
      <c r="I80" s="103"/>
      <c r="J80" s="97"/>
      <c r="K80" s="88" t="s">
        <v>0</v>
      </c>
      <c r="L80" s="97"/>
      <c r="M80" s="103" t="s">
        <v>0</v>
      </c>
      <c r="N80" s="97"/>
      <c r="O80" s="88" t="s">
        <v>0</v>
      </c>
      <c r="P80" s="97"/>
      <c r="Q80" s="103"/>
      <c r="R80" s="97"/>
      <c r="S80" s="88"/>
      <c r="T80" s="97" t="s">
        <v>0</v>
      </c>
      <c r="U80" s="97"/>
    </row>
    <row r="81" spans="1:21">
      <c r="A81" s="11" t="s">
        <v>372</v>
      </c>
      <c r="B81" s="13">
        <f>+B77-B79</f>
        <v>13400.425875431989</v>
      </c>
      <c r="C81" s="109">
        <f>+(B81-D81)/ABS(D81)</f>
        <v>0.71757822610102506</v>
      </c>
      <c r="D81" s="13">
        <f>+D77-D79</f>
        <v>7801.9304575440037</v>
      </c>
      <c r="E81" s="103" t="s">
        <v>0</v>
      </c>
      <c r="F81" s="13">
        <f>+F77-F79</f>
        <v>0</v>
      </c>
      <c r="G81" s="47">
        <v>0</v>
      </c>
      <c r="H81" s="13">
        <f>+H77-H79</f>
        <v>-11462.490023047343</v>
      </c>
      <c r="I81" s="103"/>
      <c r="J81" s="13">
        <f>+J77-J79</f>
        <v>0</v>
      </c>
      <c r="K81" s="47">
        <v>0</v>
      </c>
      <c r="L81" s="13">
        <f>+L77-L79</f>
        <v>1251.8200527284644</v>
      </c>
      <c r="M81" s="103" t="s">
        <v>0</v>
      </c>
      <c r="N81" s="13">
        <f>+N77-N79</f>
        <v>0</v>
      </c>
      <c r="O81" s="47">
        <v>0</v>
      </c>
      <c r="P81" s="13">
        <f>+P77-P79</f>
        <v>11977.095603203867</v>
      </c>
      <c r="Q81" s="103"/>
      <c r="R81" s="13">
        <f>+R77-R79</f>
        <v>13400.425875431989</v>
      </c>
      <c r="S81" s="109">
        <f>+(R81-T81)/ABS(T81)</f>
        <v>0.71757822610102506</v>
      </c>
      <c r="T81" s="13">
        <f>+T77-T79</f>
        <v>7801.9304575440037</v>
      </c>
      <c r="U81" s="13">
        <f>+U77-U79</f>
        <v>9568.3560904290061</v>
      </c>
    </row>
    <row r="82" spans="1:21">
      <c r="B82" s="57"/>
      <c r="D82" s="12"/>
      <c r="H82" s="12"/>
      <c r="L82" s="12"/>
    </row>
    <row r="83" spans="1:21">
      <c r="B83" s="57"/>
      <c r="D83" s="12"/>
      <c r="F83" s="27" t="s">
        <v>0</v>
      </c>
      <c r="H83" s="12"/>
      <c r="N83" s="27" t="s">
        <v>0</v>
      </c>
    </row>
    <row r="84" spans="1:21">
      <c r="B84"/>
      <c r="C84"/>
      <c r="D84"/>
      <c r="E84"/>
      <c r="F84"/>
      <c r="G84"/>
      <c r="H84"/>
      <c r="M84" s="27" t="s">
        <v>0</v>
      </c>
    </row>
    <row r="85" spans="1:21">
      <c r="B85"/>
      <c r="C85"/>
      <c r="D85"/>
      <c r="E85"/>
      <c r="F85"/>
      <c r="G85"/>
      <c r="H85"/>
      <c r="M85" s="27" t="s">
        <v>0</v>
      </c>
    </row>
    <row r="86" spans="1:21">
      <c r="B86"/>
      <c r="C86"/>
      <c r="D86"/>
      <c r="E86"/>
      <c r="F86"/>
      <c r="G86"/>
      <c r="H86"/>
      <c r="M86" s="27"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19" spans="2:8">
      <c r="B119"/>
      <c r="C119"/>
      <c r="D119"/>
      <c r="E119"/>
      <c r="F119"/>
      <c r="G119"/>
      <c r="H119"/>
    </row>
    <row r="120" spans="2:8">
      <c r="B120" s="57" t="s">
        <v>0</v>
      </c>
      <c r="H120" s="12"/>
    </row>
    <row r="121" spans="2:8">
      <c r="B121" s="57"/>
      <c r="H121" s="12"/>
    </row>
    <row r="122" spans="2:8">
      <c r="B122" s="57"/>
      <c r="H122" s="12"/>
    </row>
    <row r="123" spans="2:8">
      <c r="B123" s="57"/>
      <c r="H123" s="12"/>
    </row>
    <row r="124" spans="2:8">
      <c r="B124" s="57"/>
      <c r="H124" s="12"/>
    </row>
    <row r="125" spans="2:8">
      <c r="B125" s="57"/>
      <c r="H125" s="12"/>
    </row>
    <row r="126" spans="2:8">
      <c r="B126" s="57"/>
      <c r="H126" s="12"/>
    </row>
    <row r="127" spans="2:8">
      <c r="B127" s="57"/>
      <c r="H127" s="12"/>
    </row>
  </sheetData>
  <phoneticPr fontId="0" type="noConversion"/>
  <pageMargins left="0.22" right="0.2" top="0.55000000000000004" bottom="0.48" header="0.31" footer="0.27"/>
  <pageSetup scale="44" orientation="landscape" r:id="rId1"/>
  <headerFooter alignWithMargins="0">
    <oddFooter>&amp;R&amp;16&amp;P</oddFooter>
  </headerFooter>
</worksheet>
</file>

<file path=xl/worksheets/sheet83.xml><?xml version="1.0" encoding="utf-8"?>
<worksheet xmlns="http://schemas.openxmlformats.org/spreadsheetml/2006/main" xmlns:r="http://schemas.openxmlformats.org/officeDocument/2006/relationships">
  <dimension ref="A1:N44"/>
  <sheetViews>
    <sheetView showWhiteSpace="0" workbookViewId="0">
      <selection activeCell="C12" sqref="C12"/>
    </sheetView>
  </sheetViews>
  <sheetFormatPr baseColWidth="10" defaultColWidth="9" defaultRowHeight="15.75"/>
  <cols>
    <col min="1" max="1" width="50" customWidth="1"/>
    <col min="2" max="2" width="15.75" customWidth="1"/>
    <col min="3" max="3" width="9.875" customWidth="1"/>
    <col min="4" max="4" width="15.875" customWidth="1"/>
    <col min="5" max="5" width="6.125" customWidth="1"/>
    <col min="6" max="6" width="16" customWidth="1"/>
    <col min="7" max="7" width="9.875" customWidth="1"/>
    <col min="8" max="8" width="16" customWidth="1"/>
    <col min="10" max="10" width="15.875" customWidth="1"/>
    <col min="12" max="12" width="15.875" customWidth="1"/>
  </cols>
  <sheetData>
    <row r="1" spans="1:14">
      <c r="A1" s="111" t="s">
        <v>400</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7" spans="1:14" ht="16.5" thickBot="1">
      <c r="B7" s="111" t="str">
        <f>+'BPHVARAN    '!B8</f>
        <v xml:space="preserve">     CUMUL (Octobre - Décembre )</v>
      </c>
      <c r="C7" s="39"/>
      <c r="D7" s="39"/>
      <c r="F7" s="111" t="s">
        <v>214</v>
      </c>
      <c r="G7" s="111"/>
      <c r="H7" s="111"/>
      <c r="I7" s="111"/>
      <c r="J7" s="111"/>
      <c r="K7" s="111"/>
      <c r="L7" s="111"/>
    </row>
    <row r="8" spans="1:14" ht="16.5" thickBot="1">
      <c r="B8" s="203" t="str">
        <f>+'BPHVARAN    '!B9</f>
        <v xml:space="preserve"> 2015</v>
      </c>
      <c r="C8" s="203" t="s">
        <v>196</v>
      </c>
      <c r="D8" s="203" t="str">
        <f>+'BPHVARAN    '!D9</f>
        <v xml:space="preserve"> 2014</v>
      </c>
      <c r="E8" s="11"/>
      <c r="F8" s="203" t="str">
        <f>+'BPHVARAN    '!F9</f>
        <v>2014</v>
      </c>
      <c r="G8" s="203" t="s">
        <v>196</v>
      </c>
      <c r="H8" s="203" t="str">
        <f>+'BPHVARAN    '!H9</f>
        <v>2013</v>
      </c>
      <c r="I8" s="203" t="s">
        <v>196</v>
      </c>
      <c r="J8" s="203" t="str">
        <f>+'BPHVARAN    '!J9</f>
        <v>2012</v>
      </c>
      <c r="K8" s="203" t="s">
        <v>196</v>
      </c>
      <c r="L8" s="203" t="str">
        <f>+'BPHVARAN    '!L9</f>
        <v>2011</v>
      </c>
    </row>
    <row r="9" spans="1:14">
      <c r="A9" t="s">
        <v>300</v>
      </c>
    </row>
    <row r="10" spans="1:14">
      <c r="A10" t="s">
        <v>301</v>
      </c>
      <c r="B10" s="87" t="str">
        <f>+buhrésult!R49</f>
        <v xml:space="preserve"> </v>
      </c>
      <c r="C10" s="102" t="s">
        <v>0</v>
      </c>
      <c r="D10" s="106" t="str">
        <f>+buhrésult!T49</f>
        <v xml:space="preserve"> </v>
      </c>
      <c r="E10" s="87" t="s">
        <v>0</v>
      </c>
      <c r="F10" s="106" t="str">
        <f>+buhrésult!T49</f>
        <v xml:space="preserve"> </v>
      </c>
      <c r="G10" s="102" t="s">
        <v>0</v>
      </c>
      <c r="H10" s="106"/>
      <c r="J10" s="106"/>
      <c r="L10" s="106"/>
      <c r="M10" s="64"/>
      <c r="N10" s="64"/>
    </row>
    <row r="11" spans="1:14">
      <c r="A11" t="s">
        <v>302</v>
      </c>
      <c r="B11" s="87">
        <f>+buhrésult!R50</f>
        <v>72251.401149999991</v>
      </c>
      <c r="C11" s="102">
        <f t="shared" ref="C11:C16" si="0">+(B11-D11)/ABS(D11)</f>
        <v>0.22121372506066123</v>
      </c>
      <c r="D11" s="302">
        <f>+buhrésult!T50</f>
        <v>59163.600659999996</v>
      </c>
      <c r="E11" s="87"/>
      <c r="F11" s="302">
        <f>+buhrésult!U50</f>
        <v>237223.04053999999</v>
      </c>
      <c r="G11" s="102">
        <f t="shared" ref="G11:G16" si="1">+(F11-H11)/ABS(H11)</f>
        <v>0.2287071058160059</v>
      </c>
      <c r="H11" s="302">
        <v>193067.2</v>
      </c>
      <c r="I11" s="102">
        <f t="shared" ref="I11:I16" si="2">+(H11-J11)/ABS(J11)</f>
        <v>7.5918954201302041E-2</v>
      </c>
      <c r="J11" s="302">
        <v>179443.99923999998</v>
      </c>
      <c r="K11" s="102">
        <f t="shared" ref="K11:K16" si="3">+(J11-L11)/ABS(L11)</f>
        <v>-0.11780558859438639</v>
      </c>
      <c r="L11" s="302">
        <v>203406.41123999999</v>
      </c>
      <c r="M11" s="64"/>
      <c r="N11" s="64"/>
    </row>
    <row r="12" spans="1:14">
      <c r="A12" t="s">
        <v>322</v>
      </c>
      <c r="B12" s="87">
        <f>+buhrésult!R51</f>
        <v>2800.0285699999999</v>
      </c>
      <c r="C12" s="102">
        <f t="shared" si="0"/>
        <v>33.675276408668729</v>
      </c>
      <c r="D12" s="302">
        <f>+buhrésult!T51</f>
        <v>80.75</v>
      </c>
      <c r="E12" s="87"/>
      <c r="F12" s="302">
        <f>+buhrésult!U51</f>
        <v>190.75</v>
      </c>
      <c r="G12" s="88">
        <v>0</v>
      </c>
      <c r="H12" s="302">
        <v>0</v>
      </c>
      <c r="I12" s="88">
        <v>0</v>
      </c>
      <c r="J12" s="302">
        <v>700.27200000000005</v>
      </c>
      <c r="K12" s="102">
        <f t="shared" si="3"/>
        <v>-0.61045908500918089</v>
      </c>
      <c r="L12" s="302">
        <v>1797.6853599999999</v>
      </c>
      <c r="M12" s="64"/>
      <c r="N12" s="64"/>
    </row>
    <row r="13" spans="1:14">
      <c r="A13" t="s">
        <v>304</v>
      </c>
      <c r="B13" s="199">
        <f>+buhrésult!R52</f>
        <v>117.14523543200001</v>
      </c>
      <c r="C13" s="102">
        <f t="shared" si="0"/>
        <v>0.4292609702839813</v>
      </c>
      <c r="D13" s="303">
        <f>+buhrésult!T52</f>
        <v>81.962103400000004</v>
      </c>
      <c r="E13" s="87"/>
      <c r="F13" s="303">
        <f>+buhrésult!U52</f>
        <v>140.92518042900002</v>
      </c>
      <c r="G13" s="102">
        <f t="shared" si="1"/>
        <v>-0.97417249827193764</v>
      </c>
      <c r="H13" s="303">
        <v>5456.4</v>
      </c>
      <c r="I13" s="102">
        <f t="shared" si="2"/>
        <v>48.577463969702535</v>
      </c>
      <c r="J13" s="303">
        <v>110.05807</v>
      </c>
      <c r="K13" s="102">
        <f t="shared" si="3"/>
        <v>5.7378792878519302</v>
      </c>
      <c r="L13" s="303">
        <v>16.33422999999857</v>
      </c>
      <c r="M13" s="64"/>
      <c r="N13" s="64"/>
    </row>
    <row r="14" spans="1:14">
      <c r="B14" s="87">
        <f>SUM(B11:B13)</f>
        <v>75168.574955431992</v>
      </c>
      <c r="C14" s="102">
        <f t="shared" si="0"/>
        <v>0.26703601579307173</v>
      </c>
      <c r="D14" s="302">
        <f>SUM(D11:D13)</f>
        <v>59326.312763399997</v>
      </c>
      <c r="E14" s="87"/>
      <c r="F14" s="302">
        <f>SUM(F11:F13)</f>
        <v>237554.715720429</v>
      </c>
      <c r="G14" s="102">
        <f t="shared" si="1"/>
        <v>0.19660693096653994</v>
      </c>
      <c r="H14" s="302">
        <f>SUM(H11:H13)</f>
        <v>198523.6</v>
      </c>
      <c r="I14" s="102">
        <f t="shared" si="2"/>
        <v>0.10135274287132758</v>
      </c>
      <c r="J14" s="302">
        <f>SUM(J11:J13)</f>
        <v>180254.32930999997</v>
      </c>
      <c r="K14" s="102">
        <f t="shared" si="3"/>
        <v>-0.1216550487640355</v>
      </c>
      <c r="L14" s="302">
        <f>SUM(L11:L13)</f>
        <v>205220.43083</v>
      </c>
      <c r="M14" s="64"/>
      <c r="N14" s="64"/>
    </row>
    <row r="15" spans="1:14">
      <c r="A15" t="s">
        <v>305</v>
      </c>
      <c r="B15" s="199">
        <f>+buhrésult!R54</f>
        <v>9257.7749499999991</v>
      </c>
      <c r="C15" s="102">
        <f t="shared" si="0"/>
        <v>2.7115616512673331</v>
      </c>
      <c r="D15" s="303">
        <f>+buhrésult!T54</f>
        <v>2494.3072000000002</v>
      </c>
      <c r="E15" s="87" t="s">
        <v>0</v>
      </c>
      <c r="F15" s="303">
        <f>+buhrésult!U54</f>
        <v>12823.31666</v>
      </c>
      <c r="G15" s="102">
        <f t="shared" si="1"/>
        <v>0.51719316848083297</v>
      </c>
      <c r="H15" s="303">
        <v>8452</v>
      </c>
      <c r="I15" s="102">
        <f t="shared" si="2"/>
        <v>4.5600663907432372E-2</v>
      </c>
      <c r="J15" s="303">
        <v>8083.391959999999</v>
      </c>
      <c r="K15" s="102">
        <f t="shared" si="3"/>
        <v>-9.0644349553401907E-2</v>
      </c>
      <c r="L15" s="303">
        <v>8889.1424999999999</v>
      </c>
      <c r="M15" s="64"/>
      <c r="N15" s="64"/>
    </row>
    <row r="16" spans="1:14">
      <c r="B16" s="24">
        <f>+B14-B15</f>
        <v>65910.800005431985</v>
      </c>
      <c r="C16" s="102">
        <f t="shared" si="0"/>
        <v>0.15974791584477824</v>
      </c>
      <c r="D16" s="24">
        <f>+D14-D15</f>
        <v>56832.005563399995</v>
      </c>
      <c r="E16" s="90" t="s">
        <v>0</v>
      </c>
      <c r="F16" s="24">
        <f>+F14-F15</f>
        <v>224731.39906042899</v>
      </c>
      <c r="G16" s="102">
        <f t="shared" si="1"/>
        <v>0.18235127741561064</v>
      </c>
      <c r="H16" s="24">
        <f>+H14-H15</f>
        <v>190071.6</v>
      </c>
      <c r="I16" s="102">
        <f t="shared" si="2"/>
        <v>0.10397029211504172</v>
      </c>
      <c r="J16" s="24">
        <f>+J14-J15</f>
        <v>172170.93734999996</v>
      </c>
      <c r="K16" s="102">
        <f t="shared" si="3"/>
        <v>-0.12305909661933528</v>
      </c>
      <c r="L16" s="24">
        <f>+L14-L15</f>
        <v>196331.28833000001</v>
      </c>
      <c r="M16" s="64"/>
      <c r="N16" s="64"/>
    </row>
    <row r="17" spans="1:14">
      <c r="B17" s="87"/>
      <c r="C17" s="102"/>
      <c r="D17" s="87"/>
      <c r="E17" s="87"/>
      <c r="F17" s="87"/>
      <c r="G17" s="99"/>
      <c r="H17" s="87"/>
      <c r="I17" s="99"/>
      <c r="J17" s="87"/>
      <c r="K17" s="99"/>
      <c r="L17" s="87"/>
      <c r="M17" s="64"/>
      <c r="N17" s="64"/>
    </row>
    <row r="18" spans="1:14">
      <c r="A18" t="s">
        <v>306</v>
      </c>
      <c r="B18" s="87" t="s">
        <v>0</v>
      </c>
      <c r="C18" s="102"/>
      <c r="D18" s="87"/>
      <c r="E18" s="87" t="s">
        <v>0</v>
      </c>
      <c r="F18" s="87"/>
      <c r="G18" s="99"/>
      <c r="H18" s="87"/>
      <c r="I18" s="99"/>
      <c r="J18" s="87"/>
      <c r="K18" s="99"/>
      <c r="L18" s="87"/>
      <c r="M18" s="64"/>
      <c r="N18" s="64"/>
    </row>
    <row r="19" spans="1:14">
      <c r="A19" t="s">
        <v>307</v>
      </c>
      <c r="B19" s="87">
        <f>+buhrésult!R58</f>
        <v>25371.921430000002</v>
      </c>
      <c r="C19" s="102">
        <f>+(B19-D19)/ABS(D19)</f>
        <v>0.11704732344079231</v>
      </c>
      <c r="D19" s="302">
        <f>+buhrésult!T58</f>
        <v>22713.380980000002</v>
      </c>
      <c r="E19" s="87" t="s">
        <v>0</v>
      </c>
      <c r="F19" s="302">
        <f>+buhrésult!U58</f>
        <v>92197.677410000004</v>
      </c>
      <c r="G19" s="102">
        <f>+(F19-H19)/ABS(H19)</f>
        <v>1.0460455602799736</v>
      </c>
      <c r="H19" s="302">
        <v>45061.4</v>
      </c>
      <c r="I19" s="102">
        <f>+(H19-J19)/ABS(J19)</f>
        <v>-7.9647730717433099E-2</v>
      </c>
      <c r="J19" s="302">
        <v>48961.035360000002</v>
      </c>
      <c r="K19" s="102">
        <f>+(J19-L19)/ABS(L19)</f>
        <v>2.1380958048008734E-2</v>
      </c>
      <c r="L19" s="302">
        <v>47936.115290000002</v>
      </c>
      <c r="M19" s="64"/>
      <c r="N19" s="64"/>
    </row>
    <row r="20" spans="1:14">
      <c r="A20" t="s">
        <v>308</v>
      </c>
      <c r="B20" s="87">
        <f>+buhrésult!R59</f>
        <v>8947.7318400000004</v>
      </c>
      <c r="C20" s="102">
        <f>+(B20-D20)/ABS(D20)</f>
        <v>0.98656192671980869</v>
      </c>
      <c r="D20" s="302">
        <f>+buhrésult!T59</f>
        <v>4504.1293299999998</v>
      </c>
      <c r="E20" s="87" t="s">
        <v>0</v>
      </c>
      <c r="F20" s="302">
        <f>+buhrésult!U59</f>
        <v>35360.055840000001</v>
      </c>
      <c r="G20" s="102">
        <f>+(F20-H20)/ABS(H20)</f>
        <v>1.0246470523567406</v>
      </c>
      <c r="H20" s="302">
        <v>17464.8</v>
      </c>
      <c r="I20" s="102">
        <f>+(H20-J20)/ABS(J20)</f>
        <v>0.92909490229028457</v>
      </c>
      <c r="J20" s="302">
        <v>9053.3648600000015</v>
      </c>
      <c r="K20" s="102">
        <f>+(J20-L20)/ABS(L20)</f>
        <v>1.3533907352980139E-2</v>
      </c>
      <c r="L20" s="302">
        <v>8932.4735899999996</v>
      </c>
      <c r="M20" s="64"/>
      <c r="N20" s="64"/>
    </row>
    <row r="21" spans="1:14">
      <c r="A21" t="s">
        <v>274</v>
      </c>
      <c r="B21" s="199">
        <f>+buhrésult!R60</f>
        <v>8097.0782099999997</v>
      </c>
      <c r="C21" s="102">
        <f>+(B21-D21)/ABS(D21)</f>
        <v>-0.30171049866759753</v>
      </c>
      <c r="D21" s="303">
        <f>+buhrésult!T60</f>
        <v>11595.589214144002</v>
      </c>
      <c r="E21" s="87" t="s">
        <v>0</v>
      </c>
      <c r="F21" s="303">
        <f>+buhrésult!U60</f>
        <v>32687.598570000002</v>
      </c>
      <c r="G21" s="102">
        <f>+(F21-H21)/ABS(H21)</f>
        <v>-0.7355472844479215</v>
      </c>
      <c r="H21" s="303">
        <v>123604.7</v>
      </c>
      <c r="I21" s="102">
        <f>+(H21-J21)/ABS(J21)</f>
        <v>2.1251078323470303</v>
      </c>
      <c r="J21" s="303">
        <v>39552.139199999998</v>
      </c>
      <c r="K21" s="102">
        <f>+(J21-L21)/ABS(L21)</f>
        <v>-0.44866332476680215</v>
      </c>
      <c r="L21" s="303">
        <v>71738.632629999993</v>
      </c>
      <c r="M21" s="64"/>
      <c r="N21" s="64"/>
    </row>
    <row r="22" spans="1:14">
      <c r="B22" s="24">
        <f>SUM(B19:B21)</f>
        <v>42416.731480000002</v>
      </c>
      <c r="C22" s="102">
        <f>+(B22-D22)/ABS(D22)</f>
        <v>9.2845765992337986E-2</v>
      </c>
      <c r="D22" s="24">
        <f>SUM(D19:D21)</f>
        <v>38813.099524144003</v>
      </c>
      <c r="E22" s="90" t="s">
        <v>0</v>
      </c>
      <c r="F22" s="24">
        <f>SUM(F19:F21)</f>
        <v>160245.33182000002</v>
      </c>
      <c r="G22" s="102">
        <f>+(F22-H22)/ABS(H22)</f>
        <v>-0.13907184771577408</v>
      </c>
      <c r="H22" s="24">
        <f>SUM(H19:H21)</f>
        <v>186130.9</v>
      </c>
      <c r="I22" s="102">
        <f>+(H22-J22)/ABS(J22)</f>
        <v>0.90773292879387846</v>
      </c>
      <c r="J22" s="24">
        <f>SUM(J19:J21)</f>
        <v>97566.539420000001</v>
      </c>
      <c r="K22" s="102">
        <f>+(J22-L22)/ABS(L22)</f>
        <v>-0.24136033517827299</v>
      </c>
      <c r="L22" s="24">
        <f>SUM(L19:L21)</f>
        <v>128607.22151</v>
      </c>
      <c r="M22" s="64"/>
      <c r="N22" s="64"/>
    </row>
    <row r="23" spans="1:14">
      <c r="B23" s="199"/>
      <c r="C23" s="238"/>
      <c r="D23" s="199"/>
      <c r="E23" s="87"/>
      <c r="F23" s="199"/>
      <c r="G23" s="102"/>
      <c r="H23" s="199"/>
      <c r="I23" s="102"/>
      <c r="J23" s="199"/>
      <c r="K23" s="102"/>
      <c r="L23" s="199"/>
      <c r="M23" s="64"/>
      <c r="N23" s="64"/>
    </row>
    <row r="24" spans="1:14">
      <c r="A24" t="s">
        <v>309</v>
      </c>
      <c r="B24" s="24">
        <f>+B16+B22</f>
        <v>108327.53148543199</v>
      </c>
      <c r="C24" s="102">
        <f>+(B24-D24)/ABS(D24)</f>
        <v>0.13259880248215275</v>
      </c>
      <c r="D24" s="24">
        <f>+D16+D22</f>
        <v>95645.105087543998</v>
      </c>
      <c r="E24" s="90" t="s">
        <v>0</v>
      </c>
      <c r="F24" s="24">
        <f>+F16+F22</f>
        <v>384976.73088042904</v>
      </c>
      <c r="G24" s="102">
        <f>+(F24-H24)/ABS(H24)</f>
        <v>2.3323159416614819E-2</v>
      </c>
      <c r="H24" s="24">
        <f>+H16+H22</f>
        <v>376202.5</v>
      </c>
      <c r="I24" s="102">
        <f>+(H24-J24)/ABS(J24)</f>
        <v>0.39469866962825029</v>
      </c>
      <c r="J24" s="24">
        <f>+J16+J22</f>
        <v>269737.47676999995</v>
      </c>
      <c r="K24" s="102">
        <f>+(J24-L24)/ABS(L24)</f>
        <v>-0.16988147418162622</v>
      </c>
      <c r="L24" s="24">
        <f>+L16+L22</f>
        <v>324938.50984000001</v>
      </c>
      <c r="M24" s="64"/>
      <c r="N24" s="64"/>
    </row>
    <row r="25" spans="1:14">
      <c r="B25" s="87"/>
      <c r="C25" s="102"/>
      <c r="D25" s="87"/>
      <c r="E25" s="87" t="s">
        <v>0</v>
      </c>
      <c r="F25" s="87"/>
      <c r="G25" s="102"/>
      <c r="H25" s="87"/>
      <c r="I25" s="102"/>
      <c r="J25" s="87"/>
      <c r="K25" s="102"/>
      <c r="L25" s="87"/>
      <c r="M25" s="64"/>
      <c r="N25" s="64"/>
    </row>
    <row r="26" spans="1:14">
      <c r="A26" t="s">
        <v>310</v>
      </c>
      <c r="B26" s="87">
        <f>+buhrésult!R65</f>
        <v>3811.9420599999999</v>
      </c>
      <c r="C26" s="102">
        <f>+(B26-D26)/ABS(D26)</f>
        <v>-0.45869920505305217</v>
      </c>
      <c r="D26" s="302">
        <f>+buhrésult!T65</f>
        <v>7042.1881800000001</v>
      </c>
      <c r="E26" s="87" t="s">
        <v>0</v>
      </c>
      <c r="F26" s="302">
        <f>+buhrésult!U65</f>
        <v>-11747.282659999997</v>
      </c>
      <c r="G26" s="102">
        <f>+(F26-H26)/ABS(H26)</f>
        <v>-0.75089542277137655</v>
      </c>
      <c r="H26" s="302">
        <v>-6709.3</v>
      </c>
      <c r="I26" s="102">
        <f>+(H26-J26)/ABS(J26)</f>
        <v>-1.4412731924083693</v>
      </c>
      <c r="J26" s="302">
        <v>15204.41331</v>
      </c>
      <c r="K26" s="102">
        <f>+(J26-L26)/ABS(L26)</f>
        <v>0.22615999346330276</v>
      </c>
      <c r="L26" s="302">
        <v>12400.023970000002</v>
      </c>
      <c r="M26" s="64"/>
      <c r="N26" s="64"/>
    </row>
    <row r="27" spans="1:14">
      <c r="B27" s="87"/>
      <c r="C27" s="102"/>
      <c r="D27" s="87"/>
      <c r="E27" s="87" t="s">
        <v>0</v>
      </c>
      <c r="F27" s="87"/>
      <c r="G27" s="102"/>
      <c r="H27" s="87"/>
      <c r="I27" s="102"/>
      <c r="J27" s="87"/>
      <c r="K27" s="102"/>
      <c r="L27" s="87"/>
      <c r="M27" s="64"/>
      <c r="N27" s="64"/>
    </row>
    <row r="28" spans="1:14">
      <c r="A28" t="s">
        <v>311</v>
      </c>
      <c r="B28" s="199"/>
      <c r="C28" s="102"/>
      <c r="D28" s="199"/>
      <c r="E28" s="87" t="s">
        <v>0</v>
      </c>
      <c r="F28" s="199"/>
      <c r="G28" s="102"/>
      <c r="H28" s="199"/>
      <c r="I28" s="102"/>
      <c r="J28" s="199"/>
      <c r="K28" s="102"/>
      <c r="L28" s="199"/>
      <c r="M28" s="64"/>
      <c r="N28" s="64"/>
    </row>
    <row r="29" spans="1:14">
      <c r="A29" t="s">
        <v>312</v>
      </c>
      <c r="B29" s="24">
        <f>+B24-B26</f>
        <v>104515.58942543199</v>
      </c>
      <c r="C29" s="102">
        <f>+(B29-D29)/ABS(D29)</f>
        <v>0.17959535727805276</v>
      </c>
      <c r="D29" s="24">
        <f>+D24-D26</f>
        <v>88602.916907544</v>
      </c>
      <c r="E29" s="90" t="s">
        <v>0</v>
      </c>
      <c r="F29" s="24">
        <f>+F24-F26</f>
        <v>396724.01354042906</v>
      </c>
      <c r="G29" s="102">
        <f>+(F29-H29)/ABS(H29)</f>
        <v>3.6071527543494547E-2</v>
      </c>
      <c r="H29" s="24">
        <f>+H24-H26</f>
        <v>382911.8</v>
      </c>
      <c r="I29" s="102">
        <f>+(H29-J29)/ABS(J29)</f>
        <v>0.50436958874765148</v>
      </c>
      <c r="J29" s="24">
        <f>+J24-J26</f>
        <v>254533.06345999995</v>
      </c>
      <c r="K29" s="102">
        <f>+(J29-L29)/ABS(L29)</f>
        <v>-0.18559449486207394</v>
      </c>
      <c r="L29" s="24">
        <f>+L24-L26</f>
        <v>312538.48587000003</v>
      </c>
      <c r="M29" s="64"/>
      <c r="N29" s="64"/>
    </row>
    <row r="30" spans="1:14">
      <c r="B30" s="87"/>
      <c r="C30" s="102"/>
      <c r="D30" s="87"/>
      <c r="E30" s="87" t="s">
        <v>0</v>
      </c>
      <c r="F30" s="87"/>
      <c r="G30" s="102"/>
      <c r="H30" s="87"/>
      <c r="I30" s="102"/>
      <c r="J30" s="87"/>
      <c r="K30" s="102"/>
      <c r="L30" s="87"/>
      <c r="M30" s="64"/>
      <c r="N30" s="64"/>
    </row>
    <row r="31" spans="1:14">
      <c r="A31" t="s">
        <v>313</v>
      </c>
      <c r="B31" s="87"/>
      <c r="C31" s="102"/>
      <c r="D31" s="87"/>
      <c r="E31" s="87" t="s">
        <v>0</v>
      </c>
      <c r="F31" s="87"/>
      <c r="G31" s="102"/>
      <c r="H31" s="87"/>
      <c r="I31" s="102"/>
      <c r="J31" s="87"/>
      <c r="K31" s="102"/>
      <c r="L31" s="87"/>
      <c r="M31" s="64"/>
      <c r="N31" s="64"/>
    </row>
    <row r="32" spans="1:14">
      <c r="A32" t="s">
        <v>314</v>
      </c>
      <c r="B32" s="87">
        <f>+buhrésult!R71</f>
        <v>43286.630740000001</v>
      </c>
      <c r="C32" s="102">
        <f>+(B32-D32)/ABS(D32)</f>
        <v>0.11931229352166753</v>
      </c>
      <c r="D32" s="302">
        <f>+buhrésult!T71</f>
        <v>38672.523289999997</v>
      </c>
      <c r="E32" s="87" t="s">
        <v>0</v>
      </c>
      <c r="F32" s="302">
        <f>+buhrésult!U71</f>
        <v>156820.24118000001</v>
      </c>
      <c r="G32" s="102">
        <f>+(F32-H32)/ABS(H32)</f>
        <v>0.40596148611030186</v>
      </c>
      <c r="H32" s="302">
        <v>111539.5</v>
      </c>
      <c r="I32" s="102">
        <f>+(H32-J32)/ABS(J32)</f>
        <v>7.885174362707327E-2</v>
      </c>
      <c r="J32" s="302">
        <v>103387.23616</v>
      </c>
      <c r="K32" s="102">
        <f>+(J32-L32)/ABS(L32)</f>
        <v>-6.4616735399294439E-2</v>
      </c>
      <c r="L32" s="302">
        <v>110529.27722</v>
      </c>
      <c r="M32" s="64"/>
      <c r="N32" s="64"/>
    </row>
    <row r="33" spans="1:14">
      <c r="A33" t="s">
        <v>315</v>
      </c>
      <c r="B33" s="87">
        <f>+buhrésult!R72</f>
        <v>20123.974719999998</v>
      </c>
      <c r="C33" s="102">
        <f>+(B33-D33)/ABS(D33)</f>
        <v>0.56853939390779107</v>
      </c>
      <c r="D33" s="302">
        <f>+buhrésult!T72</f>
        <v>12829.7541</v>
      </c>
      <c r="E33" s="87" t="s">
        <v>0</v>
      </c>
      <c r="F33" s="302">
        <f>+buhrésult!U72</f>
        <v>65110.612580000001</v>
      </c>
      <c r="G33" s="102">
        <f>+(F33-H33)/ABS(H33)</f>
        <v>0.34339538038095879</v>
      </c>
      <c r="H33" s="302">
        <v>48467.199999999997</v>
      </c>
      <c r="I33" s="102">
        <f>+(H33-J33)/ABS(J33)</f>
        <v>6.1856386659670616E-2</v>
      </c>
      <c r="J33" s="302">
        <v>45643.837159999995</v>
      </c>
      <c r="K33" s="102">
        <f>+(J33-L33)/ABS(L33)</f>
        <v>1.2210530752912849E-2</v>
      </c>
      <c r="L33" s="302">
        <v>45093.224950000003</v>
      </c>
      <c r="M33" s="64"/>
      <c r="N33" s="64"/>
    </row>
    <row r="34" spans="1:14">
      <c r="A34" t="s">
        <v>316</v>
      </c>
      <c r="B34" s="87">
        <f>+buhrésult!R73</f>
        <v>5796.6174000000001</v>
      </c>
      <c r="C34" s="102">
        <f>+(B34-D34)/ABS(D34)</f>
        <v>-0.14144428357817332</v>
      </c>
      <c r="D34" s="302">
        <f>+buhrésult!T73</f>
        <v>6751.5914099999991</v>
      </c>
      <c r="E34" s="87" t="s">
        <v>0</v>
      </c>
      <c r="F34" s="302">
        <f>+buhrésult!U73</f>
        <v>26639.670149999998</v>
      </c>
      <c r="G34" s="102">
        <f>+(F34-H34)/ABS(H34)</f>
        <v>9.1329076250599092E-2</v>
      </c>
      <c r="H34" s="302">
        <v>24410.3</v>
      </c>
      <c r="I34" s="102">
        <f>+(H34-J34)/ABS(J34)</f>
        <v>-1.2927496539784302E-2</v>
      </c>
      <c r="J34" s="302">
        <v>24729.996950000001</v>
      </c>
      <c r="K34" s="102">
        <f>+(J34-L34)/ABS(L34)</f>
        <v>-0.13403763372059962</v>
      </c>
      <c r="L34" s="302">
        <v>28557.819499999998</v>
      </c>
      <c r="M34" s="64"/>
      <c r="N34" s="64"/>
    </row>
    <row r="35" spans="1:14">
      <c r="A35" t="s">
        <v>317</v>
      </c>
      <c r="B35" s="199">
        <f>+buhrésult!R74</f>
        <v>21907.940689999999</v>
      </c>
      <c r="C35" s="102">
        <f>+(B35-D35)/ABS(D35)</f>
        <v>-2.8348499791502203E-2</v>
      </c>
      <c r="D35" s="303">
        <f>+buhrésult!T74</f>
        <v>22547.11765</v>
      </c>
      <c r="E35" s="87" t="s">
        <v>0</v>
      </c>
      <c r="F35" s="303">
        <f>+buhrésult!U74</f>
        <v>138585.13354000001</v>
      </c>
      <c r="G35" s="102">
        <f>+(F35-H35)/ABS(H35)</f>
        <v>-0.1317488020168644</v>
      </c>
      <c r="H35" s="303">
        <v>159614.1</v>
      </c>
      <c r="I35" s="102">
        <f>+(H35-J35)/ABS(J35)</f>
        <v>0.52836632671782224</v>
      </c>
      <c r="J35" s="303">
        <v>104434.45213999999</v>
      </c>
      <c r="K35" s="102">
        <f>+(J35-L35)/ABS(L35)</f>
        <v>-0.16477779110225965</v>
      </c>
      <c r="L35" s="303">
        <v>125037.92527000001</v>
      </c>
      <c r="M35" s="64"/>
      <c r="N35" s="64"/>
    </row>
    <row r="36" spans="1:14">
      <c r="B36" s="24">
        <f>SUM(B32:B35)</f>
        <v>91115.163549999997</v>
      </c>
      <c r="C36" s="102">
        <f>+(B36-D36)/ABS(D36)</f>
        <v>0.12764914827348622</v>
      </c>
      <c r="D36" s="24">
        <f>SUM(D32:D35)</f>
        <v>80800.986449999997</v>
      </c>
      <c r="E36" s="90" t="s">
        <v>0</v>
      </c>
      <c r="F36" s="24">
        <f>SUM(F32:F35)</f>
        <v>387155.65745000006</v>
      </c>
      <c r="G36" s="102">
        <f>+(F36-H36)/ABS(H36)</f>
        <v>0.12535075302785151</v>
      </c>
      <c r="H36" s="24">
        <f>SUM(H32:H35)</f>
        <v>344031.1</v>
      </c>
      <c r="I36" s="102">
        <f>+(H36-J36)/ABS(J36)</f>
        <v>0.23665218267953506</v>
      </c>
      <c r="J36" s="24">
        <f>SUM(J32:J35)</f>
        <v>278195.52240999998</v>
      </c>
      <c r="K36" s="102">
        <f>+(J36-L36)/ABS(L36)</f>
        <v>-0.10032630621575055</v>
      </c>
      <c r="L36" s="24">
        <f>SUM(L32:L35)</f>
        <v>309218.24693999998</v>
      </c>
      <c r="M36" s="64"/>
      <c r="N36" s="64"/>
    </row>
    <row r="37" spans="1:14">
      <c r="B37" s="263"/>
      <c r="C37" s="104"/>
      <c r="D37" s="263"/>
      <c r="E37" s="90"/>
      <c r="F37" s="263"/>
      <c r="G37" s="104"/>
      <c r="H37" s="263"/>
      <c r="I37" s="104"/>
      <c r="J37" s="263"/>
      <c r="K37" s="104"/>
      <c r="L37" s="263"/>
      <c r="M37" s="64"/>
      <c r="N37" s="64"/>
    </row>
    <row r="38" spans="1:14">
      <c r="A38" t="s">
        <v>318</v>
      </c>
      <c r="B38" s="24">
        <f>+B29-B36</f>
        <v>13400.425875431989</v>
      </c>
      <c r="C38" s="102">
        <f>+(B38-D38)/ABS(D38)</f>
        <v>0.71757822610102506</v>
      </c>
      <c r="D38" s="24">
        <f>+D29-D36</f>
        <v>7801.9304575440037</v>
      </c>
      <c r="E38" s="90" t="s">
        <v>0</v>
      </c>
      <c r="F38" s="24">
        <f>+F29-F36</f>
        <v>9568.3560904290061</v>
      </c>
      <c r="G38" s="102">
        <f>+(F38-H38)/ABS(H38)</f>
        <v>-0.75390473704359739</v>
      </c>
      <c r="H38" s="24">
        <f>+H29-H36</f>
        <v>38880.700000000012</v>
      </c>
      <c r="I38" s="102">
        <f>+(H38-J38)/ABS(J38)</f>
        <v>2.6431386138759669</v>
      </c>
      <c r="J38" s="24">
        <f>+J29-J36</f>
        <v>-23662.458950000029</v>
      </c>
      <c r="K38" s="102">
        <f>+(J38-L38)/ABS(L38)</f>
        <v>-8.1267337829809954</v>
      </c>
      <c r="L38" s="24">
        <f>+L29-L36</f>
        <v>3320.2389300000505</v>
      </c>
      <c r="M38" s="64"/>
      <c r="N38" s="64"/>
    </row>
    <row r="39" spans="1:14">
      <c r="B39" s="87" t="s">
        <v>0</v>
      </c>
      <c r="C39" s="102"/>
      <c r="D39" s="87"/>
      <c r="E39" s="87" t="s">
        <v>0</v>
      </c>
      <c r="F39" s="87"/>
      <c r="G39" s="102"/>
      <c r="H39" s="87"/>
      <c r="I39" s="102"/>
      <c r="J39" s="87"/>
      <c r="K39" s="102"/>
      <c r="L39" s="87"/>
      <c r="M39" s="64"/>
      <c r="N39" s="64"/>
    </row>
    <row r="40" spans="1:14">
      <c r="A40" t="s">
        <v>319</v>
      </c>
      <c r="B40" s="87">
        <f>+buhrésult!R79</f>
        <v>0</v>
      </c>
      <c r="C40" s="88">
        <v>0</v>
      </c>
      <c r="D40" s="302">
        <f>+buhrésult!T79</f>
        <v>0</v>
      </c>
      <c r="E40" s="87" t="s">
        <v>0</v>
      </c>
      <c r="F40" s="302">
        <f>+buhrésult!U79</f>
        <v>0</v>
      </c>
      <c r="G40" s="302">
        <v>0</v>
      </c>
      <c r="H40" s="302">
        <v>0</v>
      </c>
      <c r="I40" s="88">
        <v>0</v>
      </c>
      <c r="J40" s="302">
        <v>0</v>
      </c>
      <c r="K40" s="88">
        <v>0</v>
      </c>
      <c r="L40" s="302">
        <v>0</v>
      </c>
      <c r="M40" s="64"/>
      <c r="N40" s="64"/>
    </row>
    <row r="41" spans="1:14" ht="16.5" thickBot="1">
      <c r="B41" s="97"/>
      <c r="C41" s="102"/>
      <c r="D41" s="97"/>
      <c r="E41" s="87" t="s">
        <v>0</v>
      </c>
      <c r="F41" s="97"/>
      <c r="G41" s="102"/>
      <c r="H41" s="97"/>
      <c r="I41" s="102"/>
      <c r="J41" s="97"/>
      <c r="K41" s="102"/>
      <c r="L41" s="97"/>
      <c r="M41" s="64"/>
      <c r="N41" s="64"/>
    </row>
    <row r="42" spans="1:14">
      <c r="A42" s="11" t="s">
        <v>372</v>
      </c>
      <c r="B42" s="90">
        <f>+B38-B40</f>
        <v>13400.425875431989</v>
      </c>
      <c r="C42" s="109">
        <f>+(B42-D42)/ABS(D42)</f>
        <v>0.71757822610102506</v>
      </c>
      <c r="D42" s="90">
        <f>+D38-D40</f>
        <v>7801.9304575440037</v>
      </c>
      <c r="E42" s="90" t="s">
        <v>0</v>
      </c>
      <c r="F42" s="90">
        <f>+F38-F40</f>
        <v>9568.3560904290061</v>
      </c>
      <c r="G42" s="109">
        <f>+(F42-H42)/ABS(H42)</f>
        <v>-0.75390473704359739</v>
      </c>
      <c r="H42" s="90">
        <f>+H38-H40</f>
        <v>38880.700000000012</v>
      </c>
      <c r="I42" s="109">
        <f>+(H42-J42)/ABS(J42)</f>
        <v>2.6431386138759669</v>
      </c>
      <c r="J42" s="90">
        <f>+J38-J40</f>
        <v>-23662.458950000029</v>
      </c>
      <c r="K42" s="109">
        <f>+(J42-L42)/ABS(L42)</f>
        <v>-8.1267337829809954</v>
      </c>
      <c r="L42" s="90">
        <f>+L38-L40</f>
        <v>3320.2389300000505</v>
      </c>
      <c r="M42" s="64"/>
      <c r="N42" s="64"/>
    </row>
    <row r="43" spans="1:14">
      <c r="E43" t="s">
        <v>0</v>
      </c>
    </row>
    <row r="44" spans="1:14">
      <c r="E44" t="s">
        <v>0</v>
      </c>
    </row>
  </sheetData>
  <phoneticPr fontId="0" type="noConversion"/>
  <pageMargins left="0.18" right="0.16" top="0.61" bottom="0.75" header="0.36" footer="0.5"/>
  <pageSetup scale="60" orientation="landscape" r:id="rId1"/>
  <headerFooter scaleWithDoc="0" alignWithMargins="0">
    <oddFooter>&amp;R&amp;P</oddFooter>
  </headerFooter>
</worksheet>
</file>

<file path=xl/worksheets/sheet84.xml><?xml version="1.0" encoding="utf-8"?>
<worksheet xmlns="http://schemas.openxmlformats.org/spreadsheetml/2006/main" xmlns:r="http://schemas.openxmlformats.org/officeDocument/2006/relationships">
  <sheetPr>
    <pageSetUpPr fitToPage="1"/>
  </sheetPr>
  <dimension ref="A1:AA79"/>
  <sheetViews>
    <sheetView workbookViewId="0">
      <selection activeCell="D48" sqref="D48"/>
    </sheetView>
  </sheetViews>
  <sheetFormatPr baseColWidth="10" defaultColWidth="9" defaultRowHeight="15.75"/>
  <cols>
    <col min="1" max="1" width="33.5" customWidth="1"/>
    <col min="2" max="2" width="14.875" customWidth="1"/>
    <col min="3" max="3" width="12.75" customWidth="1"/>
    <col min="4" max="4" width="13.75" customWidth="1"/>
    <col min="5" max="5" width="14.5" customWidth="1"/>
    <col min="6" max="6" width="14.625" customWidth="1"/>
    <col min="8" max="8" width="14.75" customWidth="1"/>
    <col min="9" max="9" width="12.75" customWidth="1"/>
    <col min="10" max="10" width="13.75" customWidth="1"/>
    <col min="11" max="11" width="13.25" customWidth="1"/>
    <col min="12" max="12" width="14.5" customWidth="1"/>
    <col min="14" max="14" width="14.25" customWidth="1"/>
    <col min="15" max="15" width="13.25" customWidth="1"/>
    <col min="16" max="16" width="15.125" customWidth="1"/>
    <col min="17" max="17" width="10.625" customWidth="1"/>
    <col min="18" max="18" width="14.875" customWidth="1"/>
    <col min="19" max="19" width="9.375" customWidth="1"/>
    <col min="20" max="20" width="13.875" customWidth="1"/>
  </cols>
  <sheetData>
    <row r="1" spans="1:27">
      <c r="A1" s="111" t="s">
        <v>402</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+buhinfin!I4</f>
        <v>Var. déc. 14</v>
      </c>
      <c r="J4" s="156" t="s">
        <v>195</v>
      </c>
      <c r="K4" s="157"/>
      <c r="L4" s="157"/>
      <c r="M4" s="157"/>
      <c r="N4" s="157"/>
      <c r="O4" s="157"/>
      <c r="P4" s="157"/>
    </row>
    <row r="5" spans="1:27" ht="16.5" thickBot="1">
      <c r="B5" s="1" t="str">
        <f>+buhinfin!B5</f>
        <v>Déc. 14</v>
      </c>
      <c r="C5" s="1" t="s">
        <v>196</v>
      </c>
      <c r="D5" s="1" t="str">
        <f>+buhinfin!D5</f>
        <v>Mars 15</v>
      </c>
      <c r="E5" s="1" t="s">
        <v>196</v>
      </c>
      <c r="F5" s="1" t="str">
        <f>+buhinfin!F5</f>
        <v>Juin 15</v>
      </c>
      <c r="G5" s="1" t="s">
        <v>196</v>
      </c>
      <c r="H5" s="1" t="str">
        <f>+buhinfin!H5</f>
        <v>Sept. 15</v>
      </c>
      <c r="I5" s="155" t="str">
        <f>+buhinfin!I5</f>
        <v>/sept. 14</v>
      </c>
      <c r="J5" s="155" t="str">
        <f>+buhinfin!J5</f>
        <v>2014</v>
      </c>
      <c r="K5" s="1" t="s">
        <v>196</v>
      </c>
      <c r="L5" s="155" t="str">
        <f>+buhinfin!L5</f>
        <v>2013</v>
      </c>
      <c r="M5" s="1" t="s">
        <v>196</v>
      </c>
      <c r="N5" s="155" t="str">
        <f>+buhinfin!N5</f>
        <v>2012</v>
      </c>
      <c r="O5" s="1" t="s">
        <v>196</v>
      </c>
      <c r="P5" s="155" t="str">
        <f>+buhinfin!P5</f>
        <v>2011</v>
      </c>
    </row>
    <row r="6" spans="1:27">
      <c r="B6" s="3"/>
      <c r="D6" s="3"/>
      <c r="F6" s="3"/>
      <c r="H6" s="3"/>
      <c r="J6" s="53"/>
      <c r="L6" s="53"/>
      <c r="N6" s="53"/>
      <c r="P6" s="53"/>
    </row>
    <row r="7" spans="1:27">
      <c r="A7" s="11" t="s">
        <v>197</v>
      </c>
    </row>
    <row r="8" spans="1:27">
      <c r="A8" s="11" t="s">
        <v>198</v>
      </c>
      <c r="D8" t="s">
        <v>0</v>
      </c>
    </row>
    <row r="10" spans="1:27">
      <c r="A10" s="11" t="s">
        <v>18</v>
      </c>
    </row>
    <row r="11" spans="1:27">
      <c r="A11" t="s">
        <v>199</v>
      </c>
      <c r="B11" s="20">
        <f>+capitalbkvar!B23</f>
        <v>12315640</v>
      </c>
      <c r="C11" s="48">
        <v>0</v>
      </c>
      <c r="D11" s="20">
        <f>+capitalbkvar!D23</f>
        <v>0</v>
      </c>
      <c r="E11" s="48">
        <v>0</v>
      </c>
      <c r="F11" s="20">
        <f>+capitalbkvar!F23</f>
        <v>0</v>
      </c>
      <c r="G11" s="48">
        <v>0</v>
      </c>
      <c r="H11" s="20">
        <f>+capitalbkvar!H23</f>
        <v>0</v>
      </c>
      <c r="I11" s="51">
        <f>+(B11-J11)/ABS(J11)</f>
        <v>2.7803240862832493E-2</v>
      </c>
      <c r="J11" s="20">
        <f>+capitalbkvar!J23</f>
        <v>11982488</v>
      </c>
      <c r="K11" s="51">
        <f>+(-L11+J11)/ABS(L11)</f>
        <v>0.16087714637752684</v>
      </c>
      <c r="L11" s="20">
        <f>+capitalbkvar!L23</f>
        <v>10321926</v>
      </c>
      <c r="M11" s="51">
        <f>+(-N11+L11)/ABS(N11)</f>
        <v>9.4845111505926658E-2</v>
      </c>
      <c r="N11" s="20">
        <f>+capitalbkvar!N23</f>
        <v>9427750</v>
      </c>
      <c r="O11" s="51">
        <f>+(-P11+N11)/ABS(P11)</f>
        <v>0.16781390785817893</v>
      </c>
      <c r="P11" s="20">
        <f>+capitalbkvar!P23</f>
        <v>8072990</v>
      </c>
      <c r="Q11" s="48"/>
      <c r="R11" s="48"/>
      <c r="S11" s="48"/>
      <c r="T11" s="48"/>
      <c r="U11" s="48"/>
      <c r="V11" s="48"/>
      <c r="W11" s="48"/>
      <c r="X11" s="48"/>
      <c r="Y11" s="48"/>
      <c r="Z11" s="48"/>
      <c r="AA11" s="48"/>
    </row>
    <row r="12" spans="1:27">
      <c r="A12" t="s">
        <v>200</v>
      </c>
      <c r="B12" s="20">
        <f>+capitalbkvar!B17</f>
        <v>298391</v>
      </c>
      <c r="C12" s="48">
        <v>0</v>
      </c>
      <c r="D12" s="20">
        <f>+capitalbkvar!D17</f>
        <v>0</v>
      </c>
      <c r="E12" s="48">
        <v>0</v>
      </c>
      <c r="F12" s="20">
        <f>+capitalbkvar!F17</f>
        <v>0</v>
      </c>
      <c r="G12" s="48">
        <v>0</v>
      </c>
      <c r="H12" s="20">
        <f>+capitalbkvar!H17</f>
        <v>0</v>
      </c>
      <c r="I12" s="51">
        <f>+(B12-J12)/ABS(J12)</f>
        <v>2.9789710902496265</v>
      </c>
      <c r="J12" s="20">
        <f>+capitalbkvar!J17</f>
        <v>74992</v>
      </c>
      <c r="K12" s="51">
        <f>+(-L12+J12)/ABS(L12)</f>
        <v>-0.57143755179015343</v>
      </c>
      <c r="L12" s="20">
        <f>+capitalbkvar!L17</f>
        <v>174985</v>
      </c>
      <c r="M12" s="48">
        <v>0</v>
      </c>
      <c r="N12" s="20">
        <f>+capitalbkvar!N17</f>
        <v>80000</v>
      </c>
      <c r="O12" s="48">
        <v>0</v>
      </c>
      <c r="P12" s="20">
        <f>+capitalbkvar!P17</f>
        <v>0</v>
      </c>
      <c r="Q12" s="48"/>
      <c r="R12" s="48"/>
      <c r="S12" s="48"/>
      <c r="T12" s="48"/>
      <c r="U12" s="48"/>
      <c r="V12" s="48"/>
      <c r="W12" s="48"/>
      <c r="X12" s="48"/>
      <c r="Y12" s="48"/>
      <c r="Z12" s="48"/>
      <c r="AA12" s="48"/>
    </row>
    <row r="13" spans="1:27">
      <c r="A13" t="s">
        <v>382</v>
      </c>
      <c r="B13" s="20">
        <f>+capitalbkvar!B20</f>
        <v>5637972</v>
      </c>
      <c r="C13" s="48">
        <v>0</v>
      </c>
      <c r="D13" s="20">
        <f>+capitalbkvar!D20</f>
        <v>0</v>
      </c>
      <c r="E13" s="48">
        <v>0</v>
      </c>
      <c r="F13" s="20">
        <f>+capitalbkvar!F20</f>
        <v>0</v>
      </c>
      <c r="G13" s="48">
        <v>0</v>
      </c>
      <c r="H13" s="20">
        <f>+capitalbkvar!H20</f>
        <v>0</v>
      </c>
      <c r="I13" s="51">
        <f>+(B13-J13)/ABS(J13)</f>
        <v>4.0802503698116298E-2</v>
      </c>
      <c r="J13" s="20">
        <f>+capitalbkvar!J20</f>
        <v>5416947</v>
      </c>
      <c r="K13" s="51">
        <f>+(-L13+J13)/ABS(L13)</f>
        <v>0.14778909121421044</v>
      </c>
      <c r="L13" s="20">
        <f>+capitalbkvar!L20</f>
        <v>4719462</v>
      </c>
      <c r="M13" s="51">
        <f>+(-N13+L13)/ABS(N13)</f>
        <v>0.14864280413724049</v>
      </c>
      <c r="N13" s="20">
        <f>+capitalbkvar!N20</f>
        <v>4108729</v>
      </c>
      <c r="O13" s="51">
        <f>+(-P13+N13)/ABS(P13)</f>
        <v>0.24330202127823752</v>
      </c>
      <c r="P13" s="20">
        <f>+capitalbkvar!P20</f>
        <v>3304691</v>
      </c>
      <c r="Q13" s="48"/>
      <c r="R13" s="48"/>
      <c r="S13" s="48"/>
      <c r="T13" s="48"/>
      <c r="U13" s="48"/>
      <c r="V13" s="48"/>
      <c r="W13" s="48"/>
      <c r="X13" s="48"/>
      <c r="Y13" s="48"/>
      <c r="Z13" s="48"/>
      <c r="AA13" s="48"/>
    </row>
    <row r="14" spans="1:27">
      <c r="A14" t="s">
        <v>202</v>
      </c>
      <c r="B14" s="20">
        <f>+capitalbkvar!B30</f>
        <v>10419494</v>
      </c>
      <c r="C14" s="48">
        <v>0</v>
      </c>
      <c r="D14" s="20">
        <f>+capitalbkvar!D30</f>
        <v>0</v>
      </c>
      <c r="E14" s="48">
        <v>0</v>
      </c>
      <c r="F14" s="20">
        <f>+capitalbkvar!F30</f>
        <v>0</v>
      </c>
      <c r="G14" s="48">
        <v>0</v>
      </c>
      <c r="H14" s="20">
        <f>+capitalbkvar!H30</f>
        <v>0</v>
      </c>
      <c r="I14" s="51">
        <f>+(B14-J14)/ABS(J14)</f>
        <v>2.6945925418816179E-2</v>
      </c>
      <c r="J14" s="20">
        <f>+capitalbkvar!J30</f>
        <v>10146098</v>
      </c>
      <c r="K14" s="51">
        <f>+(-L14+J14)/ABS(L14)</f>
        <v>0.15996819893182435</v>
      </c>
      <c r="L14" s="20">
        <f>+capitalbkvar!L30</f>
        <v>8746876</v>
      </c>
      <c r="M14" s="51">
        <f>+(-N14+L14)/ABS(N14)</f>
        <v>0.10513345367375851</v>
      </c>
      <c r="N14" s="20">
        <f>+capitalbkvar!N30</f>
        <v>7914769</v>
      </c>
      <c r="O14" s="51">
        <f>+(-P14+N14)/ABS(P14)</f>
        <v>0.14344969844697228</v>
      </c>
      <c r="P14" s="20">
        <f>+capitalbkvar!P30</f>
        <v>6921834</v>
      </c>
      <c r="Q14" s="48"/>
      <c r="R14" s="48"/>
      <c r="S14" s="48"/>
      <c r="T14" s="48"/>
      <c r="U14" s="48"/>
      <c r="V14" s="48"/>
      <c r="W14" s="48"/>
      <c r="X14" s="48"/>
      <c r="Y14" s="48"/>
      <c r="Z14" s="48"/>
      <c r="AA14" s="48"/>
    </row>
    <row r="15" spans="1:27">
      <c r="A15" t="s">
        <v>203</v>
      </c>
      <c r="B15" s="20">
        <f>+capitalbkvar!B52</f>
        <v>1074342</v>
      </c>
      <c r="C15" s="48">
        <v>0</v>
      </c>
      <c r="D15" s="20">
        <f>+capitalbkvar!D52</f>
        <v>0</v>
      </c>
      <c r="E15" s="48">
        <v>0</v>
      </c>
      <c r="F15" s="20">
        <f>+capitalbkvar!F52</f>
        <v>0</v>
      </c>
      <c r="G15" s="48">
        <v>0</v>
      </c>
      <c r="H15" s="20">
        <f>+capitalbkvar!H52</f>
        <v>0</v>
      </c>
      <c r="I15" s="51">
        <f>+(B15-J15)/ABS(J15)</f>
        <v>6.4558705496487276E-2</v>
      </c>
      <c r="J15" s="20">
        <f>+capitalbkvar!J52</f>
        <v>1009190</v>
      </c>
      <c r="K15" s="51">
        <f>+(-L15+J15)/ABS(L15)</f>
        <v>0.15633740362327225</v>
      </c>
      <c r="L15" s="20">
        <f>+capitalbkvar!L52</f>
        <v>872747</v>
      </c>
      <c r="M15" s="51">
        <f>+(-N15+L15)/ABS(N15)</f>
        <v>0.1680326662151998</v>
      </c>
      <c r="N15" s="20">
        <f>+capitalbkvar!N52</f>
        <v>747194</v>
      </c>
      <c r="O15" s="51">
        <f>+(-P15+N15)/ABS(P15)</f>
        <v>0.18891524932892259</v>
      </c>
      <c r="P15" s="20">
        <f>+capitalbkvar!P52</f>
        <v>628467</v>
      </c>
      <c r="Q15" s="48"/>
      <c r="R15" s="48"/>
      <c r="S15" s="48"/>
      <c r="T15" s="48"/>
      <c r="U15" s="48"/>
      <c r="V15" s="48"/>
      <c r="W15" s="48"/>
      <c r="X15" s="48"/>
      <c r="Y15" s="48"/>
      <c r="Z15" s="48"/>
      <c r="AA15" s="48"/>
    </row>
    <row r="16" spans="1:27">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27" ht="16.5" thickBot="1">
      <c r="B17" s="168"/>
      <c r="C17" s="168"/>
      <c r="D17" s="168"/>
      <c r="E17" s="168"/>
      <c r="F17" s="168"/>
      <c r="G17" s="168"/>
      <c r="H17" s="168"/>
      <c r="I17" s="168"/>
      <c r="J17" s="168"/>
      <c r="K17" s="168"/>
      <c r="L17" s="168"/>
      <c r="M17" s="168"/>
      <c r="N17" s="168"/>
      <c r="O17" s="168"/>
      <c r="P17" s="168"/>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+buhinfin!B19</f>
        <v>2015</v>
      </c>
      <c r="C19" s="48"/>
      <c r="D19" s="56" t="str">
        <f>+buhinfin!D19</f>
        <v>2014</v>
      </c>
      <c r="E19" s="48"/>
      <c r="F19" s="56" t="str">
        <f>+buhinfin!F19</f>
        <v>2015</v>
      </c>
      <c r="G19" s="48"/>
      <c r="H19" s="56" t="str">
        <f>+buhinfin!H19</f>
        <v>2014</v>
      </c>
      <c r="I19" s="48"/>
      <c r="J19" s="56" t="str">
        <f>+buhinfin!J19</f>
        <v>2015</v>
      </c>
      <c r="K19" s="48"/>
      <c r="L19" s="56" t="str">
        <f>+buhinfin!L19</f>
        <v>2014</v>
      </c>
      <c r="M19" s="48"/>
      <c r="N19" s="56" t="str">
        <f>+buhinfin!N19</f>
        <v>2015</v>
      </c>
      <c r="O19" s="48"/>
      <c r="P19" s="56" t="str">
        <f>+buhinfin!P19</f>
        <v>2014</v>
      </c>
      <c r="Q19" s="48"/>
      <c r="R19" s="56" t="str">
        <f>+buhinfin!R19</f>
        <v>2015</v>
      </c>
      <c r="S19" s="48"/>
      <c r="T19" s="56" t="str">
        <f>+buhinfin!T19</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292" t="str">
        <f>+buhinfin!B21</f>
        <v>(oct. - déc. 14)</v>
      </c>
      <c r="C21" s="292"/>
      <c r="D21" s="292" t="str">
        <f>+buhinfin!D21</f>
        <v>(oct. - déc. 13)</v>
      </c>
      <c r="E21" s="186"/>
      <c r="F21" s="292" t="str">
        <f>+buhinfin!F21</f>
        <v>(janv. - mars 15)</v>
      </c>
      <c r="G21" s="292"/>
      <c r="H21" s="292" t="str">
        <f>+buhinfin!H21</f>
        <v>(janv. - mars 14)</v>
      </c>
      <c r="I21" s="186"/>
      <c r="J21" s="292" t="str">
        <f>+buhinfin!J21</f>
        <v>(avril - juin 15)</v>
      </c>
      <c r="K21" s="292"/>
      <c r="L21" s="292" t="str">
        <f>+buhinfin!L21</f>
        <v>(avril - juin 14)</v>
      </c>
      <c r="M21" s="186"/>
      <c r="N21" s="292" t="str">
        <f>+buhinfin!N21</f>
        <v>(juil. - sept. 15)</v>
      </c>
      <c r="O21" s="292"/>
      <c r="P21" s="292" t="str">
        <f>+buhinfin!P21</f>
        <v>(juil. - sept. 14)</v>
      </c>
      <c r="Q21" s="186"/>
      <c r="R21" s="292" t="str">
        <f>+buhinfin!R21</f>
        <v>(oct. - déc. 14)</v>
      </c>
      <c r="S21" s="292"/>
      <c r="T21" s="292" t="str">
        <f>+buhinfin!T21</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+'CAPITALBKRÉSULT      '!B15</f>
        <v>174044</v>
      </c>
      <c r="C23" s="51">
        <f>+(-D23+B23)/ABS(D23)</f>
        <v>0.25687132602510221</v>
      </c>
      <c r="D23" s="20">
        <f>+'CAPITALBKRÉSULT      '!D55</f>
        <v>138474</v>
      </c>
      <c r="E23" s="48"/>
      <c r="F23" s="20">
        <f>+'CAPITALBKRÉSULT      '!D15</f>
        <v>0</v>
      </c>
      <c r="G23" s="48">
        <v>0</v>
      </c>
      <c r="H23" s="20">
        <f>+'CAPITALBKRÉSULT      '!H55</f>
        <v>144934</v>
      </c>
      <c r="I23" s="48"/>
      <c r="J23" s="20">
        <f>+'CAPITALBKRÉSULT      '!F15</f>
        <v>0</v>
      </c>
      <c r="K23" s="48">
        <v>0</v>
      </c>
      <c r="L23" s="20">
        <f>+'CAPITALBKRÉSULT      '!L55</f>
        <v>162988</v>
      </c>
      <c r="M23" s="48"/>
      <c r="N23" s="20">
        <f>+'CAPITALBKRÉSULT      '!H15</f>
        <v>0</v>
      </c>
      <c r="O23" s="48">
        <v>0</v>
      </c>
      <c r="P23" s="20">
        <f>+'CAPITALBKRÉSULT      '!P55</f>
        <v>169352</v>
      </c>
      <c r="Q23" s="48"/>
      <c r="R23" s="20">
        <f>+'CAPITALBKRÉSULT      '!R55</f>
        <v>174044</v>
      </c>
      <c r="S23" s="51">
        <f>+(-T23+R23)/ABS(T23)</f>
        <v>0.25687132602510221</v>
      </c>
      <c r="T23" s="20">
        <f>+'CAPITALBKRÉSULT      '!T55</f>
        <v>138474</v>
      </c>
      <c r="U23" s="48"/>
      <c r="V23" s="48"/>
      <c r="W23" s="48"/>
      <c r="X23" s="48"/>
      <c r="Y23" s="48"/>
      <c r="Z23" s="48"/>
      <c r="AA23" s="48"/>
    </row>
    <row r="24" spans="1:27">
      <c r="A24" t="s">
        <v>210</v>
      </c>
      <c r="B24" s="20">
        <f>+'CAPITALBKRÉSULT      '!B21</f>
        <v>127790</v>
      </c>
      <c r="C24" s="51">
        <f>+(-D24+B24)/ABS(D24)</f>
        <v>0.19277187152897693</v>
      </c>
      <c r="D24" s="20">
        <f>+'CAPITALBKRÉSULT      '!D61</f>
        <v>107137</v>
      </c>
      <c r="E24" s="48"/>
      <c r="F24" s="20">
        <f>+'CAPITALBKRÉSULT      '!D21</f>
        <v>0</v>
      </c>
      <c r="G24" s="48">
        <v>0</v>
      </c>
      <c r="H24" s="20">
        <f>+'CAPITALBKRÉSULT      '!H61</f>
        <v>108584</v>
      </c>
      <c r="I24" s="48"/>
      <c r="J24" s="20">
        <f>+'CAPITALBKRÉSULT      '!F21</f>
        <v>0</v>
      </c>
      <c r="K24" s="48">
        <v>0</v>
      </c>
      <c r="L24" s="20">
        <f>+'CAPITALBKRÉSULT      '!L61</f>
        <v>119018</v>
      </c>
      <c r="M24" s="48"/>
      <c r="N24" s="20">
        <f>+'CAPITALBKRÉSULT      '!H21</f>
        <v>0</v>
      </c>
      <c r="O24" s="48">
        <v>0</v>
      </c>
      <c r="P24" s="20">
        <f>+'CAPITALBKRÉSULT      '!P61</f>
        <v>120014</v>
      </c>
      <c r="Q24" s="48"/>
      <c r="R24" s="20">
        <f>+'CAPITALBKRÉSULT      '!R61</f>
        <v>127790</v>
      </c>
      <c r="S24" s="51">
        <f>+(-T24+R24)/ABS(T24)</f>
        <v>0.19277187152897693</v>
      </c>
      <c r="T24" s="20">
        <f>+'CAPITALBKRÉSULT      '!T61</f>
        <v>107137</v>
      </c>
      <c r="U24" s="48"/>
      <c r="V24" s="48"/>
      <c r="W24" s="48"/>
      <c r="X24" s="48"/>
      <c r="Y24" s="48"/>
      <c r="Z24" s="48"/>
      <c r="AA24" s="48"/>
    </row>
    <row r="25" spans="1:27">
      <c r="A25" t="s">
        <v>643</v>
      </c>
      <c r="B25" s="20">
        <f>+'CAPITALBKRÉSULT      '!B25</f>
        <v>11425</v>
      </c>
      <c r="C25" s="51">
        <f>+(-D25+B25)/ABS(D25)</f>
        <v>1.3146272285251215</v>
      </c>
      <c r="D25" s="20">
        <f>+'CAPITALBKRÉSULT      '!D65</f>
        <v>4936</v>
      </c>
      <c r="E25" s="48"/>
      <c r="F25" s="20">
        <f>+'CAPITALBKRÉSULT      '!D25</f>
        <v>0</v>
      </c>
      <c r="G25" s="48">
        <v>0</v>
      </c>
      <c r="H25" s="20">
        <f>+'CAPITALBKRÉSULT      '!H65</f>
        <v>5864</v>
      </c>
      <c r="I25" s="48"/>
      <c r="J25" s="20">
        <f>+'CAPITALBKRÉSULT      '!F25</f>
        <v>0</v>
      </c>
      <c r="K25" s="48">
        <v>0</v>
      </c>
      <c r="L25" s="20">
        <f>+'CAPITALBKRÉSULT      '!L65</f>
        <v>16989</v>
      </c>
      <c r="M25" s="48"/>
      <c r="N25" s="20">
        <f>+'CAPITALBKRÉSULT      '!H25</f>
        <v>0</v>
      </c>
      <c r="O25" s="48">
        <v>0</v>
      </c>
      <c r="P25" s="20">
        <f>+'CAPITALBKRÉSULT      '!P65</f>
        <v>4951</v>
      </c>
      <c r="Q25" s="48"/>
      <c r="R25" s="20">
        <f>+'CAPITALBKRÉSULT      '!R65</f>
        <v>11425</v>
      </c>
      <c r="S25" s="51">
        <f>+(-T25+R25)/ABS(T25)</f>
        <v>1.3146272285251215</v>
      </c>
      <c r="T25" s="20">
        <f>+'CAPITALBKRÉSULT      '!T65</f>
        <v>4936</v>
      </c>
      <c r="U25" s="48"/>
      <c r="V25" s="48"/>
      <c r="W25" s="48"/>
      <c r="X25" s="48"/>
      <c r="Y25" s="48"/>
      <c r="Z25" s="48"/>
      <c r="AA25" s="48"/>
    </row>
    <row r="26" spans="1:27">
      <c r="A26" t="s">
        <v>212</v>
      </c>
      <c r="B26" s="20">
        <f>+'CAPITALBKRÉSULT      '!B35</f>
        <v>198970</v>
      </c>
      <c r="C26" s="51">
        <f>+(-D26+B26)/ABS(D26)</f>
        <v>0.17268124782667632</v>
      </c>
      <c r="D26" s="20">
        <f>+'CAPITALBKRÉSULT      '!D75</f>
        <v>169671</v>
      </c>
      <c r="E26" s="48"/>
      <c r="F26" s="20">
        <f>+'CAPITALBKRÉSULT      '!D35</f>
        <v>0</v>
      </c>
      <c r="G26" s="48">
        <v>0</v>
      </c>
      <c r="H26" s="20">
        <f>+'CAPITALBKRÉSULT      '!H75</f>
        <v>181812</v>
      </c>
      <c r="I26" s="48"/>
      <c r="J26" s="20">
        <f>+'CAPITALBKRÉSULT      '!F35</f>
        <v>0</v>
      </c>
      <c r="K26" s="48">
        <v>0</v>
      </c>
      <c r="L26" s="20">
        <f>+'CAPITALBKRÉSULT      '!L75</f>
        <v>184984</v>
      </c>
      <c r="M26" s="48"/>
      <c r="N26" s="20">
        <f>+'CAPITALBKRÉSULT      '!H35</f>
        <v>0</v>
      </c>
      <c r="O26" s="48">
        <v>0</v>
      </c>
      <c r="P26" s="20">
        <f>+'CAPITALBKRÉSULT      '!P75</f>
        <v>209281</v>
      </c>
      <c r="Q26" s="48"/>
      <c r="R26" s="20">
        <f>+'CAPITALBKRÉSULT      '!R75</f>
        <v>198970</v>
      </c>
      <c r="S26" s="51">
        <f>+(-T26+R26)/ABS(T26)</f>
        <v>0.17268124782667632</v>
      </c>
      <c r="T26" s="20">
        <f>+'CAPITALBKRÉSULT      '!T75</f>
        <v>169671</v>
      </c>
      <c r="U26" s="48"/>
      <c r="V26" s="48"/>
      <c r="W26" s="48"/>
      <c r="X26" s="48"/>
      <c r="Y26" s="48"/>
      <c r="Z26" s="48"/>
      <c r="AA26" s="48"/>
    </row>
    <row r="27" spans="1:27">
      <c r="A27" t="s">
        <v>383</v>
      </c>
      <c r="B27" s="20">
        <f>+'CAPITALBKRÉSULT      '!B41</f>
        <v>73151</v>
      </c>
      <c r="C27" s="51">
        <f>+(-D27+B27)/ABS(D27)</f>
        <v>0.28780170061440419</v>
      </c>
      <c r="D27" s="20">
        <f>+'CAPITALBKRÉSULT      '!D81</f>
        <v>56803</v>
      </c>
      <c r="E27" s="48"/>
      <c r="F27" s="20">
        <f>+'CAPITALBKRÉSULT      '!D41</f>
        <v>0</v>
      </c>
      <c r="G27" s="48">
        <v>0</v>
      </c>
      <c r="H27" s="20">
        <f>+'CAPITALBKRÉSULT      '!H81</f>
        <v>52673</v>
      </c>
      <c r="I27" s="48"/>
      <c r="J27" s="20">
        <f>+'CAPITALBKRÉSULT      '!F41</f>
        <v>0</v>
      </c>
      <c r="K27" s="48">
        <v>0</v>
      </c>
      <c r="L27" s="20">
        <f>+'CAPITALBKRÉSULT      '!L81</f>
        <v>64023</v>
      </c>
      <c r="M27" s="48"/>
      <c r="N27" s="20">
        <f>+'CAPITALBKRÉSULT      '!H41</f>
        <v>0</v>
      </c>
      <c r="O27" s="48">
        <v>0</v>
      </c>
      <c r="P27" s="20">
        <f>+'CAPITALBKRÉSULT      '!P81</f>
        <v>61557</v>
      </c>
      <c r="Q27" s="48"/>
      <c r="R27" s="20">
        <f>+'CAPITALBKRÉSULT      '!R81</f>
        <v>73151</v>
      </c>
      <c r="S27" s="51">
        <f>+(-T27+R27)/ABS(T27)</f>
        <v>0.28780170061440419</v>
      </c>
      <c r="T27" s="20">
        <f>+'CAPITALBKRÉSULT      '!T81</f>
        <v>56803</v>
      </c>
      <c r="U27" s="48"/>
      <c r="V27" s="48"/>
      <c r="W27" s="48"/>
      <c r="X27" s="48"/>
      <c r="Y27" s="48"/>
      <c r="Z27" s="48"/>
      <c r="AA27" s="48"/>
    </row>
    <row r="28" spans="1:27">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c r="B32" s="56" t="str">
        <f>+buhinfin!B31</f>
        <v>2015</v>
      </c>
      <c r="C32" s="56" t="str">
        <f>+buhinfin!C31</f>
        <v>2014</v>
      </c>
      <c r="D32" s="48"/>
      <c r="E32" s="56" t="str">
        <f>+buhinfin!E31</f>
        <v>2015</v>
      </c>
      <c r="F32" s="56" t="str">
        <f>+buhinfin!F31</f>
        <v>2014</v>
      </c>
      <c r="G32" s="48"/>
      <c r="H32" s="56" t="str">
        <f>+buhinfin!H31</f>
        <v>2015</v>
      </c>
      <c r="I32" s="56" t="str">
        <f>+buhinfin!I31</f>
        <v>2014</v>
      </c>
      <c r="J32" s="48"/>
      <c r="K32" s="56" t="str">
        <f>+buhinfin!K31</f>
        <v>2015</v>
      </c>
      <c r="L32" s="56" t="str">
        <f>+buhinfin!L31</f>
        <v>2014</v>
      </c>
      <c r="M32" s="48"/>
      <c r="N32" s="56" t="str">
        <f>+buhinfin!N31</f>
        <v>2015</v>
      </c>
      <c r="O32" s="56" t="str">
        <f>+buhinfin!O31</f>
        <v>2014</v>
      </c>
      <c r="P32" s="48"/>
      <c r="U32" s="48"/>
      <c r="V32" s="48"/>
      <c r="W32" s="48"/>
      <c r="X32" s="48"/>
      <c r="Y32" s="48"/>
      <c r="Z32" s="48"/>
      <c r="AA32" s="48"/>
    </row>
    <row r="33" spans="1:27" ht="16.5" thickBot="1">
      <c r="B33" s="55" t="s">
        <v>204</v>
      </c>
      <c r="C33" s="55" t="s">
        <v>204</v>
      </c>
      <c r="D33" s="48"/>
      <c r="E33" s="55" t="s">
        <v>205</v>
      </c>
      <c r="F33" s="55" t="s">
        <v>205</v>
      </c>
      <c r="G33" s="48"/>
      <c r="H33" s="55" t="s">
        <v>206</v>
      </c>
      <c r="I33" s="55" t="s">
        <v>206</v>
      </c>
      <c r="J33" s="48"/>
      <c r="K33" s="55" t="s">
        <v>207</v>
      </c>
      <c r="L33" s="55" t="s">
        <v>207</v>
      </c>
      <c r="M33" s="48"/>
      <c r="N33" s="55" t="s">
        <v>208</v>
      </c>
      <c r="O33" s="55" t="s">
        <v>208</v>
      </c>
      <c r="P33" s="48"/>
      <c r="Q33" s="111" t="s">
        <v>214</v>
      </c>
      <c r="R33" s="111"/>
      <c r="S33" s="111"/>
      <c r="T33" s="111"/>
      <c r="U33" s="48"/>
      <c r="V33" s="48"/>
      <c r="W33" s="48"/>
      <c r="X33" s="48"/>
      <c r="Y33" s="48"/>
      <c r="Z33" s="48"/>
      <c r="AA33" s="48"/>
    </row>
    <row r="34" spans="1:27" ht="16.5" thickBot="1">
      <c r="B34" s="292" t="str">
        <f>+buhinfin!B33</f>
        <v>(oct. - déc. 14)</v>
      </c>
      <c r="C34" s="292" t="str">
        <f>+buhinfin!C33</f>
        <v>(oct. - déc. 13)</v>
      </c>
      <c r="D34" s="186"/>
      <c r="E34" s="292" t="str">
        <f>+buhinfin!E33</f>
        <v>(janv. - mars 15)</v>
      </c>
      <c r="F34" s="292" t="str">
        <f>+buhinfin!F33</f>
        <v>(janv. - mars 14)</v>
      </c>
      <c r="G34" s="186"/>
      <c r="H34" s="292" t="str">
        <f>+buhinfin!H33</f>
        <v>(avril - juin 15)</v>
      </c>
      <c r="I34" s="292" t="str">
        <f>+buhinfin!I33</f>
        <v>(avril - juin 14)</v>
      </c>
      <c r="J34" s="186"/>
      <c r="K34" s="292" t="str">
        <f>+buhinfin!K33</f>
        <v>(juil. - sept. 15)</v>
      </c>
      <c r="L34" s="292" t="str">
        <f>+buhinfin!L33</f>
        <v>(juil. - sept. 14)</v>
      </c>
      <c r="M34" s="186"/>
      <c r="N34" s="162" t="str">
        <f>+buhinfin!N33</f>
        <v>(oct. - déc. 14)</v>
      </c>
      <c r="O34" s="162" t="str">
        <f>+buhinfin!O33</f>
        <v>(oct. - déc. 13)</v>
      </c>
      <c r="P34" s="48"/>
      <c r="Q34" s="163" t="str">
        <f>+buhinfin!Q33</f>
        <v>2014</v>
      </c>
      <c r="R34" s="163" t="str">
        <f>+buhinfin!R33</f>
        <v>2013</v>
      </c>
      <c r="S34" s="163" t="str">
        <f>+buhinfin!S33</f>
        <v>2012</v>
      </c>
      <c r="T34" s="163" t="str">
        <f>+buhinfin!T33</f>
        <v>2011</v>
      </c>
      <c r="U34" s="48"/>
      <c r="V34" s="48"/>
      <c r="W34" s="48"/>
      <c r="X34" s="48"/>
      <c r="Y34" s="48"/>
      <c r="Z34" s="48"/>
      <c r="AA34" s="48"/>
    </row>
    <row r="35" spans="1:27">
      <c r="B35" s="315"/>
      <c r="C35" s="315"/>
      <c r="D35" s="186"/>
      <c r="E35" s="315"/>
      <c r="F35" s="315"/>
      <c r="G35" s="186"/>
      <c r="H35" s="315"/>
      <c r="I35" s="315"/>
      <c r="J35" s="186"/>
      <c r="K35" s="315"/>
      <c r="L35" s="315"/>
      <c r="M35" s="186"/>
      <c r="N35" s="315"/>
      <c r="O35" s="315"/>
      <c r="P35" s="48"/>
      <c r="Q35" s="316"/>
      <c r="R35" s="316"/>
      <c r="S35" s="316"/>
      <c r="T35" s="316"/>
      <c r="U35" s="48"/>
      <c r="V35" s="48"/>
      <c r="W35" s="48"/>
      <c r="X35" s="48"/>
      <c r="Y35" s="48"/>
      <c r="Z35" s="48"/>
      <c r="AA35" s="48"/>
    </row>
    <row r="36" spans="1:27">
      <c r="A36" s="11" t="s">
        <v>215</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64" t="s">
        <v>216</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1" t="s">
        <v>384</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t="s">
        <v>219</v>
      </c>
      <c r="B40" s="61"/>
      <c r="C40" s="61"/>
      <c r="D40" s="61"/>
      <c r="E40" s="61"/>
      <c r="F40" s="61"/>
      <c r="G40" s="61"/>
      <c r="H40" s="61"/>
      <c r="I40" s="61"/>
      <c r="J40" s="61"/>
      <c r="K40" s="61"/>
      <c r="L40" s="61"/>
      <c r="M40" s="61"/>
      <c r="N40" s="61"/>
      <c r="O40" s="61"/>
      <c r="P40" s="61"/>
      <c r="Q40" s="61"/>
      <c r="R40" s="61"/>
      <c r="S40" s="61"/>
      <c r="T40" s="61"/>
      <c r="U40" s="48"/>
      <c r="V40" s="48"/>
      <c r="W40" s="48"/>
      <c r="X40" s="48"/>
      <c r="Y40" s="48"/>
      <c r="Z40" s="48"/>
      <c r="AA40" s="48"/>
    </row>
    <row r="41" spans="1:27">
      <c r="A41" t="s">
        <v>220</v>
      </c>
      <c r="B41" s="62">
        <f>+capitalbkvar!B52/capitalbkvar!B23</f>
        <v>8.7233956172801413E-2</v>
      </c>
      <c r="C41" s="63">
        <v>8.7013513107967497E-2</v>
      </c>
      <c r="D41" s="63"/>
      <c r="E41" s="321">
        <v>0</v>
      </c>
      <c r="F41" s="62">
        <v>7.9416887473853434E-2</v>
      </c>
      <c r="G41" s="63"/>
      <c r="H41" s="321">
        <v>0</v>
      </c>
      <c r="I41" s="62">
        <v>8.4706874452890504E-2</v>
      </c>
      <c r="J41" s="63"/>
      <c r="K41" s="321">
        <v>0</v>
      </c>
      <c r="L41" s="63">
        <v>8.4222074747748552E-2</v>
      </c>
      <c r="M41" s="61"/>
      <c r="N41" s="63">
        <f>+B41</f>
        <v>8.7233956172801413E-2</v>
      </c>
      <c r="O41" s="63">
        <f>+C41</f>
        <v>8.7013513107967497E-2</v>
      </c>
      <c r="P41" s="63"/>
      <c r="Q41" s="63">
        <v>8.4199999999999997E-2</v>
      </c>
      <c r="R41" s="63">
        <v>8.4599999999999995E-2</v>
      </c>
      <c r="S41" s="63">
        <v>7.9299999999999995E-2</v>
      </c>
      <c r="T41" s="63">
        <v>7.7848108321699888E-2</v>
      </c>
      <c r="U41" s="48"/>
      <c r="V41" s="48"/>
      <c r="W41" s="48"/>
      <c r="X41" s="48"/>
      <c r="Y41" s="48"/>
      <c r="Z41" s="48"/>
      <c r="AA41" s="48"/>
    </row>
    <row r="42" spans="1:27">
      <c r="B42" s="62"/>
      <c r="C42" s="63"/>
      <c r="D42" s="63"/>
      <c r="E42" s="54" t="s">
        <v>0</v>
      </c>
      <c r="F42" s="61" t="s">
        <v>0</v>
      </c>
      <c r="G42" s="63"/>
      <c r="H42" s="61"/>
      <c r="I42" s="63"/>
      <c r="J42" s="63"/>
      <c r="K42" s="61"/>
      <c r="L42" s="63"/>
      <c r="M42" s="61"/>
      <c r="N42" s="62" t="s">
        <v>0</v>
      </c>
      <c r="O42" s="63"/>
      <c r="P42" s="63"/>
      <c r="Q42" s="62" t="s">
        <v>0</v>
      </c>
      <c r="R42" s="62" t="s">
        <v>0</v>
      </c>
      <c r="S42" s="62" t="s">
        <v>0</v>
      </c>
      <c r="T42" s="62" t="s">
        <v>0</v>
      </c>
      <c r="U42" s="48"/>
      <c r="V42" s="48"/>
      <c r="W42" s="48"/>
      <c r="X42" s="48"/>
      <c r="Y42" s="48"/>
      <c r="Z42" s="48"/>
      <c r="AA42" s="48"/>
    </row>
    <row r="43" spans="1:27">
      <c r="A43" t="s">
        <v>221</v>
      </c>
      <c r="B43" s="62">
        <f>+capitalbkvar!B30/capitalbkvar!B23</f>
        <v>0.84603755874643949</v>
      </c>
      <c r="C43" s="63">
        <v>0.85247187755224529</v>
      </c>
      <c r="D43" s="63"/>
      <c r="E43" s="321">
        <v>0</v>
      </c>
      <c r="F43" s="62">
        <v>0.86420423175052308</v>
      </c>
      <c r="G43" s="63"/>
      <c r="H43" s="321">
        <v>0</v>
      </c>
      <c r="I43" s="62">
        <v>0.85612158821110151</v>
      </c>
      <c r="J43" s="63"/>
      <c r="K43" s="321">
        <v>0</v>
      </c>
      <c r="L43" s="63">
        <v>0.84674384818912396</v>
      </c>
      <c r="M43" s="61"/>
      <c r="N43" s="63">
        <f>+B43</f>
        <v>0.84603755874643949</v>
      </c>
      <c r="O43" s="63">
        <f>+C43</f>
        <v>0.85247187755224529</v>
      </c>
      <c r="P43" s="63"/>
      <c r="Q43" s="63">
        <v>0.84670000000000001</v>
      </c>
      <c r="R43" s="63">
        <v>0.84740000000000004</v>
      </c>
      <c r="S43" s="63">
        <v>0.83950000000000002</v>
      </c>
      <c r="T43" s="63">
        <v>0.8574064875591324</v>
      </c>
      <c r="U43" s="48"/>
      <c r="V43" s="48"/>
      <c r="W43" s="48"/>
      <c r="X43" s="48"/>
      <c r="Y43" s="48"/>
      <c r="Z43" s="48"/>
      <c r="AA43" s="48"/>
    </row>
    <row r="44" spans="1:27">
      <c r="A44" t="s">
        <v>0</v>
      </c>
      <c r="B44" s="61"/>
      <c r="C44" s="63"/>
      <c r="D44" s="63"/>
      <c r="E44" s="61"/>
      <c r="F44" s="61"/>
      <c r="G44" s="63"/>
      <c r="H44" s="61"/>
      <c r="I44" s="63"/>
      <c r="J44" s="63"/>
      <c r="K44" s="61"/>
      <c r="L44" s="61"/>
      <c r="M44" s="61"/>
      <c r="N44" s="63"/>
      <c r="O44" s="63"/>
      <c r="P44" s="63"/>
      <c r="Q44" s="63"/>
      <c r="R44" s="63"/>
      <c r="S44" s="63"/>
      <c r="T44" s="63"/>
      <c r="U44" s="48"/>
      <c r="V44" s="48"/>
      <c r="W44" s="48"/>
      <c r="X44" s="48"/>
      <c r="Y44" s="48"/>
      <c r="Z44" s="48"/>
      <c r="AA44" s="48"/>
    </row>
    <row r="45" spans="1:27">
      <c r="A45" s="11" t="s">
        <v>222</v>
      </c>
      <c r="B45" s="61"/>
      <c r="C45" s="63"/>
      <c r="D45" s="63"/>
      <c r="E45" s="61"/>
      <c r="F45" s="61"/>
      <c r="G45" s="63"/>
      <c r="H45" s="61"/>
      <c r="I45" s="63"/>
      <c r="J45" s="63"/>
      <c r="K45" s="61"/>
      <c r="L45" s="61"/>
      <c r="M45" s="61"/>
      <c r="N45" s="63"/>
      <c r="O45" s="63"/>
      <c r="P45" s="63"/>
      <c r="Q45" s="63"/>
      <c r="R45" s="63"/>
      <c r="S45" s="63"/>
      <c r="T45" s="63"/>
      <c r="U45" s="48"/>
      <c r="V45" s="48"/>
      <c r="W45" s="48"/>
      <c r="X45" s="48"/>
      <c r="Y45" s="48"/>
      <c r="Z45" s="48"/>
      <c r="AA45" s="48"/>
    </row>
    <row r="46" spans="1:27">
      <c r="A46" s="11"/>
      <c r="B46" s="61"/>
      <c r="C46" s="63"/>
      <c r="D46" s="63"/>
      <c r="E46" s="61"/>
      <c r="F46" s="61"/>
      <c r="G46" s="63"/>
      <c r="H46" s="61"/>
      <c r="I46" s="63"/>
      <c r="J46" s="63"/>
      <c r="K46" s="61"/>
      <c r="L46" s="61"/>
      <c r="M46" s="61"/>
      <c r="N46" s="63"/>
      <c r="O46" s="63"/>
      <c r="P46" s="63"/>
      <c r="Q46" s="63"/>
      <c r="R46" s="63"/>
      <c r="S46" s="63"/>
      <c r="T46" s="63"/>
      <c r="U46" s="48"/>
      <c r="V46" s="48"/>
      <c r="W46" s="48"/>
      <c r="X46" s="48"/>
      <c r="Y46" s="48"/>
      <c r="Z46" s="48"/>
      <c r="AA46" s="48"/>
    </row>
    <row r="47" spans="1:27">
      <c r="A47" t="s">
        <v>223</v>
      </c>
      <c r="B47" s="61"/>
      <c r="C47" s="63"/>
      <c r="D47" s="63"/>
      <c r="E47" s="61"/>
      <c r="F47" s="61"/>
      <c r="G47" s="63"/>
      <c r="H47" s="61"/>
      <c r="I47" s="63"/>
      <c r="J47" s="63"/>
      <c r="K47" s="61"/>
      <c r="L47" s="61"/>
      <c r="M47" s="61"/>
      <c r="N47" s="63"/>
      <c r="O47" s="63"/>
      <c r="P47" s="63"/>
      <c r="Q47" s="63"/>
      <c r="R47" s="63"/>
      <c r="S47" s="63"/>
      <c r="T47" s="63"/>
      <c r="U47" s="48"/>
      <c r="V47" s="48"/>
      <c r="W47" s="48"/>
      <c r="X47" s="48"/>
      <c r="Y47" s="48"/>
      <c r="Z47" s="48"/>
      <c r="AA47" s="48"/>
    </row>
    <row r="48" spans="1:27">
      <c r="A48" t="s">
        <v>224</v>
      </c>
      <c r="B48" s="63">
        <f>+capitalbkvar!B63/capitalbkvar!B61</f>
        <v>1.3055971452746357E-2</v>
      </c>
      <c r="C48" s="63">
        <v>5.2085996638256251E-3</v>
      </c>
      <c r="D48" s="63"/>
      <c r="E48" s="61">
        <v>0</v>
      </c>
      <c r="F48" s="63">
        <v>6.7101166798296781E-3</v>
      </c>
      <c r="G48" s="63"/>
      <c r="H48" s="61">
        <v>0</v>
      </c>
      <c r="I48" s="63">
        <v>7.9610169934597515E-3</v>
      </c>
      <c r="J48" s="63"/>
      <c r="K48" s="61">
        <v>0</v>
      </c>
      <c r="L48" s="63">
        <v>5.8630733209055217E-3</v>
      </c>
      <c r="M48" s="61"/>
      <c r="N48" s="63">
        <f>+B48</f>
        <v>1.3055971452746357E-2</v>
      </c>
      <c r="O48" s="63">
        <f>+C48</f>
        <v>5.2085996638256251E-3</v>
      </c>
      <c r="P48" s="63"/>
      <c r="Q48" s="63">
        <v>5.8999999999999999E-3</v>
      </c>
      <c r="R48" s="63">
        <v>6.8999999999999999E-3</v>
      </c>
      <c r="S48" s="63">
        <v>6.0000000000000001E-3</v>
      </c>
      <c r="T48" s="63">
        <v>7.0103153235763736E-3</v>
      </c>
      <c r="U48" s="48"/>
      <c r="V48" s="48"/>
      <c r="W48" s="48"/>
      <c r="X48" s="48"/>
      <c r="Y48" s="48"/>
      <c r="Z48" s="48"/>
      <c r="AA48" s="48"/>
    </row>
    <row r="49" spans="1:27">
      <c r="B49" s="61"/>
      <c r="C49" s="63"/>
      <c r="D49" s="63"/>
      <c r="E49" s="61"/>
      <c r="F49" s="61"/>
      <c r="G49" s="63"/>
      <c r="H49" s="61"/>
      <c r="I49" s="63"/>
      <c r="J49" s="63"/>
      <c r="K49" s="61"/>
      <c r="L49" s="63"/>
      <c r="M49" s="61"/>
      <c r="N49" s="62" t="s">
        <v>0</v>
      </c>
      <c r="O49" s="63"/>
      <c r="P49" s="63"/>
      <c r="Q49" s="62" t="s">
        <v>0</v>
      </c>
      <c r="R49" s="62" t="s">
        <v>0</v>
      </c>
      <c r="S49" s="62" t="s">
        <v>0</v>
      </c>
      <c r="T49" s="62" t="s">
        <v>0</v>
      </c>
      <c r="U49" s="48"/>
      <c r="V49" s="48"/>
      <c r="W49" s="48"/>
      <c r="X49" s="48"/>
      <c r="Y49" s="48"/>
      <c r="Z49" s="48"/>
      <c r="AA49" s="48"/>
    </row>
    <row r="50" spans="1:27">
      <c r="A50" t="s">
        <v>225</v>
      </c>
      <c r="B50" s="61"/>
      <c r="C50" s="63"/>
      <c r="D50" s="63"/>
      <c r="E50" s="61"/>
      <c r="F50" s="61"/>
      <c r="G50" s="63"/>
      <c r="H50" s="61"/>
      <c r="I50" s="63"/>
      <c r="J50" s="63"/>
      <c r="K50" s="61"/>
      <c r="L50" s="63"/>
      <c r="M50" s="61"/>
      <c r="N50" s="63"/>
      <c r="O50" s="63"/>
      <c r="P50" s="63"/>
      <c r="Q50" s="63"/>
      <c r="R50" s="63"/>
      <c r="S50" s="63"/>
      <c r="T50" s="63"/>
      <c r="U50" s="48"/>
      <c r="V50" s="48"/>
      <c r="W50" s="48"/>
      <c r="X50" s="48"/>
      <c r="Y50" s="48"/>
      <c r="Z50" s="48"/>
      <c r="AA50" s="48"/>
    </row>
    <row r="51" spans="1:27">
      <c r="A51" t="s">
        <v>226</v>
      </c>
      <c r="B51" s="63">
        <f>+capitalbkvar!B62/capitalbkvar!B63</f>
        <v>0.51963244818652854</v>
      </c>
      <c r="C51" s="63">
        <v>1.1628201575551245</v>
      </c>
      <c r="D51" s="63"/>
      <c r="E51" s="61">
        <v>0</v>
      </c>
      <c r="F51" s="63">
        <v>0.76082066048771713</v>
      </c>
      <c r="G51" s="63"/>
      <c r="H51" s="61">
        <v>0</v>
      </c>
      <c r="I51" s="63">
        <v>0.79567843119244985</v>
      </c>
      <c r="J51" s="63"/>
      <c r="K51" s="61">
        <v>0</v>
      </c>
      <c r="L51" s="63">
        <v>0.97204307807901824</v>
      </c>
      <c r="M51" s="61"/>
      <c r="N51" s="63">
        <f>+B51</f>
        <v>0.51963244818652854</v>
      </c>
      <c r="O51" s="63">
        <f>+C51</f>
        <v>1.1628201575551245</v>
      </c>
      <c r="P51" s="63"/>
      <c r="Q51" s="63">
        <v>0.97199999999999998</v>
      </c>
      <c r="R51" s="63">
        <v>0.85440000000000005</v>
      </c>
      <c r="S51" s="63">
        <v>1.1624000000000001</v>
      </c>
      <c r="T51" s="63">
        <v>1.6136906794127688</v>
      </c>
      <c r="U51" s="48"/>
      <c r="V51" s="48"/>
      <c r="W51" s="48"/>
      <c r="X51" s="48"/>
      <c r="Y51" s="48"/>
      <c r="Z51" s="48"/>
      <c r="AA51" s="48"/>
    </row>
    <row r="52" spans="1:27">
      <c r="B52" s="61"/>
      <c r="C52" s="63"/>
      <c r="D52" s="63"/>
      <c r="E52" s="61"/>
      <c r="F52" s="61"/>
      <c r="G52" s="63"/>
      <c r="H52" s="61"/>
      <c r="I52" s="63"/>
      <c r="J52" s="63"/>
      <c r="K52" s="61"/>
      <c r="L52" s="63"/>
      <c r="M52" s="61"/>
      <c r="N52" s="63"/>
      <c r="O52" s="63"/>
      <c r="P52" s="63"/>
      <c r="Q52" s="63"/>
      <c r="R52" s="63"/>
      <c r="S52" s="63"/>
      <c r="T52" s="63"/>
      <c r="U52" s="48"/>
      <c r="V52" s="48"/>
      <c r="W52" s="48"/>
      <c r="X52" s="48"/>
      <c r="Y52" s="48"/>
      <c r="Z52" s="48"/>
      <c r="AA52" s="48"/>
    </row>
    <row r="53" spans="1:27">
      <c r="A53" t="s">
        <v>227</v>
      </c>
      <c r="B53" s="61"/>
      <c r="C53" s="63"/>
      <c r="D53" s="63"/>
      <c r="E53" s="61"/>
      <c r="F53" s="61"/>
      <c r="G53" s="63"/>
      <c r="H53" s="61"/>
      <c r="I53" s="63"/>
      <c r="J53" s="63"/>
      <c r="K53" s="61"/>
      <c r="L53" s="63"/>
      <c r="M53" s="61"/>
      <c r="N53" s="63"/>
      <c r="O53" s="63"/>
      <c r="P53" s="63"/>
      <c r="Q53" s="63"/>
      <c r="R53" s="63"/>
      <c r="S53" s="63"/>
      <c r="T53" s="63"/>
      <c r="U53" s="48"/>
      <c r="V53" s="48"/>
      <c r="W53" s="48"/>
      <c r="X53" s="48"/>
      <c r="Y53" s="48"/>
      <c r="Z53" s="48"/>
      <c r="AA53" s="48"/>
    </row>
    <row r="54" spans="1:27">
      <c r="A54" t="s">
        <v>228</v>
      </c>
      <c r="B54" s="63">
        <f>+(capitalbkvar!B63-capitalbkvar!B62)/capitalbkvar!B52</f>
        <v>3.3137492530311577E-2</v>
      </c>
      <c r="C54" s="63">
        <v>-4.474913069400864E-3</v>
      </c>
      <c r="D54" s="63"/>
      <c r="E54" s="61">
        <v>0</v>
      </c>
      <c r="F54" s="63">
        <v>9.0243433188850284E-3</v>
      </c>
      <c r="G54" s="63"/>
      <c r="H54" s="61">
        <v>0</v>
      </c>
      <c r="I54" s="63">
        <v>9.389710995712475E-3</v>
      </c>
      <c r="J54" s="63"/>
      <c r="K54" s="61">
        <v>0</v>
      </c>
      <c r="L54" s="62">
        <v>8.8486806250557377E-4</v>
      </c>
      <c r="M54" s="61"/>
      <c r="N54" s="63">
        <f>+B54</f>
        <v>3.3137492530311577E-2</v>
      </c>
      <c r="O54" s="63">
        <f>+C54</f>
        <v>-4.474913069400864E-3</v>
      </c>
      <c r="P54" s="63"/>
      <c r="Q54" s="63">
        <v>8.9999999999999998E-4</v>
      </c>
      <c r="R54" s="63">
        <v>5.4999999999999997E-3</v>
      </c>
      <c r="S54" s="63">
        <v>-5.4000000000000003E-3</v>
      </c>
      <c r="T54" s="63">
        <v>-2.2881074105720746E-2</v>
      </c>
      <c r="U54" s="48"/>
      <c r="V54" s="48"/>
      <c r="W54" s="48"/>
      <c r="X54" s="48"/>
      <c r="Y54" s="48"/>
      <c r="Z54" s="48"/>
      <c r="AA54" s="48"/>
    </row>
    <row r="55" spans="1:27">
      <c r="A55" t="s">
        <v>0</v>
      </c>
      <c r="B55" s="61"/>
      <c r="C55" s="63"/>
      <c r="D55" s="63"/>
      <c r="E55" s="61"/>
      <c r="F55" s="61"/>
      <c r="G55" s="63"/>
      <c r="H55" s="61"/>
      <c r="I55" s="63"/>
      <c r="J55" s="63"/>
      <c r="K55" s="61"/>
      <c r="L55" s="321"/>
      <c r="M55" s="61"/>
      <c r="N55" s="61"/>
      <c r="O55" s="63"/>
      <c r="P55" s="63"/>
      <c r="Q55" s="61"/>
      <c r="R55" s="61"/>
      <c r="S55" s="61"/>
      <c r="T55" s="61"/>
      <c r="U55" s="48"/>
      <c r="V55" s="48"/>
      <c r="W55" s="48"/>
      <c r="X55" s="48"/>
      <c r="Y55" s="48"/>
      <c r="Z55" s="48"/>
      <c r="AA55" s="48"/>
    </row>
    <row r="56" spans="1:27">
      <c r="A56" s="11" t="s">
        <v>229</v>
      </c>
      <c r="B56" s="61"/>
      <c r="C56" s="63"/>
      <c r="D56" s="63"/>
      <c r="E56" s="61"/>
      <c r="F56" s="61"/>
      <c r="G56" s="63"/>
      <c r="H56" s="61"/>
      <c r="I56" s="63"/>
      <c r="J56" s="63"/>
      <c r="K56" s="61"/>
      <c r="L56" s="61"/>
      <c r="M56" s="61"/>
      <c r="N56" s="61"/>
      <c r="O56" s="63"/>
      <c r="P56" s="63"/>
      <c r="Q56" s="61"/>
      <c r="R56" s="61"/>
      <c r="S56" s="61"/>
      <c r="T56" s="61"/>
      <c r="U56" s="48"/>
      <c r="V56" s="48"/>
      <c r="W56" s="48"/>
      <c r="X56" s="48"/>
      <c r="Y56" s="48"/>
      <c r="Z56" s="48"/>
      <c r="AA56" s="48"/>
    </row>
    <row r="57" spans="1:27">
      <c r="A57" s="11"/>
      <c r="B57" s="61"/>
      <c r="C57" s="63"/>
      <c r="D57" s="63"/>
      <c r="E57" s="61"/>
      <c r="F57" s="61"/>
      <c r="G57" s="63"/>
      <c r="H57" s="61"/>
      <c r="I57" s="63"/>
      <c r="J57" s="63"/>
      <c r="K57" s="61"/>
      <c r="L57" s="61"/>
      <c r="M57" s="61"/>
      <c r="N57" s="61"/>
      <c r="O57" s="63"/>
      <c r="P57" s="63"/>
      <c r="Q57" s="61"/>
      <c r="R57" s="61"/>
      <c r="S57" s="61"/>
      <c r="T57" s="61"/>
      <c r="U57" s="48"/>
      <c r="V57" s="48"/>
      <c r="W57" s="48"/>
      <c r="X57" s="48"/>
      <c r="Y57" s="48"/>
      <c r="Z57" s="48"/>
      <c r="AA57" s="48"/>
    </row>
    <row r="58" spans="1:27">
      <c r="A58" t="s">
        <v>230</v>
      </c>
      <c r="B58" s="63">
        <f>+('CAPITALBKRÉSULT      '!B41/((capitalbkvar!B23+capitalbkvar!J23)/2)*4)</f>
        <v>2.4084489142538058E-2</v>
      </c>
      <c r="C58" s="63">
        <v>2.1758465159254312E-2</v>
      </c>
      <c r="D58" s="63"/>
      <c r="E58" s="61">
        <v>0</v>
      </c>
      <c r="F58" s="62">
        <v>1.9428263599632369E-2</v>
      </c>
      <c r="G58" s="63"/>
      <c r="H58" s="61">
        <v>0</v>
      </c>
      <c r="I58" s="62">
        <v>2.2954072583923239E-2</v>
      </c>
      <c r="J58" s="63"/>
      <c r="K58" s="61">
        <v>0</v>
      </c>
      <c r="L58" s="63">
        <v>2.1254318842663891E-2</v>
      </c>
      <c r="M58" s="61"/>
      <c r="N58" s="320">
        <f>+'sysratfinclédéc. 14'!E37</f>
        <v>6.0211222856345146E-3</v>
      </c>
      <c r="O58" s="320">
        <f>+'sysratfinclédéc. 14'!E38</f>
        <v>2.18E-2</v>
      </c>
      <c r="P58" s="63"/>
      <c r="Q58" s="320">
        <v>2.1100000000000001E-2</v>
      </c>
      <c r="R58" s="320">
        <v>1.9699999999999999E-2</v>
      </c>
      <c r="S58" s="320">
        <v>2.07E-2</v>
      </c>
      <c r="T58" s="320">
        <v>2.3801454395763404E-2</v>
      </c>
      <c r="U58" s="48"/>
      <c r="V58" s="48"/>
      <c r="W58" s="48"/>
      <c r="X58" s="48"/>
      <c r="Y58" s="48"/>
      <c r="Z58" s="48"/>
      <c r="AA58" s="48"/>
    </row>
    <row r="59" spans="1:27" ht="7.15" customHeight="1">
      <c r="B59" s="61"/>
      <c r="C59" s="63"/>
      <c r="D59" s="63"/>
      <c r="E59" s="61"/>
      <c r="F59" s="61"/>
      <c r="G59" s="63"/>
      <c r="H59" s="61"/>
      <c r="I59" s="63"/>
      <c r="J59" s="63"/>
      <c r="K59" s="61"/>
      <c r="L59" s="63"/>
      <c r="M59" s="61"/>
      <c r="N59" s="61"/>
      <c r="O59" s="61"/>
      <c r="P59" s="63"/>
      <c r="Q59" s="61"/>
      <c r="R59" s="61"/>
      <c r="S59" s="61"/>
      <c r="T59" s="61"/>
      <c r="U59" s="48"/>
      <c r="V59" s="48"/>
      <c r="W59" s="48"/>
      <c r="X59" s="48"/>
      <c r="Y59" s="48"/>
      <c r="Z59" s="48"/>
      <c r="AA59" s="48"/>
    </row>
    <row r="60" spans="1:27">
      <c r="A60" t="s">
        <v>390</v>
      </c>
      <c r="B60" s="63">
        <f>+('CAPITALBKRÉSULT      '!B41/((capitalbkvar!B52+capitalbkvar!J52)/2)*4)</f>
        <v>0.28087305594538503</v>
      </c>
      <c r="C60" s="63">
        <v>0.25360307745367833</v>
      </c>
      <c r="D60" s="63"/>
      <c r="E60" s="61">
        <v>0</v>
      </c>
      <c r="F60" s="63">
        <v>0.23374718621826626</v>
      </c>
      <c r="G60" s="63"/>
      <c r="H60" s="61">
        <v>0</v>
      </c>
      <c r="I60" s="63">
        <v>0.27969199063150002</v>
      </c>
      <c r="J60" s="63"/>
      <c r="K60" s="61">
        <v>0</v>
      </c>
      <c r="L60" s="63">
        <v>0.25166098313439694</v>
      </c>
      <c r="M60" s="61"/>
      <c r="N60" s="320">
        <f>+'sysratfinclédéc. 14'!E43</f>
        <v>0.28087305594538503</v>
      </c>
      <c r="O60" s="320">
        <f>+'sysratfinclédéc. 14'!E44</f>
        <v>0.25359999999999999</v>
      </c>
      <c r="P60" s="63"/>
      <c r="Q60" s="320">
        <v>0.24979999999999999</v>
      </c>
      <c r="R60" s="320">
        <v>0.24</v>
      </c>
      <c r="S60" s="320">
        <v>0.26379999999999998</v>
      </c>
      <c r="T60" s="320">
        <v>0.31697899501152804</v>
      </c>
      <c r="U60" s="48"/>
      <c r="V60" s="48"/>
      <c r="W60" s="48"/>
      <c r="X60" s="48"/>
      <c r="Y60" s="48"/>
      <c r="Z60" s="48"/>
      <c r="AA60" s="48"/>
    </row>
    <row r="61" spans="1:27" ht="7.15" customHeight="1">
      <c r="B61" s="61"/>
      <c r="C61" s="63"/>
      <c r="D61" s="63"/>
      <c r="E61" s="61"/>
      <c r="F61" s="61"/>
      <c r="G61" s="63"/>
      <c r="H61" s="61"/>
      <c r="I61" s="63"/>
      <c r="J61" s="63"/>
      <c r="K61" s="61"/>
      <c r="L61" s="63"/>
      <c r="M61" s="61"/>
      <c r="N61" s="61"/>
      <c r="O61" s="61"/>
      <c r="P61" s="63"/>
      <c r="Q61" s="61"/>
      <c r="R61" s="61"/>
      <c r="S61" s="61"/>
      <c r="T61" s="61"/>
      <c r="U61" s="48"/>
      <c r="V61" s="48"/>
      <c r="W61" s="48"/>
      <c r="X61" s="48"/>
      <c r="Y61" s="48"/>
      <c r="Z61" s="48"/>
      <c r="AA61" s="48"/>
    </row>
    <row r="62" spans="1:27">
      <c r="A62" t="s">
        <v>209</v>
      </c>
      <c r="B62" s="61"/>
      <c r="C62" s="63"/>
      <c r="D62" s="63"/>
      <c r="E62" s="61"/>
      <c r="F62" s="61"/>
      <c r="G62" s="63"/>
      <c r="H62" s="61"/>
      <c r="I62" s="63"/>
      <c r="J62" s="63"/>
      <c r="K62" s="61"/>
      <c r="L62" s="63"/>
      <c r="M62" s="61"/>
      <c r="N62" s="61"/>
      <c r="O62" s="61"/>
      <c r="P62" s="63"/>
      <c r="Q62" s="61"/>
      <c r="R62" s="61"/>
      <c r="S62" s="61"/>
      <c r="T62" s="61"/>
      <c r="U62" s="48"/>
      <c r="V62" s="48"/>
      <c r="W62" s="48"/>
      <c r="X62" s="48"/>
      <c r="Y62" s="48"/>
      <c r="Z62" s="48"/>
      <c r="AA62" s="48"/>
    </row>
    <row r="63" spans="1:27">
      <c r="A63" t="s">
        <v>233</v>
      </c>
      <c r="B63" s="63">
        <f>+'CAPITALBKRÉSULT      '!B15/'CAPITALBKRÉSULT      '!B13</f>
        <v>0.90414815969245954</v>
      </c>
      <c r="C63" s="63">
        <v>0.92862028728926083</v>
      </c>
      <c r="D63" s="63"/>
      <c r="E63" s="61">
        <v>0</v>
      </c>
      <c r="F63" s="63">
        <v>0.9250555286068064</v>
      </c>
      <c r="G63" s="63"/>
      <c r="H63" s="61">
        <v>0</v>
      </c>
      <c r="I63" s="63">
        <v>0.92134107392186682</v>
      </c>
      <c r="J63" s="63"/>
      <c r="K63" s="61">
        <v>0</v>
      </c>
      <c r="L63" s="63">
        <v>0.90957526800867938</v>
      </c>
      <c r="M63" s="61"/>
      <c r="N63" s="320">
        <f>+'sysratfinclédéc. 14'!E50</f>
        <v>0.90414815969245954</v>
      </c>
      <c r="O63" s="320">
        <f>+'sysratfinclédéc. 14'!E51</f>
        <v>0.92862028728926083</v>
      </c>
      <c r="P63" s="63"/>
      <c r="Q63" s="320">
        <v>0.92059999999999997</v>
      </c>
      <c r="R63" s="320">
        <v>0.93869999999999998</v>
      </c>
      <c r="S63" s="320">
        <v>0.95040000000000002</v>
      </c>
      <c r="T63" s="320">
        <v>0.95702462202149907</v>
      </c>
      <c r="U63" s="48"/>
      <c r="V63" s="48"/>
      <c r="W63" s="48"/>
      <c r="X63" s="48"/>
      <c r="Y63" s="48"/>
      <c r="Z63" s="48"/>
      <c r="AA63" s="48"/>
    </row>
    <row r="64" spans="1:27" ht="7.15" customHeight="1">
      <c r="B64" s="61"/>
      <c r="C64" s="63"/>
      <c r="D64" s="63"/>
      <c r="E64" s="61"/>
      <c r="F64" s="61"/>
      <c r="G64" s="63"/>
      <c r="H64" s="61"/>
      <c r="I64" s="63"/>
      <c r="J64" s="63"/>
      <c r="K64" s="61"/>
      <c r="L64" s="63"/>
      <c r="M64" s="61"/>
      <c r="N64" s="61"/>
      <c r="O64" s="320" t="s">
        <v>0</v>
      </c>
      <c r="P64" s="63"/>
      <c r="Q64" s="61"/>
      <c r="R64" s="61"/>
      <c r="S64" s="61"/>
      <c r="T64" s="61"/>
      <c r="U64" s="48"/>
      <c r="V64" s="48"/>
      <c r="W64" s="48"/>
      <c r="X64" s="48"/>
      <c r="Y64" s="48"/>
      <c r="Z64" s="48"/>
      <c r="AA64" s="48"/>
    </row>
    <row r="65" spans="1:20">
      <c r="A65" t="s">
        <v>234</v>
      </c>
      <c r="B65" s="63">
        <f>+('CAPITALBKRÉSULT      '!B10/((capitalbkvar!J61+capitalbkvar!B61)/2)*4)</f>
        <v>0.12975780708471829</v>
      </c>
      <c r="C65" s="60">
        <v>0.12190998562608332</v>
      </c>
      <c r="D65" s="60"/>
      <c r="E65" s="61">
        <v>0</v>
      </c>
      <c r="F65" s="60">
        <v>0.12311582048763477</v>
      </c>
      <c r="G65" s="60"/>
      <c r="H65" s="61">
        <v>0</v>
      </c>
      <c r="I65" s="60">
        <v>0.13428888844822306</v>
      </c>
      <c r="J65" s="60"/>
      <c r="K65" s="61">
        <v>0</v>
      </c>
      <c r="L65" s="60">
        <v>0.12999999908410456</v>
      </c>
      <c r="M65" s="17"/>
      <c r="N65" s="320">
        <f>+'sysratfinclédéc. 14'!E56</f>
        <v>0.12975780708471829</v>
      </c>
      <c r="O65" s="320">
        <f>+'sysratfinclédéc. 14'!E57</f>
        <v>0.12189999999999999</v>
      </c>
      <c r="P65" s="60"/>
      <c r="Q65" s="320">
        <v>0.1275</v>
      </c>
      <c r="R65" s="320">
        <v>0.1212</v>
      </c>
      <c r="S65" s="320">
        <v>0.129</v>
      </c>
      <c r="T65" s="320">
        <v>0.13287502759512093</v>
      </c>
    </row>
    <row r="66" spans="1:20" ht="7.15" customHeight="1">
      <c r="B66" s="17"/>
      <c r="C66" s="60"/>
      <c r="D66" s="60"/>
      <c r="E66" s="54"/>
      <c r="F66" s="54"/>
      <c r="G66" s="60"/>
      <c r="H66" s="54"/>
      <c r="I66" s="60"/>
      <c r="J66" s="60"/>
      <c r="K66" s="54"/>
      <c r="L66" s="60"/>
      <c r="M66" s="17"/>
      <c r="N66" s="54"/>
      <c r="O66" s="17"/>
      <c r="P66" s="60"/>
      <c r="Q66" s="54"/>
      <c r="R66" s="54"/>
      <c r="S66" s="54"/>
      <c r="T66" s="54"/>
    </row>
    <row r="67" spans="1:20" ht="15.75" customHeight="1">
      <c r="A67" t="s">
        <v>630</v>
      </c>
      <c r="B67" s="63">
        <f>+('CAPITALBKRÉSULT      '!B10/((capitalbkvar!J61-capitalbkvar!J63+capitalbkvar!B61-capitalbkvar!B63)/2)*4)</f>
        <v>0.13100674551943675</v>
      </c>
      <c r="C67" s="984">
        <v>0.12274212650126499</v>
      </c>
      <c r="D67" s="60"/>
      <c r="E67" s="54">
        <v>0</v>
      </c>
      <c r="F67" s="60">
        <v>0.1238550402818438</v>
      </c>
      <c r="G67" s="60"/>
      <c r="H67" s="54">
        <v>0</v>
      </c>
      <c r="I67" s="60">
        <v>0.13528535076855402</v>
      </c>
      <c r="J67" s="60"/>
      <c r="K67" s="54">
        <v>0</v>
      </c>
      <c r="L67" s="60">
        <v>0.13090510132727881</v>
      </c>
      <c r="M67" s="17"/>
      <c r="N67" s="320">
        <f>+'sysratfinclédéc. 14'!E62</f>
        <v>0.13100674551943675</v>
      </c>
      <c r="O67" s="320">
        <f>+'sysratfinclédéc. 14'!E63</f>
        <v>0.1227</v>
      </c>
      <c r="P67" s="60"/>
      <c r="Q67" s="320">
        <v>0.1283</v>
      </c>
      <c r="R67" s="320">
        <v>0.122</v>
      </c>
      <c r="S67" s="320">
        <v>0.1298</v>
      </c>
      <c r="T67" s="320">
        <v>0.13396817008087605</v>
      </c>
    </row>
    <row r="68" spans="1:20" ht="7.15" customHeight="1">
      <c r="B68" s="17"/>
      <c r="C68" s="60"/>
      <c r="D68" s="60"/>
      <c r="E68" s="54"/>
      <c r="F68" s="54"/>
      <c r="G68" s="60"/>
      <c r="H68" s="54"/>
      <c r="I68" s="60"/>
      <c r="J68" s="60"/>
      <c r="K68" s="54"/>
      <c r="L68" s="60"/>
      <c r="M68" s="17"/>
      <c r="N68" s="54"/>
      <c r="O68" s="17"/>
      <c r="P68" s="60"/>
      <c r="Q68" s="54"/>
      <c r="R68" s="54"/>
      <c r="S68" s="54"/>
      <c r="T68" s="54"/>
    </row>
    <row r="69" spans="1:20">
      <c r="A69" t="s">
        <v>235</v>
      </c>
      <c r="B69" s="63">
        <f>+('CAPITALBKRÉSULT      '!B14/((capitalbkvar!B30+capitalbkvar!J30)/2)*4)</f>
        <v>7.1774252839402822E-3</v>
      </c>
      <c r="C69" s="60">
        <v>4.7968798648950943E-3</v>
      </c>
      <c r="D69" s="60"/>
      <c r="E69" s="61">
        <v>0</v>
      </c>
      <c r="F69" s="60">
        <v>5.0449001267025249E-3</v>
      </c>
      <c r="G69" s="60"/>
      <c r="H69" s="61">
        <v>0</v>
      </c>
      <c r="I69" s="60">
        <v>5.8000509041478019E-3</v>
      </c>
      <c r="J69" s="60"/>
      <c r="K69" s="61">
        <v>0</v>
      </c>
      <c r="L69" s="60">
        <v>6.8287376448155981E-3</v>
      </c>
      <c r="M69" s="17"/>
      <c r="N69" s="320">
        <f>+'sysratfinclédéc. 14'!E68</f>
        <v>7.1774252839402822E-3</v>
      </c>
      <c r="O69" s="320">
        <f>+'sysratfinclédéc. 14'!E69</f>
        <v>4.7999999999999996E-3</v>
      </c>
      <c r="P69" s="60"/>
      <c r="Q69" s="320">
        <v>5.5999999999999999E-3</v>
      </c>
      <c r="R69" s="320">
        <v>4.1000000000000003E-3</v>
      </c>
      <c r="S69" s="320">
        <v>3.3E-3</v>
      </c>
      <c r="T69" s="320">
        <v>2.6967659278580602E-3</v>
      </c>
    </row>
    <row r="70" spans="1:20" ht="6" customHeight="1">
      <c r="B70" s="17"/>
      <c r="C70" s="60"/>
      <c r="D70" s="60"/>
      <c r="E70" s="54"/>
      <c r="F70" s="54"/>
      <c r="G70" s="60"/>
      <c r="H70" s="54"/>
      <c r="I70" s="60"/>
      <c r="J70" s="60"/>
      <c r="K70" s="54"/>
      <c r="L70" s="60"/>
      <c r="M70" s="17"/>
      <c r="N70" s="54"/>
      <c r="O70" s="17"/>
      <c r="P70" s="60"/>
      <c r="Q70" s="54"/>
      <c r="R70" s="54"/>
      <c r="S70" s="54"/>
      <c r="T70" s="54"/>
    </row>
    <row r="71" spans="1:20">
      <c r="A71" t="s">
        <v>212</v>
      </c>
      <c r="B71" s="17"/>
      <c r="C71" s="60"/>
      <c r="D71" s="60"/>
      <c r="E71" s="54"/>
      <c r="F71" s="54"/>
      <c r="G71" s="60"/>
      <c r="H71" s="54"/>
      <c r="I71" s="60"/>
      <c r="J71" s="60"/>
      <c r="K71" s="54"/>
      <c r="L71" s="60"/>
      <c r="M71" s="17"/>
      <c r="N71" s="54"/>
      <c r="O71" s="17"/>
      <c r="P71" s="60"/>
      <c r="Q71" s="54"/>
      <c r="R71" s="54"/>
      <c r="S71" s="54"/>
      <c r="T71" s="54"/>
    </row>
    <row r="72" spans="1:20">
      <c r="A72" t="s">
        <v>236</v>
      </c>
      <c r="B72" s="63">
        <f>+'CAPITALBKRÉSULT      '!B35/'CAPITALBKRÉSULT      '!B23</f>
        <v>0.65920340319513371</v>
      </c>
      <c r="C72" s="60">
        <v>0.69081189360411377</v>
      </c>
      <c r="D72" s="60"/>
      <c r="E72" s="61">
        <v>0</v>
      </c>
      <c r="F72" s="63">
        <v>0.71715617825953182</v>
      </c>
      <c r="G72" s="60"/>
      <c r="H72" s="61">
        <v>0</v>
      </c>
      <c r="I72" s="63">
        <v>0.65595767465940436</v>
      </c>
      <c r="J72" s="60"/>
      <c r="K72" s="61">
        <v>0</v>
      </c>
      <c r="L72" s="648">
        <v>0.72323977246808535</v>
      </c>
      <c r="M72" s="17"/>
      <c r="N72" s="320">
        <f>+'sysratfinclédéc. 14'!E76</f>
        <v>0.65920340319513371</v>
      </c>
      <c r="O72" s="320">
        <f>+'sysratfinclédéc. 14'!E77</f>
        <v>0.69081189360411377</v>
      </c>
      <c r="P72" s="60"/>
      <c r="Q72" s="320">
        <v>0.6966</v>
      </c>
      <c r="R72" s="320">
        <v>0.70340000000000003</v>
      </c>
      <c r="S72" s="320">
        <v>0.70040000000000002</v>
      </c>
      <c r="T72" s="320">
        <v>0.71984580696777944</v>
      </c>
    </row>
    <row r="73" spans="1:20">
      <c r="A73" t="s">
        <v>385</v>
      </c>
      <c r="B73" s="17"/>
      <c r="C73" s="17"/>
      <c r="D73" s="17"/>
      <c r="E73" s="54"/>
      <c r="F73" s="54"/>
      <c r="G73" s="17"/>
      <c r="H73" s="54"/>
      <c r="I73" s="54"/>
      <c r="J73" s="17"/>
      <c r="K73" s="54"/>
      <c r="L73" s="54"/>
      <c r="M73" s="17"/>
      <c r="N73" s="54"/>
      <c r="O73" s="17"/>
      <c r="P73" s="17"/>
      <c r="Q73" s="54"/>
      <c r="R73" s="54"/>
      <c r="S73" s="54"/>
      <c r="T73" s="54"/>
    </row>
    <row r="74" spans="1:20">
      <c r="B74" s="17"/>
      <c r="C74" s="17"/>
      <c r="D74" s="17"/>
      <c r="E74" s="54"/>
      <c r="F74" s="54"/>
      <c r="G74" s="17"/>
      <c r="H74" s="54"/>
      <c r="I74" s="54"/>
      <c r="J74" s="17"/>
      <c r="K74" s="54"/>
      <c r="L74" s="54"/>
      <c r="M74" s="17"/>
      <c r="N74" s="54"/>
      <c r="O74" s="17"/>
      <c r="P74" s="17"/>
      <c r="Q74" s="54"/>
      <c r="R74" s="54"/>
      <c r="S74" s="54"/>
      <c r="T74" s="54"/>
    </row>
    <row r="75" spans="1:20">
      <c r="A75" t="s">
        <v>238</v>
      </c>
      <c r="B75" s="1311">
        <f>+('CAPITALBKRÉSULT      '!B23/((employés!U138+employés!U136)/2)*4)</f>
        <v>2273.7024482109227</v>
      </c>
      <c r="C75" s="54">
        <v>1978.7391742195368</v>
      </c>
      <c r="D75" s="17"/>
      <c r="E75" s="54">
        <f>+('CAPITALBKRÉSULT      '!D23/((employés!U130+employés!U132)/2)*4)</f>
        <v>0</v>
      </c>
      <c r="F75" s="54">
        <v>2030.1741741741741</v>
      </c>
      <c r="G75" s="17"/>
      <c r="H75" s="54">
        <v>0</v>
      </c>
      <c r="I75" s="54">
        <v>2274.2419354838707</v>
      </c>
      <c r="J75" s="17"/>
      <c r="K75" s="54">
        <f>+('CAPITALBKRÉSULT      '!H23/((employés!U134+employés!U136)/2)*4)</f>
        <v>0</v>
      </c>
      <c r="L75" s="54">
        <v>2269.5372549019608</v>
      </c>
      <c r="M75" s="17"/>
      <c r="N75" s="663">
        <f>+'sysratfinclédéc. 14'!E82</f>
        <v>2273.7024482109227</v>
      </c>
      <c r="O75" s="663">
        <f>+'sysratfinclédéc. 14'!E83</f>
        <v>1978.74</v>
      </c>
      <c r="P75" s="17"/>
      <c r="Q75" s="663">
        <v>2082.69</v>
      </c>
      <c r="R75" s="663">
        <v>1896.61</v>
      </c>
      <c r="S75" s="663">
        <v>1782.68</v>
      </c>
      <c r="T75" s="663">
        <v>1733.7957124842371</v>
      </c>
    </row>
    <row r="76" spans="1:20">
      <c r="B76" s="54"/>
      <c r="C76" s="54"/>
      <c r="D76" s="17"/>
      <c r="E76" s="54"/>
      <c r="F76" s="54"/>
      <c r="G76" s="17"/>
      <c r="H76" s="54"/>
      <c r="I76" s="54"/>
      <c r="J76" s="17"/>
      <c r="K76" s="54"/>
      <c r="L76" s="54"/>
      <c r="M76" s="17"/>
      <c r="N76" s="61"/>
      <c r="O76" s="61"/>
      <c r="P76" s="17"/>
      <c r="Q76" s="54"/>
      <c r="R76" s="54"/>
      <c r="S76" s="54"/>
      <c r="T76" s="54"/>
    </row>
    <row r="77" spans="1:20" ht="16.5" thickBot="1">
      <c r="B77" s="514"/>
      <c r="C77" s="514"/>
      <c r="D77" s="169"/>
      <c r="E77" s="514"/>
      <c r="F77" s="514"/>
      <c r="G77" s="169"/>
      <c r="H77" s="514"/>
      <c r="I77" s="514"/>
      <c r="J77" s="169"/>
      <c r="K77" s="514"/>
      <c r="L77" s="514"/>
      <c r="M77" s="169"/>
      <c r="N77" s="516"/>
      <c r="O77" s="516"/>
      <c r="P77" s="169"/>
      <c r="Q77" s="514"/>
      <c r="R77" s="514"/>
      <c r="S77" s="514"/>
      <c r="T77" s="514"/>
    </row>
    <row r="78" spans="1:20">
      <c r="B78" s="54"/>
      <c r="C78" s="54"/>
      <c r="D78" s="17"/>
      <c r="E78" s="54"/>
      <c r="F78" s="54"/>
      <c r="G78" s="17"/>
      <c r="H78" s="54"/>
      <c r="I78" s="54"/>
      <c r="J78" s="17"/>
      <c r="K78" s="54"/>
      <c r="L78" s="54"/>
      <c r="M78" s="17"/>
      <c r="N78" s="61"/>
      <c r="O78" s="61"/>
      <c r="P78" s="17"/>
      <c r="Q78" s="54"/>
      <c r="R78" s="54"/>
      <c r="S78" s="54"/>
      <c r="T78" s="54"/>
    </row>
    <row r="79" spans="1:20">
      <c r="A79" s="11" t="s">
        <v>0</v>
      </c>
      <c r="B79" s="26"/>
      <c r="C79" s="26"/>
      <c r="D79" s="26"/>
      <c r="E79" s="26"/>
      <c r="F79" s="26"/>
      <c r="G79" s="26"/>
      <c r="H79" s="26"/>
      <c r="I79" s="26"/>
      <c r="J79" s="26"/>
      <c r="K79" s="26"/>
      <c r="L79" s="26"/>
      <c r="M79" s="26"/>
      <c r="N79" s="26"/>
      <c r="O79" s="26"/>
      <c r="P79" s="26"/>
      <c r="Q79" s="26"/>
      <c r="R79" s="26"/>
      <c r="S79" s="26"/>
      <c r="T79" s="26"/>
    </row>
  </sheetData>
  <phoneticPr fontId="0" type="noConversion"/>
  <pageMargins left="0.2" right="0.2" top="0.56999999999999995" bottom="0.48" header="0.32" footer="0.27"/>
  <pageSetup scale="44" orientation="landscape" r:id="rId1"/>
  <headerFooter alignWithMargins="0">
    <oddFooter>&amp;R&amp;16&amp;P</oddFooter>
  </headerFooter>
</worksheet>
</file>

<file path=xl/worksheets/sheet85.xml><?xml version="1.0" encoding="utf-8"?>
<worksheet xmlns="http://schemas.openxmlformats.org/spreadsheetml/2006/main" xmlns:r="http://schemas.openxmlformats.org/officeDocument/2006/relationships">
  <sheetPr>
    <pageSetUpPr fitToPage="1"/>
  </sheetPr>
  <dimension ref="A1:U172"/>
  <sheetViews>
    <sheetView topLeftCell="A6" workbookViewId="0">
      <pane xSplit="1" ySplit="2" topLeftCell="B42"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7"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11.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6.75" style="20" customWidth="1"/>
    <col min="17" max="18" width="15.75" style="20" customWidth="1"/>
    <col min="19" max="21" width="15.75" customWidth="1"/>
  </cols>
  <sheetData>
    <row r="1" spans="1:21">
      <c r="A1" s="111" t="s">
        <v>402</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s="11" customFormat="1" ht="16.5" thickBot="1">
      <c r="B6" s="346" t="s">
        <v>0</v>
      </c>
      <c r="C6" s="345"/>
      <c r="D6" s="346"/>
      <c r="E6" s="345"/>
      <c r="F6" s="346"/>
      <c r="G6" s="345"/>
      <c r="H6" s="346"/>
      <c r="I6" s="402" t="str">
        <f>+buhvar!I6</f>
        <v>Var. déc. 14</v>
      </c>
      <c r="J6" s="118" t="s">
        <v>195</v>
      </c>
      <c r="K6" s="207"/>
      <c r="L6" s="118"/>
      <c r="M6" s="207"/>
      <c r="N6" s="118"/>
      <c r="O6" s="207"/>
      <c r="P6" s="118"/>
      <c r="Q6" s="13"/>
      <c r="R6" s="13"/>
    </row>
    <row r="7" spans="1:21" s="11" customFormat="1" ht="16.5" thickBot="1">
      <c r="B7" s="202" t="str">
        <f>+buhvar!B7</f>
        <v>Déc. 14</v>
      </c>
      <c r="C7" s="201" t="s">
        <v>196</v>
      </c>
      <c r="D7" s="202" t="str">
        <f>+buhvar!D7</f>
        <v>Mars 15</v>
      </c>
      <c r="E7" s="201" t="s">
        <v>196</v>
      </c>
      <c r="F7" s="202" t="str">
        <f>+buhvar!F7</f>
        <v>Juin 15</v>
      </c>
      <c r="G7" s="201" t="s">
        <v>196</v>
      </c>
      <c r="H7" s="202" t="str">
        <f>+buhvar!H7</f>
        <v>Sept. 15</v>
      </c>
      <c r="I7" s="376" t="str">
        <f>+buhvar!I7</f>
        <v>/sept. 14</v>
      </c>
      <c r="J7" s="1020" t="str">
        <f>+buhvar!J7</f>
        <v>2014</v>
      </c>
      <c r="K7" s="204" t="s">
        <v>196</v>
      </c>
      <c r="L7" s="1020" t="str">
        <f>+buhvar!L7</f>
        <v>2013</v>
      </c>
      <c r="M7" s="204" t="s">
        <v>196</v>
      </c>
      <c r="N7" s="1020" t="str">
        <f>+buhvar!N7</f>
        <v>2012</v>
      </c>
      <c r="O7" s="204" t="s">
        <v>196</v>
      </c>
      <c r="P7" s="1020" t="str">
        <f>+buhvar!P7</f>
        <v>2011</v>
      </c>
      <c r="Q7" s="2"/>
      <c r="R7" s="2"/>
      <c r="S7" s="3"/>
      <c r="T7" s="3"/>
      <c r="U7" s="3"/>
    </row>
    <row r="8" spans="1:21">
      <c r="A8" s="86" t="s">
        <v>244</v>
      </c>
      <c r="B8" s="120"/>
      <c r="C8" s="119"/>
      <c r="D8" s="120"/>
      <c r="E8" s="119"/>
      <c r="F8" s="120"/>
      <c r="G8" s="119"/>
      <c r="H8" s="120"/>
      <c r="I8" s="119"/>
      <c r="J8" s="197"/>
      <c r="K8" s="119"/>
      <c r="L8" s="197"/>
      <c r="M8" s="119"/>
      <c r="N8" s="197"/>
      <c r="O8" s="119"/>
      <c r="P8" s="197"/>
      <c r="Q8" s="22"/>
      <c r="R8" s="22"/>
      <c r="S8" s="17"/>
      <c r="T8" s="17"/>
      <c r="U8" s="17"/>
    </row>
    <row r="9" spans="1:21">
      <c r="A9" s="10" t="s">
        <v>255</v>
      </c>
      <c r="B9"/>
    </row>
    <row r="10" spans="1:21">
      <c r="A10" s="10" t="s">
        <v>256</v>
      </c>
      <c r="B10" s="12">
        <v>379216</v>
      </c>
      <c r="C10" s="49">
        <v>0</v>
      </c>
      <c r="D10" s="20">
        <v>0</v>
      </c>
      <c r="E10" s="49">
        <v>0</v>
      </c>
      <c r="F10" s="20">
        <v>0</v>
      </c>
      <c r="G10" s="49">
        <v>0</v>
      </c>
      <c r="H10" s="20">
        <v>0</v>
      </c>
      <c r="I10" s="52">
        <f t="shared" ref="I10:I15" si="0">+(B10-J10)/ABS(J10)</f>
        <v>0.4473009281875916</v>
      </c>
      <c r="J10" s="20">
        <v>262016</v>
      </c>
      <c r="K10" s="52">
        <f t="shared" ref="K10:K17" si="1">+(J10-L10)/ABS(L10)</f>
        <v>-3.2563376852612676E-3</v>
      </c>
      <c r="L10" s="20">
        <v>262872</v>
      </c>
      <c r="M10" s="52">
        <f t="shared" ref="M10:M17" si="2">+(L10-N10)/ABS(N10)</f>
        <v>0.20353269205235855</v>
      </c>
      <c r="N10" s="20">
        <v>218417</v>
      </c>
      <c r="O10" s="52">
        <f t="shared" ref="O10:O15" si="3">+(N10-P10)/ABS(P10)</f>
        <v>0.17209199991413915</v>
      </c>
      <c r="P10" s="20">
        <v>186348</v>
      </c>
    </row>
    <row r="11" spans="1:21">
      <c r="A11" s="10" t="s">
        <v>257</v>
      </c>
      <c r="B11" s="20">
        <v>3669089</v>
      </c>
      <c r="C11" s="49">
        <v>0</v>
      </c>
      <c r="D11" s="20">
        <v>0</v>
      </c>
      <c r="E11" s="49">
        <v>0</v>
      </c>
      <c r="F11" s="20">
        <v>0</v>
      </c>
      <c r="G11" s="49">
        <v>0</v>
      </c>
      <c r="H11" s="20">
        <v>0</v>
      </c>
      <c r="I11" s="52">
        <f t="shared" si="0"/>
        <v>-2.0975798489740374E-2</v>
      </c>
      <c r="J11" s="20">
        <v>3747700</v>
      </c>
      <c r="K11" s="52">
        <f t="shared" si="1"/>
        <v>0.17770539610113115</v>
      </c>
      <c r="L11" s="20">
        <v>3182205</v>
      </c>
      <c r="M11" s="52">
        <f t="shared" si="2"/>
        <v>0.15472331969913811</v>
      </c>
      <c r="N11" s="20">
        <v>2755816</v>
      </c>
      <c r="O11" s="52">
        <f t="shared" si="3"/>
        <v>0.16379625617727372</v>
      </c>
      <c r="P11" s="20">
        <v>2367954</v>
      </c>
    </row>
    <row r="12" spans="1:21">
      <c r="A12" s="10" t="s">
        <v>258</v>
      </c>
      <c r="B12" s="20">
        <v>699005</v>
      </c>
      <c r="C12" s="49">
        <v>0</v>
      </c>
      <c r="D12" s="20">
        <v>0</v>
      </c>
      <c r="E12" s="49">
        <v>0</v>
      </c>
      <c r="F12" s="20">
        <v>0</v>
      </c>
      <c r="G12" s="49">
        <v>0</v>
      </c>
      <c r="H12" s="20">
        <v>0</v>
      </c>
      <c r="I12" s="52">
        <f t="shared" si="0"/>
        <v>0.29193681938150123</v>
      </c>
      <c r="J12" s="20">
        <v>541052</v>
      </c>
      <c r="K12" s="52">
        <f t="shared" si="1"/>
        <v>0.18047279828073354</v>
      </c>
      <c r="L12" s="20">
        <v>458335</v>
      </c>
      <c r="M12" s="52">
        <f t="shared" si="2"/>
        <v>-0.33333478787032511</v>
      </c>
      <c r="N12" s="20">
        <v>687504</v>
      </c>
      <c r="O12" s="52">
        <f t="shared" si="3"/>
        <v>-0.13046161785053892</v>
      </c>
      <c r="P12" s="20">
        <v>790654</v>
      </c>
    </row>
    <row r="13" spans="1:21">
      <c r="A13" s="10" t="s">
        <v>259</v>
      </c>
      <c r="B13" s="20">
        <v>33668</v>
      </c>
      <c r="C13" s="49">
        <v>0</v>
      </c>
      <c r="D13" s="20">
        <v>0</v>
      </c>
      <c r="E13" s="49">
        <v>0</v>
      </c>
      <c r="F13" s="20">
        <v>0</v>
      </c>
      <c r="G13" s="49">
        <v>0</v>
      </c>
      <c r="H13" s="20">
        <v>0</v>
      </c>
      <c r="I13" s="52">
        <f t="shared" si="0"/>
        <v>1.0513007981478097</v>
      </c>
      <c r="J13" s="20">
        <v>16413</v>
      </c>
      <c r="K13" s="52">
        <f t="shared" si="1"/>
        <v>-0.3223648899715123</v>
      </c>
      <c r="L13" s="20">
        <v>24221</v>
      </c>
      <c r="M13" s="52">
        <f t="shared" si="2"/>
        <v>0.58255472067951652</v>
      </c>
      <c r="N13" s="20">
        <v>15305</v>
      </c>
      <c r="O13" s="52">
        <f t="shared" si="3"/>
        <v>-0.38953372422320609</v>
      </c>
      <c r="P13" s="20">
        <v>25071</v>
      </c>
    </row>
    <row r="14" spans="1:21">
      <c r="A14" s="10" t="s">
        <v>260</v>
      </c>
      <c r="B14" s="199">
        <v>120729</v>
      </c>
      <c r="C14" s="49">
        <v>0</v>
      </c>
      <c r="D14" s="199">
        <v>0</v>
      </c>
      <c r="E14" s="49">
        <v>0</v>
      </c>
      <c r="F14" s="199">
        <v>0</v>
      </c>
      <c r="G14" s="49">
        <v>0</v>
      </c>
      <c r="H14" s="199">
        <v>0</v>
      </c>
      <c r="I14" s="52">
        <f t="shared" si="0"/>
        <v>-0.14943038911081521</v>
      </c>
      <c r="J14" s="199">
        <v>141939</v>
      </c>
      <c r="K14" s="52">
        <f t="shared" si="1"/>
        <v>-0.57135350448309286</v>
      </c>
      <c r="L14" s="199">
        <v>331133</v>
      </c>
      <c r="M14" s="52">
        <f t="shared" si="2"/>
        <v>0.23517914094410355</v>
      </c>
      <c r="N14" s="199">
        <v>268085</v>
      </c>
      <c r="O14" s="52">
        <f t="shared" si="3"/>
        <v>0.33878498838922322</v>
      </c>
      <c r="P14" s="199">
        <v>200245</v>
      </c>
    </row>
    <row r="15" spans="1:21" ht="15.6" customHeight="1">
      <c r="A15" s="10"/>
      <c r="B15" s="20">
        <f>SUM(B10:B14)</f>
        <v>4901707</v>
      </c>
      <c r="C15" s="49">
        <v>0</v>
      </c>
      <c r="D15" s="20">
        <f>SUM(D10:D14)</f>
        <v>0</v>
      </c>
      <c r="E15" s="49">
        <v>0</v>
      </c>
      <c r="F15" s="20">
        <f>SUM(F10:F14)</f>
        <v>0</v>
      </c>
      <c r="G15" s="49">
        <v>0</v>
      </c>
      <c r="H15" s="20">
        <f>SUM(H10:H14)</f>
        <v>0</v>
      </c>
      <c r="I15" s="52">
        <f t="shared" si="0"/>
        <v>4.0896600638760536E-2</v>
      </c>
      <c r="J15" s="20">
        <f>SUM(J10:J14)</f>
        <v>4709120</v>
      </c>
      <c r="K15" s="52">
        <f t="shared" si="1"/>
        <v>0.10574753344043791</v>
      </c>
      <c r="L15" s="20">
        <f>SUM(L10:L14)</f>
        <v>4258766</v>
      </c>
      <c r="M15" s="52">
        <f t="shared" si="2"/>
        <v>7.9500355755340701E-2</v>
      </c>
      <c r="N15" s="20">
        <f>SUM(N10:N14)</f>
        <v>3945127</v>
      </c>
      <c r="O15" s="52">
        <f t="shared" si="3"/>
        <v>0.10499340106300024</v>
      </c>
      <c r="P15" s="20">
        <f>SUM(P10:P14)</f>
        <v>3570272</v>
      </c>
    </row>
    <row r="16" spans="1:21" ht="7.9" customHeight="1">
      <c r="A16" s="10"/>
      <c r="C16" s="49" t="s">
        <v>0</v>
      </c>
      <c r="E16" s="49" t="s">
        <v>0</v>
      </c>
      <c r="G16" s="49" t="s">
        <v>0</v>
      </c>
      <c r="I16" s="52" t="s">
        <v>0</v>
      </c>
      <c r="K16" s="52" t="s">
        <v>0</v>
      </c>
      <c r="M16" s="52" t="s">
        <v>0</v>
      </c>
      <c r="O16" s="52" t="s">
        <v>0</v>
      </c>
    </row>
    <row r="17" spans="1:16" ht="15.6" customHeight="1">
      <c r="A17" s="10" t="s">
        <v>261</v>
      </c>
      <c r="B17" s="20">
        <v>298391</v>
      </c>
      <c r="C17" s="49">
        <v>0</v>
      </c>
      <c r="D17" s="20">
        <v>0</v>
      </c>
      <c r="E17" s="49">
        <v>0</v>
      </c>
      <c r="F17" s="20">
        <v>0</v>
      </c>
      <c r="G17" s="49">
        <v>0</v>
      </c>
      <c r="H17" s="20">
        <v>0</v>
      </c>
      <c r="I17" s="52">
        <f>+(B17-J17)/ABS(J17)</f>
        <v>2.9789710902496265</v>
      </c>
      <c r="J17" s="20">
        <v>74992</v>
      </c>
      <c r="K17" s="52">
        <f t="shared" si="1"/>
        <v>-0.57143755179015343</v>
      </c>
      <c r="L17" s="20">
        <v>174985</v>
      </c>
      <c r="M17" s="52">
        <f t="shared" si="2"/>
        <v>1.1873125</v>
      </c>
      <c r="N17" s="20">
        <v>80000</v>
      </c>
      <c r="O17" s="49">
        <v>0</v>
      </c>
      <c r="P17" s="20">
        <v>0</v>
      </c>
    </row>
    <row r="18" spans="1:16" ht="15.6"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row>
    <row r="19" spans="1:16">
      <c r="A19" s="10" t="s">
        <v>262</v>
      </c>
      <c r="B19" s="20">
        <v>714956</v>
      </c>
      <c r="C19" s="49">
        <v>0</v>
      </c>
      <c r="D19" s="20">
        <v>0</v>
      </c>
      <c r="E19" s="49">
        <v>0</v>
      </c>
      <c r="F19" s="20">
        <v>0</v>
      </c>
      <c r="G19" s="49">
        <v>0</v>
      </c>
      <c r="H19" s="20">
        <v>0</v>
      </c>
      <c r="I19" s="52">
        <f>+(B19-J19)/ABS(J19)</f>
        <v>-0.33893287028047614</v>
      </c>
      <c r="J19" s="20">
        <v>1081518</v>
      </c>
      <c r="K19" s="102">
        <f>+(J19-L19)/ABS(L19)</f>
        <v>0.8547282349592018</v>
      </c>
      <c r="L19" s="20">
        <v>583114</v>
      </c>
      <c r="M19" s="102">
        <f>+(L19-N19)/ABS(N19)</f>
        <v>-0.10571646785656227</v>
      </c>
      <c r="N19" s="20">
        <v>652046</v>
      </c>
      <c r="O19" s="102">
        <f t="shared" ref="O19:O23" si="4">+(N19-P19)/ABS(P19)</f>
        <v>-4.9480385253990955E-2</v>
      </c>
      <c r="P19" s="20">
        <v>685989</v>
      </c>
    </row>
    <row r="20" spans="1:16">
      <c r="A20" s="10" t="s">
        <v>263</v>
      </c>
      <c r="B20" s="20">
        <v>5637972</v>
      </c>
      <c r="C20" s="49">
        <v>0</v>
      </c>
      <c r="D20" s="20">
        <v>0</v>
      </c>
      <c r="E20" s="49">
        <v>0</v>
      </c>
      <c r="F20" s="20">
        <v>0</v>
      </c>
      <c r="G20" s="49">
        <v>0</v>
      </c>
      <c r="H20" s="20">
        <v>0</v>
      </c>
      <c r="I20" s="52">
        <f>+(B20-J20)/ABS(J20)</f>
        <v>4.0802503698116298E-2</v>
      </c>
      <c r="J20" s="20">
        <v>5416947</v>
      </c>
      <c r="K20" s="52">
        <f>+(J20-L20)/ABS(L20)</f>
        <v>0.14778909121421044</v>
      </c>
      <c r="L20" s="20">
        <v>4719462</v>
      </c>
      <c r="M20" s="52">
        <f>+(L20-N20)/ABS(N20)</f>
        <v>0.14864280413724049</v>
      </c>
      <c r="N20" s="20">
        <v>4108729</v>
      </c>
      <c r="O20" s="52">
        <f t="shared" si="4"/>
        <v>0.24330202127823752</v>
      </c>
      <c r="P20" s="20">
        <v>3304691</v>
      </c>
    </row>
    <row r="21" spans="1:16">
      <c r="A21" s="10" t="s">
        <v>264</v>
      </c>
      <c r="B21" s="20">
        <v>293320</v>
      </c>
      <c r="C21" s="49">
        <v>0</v>
      </c>
      <c r="D21" s="20">
        <v>0</v>
      </c>
      <c r="E21" s="49">
        <v>0</v>
      </c>
      <c r="F21" s="20">
        <v>0</v>
      </c>
      <c r="G21" s="49">
        <v>0</v>
      </c>
      <c r="H21" s="20">
        <v>0</v>
      </c>
      <c r="I21" s="52">
        <f>+(B21-J21)/ABS(J21)</f>
        <v>-1.5658453752860874E-2</v>
      </c>
      <c r="J21" s="20">
        <v>297986</v>
      </c>
      <c r="K21" s="52">
        <f>+(J21-L21)/ABS(L21)</f>
        <v>-1.5817025844273802E-2</v>
      </c>
      <c r="L21" s="20">
        <v>302775</v>
      </c>
      <c r="M21" s="52">
        <f>+(L21-N21)/ABS(N21)</f>
        <v>1.9574895104424134E-2</v>
      </c>
      <c r="N21" s="20">
        <v>296962</v>
      </c>
      <c r="O21" s="52">
        <f t="shared" si="4"/>
        <v>0.21149146747932654</v>
      </c>
      <c r="P21" s="20">
        <v>245121</v>
      </c>
    </row>
    <row r="22" spans="1:16" ht="16.5" thickBot="1">
      <c r="A22" s="10" t="s">
        <v>265</v>
      </c>
      <c r="B22" s="97">
        <v>469294</v>
      </c>
      <c r="C22" s="49">
        <v>0</v>
      </c>
      <c r="D22" s="97">
        <v>0</v>
      </c>
      <c r="E22" s="49">
        <v>0</v>
      </c>
      <c r="F22" s="97">
        <v>0</v>
      </c>
      <c r="G22" s="49">
        <v>0</v>
      </c>
      <c r="H22" s="97">
        <v>0</v>
      </c>
      <c r="I22" s="52">
        <f>+(B22-J22)/ABS(J22)</f>
        <v>0.16761584872799651</v>
      </c>
      <c r="J22" s="97">
        <v>401925</v>
      </c>
      <c r="K22" s="52">
        <f>+(J22-L22)/ABS(L22)</f>
        <v>0.42111348400418636</v>
      </c>
      <c r="L22" s="97">
        <v>282824</v>
      </c>
      <c r="M22" s="52">
        <f>+(L22-N22)/ABS(N22)</f>
        <v>-0.17994931658577037</v>
      </c>
      <c r="N22" s="97">
        <v>344886</v>
      </c>
      <c r="O22" s="52">
        <f t="shared" si="4"/>
        <v>0.29210953217666913</v>
      </c>
      <c r="P22" s="97">
        <v>266917</v>
      </c>
    </row>
    <row r="23" spans="1:16">
      <c r="A23" s="10" t="s">
        <v>54</v>
      </c>
      <c r="B23" s="13">
        <f>SUM(B15:B22)</f>
        <v>12315640</v>
      </c>
      <c r="C23" s="49">
        <v>0</v>
      </c>
      <c r="D23" s="13">
        <f>SUM(D15:D22)</f>
        <v>0</v>
      </c>
      <c r="E23" s="49">
        <v>0</v>
      </c>
      <c r="F23" s="13">
        <f>SUM(F15:F22)</f>
        <v>0</v>
      </c>
      <c r="G23" s="49">
        <v>0</v>
      </c>
      <c r="H23" s="13">
        <f>SUM(H15:H22)</f>
        <v>0</v>
      </c>
      <c r="I23" s="52">
        <f>+(B23-J23)/ABS(J23)</f>
        <v>2.7803240862832493E-2</v>
      </c>
      <c r="J23" s="13">
        <f>SUM(J15:J22)</f>
        <v>11982488</v>
      </c>
      <c r="K23" s="109">
        <f>+(J23-L23)/ABS(L23)</f>
        <v>0.16087714637752684</v>
      </c>
      <c r="L23" s="13">
        <f>SUM(L15:L22)</f>
        <v>10321926</v>
      </c>
      <c r="M23" s="109">
        <f>+(L23-N23)/ABS(N23)</f>
        <v>9.4845111505926658E-2</v>
      </c>
      <c r="N23" s="13">
        <f>SUM(N15:N22)</f>
        <v>9427750</v>
      </c>
      <c r="O23" s="109">
        <f t="shared" si="4"/>
        <v>0.16781390785817893</v>
      </c>
      <c r="P23" s="13">
        <f>SUM(P15:P22)</f>
        <v>8072990</v>
      </c>
    </row>
    <row r="24" spans="1:16" ht="7.9" customHeight="1">
      <c r="A24" s="10"/>
      <c r="C24" s="49" t="s">
        <v>0</v>
      </c>
      <c r="E24" s="49" t="s">
        <v>0</v>
      </c>
      <c r="G24" s="49" t="s">
        <v>0</v>
      </c>
      <c r="I24" s="52" t="s">
        <v>0</v>
      </c>
      <c r="K24" s="52" t="s">
        <v>0</v>
      </c>
      <c r="M24" s="52" t="s">
        <v>0</v>
      </c>
      <c r="O24" s="52" t="s">
        <v>0</v>
      </c>
    </row>
    <row r="25" spans="1:16">
      <c r="A25" s="86" t="s">
        <v>266</v>
      </c>
      <c r="C25" s="49" t="s">
        <v>0</v>
      </c>
      <c r="D25" s="23" t="s">
        <v>0</v>
      </c>
      <c r="E25" s="49" t="s">
        <v>0</v>
      </c>
      <c r="F25" s="23" t="s">
        <v>0</v>
      </c>
      <c r="G25" s="49" t="s">
        <v>0</v>
      </c>
      <c r="H25" s="83" t="s">
        <v>0</v>
      </c>
      <c r="I25" s="52" t="s">
        <v>0</v>
      </c>
      <c r="J25" s="23" t="s">
        <v>0</v>
      </c>
      <c r="K25" s="52" t="s">
        <v>0</v>
      </c>
      <c r="L25" s="23" t="s">
        <v>0</v>
      </c>
      <c r="M25" s="52" t="s">
        <v>0</v>
      </c>
      <c r="O25" s="52" t="s">
        <v>0</v>
      </c>
    </row>
    <row r="26" spans="1:16">
      <c r="A26" s="10" t="s">
        <v>267</v>
      </c>
      <c r="C26" s="49" t="s">
        <v>0</v>
      </c>
      <c r="E26" s="49" t="s">
        <v>0</v>
      </c>
      <c r="G26" s="49" t="s">
        <v>0</v>
      </c>
      <c r="H26" s="12" t="s">
        <v>0</v>
      </c>
      <c r="I26" s="52" t="s">
        <v>0</v>
      </c>
      <c r="K26" s="52" t="s">
        <v>0</v>
      </c>
      <c r="M26" s="52" t="s">
        <v>0</v>
      </c>
      <c r="O26" s="52" t="s">
        <v>0</v>
      </c>
    </row>
    <row r="27" spans="1:16">
      <c r="A27" s="10" t="s">
        <v>268</v>
      </c>
      <c r="B27" s="20">
        <v>5535253</v>
      </c>
      <c r="C27" s="49">
        <v>0</v>
      </c>
      <c r="D27" s="20">
        <v>0</v>
      </c>
      <c r="E27" s="49">
        <v>0</v>
      </c>
      <c r="F27" s="20">
        <v>0</v>
      </c>
      <c r="G27" s="49">
        <v>0</v>
      </c>
      <c r="H27" s="20">
        <v>0</v>
      </c>
      <c r="I27" s="52">
        <f>+(B27-J27)/ABS(J27)</f>
        <v>2.9760868271048208E-2</v>
      </c>
      <c r="J27" s="20">
        <v>5375280</v>
      </c>
      <c r="K27" s="52">
        <f>+(J27-L27)/ABS(L27)</f>
        <v>0.20893653312605931</v>
      </c>
      <c r="L27" s="20">
        <v>4446288</v>
      </c>
      <c r="M27" s="52">
        <f>+(L27-N27)/ABS(N27)</f>
        <v>0.12093517148743455</v>
      </c>
      <c r="N27" s="20">
        <v>3966588</v>
      </c>
      <c r="O27" s="52">
        <f>+(N27-P27)/ABS(P27)</f>
        <v>0.13262416329299778</v>
      </c>
      <c r="P27" s="20">
        <v>3502122</v>
      </c>
    </row>
    <row r="28" spans="1:16">
      <c r="A28" s="10" t="s">
        <v>269</v>
      </c>
      <c r="B28" s="20">
        <v>2676583</v>
      </c>
      <c r="C28" s="49">
        <v>0</v>
      </c>
      <c r="D28" s="20">
        <v>0</v>
      </c>
      <c r="E28" s="49">
        <v>0</v>
      </c>
      <c r="F28" s="20">
        <v>0</v>
      </c>
      <c r="G28" s="49">
        <v>0</v>
      </c>
      <c r="H28" s="20">
        <v>0</v>
      </c>
      <c r="I28" s="52">
        <f>+(B28-J28)/ABS(J28)</f>
        <v>3.7817413388650863E-2</v>
      </c>
      <c r="J28" s="20">
        <v>2579050</v>
      </c>
      <c r="K28" s="52">
        <f>+(J28-L28)/ABS(L28)</f>
        <v>7.1972919803931265E-2</v>
      </c>
      <c r="L28" s="20">
        <v>2405891</v>
      </c>
      <c r="M28" s="52">
        <f>+(L28-N28)/ABS(N28)</f>
        <v>7.6152527863541106E-3</v>
      </c>
      <c r="N28" s="20">
        <v>2387708</v>
      </c>
      <c r="O28" s="52">
        <f>+(N28-P28)/ABS(P28)</f>
        <v>0.10377033591912831</v>
      </c>
      <c r="P28" s="20">
        <v>2163229</v>
      </c>
    </row>
    <row r="29" spans="1:16">
      <c r="A29" s="10" t="s">
        <v>270</v>
      </c>
      <c r="B29" s="199">
        <v>2207658</v>
      </c>
      <c r="C29" s="49">
        <v>0</v>
      </c>
      <c r="D29" s="199">
        <v>0</v>
      </c>
      <c r="E29" s="49">
        <v>0</v>
      </c>
      <c r="F29" s="199">
        <v>0</v>
      </c>
      <c r="G29" s="49">
        <v>0</v>
      </c>
      <c r="H29" s="199">
        <v>0</v>
      </c>
      <c r="I29" s="52">
        <f>+(B29-J29)/ABS(J29)</f>
        <v>7.2498549116512328E-3</v>
      </c>
      <c r="J29" s="199">
        <v>2191768</v>
      </c>
      <c r="K29" s="52">
        <f>+(J29-L29)/ABS(L29)</f>
        <v>0.15679076918367421</v>
      </c>
      <c r="L29" s="199">
        <v>1894697</v>
      </c>
      <c r="M29" s="52">
        <f>+(L29-N29)/ABS(N29)</f>
        <v>0.21418121300400583</v>
      </c>
      <c r="N29" s="199">
        <v>1560473</v>
      </c>
      <c r="O29" s="52">
        <f>+(N29-P29)/ABS(P29)</f>
        <v>0.24193721681869154</v>
      </c>
      <c r="P29" s="199">
        <v>1256483</v>
      </c>
    </row>
    <row r="30" spans="1:16">
      <c r="A30" s="10"/>
      <c r="B30" s="20">
        <f>SUM(B27:B29)</f>
        <v>10419494</v>
      </c>
      <c r="C30" s="49">
        <v>0</v>
      </c>
      <c r="D30" s="20">
        <f>SUM(D27:D29)</f>
        <v>0</v>
      </c>
      <c r="E30" s="49">
        <v>0</v>
      </c>
      <c r="F30" s="20">
        <f>SUM(F27:F29)</f>
        <v>0</v>
      </c>
      <c r="G30" s="49">
        <v>0</v>
      </c>
      <c r="H30" s="20">
        <f>SUM(H27:H29)</f>
        <v>0</v>
      </c>
      <c r="I30" s="52">
        <f>+(B30-J30)/ABS(J30)</f>
        <v>2.6945925418816179E-2</v>
      </c>
      <c r="J30" s="20">
        <f>SUM(J27:J29)</f>
        <v>10146098</v>
      </c>
      <c r="K30" s="52">
        <f>+(J30-L30)/ABS(L30)</f>
        <v>0.15996819893182435</v>
      </c>
      <c r="L30" s="20">
        <f>SUM(L27:L29)</f>
        <v>8746876</v>
      </c>
      <c r="M30" s="52">
        <f>+(L30-N30)/ABS(N30)</f>
        <v>0.10513345367375851</v>
      </c>
      <c r="N30" s="20">
        <f>SUM(N27:N29)</f>
        <v>7914769</v>
      </c>
      <c r="O30" s="52">
        <f>+(N30-P30)/ABS(P30)</f>
        <v>0.14344969844697228</v>
      </c>
      <c r="P30" s="20">
        <f>SUM(P27:P29)</f>
        <v>6921834</v>
      </c>
    </row>
    <row r="31" spans="1:16" ht="7.9" customHeight="1">
      <c r="A31" s="10"/>
      <c r="C31" s="49" t="s">
        <v>0</v>
      </c>
      <c r="E31" s="49" t="s">
        <v>0</v>
      </c>
      <c r="G31" s="49" t="s">
        <v>0</v>
      </c>
      <c r="I31" s="52" t="s">
        <v>0</v>
      </c>
      <c r="K31" s="52" t="s">
        <v>0</v>
      </c>
      <c r="M31" s="52" t="s">
        <v>0</v>
      </c>
      <c r="O31" s="52" t="s">
        <v>0</v>
      </c>
    </row>
    <row r="32" spans="1:16">
      <c r="A32" s="10" t="s">
        <v>271</v>
      </c>
      <c r="C32" s="49" t="s">
        <v>0</v>
      </c>
      <c r="E32" s="49" t="s">
        <v>0</v>
      </c>
      <c r="G32" s="49" t="s">
        <v>0</v>
      </c>
      <c r="I32" s="52" t="s">
        <v>0</v>
      </c>
      <c r="K32" s="52" t="s">
        <v>0</v>
      </c>
      <c r="M32" s="52" t="s">
        <v>0</v>
      </c>
      <c r="O32" s="52" t="s">
        <v>0</v>
      </c>
    </row>
    <row r="33" spans="1:21">
      <c r="A33" s="10" t="s">
        <v>272</v>
      </c>
      <c r="B33" s="20">
        <v>0</v>
      </c>
      <c r="C33" s="49">
        <v>0</v>
      </c>
      <c r="D33" s="20">
        <v>0</v>
      </c>
      <c r="E33" s="49">
        <v>0</v>
      </c>
      <c r="F33" s="20">
        <v>0</v>
      </c>
      <c r="G33" s="49">
        <v>0</v>
      </c>
      <c r="H33" s="20">
        <v>0</v>
      </c>
      <c r="I33" s="49">
        <v>0</v>
      </c>
      <c r="J33" s="20">
        <v>0</v>
      </c>
      <c r="K33" s="49">
        <v>0</v>
      </c>
      <c r="L33" s="20">
        <v>0</v>
      </c>
      <c r="M33" s="49">
        <v>0</v>
      </c>
      <c r="N33" s="20">
        <v>0</v>
      </c>
      <c r="O33" s="49">
        <v>0</v>
      </c>
      <c r="P33" s="20">
        <v>0</v>
      </c>
    </row>
    <row r="34" spans="1:21">
      <c r="A34" s="10" t="s">
        <v>273</v>
      </c>
      <c r="B34" s="20">
        <v>0</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199">
        <v>334252</v>
      </c>
      <c r="C35" s="49">
        <v>0</v>
      </c>
      <c r="D35" s="199">
        <v>0</v>
      </c>
      <c r="E35" s="49">
        <v>0</v>
      </c>
      <c r="F35" s="199">
        <v>0</v>
      </c>
      <c r="G35" s="49">
        <v>0</v>
      </c>
      <c r="H35" s="199">
        <v>0</v>
      </c>
      <c r="I35" s="52">
        <f>+(B35-J35)/ABS(J35)</f>
        <v>6.4951284943256041E-2</v>
      </c>
      <c r="J35" s="199">
        <v>313866</v>
      </c>
      <c r="K35" s="52">
        <f>+(J35-L35)/ABS(L35)</f>
        <v>-0.10022188712997311</v>
      </c>
      <c r="L35" s="199">
        <v>348826</v>
      </c>
      <c r="M35" s="52">
        <f>+(L35-N35)/ABS(N35)</f>
        <v>0.29832436335484641</v>
      </c>
      <c r="N35" s="199">
        <v>268674</v>
      </c>
      <c r="O35" s="52">
        <f>+(N35-P35)/ABS(P35)</f>
        <v>0.17509108165202217</v>
      </c>
      <c r="P35" s="199">
        <v>228641</v>
      </c>
      <c r="Q35" s="14"/>
      <c r="R35" s="14"/>
      <c r="S35" s="15"/>
      <c r="T35" s="15"/>
      <c r="U35" s="15"/>
    </row>
    <row r="36" spans="1:21">
      <c r="A36" s="10"/>
      <c r="B36" s="20">
        <f>SUM(B33:B35)</f>
        <v>334252</v>
      </c>
      <c r="C36" s="49">
        <v>0</v>
      </c>
      <c r="D36" s="20">
        <f>SUM(D33:D35)</f>
        <v>0</v>
      </c>
      <c r="E36" s="49">
        <v>0</v>
      </c>
      <c r="F36" s="20">
        <f>SUM(F33:F35)</f>
        <v>0</v>
      </c>
      <c r="G36" s="49">
        <v>0</v>
      </c>
      <c r="H36" s="20">
        <f>SUM(H33:H35)</f>
        <v>0</v>
      </c>
      <c r="I36" s="52">
        <f>+(B36-J36)/ABS(J36)</f>
        <v>6.4951284943256041E-2</v>
      </c>
      <c r="J36" s="20">
        <f>SUM(J33:J35)</f>
        <v>313866</v>
      </c>
      <c r="K36" s="52">
        <f>+(J36-L36)/ABS(L36)</f>
        <v>-0.10022188712997311</v>
      </c>
      <c r="L36" s="20">
        <f>SUM(L33:L35)</f>
        <v>348826</v>
      </c>
      <c r="M36" s="52">
        <f>+(L36-N36)/ABS(N36)</f>
        <v>0.29832436335484641</v>
      </c>
      <c r="N36" s="20">
        <f>SUM(N33:N35)</f>
        <v>268674</v>
      </c>
      <c r="O36" s="52">
        <f>+(N36-P36)/ABS(P36)</f>
        <v>0.17509108165202217</v>
      </c>
      <c r="P36" s="20">
        <f>SUM(P33:P35)</f>
        <v>228641</v>
      </c>
    </row>
    <row r="37" spans="1:21" ht="7.15" customHeight="1">
      <c r="A37" s="10"/>
      <c r="C37" s="49" t="s">
        <v>0</v>
      </c>
      <c r="E37" s="49" t="s">
        <v>0</v>
      </c>
      <c r="G37" s="49" t="s">
        <v>0</v>
      </c>
      <c r="I37" s="52" t="s">
        <v>0</v>
      </c>
      <c r="K37" s="52" t="s">
        <v>0</v>
      </c>
      <c r="M37" s="52" t="s">
        <v>0</v>
      </c>
      <c r="O37" s="52" t="s">
        <v>0</v>
      </c>
    </row>
    <row r="38" spans="1:21">
      <c r="A38" s="10" t="s">
        <v>275</v>
      </c>
      <c r="C38" s="49" t="s">
        <v>0</v>
      </c>
      <c r="E38" s="49" t="s">
        <v>0</v>
      </c>
      <c r="G38" s="49" t="s">
        <v>0</v>
      </c>
      <c r="I38" s="52" t="s">
        <v>0</v>
      </c>
      <c r="K38" s="52" t="s">
        <v>0</v>
      </c>
      <c r="M38" s="52" t="s">
        <v>0</v>
      </c>
      <c r="O38" s="52" t="s">
        <v>0</v>
      </c>
    </row>
    <row r="39" spans="1:21">
      <c r="A39" s="10" t="s">
        <v>272</v>
      </c>
      <c r="B39" s="20">
        <v>0</v>
      </c>
      <c r="C39" s="49">
        <v>0</v>
      </c>
      <c r="D39" s="20">
        <v>0</v>
      </c>
      <c r="E39" s="49">
        <v>0</v>
      </c>
      <c r="F39" s="20">
        <v>0</v>
      </c>
      <c r="G39" s="49">
        <v>0</v>
      </c>
      <c r="H39" s="20">
        <v>0</v>
      </c>
      <c r="I39" s="49">
        <v>0</v>
      </c>
      <c r="J39" s="20">
        <v>0</v>
      </c>
      <c r="K39" s="49">
        <v>0</v>
      </c>
      <c r="L39" s="20">
        <v>0</v>
      </c>
      <c r="M39" s="49">
        <v>0</v>
      </c>
      <c r="N39" s="20">
        <v>0</v>
      </c>
      <c r="O39" s="49">
        <v>0</v>
      </c>
      <c r="P39" s="20">
        <v>0</v>
      </c>
    </row>
    <row r="40" spans="1:21">
      <c r="A40" s="10" t="s">
        <v>276</v>
      </c>
      <c r="B40" s="20">
        <v>0</v>
      </c>
      <c r="C40" s="49">
        <v>0</v>
      </c>
      <c r="D40" s="20">
        <v>0</v>
      </c>
      <c r="E40" s="49">
        <v>0</v>
      </c>
      <c r="F40" s="20">
        <v>0</v>
      </c>
      <c r="G40" s="49">
        <v>0</v>
      </c>
      <c r="H40" s="20">
        <v>0</v>
      </c>
      <c r="I40" s="49">
        <v>0</v>
      </c>
      <c r="J40" s="20">
        <v>0</v>
      </c>
      <c r="K40" s="49">
        <v>0</v>
      </c>
      <c r="L40" s="20">
        <v>0</v>
      </c>
      <c r="M40" s="49">
        <v>0</v>
      </c>
      <c r="N40" s="20">
        <v>0</v>
      </c>
      <c r="O40" s="49">
        <v>0</v>
      </c>
      <c r="P40" s="20">
        <v>0</v>
      </c>
    </row>
    <row r="41" spans="1:21">
      <c r="A41" s="10" t="s">
        <v>274</v>
      </c>
      <c r="B41" s="199">
        <v>60293</v>
      </c>
      <c r="C41" s="49">
        <v>0</v>
      </c>
      <c r="D41" s="199">
        <v>0</v>
      </c>
      <c r="E41" s="49">
        <v>0</v>
      </c>
      <c r="F41" s="199">
        <v>0</v>
      </c>
      <c r="G41" s="49">
        <v>0</v>
      </c>
      <c r="H41" s="199">
        <v>0</v>
      </c>
      <c r="I41" s="52">
        <f>+(B41-J41)/ABS(J41)</f>
        <v>-0.31490676877975615</v>
      </c>
      <c r="J41" s="199">
        <v>88007</v>
      </c>
      <c r="K41" s="52">
        <f>+(J41-L41)/ABS(L41)</f>
        <v>0.63039330109857539</v>
      </c>
      <c r="L41" s="199">
        <v>53979</v>
      </c>
      <c r="M41" s="52">
        <f>+(L41-N41)/ABS(N41)</f>
        <v>-0.78851420444528031</v>
      </c>
      <c r="N41" s="199">
        <v>255237</v>
      </c>
      <c r="O41" s="52">
        <f>+(N41-P41)/ABS(P41)</f>
        <v>5.8168634154158427</v>
      </c>
      <c r="P41" s="199">
        <v>37442</v>
      </c>
    </row>
    <row r="42" spans="1:21">
      <c r="A42" s="10"/>
      <c r="B42" s="20">
        <f>SUM(B39:B41)</f>
        <v>60293</v>
      </c>
      <c r="C42" s="49">
        <v>0</v>
      </c>
      <c r="D42" s="20">
        <f>SUM(D39:D41)</f>
        <v>0</v>
      </c>
      <c r="E42" s="49">
        <v>0</v>
      </c>
      <c r="F42" s="20">
        <f>SUM(F39:F41)</f>
        <v>0</v>
      </c>
      <c r="G42" s="49">
        <v>0</v>
      </c>
      <c r="H42" s="20">
        <f>SUM(H39:H41)</f>
        <v>0</v>
      </c>
      <c r="I42" s="52">
        <f>+(B42-J42)/ABS(J42)</f>
        <v>-0.31490676877975615</v>
      </c>
      <c r="J42" s="20">
        <f>SUM(J39:J41)</f>
        <v>88007</v>
      </c>
      <c r="K42" s="52">
        <f>+(J42-L42)/ABS(L42)</f>
        <v>0.63039330109857539</v>
      </c>
      <c r="L42" s="20">
        <f>SUM(L39:L41)</f>
        <v>53979</v>
      </c>
      <c r="M42" s="52">
        <f>+(L42-N42)/ABS(N42)</f>
        <v>-0.78851420444528031</v>
      </c>
      <c r="N42" s="20">
        <f>SUM(N39:N41)</f>
        <v>255237</v>
      </c>
      <c r="O42" s="52">
        <f>+(N42-P42)/ABS(P42)</f>
        <v>5.8168634154158427</v>
      </c>
      <c r="P42" s="20">
        <f>SUM(P39:P41)</f>
        <v>37442</v>
      </c>
    </row>
    <row r="43" spans="1:21" ht="8.4499999999999993" customHeight="1">
      <c r="A43" s="10"/>
      <c r="C43" s="49" t="s">
        <v>0</v>
      </c>
      <c r="E43" s="49" t="s">
        <v>0</v>
      </c>
      <c r="G43" s="49" t="s">
        <v>0</v>
      </c>
      <c r="I43" s="52" t="s">
        <v>0</v>
      </c>
      <c r="K43" s="52" t="s">
        <v>0</v>
      </c>
      <c r="M43" s="52" t="s">
        <v>0</v>
      </c>
      <c r="O43" s="52" t="s">
        <v>0</v>
      </c>
    </row>
    <row r="44" spans="1:21" ht="18">
      <c r="A44" s="10" t="s">
        <v>277</v>
      </c>
      <c r="B44" s="199">
        <v>427259</v>
      </c>
      <c r="C44" s="49">
        <v>0</v>
      </c>
      <c r="D44" s="199">
        <v>0</v>
      </c>
      <c r="E44" s="49">
        <v>0</v>
      </c>
      <c r="F44" s="199">
        <v>0</v>
      </c>
      <c r="G44" s="49">
        <v>0</v>
      </c>
      <c r="H44" s="199">
        <v>0</v>
      </c>
      <c r="I44" s="52">
        <f>+(B44-J44)/ABS(J44)</f>
        <v>4.5423873866460391E-3</v>
      </c>
      <c r="J44" s="199">
        <v>425327</v>
      </c>
      <c r="K44" s="52">
        <f>+(J44-L44)/ABS(L44)</f>
        <v>0.42013302259113583</v>
      </c>
      <c r="L44" s="199">
        <v>299498</v>
      </c>
      <c r="M44" s="52">
        <f>+(L44-N44)/ABS(N44)</f>
        <v>0.23822950602788207</v>
      </c>
      <c r="N44" s="199">
        <v>241876</v>
      </c>
      <c r="O44" s="52">
        <f>+(N44-P44)/ABS(P44)</f>
        <v>-5.7403178413599057E-2</v>
      </c>
      <c r="P44" s="199">
        <v>256606</v>
      </c>
      <c r="Q44" s="14"/>
      <c r="R44" s="14"/>
    </row>
    <row r="45" spans="1:21">
      <c r="A45" s="10"/>
      <c r="B45" s="20">
        <f>+B30+B36+B42+B44</f>
        <v>11241298</v>
      </c>
      <c r="C45" s="49">
        <v>0</v>
      </c>
      <c r="D45" s="20">
        <f>+D30+D36+D42+D44</f>
        <v>0</v>
      </c>
      <c r="E45" s="49">
        <v>0</v>
      </c>
      <c r="F45" s="20">
        <f>+F30+F36+F42+F44</f>
        <v>0</v>
      </c>
      <c r="G45" s="49">
        <v>0</v>
      </c>
      <c r="H45" s="20">
        <f>+H30+H36+H42+H44</f>
        <v>0</v>
      </c>
      <c r="I45" s="52">
        <f>+(B45-J45)/ABS(J45)</f>
        <v>2.4422921896407077E-2</v>
      </c>
      <c r="J45" s="20">
        <f>+J30+J36+J42+J44</f>
        <v>10973298</v>
      </c>
      <c r="K45" s="52">
        <f>+(J45-L45)/ABS(L45)</f>
        <v>0.16129644702465684</v>
      </c>
      <c r="L45" s="20">
        <f>+L30+L36+L42+L44</f>
        <v>9449179</v>
      </c>
      <c r="M45" s="52">
        <f>+(L45-N45)/ABS(N45)</f>
        <v>8.8545365066477311E-2</v>
      </c>
      <c r="N45" s="20">
        <f>+N30+N36+N42+N44</f>
        <v>8680556</v>
      </c>
      <c r="O45" s="52">
        <f>+(N45-P45)/ABS(P45)</f>
        <v>0.16603253156716691</v>
      </c>
      <c r="P45" s="20">
        <f>+P30+P36+P42+P44</f>
        <v>7444523</v>
      </c>
    </row>
    <row r="46" spans="1:21" ht="8.4499999999999993" customHeight="1">
      <c r="A46" s="10"/>
      <c r="C46" s="49" t="s">
        <v>0</v>
      </c>
      <c r="E46" s="49" t="s">
        <v>0</v>
      </c>
      <c r="G46" s="49" t="s">
        <v>0</v>
      </c>
      <c r="I46" s="52" t="s">
        <v>0</v>
      </c>
      <c r="K46" s="52" t="s">
        <v>0</v>
      </c>
      <c r="M46" s="52" t="s">
        <v>0</v>
      </c>
      <c r="O46" s="52" t="s">
        <v>0</v>
      </c>
    </row>
    <row r="47" spans="1:21">
      <c r="A47" s="86" t="s">
        <v>278</v>
      </c>
      <c r="C47" s="49" t="s">
        <v>0</v>
      </c>
      <c r="E47" s="49" t="s">
        <v>0</v>
      </c>
      <c r="G47" s="49" t="s">
        <v>0</v>
      </c>
      <c r="I47" s="52" t="s">
        <v>0</v>
      </c>
      <c r="K47" s="52" t="s">
        <v>0</v>
      </c>
      <c r="M47" s="52" t="s">
        <v>0</v>
      </c>
      <c r="O47" s="52" t="s">
        <v>0</v>
      </c>
    </row>
    <row r="48" spans="1:21">
      <c r="A48" s="10" t="s">
        <v>279</v>
      </c>
      <c r="B48" s="20">
        <v>270000</v>
      </c>
      <c r="C48" s="49">
        <v>0</v>
      </c>
      <c r="D48" s="20">
        <v>0</v>
      </c>
      <c r="E48" s="49">
        <v>0</v>
      </c>
      <c r="F48" s="20">
        <v>0</v>
      </c>
      <c r="G48" s="49">
        <v>0</v>
      </c>
      <c r="H48" s="20">
        <v>0</v>
      </c>
      <c r="I48" s="52">
        <f t="shared" ref="I48:I53" si="5">+(B48-J48)/ABS(J48)</f>
        <v>0</v>
      </c>
      <c r="J48" s="20">
        <v>270000</v>
      </c>
      <c r="K48" s="52">
        <f t="shared" ref="K48:K53" si="6">+(J48-L48)/ABS(L48)</f>
        <v>0</v>
      </c>
      <c r="L48" s="20">
        <v>270000</v>
      </c>
      <c r="M48" s="52">
        <f t="shared" ref="M48:M53" si="7">+(L48-N48)/ABS(N48)</f>
        <v>0</v>
      </c>
      <c r="N48" s="20">
        <v>270000</v>
      </c>
      <c r="O48" s="52">
        <f t="shared" ref="O48:O53" si="8">+(N48-P48)/ABS(P48)</f>
        <v>0</v>
      </c>
      <c r="P48" s="20">
        <v>270000</v>
      </c>
    </row>
    <row r="49" spans="1:21">
      <c r="A49" s="10" t="s">
        <v>280</v>
      </c>
      <c r="B49" s="20">
        <v>206958</v>
      </c>
      <c r="C49" s="49">
        <v>0</v>
      </c>
      <c r="D49" s="20">
        <v>0</v>
      </c>
      <c r="E49" s="49">
        <v>0</v>
      </c>
      <c r="F49" s="20">
        <v>0</v>
      </c>
      <c r="G49" s="49">
        <v>0</v>
      </c>
      <c r="H49" s="20">
        <v>0</v>
      </c>
      <c r="I49" s="52">
        <f t="shared" si="5"/>
        <v>1.3764523776867762E-2</v>
      </c>
      <c r="J49" s="20">
        <v>204148</v>
      </c>
      <c r="K49" s="52">
        <f t="shared" si="6"/>
        <v>0.19309441989854362</v>
      </c>
      <c r="L49" s="20">
        <v>171108</v>
      </c>
      <c r="M49" s="52">
        <f t="shared" si="7"/>
        <v>0.15675259091001278</v>
      </c>
      <c r="N49" s="20">
        <v>147921</v>
      </c>
      <c r="O49" s="52">
        <f t="shared" si="8"/>
        <v>0.26137119467894604</v>
      </c>
      <c r="P49" s="20">
        <v>117270</v>
      </c>
    </row>
    <row r="50" spans="1:21">
      <c r="A50" s="10" t="s">
        <v>290</v>
      </c>
      <c r="B50" s="20">
        <v>1384</v>
      </c>
      <c r="C50" s="49">
        <v>0</v>
      </c>
      <c r="D50" s="20">
        <v>0</v>
      </c>
      <c r="E50" s="49">
        <v>0</v>
      </c>
      <c r="F50" s="20">
        <v>0</v>
      </c>
      <c r="G50" s="49">
        <v>0</v>
      </c>
      <c r="H50" s="20">
        <v>0</v>
      </c>
      <c r="I50" s="52">
        <f t="shared" si="5"/>
        <v>0</v>
      </c>
      <c r="J50" s="20">
        <v>1384</v>
      </c>
      <c r="K50" s="52">
        <f t="shared" si="6"/>
        <v>-2.1629416005767843E-3</v>
      </c>
      <c r="L50" s="20">
        <v>1387</v>
      </c>
      <c r="M50" s="52">
        <f t="shared" si="7"/>
        <v>0</v>
      </c>
      <c r="N50" s="20">
        <v>1387</v>
      </c>
      <c r="O50" s="52">
        <f t="shared" si="8"/>
        <v>0</v>
      </c>
      <c r="P50" s="20">
        <v>1387</v>
      </c>
    </row>
    <row r="51" spans="1:21" ht="18">
      <c r="A51" s="10" t="s">
        <v>282</v>
      </c>
      <c r="B51" s="199">
        <v>596000</v>
      </c>
      <c r="C51" s="49">
        <v>0</v>
      </c>
      <c r="D51" s="199">
        <v>0</v>
      </c>
      <c r="E51" s="49">
        <v>0</v>
      </c>
      <c r="F51" s="199">
        <v>0</v>
      </c>
      <c r="G51" s="49">
        <v>0</v>
      </c>
      <c r="H51" s="199">
        <v>0</v>
      </c>
      <c r="I51" s="52">
        <f t="shared" si="5"/>
        <v>0.11682013574236684</v>
      </c>
      <c r="J51" s="199">
        <v>533658</v>
      </c>
      <c r="K51" s="52">
        <f t="shared" si="6"/>
        <v>0.24033822039177041</v>
      </c>
      <c r="L51" s="199">
        <v>430252</v>
      </c>
      <c r="M51" s="52">
        <f t="shared" si="7"/>
        <v>0.31219997194146748</v>
      </c>
      <c r="N51" s="199">
        <v>327886</v>
      </c>
      <c r="O51" s="52">
        <f t="shared" si="8"/>
        <v>0.36727409198949168</v>
      </c>
      <c r="P51" s="199">
        <v>239810</v>
      </c>
      <c r="Q51" s="14"/>
      <c r="R51" s="14"/>
      <c r="S51" s="15"/>
      <c r="T51" s="15"/>
      <c r="U51" s="15"/>
    </row>
    <row r="52" spans="1:21" ht="16.5" thickBot="1">
      <c r="A52" s="10" t="s">
        <v>54</v>
      </c>
      <c r="B52" s="79">
        <f>SUM(B48:B51)</f>
        <v>1074342</v>
      </c>
      <c r="C52" s="49">
        <v>0</v>
      </c>
      <c r="D52" s="79">
        <f>SUM(D48:D51)</f>
        <v>0</v>
      </c>
      <c r="E52" s="49">
        <v>0</v>
      </c>
      <c r="F52" s="79">
        <f>SUM(F48:F51)</f>
        <v>0</v>
      </c>
      <c r="G52" s="49">
        <v>0</v>
      </c>
      <c r="H52" s="79">
        <f>SUM(H48:H51)</f>
        <v>0</v>
      </c>
      <c r="I52" s="52">
        <f t="shared" si="5"/>
        <v>6.4558705496487276E-2</v>
      </c>
      <c r="J52" s="79">
        <f>SUM(J48:J51)</f>
        <v>1009190</v>
      </c>
      <c r="K52" s="52">
        <f t="shared" si="6"/>
        <v>0.15633740362327225</v>
      </c>
      <c r="L52" s="79">
        <f>SUM(L48:L51)</f>
        <v>872747</v>
      </c>
      <c r="M52" s="52">
        <f t="shared" si="7"/>
        <v>0.1680326662151998</v>
      </c>
      <c r="N52" s="79">
        <f>SUM(N48:N51)</f>
        <v>747194</v>
      </c>
      <c r="O52" s="52">
        <f t="shared" si="8"/>
        <v>0.18891524932892259</v>
      </c>
      <c r="P52" s="79">
        <f>SUM(P48:P51)</f>
        <v>628467</v>
      </c>
    </row>
    <row r="53" spans="1:21">
      <c r="A53" s="10" t="s">
        <v>0</v>
      </c>
      <c r="B53" s="13">
        <f>+B30+B36+B42+B44+B52</f>
        <v>12315640</v>
      </c>
      <c r="C53" s="49">
        <v>0</v>
      </c>
      <c r="D53" s="13">
        <f>+D30+D36+D42+D44+D52</f>
        <v>0</v>
      </c>
      <c r="E53" s="49">
        <v>0</v>
      </c>
      <c r="F53" s="13">
        <f>+F30+F36+F42+F44+F52</f>
        <v>0</v>
      </c>
      <c r="G53" s="49">
        <v>0</v>
      </c>
      <c r="H53" s="13">
        <f>+H30+H36+H42+H44+H52</f>
        <v>0</v>
      </c>
      <c r="I53" s="52">
        <f t="shared" si="5"/>
        <v>2.7803240862832493E-2</v>
      </c>
      <c r="J53" s="13">
        <f>+J30+J36+J42+J44+J52</f>
        <v>11982488</v>
      </c>
      <c r="K53" s="109">
        <f t="shared" si="6"/>
        <v>0.16087714637752684</v>
      </c>
      <c r="L53" s="13">
        <f>+L30+L36+L42+L44+L52</f>
        <v>10321926</v>
      </c>
      <c r="M53" s="109">
        <f t="shared" si="7"/>
        <v>9.4845111505926658E-2</v>
      </c>
      <c r="N53" s="13">
        <f>+N30+N36+N42+N44+N52</f>
        <v>9427750</v>
      </c>
      <c r="O53" s="109">
        <f t="shared" si="8"/>
        <v>0.16781390785817893</v>
      </c>
      <c r="P53" s="13">
        <f>+P30+P36+P42+P44+P52</f>
        <v>8072990</v>
      </c>
    </row>
    <row r="54" spans="1:21">
      <c r="C54" s="48"/>
      <c r="E54" s="48"/>
      <c r="G54" s="48"/>
      <c r="I54" s="88"/>
    </row>
    <row r="55" spans="1:21">
      <c r="C55" s="48"/>
      <c r="E55" s="48"/>
      <c r="G55" s="48"/>
      <c r="I55" s="46"/>
    </row>
    <row r="56" spans="1:21">
      <c r="A56" s="166" t="s">
        <v>283</v>
      </c>
      <c r="C56" s="48"/>
      <c r="D56" s="23" t="s">
        <v>0</v>
      </c>
      <c r="E56" s="48"/>
      <c r="F56" s="23" t="s">
        <v>0</v>
      </c>
      <c r="G56" s="48"/>
      <c r="H56" s="23" t="s">
        <v>0</v>
      </c>
      <c r="I56" s="46"/>
      <c r="J56" s="23" t="s">
        <v>0</v>
      </c>
      <c r="L56" s="23" t="s">
        <v>0</v>
      </c>
    </row>
    <row r="57" spans="1:21">
      <c r="A57" t="s">
        <v>284</v>
      </c>
      <c r="B57" s="12">
        <v>0</v>
      </c>
      <c r="C57" s="48"/>
      <c r="D57" s="20">
        <v>0</v>
      </c>
      <c r="E57" s="48"/>
      <c r="F57" s="20">
        <v>0</v>
      </c>
      <c r="G57" s="48"/>
      <c r="H57" s="20">
        <v>0</v>
      </c>
      <c r="I57" s="46" t="s">
        <v>0</v>
      </c>
      <c r="J57" s="20">
        <v>0</v>
      </c>
      <c r="K57" s="20"/>
      <c r="L57" s="20">
        <v>0</v>
      </c>
      <c r="M57" s="20"/>
      <c r="N57" s="20">
        <v>0</v>
      </c>
      <c r="O57" s="20"/>
      <c r="P57" s="20">
        <v>0</v>
      </c>
    </row>
    <row r="58" spans="1:21">
      <c r="A58" t="s">
        <v>285</v>
      </c>
      <c r="B58" s="20">
        <v>0</v>
      </c>
      <c r="C58" s="48"/>
      <c r="D58" s="20">
        <v>0</v>
      </c>
      <c r="E58" s="48"/>
      <c r="F58" s="20">
        <v>0</v>
      </c>
      <c r="G58" s="48"/>
      <c r="H58" s="20">
        <v>0</v>
      </c>
      <c r="I58" s="46"/>
      <c r="J58" s="20">
        <v>0</v>
      </c>
      <c r="K58" s="20"/>
      <c r="L58" s="20">
        <v>0</v>
      </c>
      <c r="M58" s="20"/>
      <c r="N58" s="20">
        <v>0</v>
      </c>
      <c r="O58" s="20"/>
      <c r="P58" s="20">
        <v>0</v>
      </c>
    </row>
    <row r="59" spans="1:21">
      <c r="A59" t="s">
        <v>274</v>
      </c>
      <c r="B59" s="20">
        <v>144186</v>
      </c>
      <c r="C59" s="48"/>
      <c r="D59" s="20">
        <v>0</v>
      </c>
      <c r="E59" s="48"/>
      <c r="F59" s="20">
        <v>0</v>
      </c>
      <c r="G59" s="48"/>
      <c r="H59" s="20">
        <v>0</v>
      </c>
      <c r="I59" s="46"/>
      <c r="J59" s="20">
        <v>160556</v>
      </c>
      <c r="K59" s="20"/>
      <c r="L59" s="20">
        <v>221270</v>
      </c>
      <c r="M59" s="20"/>
      <c r="N59" s="20">
        <v>162745</v>
      </c>
      <c r="O59" s="20"/>
      <c r="P59" s="20">
        <v>55341</v>
      </c>
    </row>
    <row r="60" spans="1:21">
      <c r="C60" s="48"/>
      <c r="D60" s="48"/>
      <c r="E60" s="48"/>
      <c r="F60" s="48"/>
      <c r="G60" s="48"/>
      <c r="H60" s="48"/>
      <c r="I60" s="46"/>
      <c r="J60" s="48"/>
      <c r="K60" s="20"/>
      <c r="L60" s="48"/>
      <c r="M60" s="20"/>
      <c r="N60" s="48"/>
      <c r="O60" s="20"/>
      <c r="P60" s="48"/>
    </row>
    <row r="61" spans="1:21">
      <c r="A61" t="s">
        <v>286</v>
      </c>
      <c r="B61" s="20">
        <v>5676483</v>
      </c>
      <c r="C61" s="49">
        <v>0</v>
      </c>
      <c r="D61" s="20">
        <v>0</v>
      </c>
      <c r="E61" s="49">
        <v>0</v>
      </c>
      <c r="F61" s="20">
        <v>0</v>
      </c>
      <c r="G61" s="49">
        <v>0</v>
      </c>
      <c r="H61" s="20">
        <v>0</v>
      </c>
      <c r="I61" s="52">
        <f>+(B61-J61)/ABS(J61)</f>
        <v>4.1939641659061423E-2</v>
      </c>
      <c r="J61" s="20">
        <v>5447996</v>
      </c>
      <c r="K61" s="52">
        <f>+(J61-L61)/ABS(L61)</f>
        <v>0.14757926528332146</v>
      </c>
      <c r="L61" s="20">
        <v>4747381</v>
      </c>
      <c r="M61" s="52">
        <f>+(L61-N61)/ABS(N61)</f>
        <v>0.14734170154495638</v>
      </c>
      <c r="N61" s="20">
        <v>4137722</v>
      </c>
      <c r="O61" s="52">
        <f>+(N61-P61)/ABS(P61)</f>
        <v>0.23791122999740016</v>
      </c>
      <c r="P61" s="20">
        <v>3342503</v>
      </c>
    </row>
    <row r="62" spans="1:21">
      <c r="A62" t="s">
        <v>225</v>
      </c>
      <c r="B62" s="20">
        <v>38511</v>
      </c>
      <c r="C62" s="49">
        <v>0</v>
      </c>
      <c r="D62" s="20">
        <v>0</v>
      </c>
      <c r="E62" s="49">
        <v>0</v>
      </c>
      <c r="F62" s="20">
        <v>0</v>
      </c>
      <c r="G62" s="49">
        <v>0</v>
      </c>
      <c r="H62" s="20">
        <v>0</v>
      </c>
      <c r="I62" s="52">
        <f>+(B62-J62)/ABS(J62)</f>
        <v>0.24032980128184483</v>
      </c>
      <c r="J62" s="20">
        <v>31049</v>
      </c>
      <c r="K62" s="52">
        <f>+(J62-L62)/ABS(L62)</f>
        <v>0.11211003259429063</v>
      </c>
      <c r="L62" s="20">
        <v>27919</v>
      </c>
      <c r="M62" s="52">
        <f>+(L62-N62)/ABS(N62)</f>
        <v>-3.704342427482496E-2</v>
      </c>
      <c r="N62" s="20">
        <v>28993</v>
      </c>
      <c r="O62" s="52">
        <f>+(N62-P62)/ABS(P62)</f>
        <v>-0.2332328361366762</v>
      </c>
      <c r="P62" s="20">
        <v>37812</v>
      </c>
    </row>
    <row r="63" spans="1:21">
      <c r="A63" t="s">
        <v>287</v>
      </c>
      <c r="B63" s="20">
        <v>74112</v>
      </c>
      <c r="C63" s="49">
        <v>0</v>
      </c>
      <c r="D63" s="20">
        <v>0</v>
      </c>
      <c r="E63" s="49">
        <v>0</v>
      </c>
      <c r="F63" s="20">
        <v>0</v>
      </c>
      <c r="G63" s="49">
        <v>0</v>
      </c>
      <c r="H63" s="20">
        <v>0</v>
      </c>
      <c r="I63" s="52">
        <f>+(B63-J63)/ABS(J63)</f>
        <v>1.3202053722371798</v>
      </c>
      <c r="J63" s="20">
        <v>31942</v>
      </c>
      <c r="K63" s="52">
        <f>+(J63-L63)/ABS(L63)</f>
        <v>-2.2522798212864924E-2</v>
      </c>
      <c r="L63" s="20">
        <v>32678</v>
      </c>
      <c r="M63" s="52">
        <f>+(L63-N63)/ABS(N63)</f>
        <v>0.31010704406045786</v>
      </c>
      <c r="N63" s="20">
        <v>24943</v>
      </c>
      <c r="O63" s="52">
        <f>+(N63-P63)/ABS(P63)</f>
        <v>6.4484465687948106E-2</v>
      </c>
      <c r="P63" s="20">
        <v>23432</v>
      </c>
    </row>
    <row r="64" spans="1:21">
      <c r="B64" s="24" t="s">
        <v>0</v>
      </c>
    </row>
    <row r="65" spans="2:15">
      <c r="H65" s="24" t="s">
        <v>0</v>
      </c>
    </row>
    <row r="66" spans="2:15">
      <c r="D66" s="24" t="s">
        <v>0</v>
      </c>
    </row>
    <row r="68" spans="2:15">
      <c r="B68"/>
      <c r="C68"/>
      <c r="D68"/>
      <c r="E68" t="s">
        <v>0</v>
      </c>
      <c r="F68"/>
      <c r="G68"/>
      <c r="H68"/>
      <c r="I68"/>
      <c r="J68"/>
      <c r="K68"/>
      <c r="L68"/>
      <c r="M68"/>
      <c r="N68"/>
      <c r="O68"/>
    </row>
    <row r="69" spans="2:15">
      <c r="B69"/>
      <c r="C69"/>
      <c r="D69"/>
      <c r="E69"/>
      <c r="F69"/>
      <c r="G69"/>
      <c r="H69"/>
      <c r="I69"/>
      <c r="J69"/>
      <c r="K69"/>
      <c r="L69"/>
      <c r="M69"/>
      <c r="N69"/>
      <c r="O69"/>
    </row>
    <row r="70" spans="2:15">
      <c r="B70"/>
      <c r="C70"/>
      <c r="D70"/>
      <c r="E70"/>
      <c r="F70"/>
      <c r="G70"/>
      <c r="H70"/>
      <c r="I70"/>
      <c r="J70"/>
      <c r="K70"/>
      <c r="L70"/>
      <c r="M70"/>
      <c r="N70"/>
      <c r="O70"/>
    </row>
    <row r="71" spans="2:15">
      <c r="B71"/>
      <c r="C71"/>
      <c r="D71"/>
      <c r="E71"/>
      <c r="F71"/>
      <c r="G71"/>
      <c r="H71"/>
      <c r="I71"/>
      <c r="J71"/>
      <c r="K71"/>
      <c r="L71"/>
      <c r="M71"/>
      <c r="N71"/>
      <c r="O71"/>
    </row>
    <row r="72" spans="2:15">
      <c r="B72"/>
      <c r="C72"/>
      <c r="D72"/>
      <c r="E72"/>
      <c r="F72"/>
      <c r="G72"/>
      <c r="H72"/>
      <c r="I72"/>
      <c r="J72"/>
      <c r="K72"/>
      <c r="L72"/>
      <c r="M72"/>
      <c r="N72"/>
      <c r="O72"/>
    </row>
    <row r="73" spans="2:15">
      <c r="B73"/>
      <c r="C73"/>
      <c r="D73"/>
      <c r="E73"/>
      <c r="F73"/>
      <c r="G73"/>
      <c r="H73"/>
      <c r="I73"/>
      <c r="J73"/>
      <c r="K73"/>
      <c r="L73"/>
      <c r="M73"/>
      <c r="N73"/>
      <c r="O73"/>
    </row>
    <row r="74" spans="2:15">
      <c r="B74"/>
      <c r="C74"/>
      <c r="D74"/>
      <c r="E74"/>
      <c r="F74"/>
      <c r="G74"/>
      <c r="H74"/>
      <c r="I74"/>
      <c r="J74"/>
      <c r="K74"/>
      <c r="L74"/>
      <c r="M74"/>
      <c r="N74"/>
      <c r="O74"/>
    </row>
    <row r="75" spans="2:15">
      <c r="B75"/>
      <c r="C75"/>
      <c r="D75"/>
      <c r="E75"/>
      <c r="F75"/>
      <c r="G75"/>
      <c r="H75"/>
      <c r="I75"/>
      <c r="J75"/>
      <c r="K75"/>
      <c r="L75"/>
      <c r="M75"/>
      <c r="N75"/>
      <c r="O75"/>
    </row>
    <row r="76" spans="2:15">
      <c r="B76"/>
      <c r="C76"/>
      <c r="D76"/>
      <c r="E76"/>
      <c r="F76"/>
      <c r="G76"/>
      <c r="H76"/>
      <c r="I76"/>
      <c r="J76"/>
      <c r="K76"/>
      <c r="L76"/>
      <c r="M76"/>
      <c r="N76"/>
      <c r="O76"/>
    </row>
    <row r="77" spans="2:15">
      <c r="B77"/>
      <c r="C77"/>
      <c r="D77"/>
      <c r="E77"/>
      <c r="F77"/>
      <c r="G77"/>
      <c r="H77"/>
      <c r="I77"/>
      <c r="J77"/>
      <c r="K77"/>
      <c r="L77"/>
      <c r="M77"/>
      <c r="N77"/>
      <c r="O77"/>
    </row>
    <row r="78" spans="2:15">
      <c r="B78"/>
      <c r="C78"/>
      <c r="D78"/>
      <c r="E78"/>
      <c r="F78"/>
      <c r="G78"/>
      <c r="H78"/>
      <c r="I78"/>
      <c r="J78"/>
      <c r="K78"/>
      <c r="L78"/>
      <c r="M78"/>
      <c r="N78"/>
      <c r="O78"/>
    </row>
    <row r="79" spans="2:15">
      <c r="B79"/>
      <c r="C79"/>
      <c r="D79"/>
      <c r="E79"/>
      <c r="F79"/>
      <c r="G79"/>
      <c r="H79"/>
      <c r="I79"/>
      <c r="J79"/>
      <c r="K79"/>
      <c r="L79"/>
      <c r="M79"/>
      <c r="N79"/>
      <c r="O79"/>
    </row>
    <row r="80" spans="2:15">
      <c r="B80"/>
      <c r="C80"/>
      <c r="D80"/>
      <c r="E80"/>
      <c r="F80"/>
      <c r="G80"/>
      <c r="H80"/>
      <c r="I80"/>
      <c r="J80"/>
      <c r="K80"/>
      <c r="L80"/>
      <c r="M80"/>
      <c r="N80"/>
      <c r="O80"/>
    </row>
    <row r="81" spans="2:15">
      <c r="B81"/>
      <c r="C81"/>
      <c r="D81"/>
      <c r="E81"/>
      <c r="F81"/>
      <c r="G81"/>
      <c r="H81"/>
      <c r="I81"/>
      <c r="J81"/>
      <c r="K81"/>
      <c r="L81"/>
      <c r="M81"/>
      <c r="N81"/>
      <c r="O81"/>
    </row>
    <row r="82" spans="2:15">
      <c r="B82"/>
      <c r="C82"/>
      <c r="D82"/>
      <c r="E82"/>
      <c r="F82"/>
      <c r="G82"/>
      <c r="H82"/>
      <c r="I82"/>
      <c r="J82"/>
      <c r="K82"/>
      <c r="L82"/>
      <c r="M82"/>
      <c r="N82"/>
      <c r="O82"/>
    </row>
    <row r="83" spans="2:15">
      <c r="B83"/>
      <c r="C83"/>
      <c r="D83"/>
      <c r="E83"/>
      <c r="F83"/>
      <c r="G83"/>
      <c r="H83"/>
      <c r="I83"/>
      <c r="J83"/>
      <c r="K83"/>
      <c r="L83"/>
      <c r="M83"/>
      <c r="N83"/>
      <c r="O83"/>
    </row>
    <row r="84" spans="2:15">
      <c r="B84"/>
      <c r="C84"/>
      <c r="D84"/>
      <c r="E84"/>
      <c r="F84"/>
      <c r="G84"/>
      <c r="H84"/>
      <c r="I84"/>
      <c r="J84"/>
      <c r="K84"/>
      <c r="L84"/>
      <c r="M84"/>
      <c r="N84"/>
      <c r="O84"/>
    </row>
    <row r="85" spans="2:15">
      <c r="B85"/>
      <c r="C85"/>
      <c r="D85"/>
      <c r="E85"/>
      <c r="F85"/>
      <c r="G85"/>
      <c r="H85"/>
      <c r="I85"/>
      <c r="J85"/>
      <c r="K85"/>
      <c r="L85"/>
      <c r="M85"/>
      <c r="N85"/>
      <c r="O85"/>
    </row>
    <row r="86" spans="2:15">
      <c r="B86"/>
      <c r="C86"/>
      <c r="D86"/>
      <c r="E86"/>
      <c r="F86"/>
      <c r="G86"/>
      <c r="H86"/>
      <c r="I86"/>
      <c r="J86"/>
      <c r="K86"/>
      <c r="L86"/>
      <c r="M86"/>
      <c r="N86"/>
      <c r="O86"/>
    </row>
    <row r="87" spans="2:15">
      <c r="B87"/>
      <c r="C87"/>
      <c r="D87"/>
      <c r="E87"/>
      <c r="F87"/>
      <c r="G87"/>
      <c r="H87"/>
      <c r="I87"/>
      <c r="J87"/>
      <c r="K87"/>
      <c r="L87"/>
      <c r="M87"/>
      <c r="N87"/>
      <c r="O87"/>
    </row>
    <row r="88" spans="2:15">
      <c r="B88"/>
      <c r="C88"/>
      <c r="D88"/>
      <c r="E88"/>
      <c r="F88"/>
      <c r="G88"/>
      <c r="H88"/>
      <c r="I88"/>
      <c r="J88"/>
      <c r="K88"/>
      <c r="L88"/>
      <c r="M88"/>
      <c r="N88"/>
      <c r="O88"/>
    </row>
    <row r="89" spans="2:15">
      <c r="B89"/>
      <c r="C89"/>
      <c r="D89"/>
      <c r="E89"/>
      <c r="F89"/>
      <c r="G89"/>
      <c r="H89"/>
      <c r="I89"/>
      <c r="J89"/>
      <c r="K89"/>
      <c r="L89"/>
      <c r="M89"/>
      <c r="N89"/>
      <c r="O89"/>
    </row>
    <row r="90" spans="2:15">
      <c r="B90"/>
      <c r="C90"/>
      <c r="D90"/>
      <c r="E90"/>
      <c r="F90"/>
      <c r="G90"/>
      <c r="H90"/>
      <c r="I90"/>
      <c r="J90"/>
      <c r="K90"/>
      <c r="L90"/>
      <c r="M90"/>
      <c r="N90"/>
      <c r="O90"/>
    </row>
    <row r="91" spans="2:15">
      <c r="B91"/>
      <c r="C91"/>
      <c r="D91"/>
      <c r="E91"/>
      <c r="F91"/>
      <c r="G91"/>
      <c r="H91"/>
      <c r="I91"/>
      <c r="J91"/>
      <c r="K91"/>
      <c r="L91"/>
      <c r="M91"/>
      <c r="N91"/>
      <c r="O91"/>
    </row>
    <row r="92" spans="2:15">
      <c r="B92"/>
      <c r="C92"/>
      <c r="D92"/>
      <c r="E92"/>
      <c r="F92"/>
      <c r="G92"/>
      <c r="H92"/>
      <c r="I92"/>
      <c r="J92"/>
      <c r="K92"/>
      <c r="L92"/>
      <c r="M92"/>
      <c r="N92"/>
      <c r="O92"/>
    </row>
    <row r="93" spans="2:15">
      <c r="B93"/>
      <c r="C93"/>
      <c r="D93"/>
      <c r="E93"/>
      <c r="F93"/>
      <c r="G93"/>
      <c r="H93"/>
      <c r="I93"/>
      <c r="J93"/>
      <c r="K93"/>
      <c r="L93"/>
      <c r="M93"/>
      <c r="N93"/>
      <c r="O93"/>
    </row>
    <row r="94" spans="2:15">
      <c r="B94"/>
      <c r="C94"/>
      <c r="D94"/>
      <c r="E94"/>
      <c r="F94"/>
      <c r="G94"/>
      <c r="H94"/>
      <c r="I94"/>
      <c r="J94"/>
      <c r="K94"/>
      <c r="L94"/>
      <c r="M94"/>
      <c r="N94"/>
      <c r="O94"/>
    </row>
    <row r="95" spans="2:15">
      <c r="B95"/>
      <c r="C95"/>
      <c r="D95"/>
      <c r="E95"/>
      <c r="F95"/>
      <c r="G95"/>
      <c r="H95"/>
      <c r="I95"/>
      <c r="J95"/>
      <c r="K95"/>
      <c r="L95"/>
      <c r="M95"/>
      <c r="N95"/>
      <c r="O95"/>
    </row>
    <row r="96" spans="2:15">
      <c r="B96"/>
      <c r="C96"/>
      <c r="D96"/>
      <c r="E96"/>
      <c r="F96"/>
      <c r="G96"/>
      <c r="H96"/>
      <c r="I96"/>
      <c r="J96"/>
      <c r="K96"/>
      <c r="L96"/>
      <c r="M96"/>
      <c r="N96"/>
      <c r="O96"/>
    </row>
    <row r="97" spans="2:15">
      <c r="B97"/>
      <c r="C97"/>
      <c r="D97"/>
      <c r="E97"/>
      <c r="F97"/>
      <c r="G97"/>
      <c r="H97"/>
      <c r="I97"/>
      <c r="J97"/>
      <c r="K97"/>
      <c r="L97"/>
      <c r="M97"/>
      <c r="N97"/>
      <c r="O97"/>
    </row>
    <row r="98" spans="2:15">
      <c r="B98"/>
      <c r="C98"/>
      <c r="D98"/>
      <c r="E98"/>
      <c r="F98"/>
      <c r="G98"/>
      <c r="H98"/>
      <c r="I98"/>
      <c r="J98"/>
      <c r="K98"/>
      <c r="L98"/>
      <c r="M98"/>
      <c r="N98"/>
      <c r="O98"/>
    </row>
    <row r="99" spans="2:15">
      <c r="B99"/>
      <c r="C99"/>
      <c r="D99"/>
      <c r="E99"/>
      <c r="F99"/>
      <c r="G99"/>
      <c r="H99"/>
      <c r="I99"/>
      <c r="J99"/>
      <c r="K99"/>
      <c r="L99"/>
      <c r="M99"/>
      <c r="N99"/>
      <c r="O99"/>
    </row>
    <row r="100" spans="2:15">
      <c r="B100"/>
      <c r="C100"/>
      <c r="D100"/>
      <c r="E100"/>
      <c r="F100"/>
      <c r="G100"/>
      <c r="H100"/>
      <c r="I100"/>
      <c r="J100"/>
      <c r="K100"/>
      <c r="L100"/>
      <c r="M100"/>
      <c r="N100"/>
      <c r="O100"/>
    </row>
    <row r="101" spans="2:15">
      <c r="B101"/>
      <c r="C101"/>
      <c r="D101"/>
      <c r="E101"/>
      <c r="F101"/>
      <c r="G101"/>
      <c r="H101"/>
      <c r="I101"/>
      <c r="J101"/>
      <c r="K101"/>
      <c r="L101"/>
      <c r="M101"/>
      <c r="N101"/>
      <c r="O101"/>
    </row>
    <row r="102" spans="2:15">
      <c r="B102"/>
      <c r="C102"/>
      <c r="D102"/>
      <c r="E102"/>
      <c r="F102"/>
      <c r="G102"/>
      <c r="H102"/>
      <c r="I102"/>
      <c r="J102"/>
      <c r="K102"/>
      <c r="L102"/>
      <c r="M102"/>
      <c r="N102"/>
      <c r="O102"/>
    </row>
    <row r="103" spans="2:15">
      <c r="B103"/>
      <c r="C103"/>
      <c r="D103"/>
      <c r="E103"/>
      <c r="F103"/>
      <c r="G103"/>
      <c r="H103"/>
      <c r="I103"/>
      <c r="J103"/>
      <c r="K103"/>
      <c r="L103"/>
      <c r="M103"/>
      <c r="N103"/>
      <c r="O103"/>
    </row>
    <row r="104" spans="2:15">
      <c r="B104"/>
      <c r="C104"/>
      <c r="D104"/>
      <c r="E104"/>
      <c r="F104"/>
      <c r="G104"/>
      <c r="H104"/>
      <c r="I104"/>
      <c r="J104"/>
      <c r="K104"/>
      <c r="L104"/>
      <c r="M104"/>
      <c r="N104"/>
      <c r="O104"/>
    </row>
    <row r="105" spans="2:15">
      <c r="B105"/>
      <c r="C105"/>
      <c r="D105"/>
      <c r="E105"/>
      <c r="F105"/>
      <c r="G105"/>
      <c r="H105"/>
      <c r="I105"/>
      <c r="J105"/>
      <c r="K105"/>
      <c r="L105"/>
      <c r="M105"/>
      <c r="N105"/>
      <c r="O105"/>
    </row>
    <row r="106" spans="2:15">
      <c r="B106"/>
      <c r="C106"/>
      <c r="D106"/>
      <c r="E106"/>
      <c r="F106"/>
      <c r="G106"/>
      <c r="H106"/>
      <c r="I106"/>
      <c r="J106"/>
      <c r="K106"/>
      <c r="L106"/>
      <c r="M106"/>
      <c r="N106"/>
      <c r="O106"/>
    </row>
    <row r="107" spans="2:15">
      <c r="B107"/>
      <c r="C107"/>
      <c r="D107"/>
      <c r="E107"/>
      <c r="F107"/>
      <c r="G107"/>
      <c r="H107"/>
      <c r="I107"/>
      <c r="J107"/>
      <c r="K107"/>
      <c r="L107"/>
      <c r="M107"/>
      <c r="N107"/>
      <c r="O107"/>
    </row>
    <row r="108" spans="2:15">
      <c r="B108"/>
      <c r="C108"/>
      <c r="D108"/>
      <c r="E108"/>
      <c r="F108"/>
      <c r="G108"/>
      <c r="H108"/>
      <c r="I108"/>
      <c r="J108"/>
      <c r="K108"/>
      <c r="L108"/>
      <c r="M108"/>
      <c r="N108"/>
      <c r="O108"/>
    </row>
    <row r="109" spans="2:15">
      <c r="B109"/>
      <c r="C109"/>
      <c r="D109"/>
      <c r="E109"/>
      <c r="F109"/>
      <c r="G109"/>
      <c r="H109"/>
      <c r="I109"/>
      <c r="J109"/>
      <c r="K109"/>
      <c r="L109"/>
      <c r="M109"/>
      <c r="N109"/>
      <c r="O109"/>
    </row>
    <row r="110" spans="2:15">
      <c r="B110"/>
      <c r="C110"/>
      <c r="D110"/>
      <c r="E110"/>
      <c r="F110"/>
      <c r="G110"/>
      <c r="H110"/>
      <c r="I110"/>
      <c r="J110"/>
      <c r="K110"/>
      <c r="L110"/>
      <c r="M110"/>
      <c r="N110"/>
      <c r="O110"/>
    </row>
    <row r="111" spans="2:15">
      <c r="B111"/>
      <c r="C111"/>
      <c r="D111"/>
      <c r="E111"/>
      <c r="F111"/>
      <c r="G111"/>
      <c r="H111"/>
      <c r="I111"/>
      <c r="J111"/>
      <c r="K111"/>
      <c r="L111"/>
      <c r="M111"/>
      <c r="N111"/>
      <c r="O111"/>
    </row>
    <row r="112" spans="2:15">
      <c r="B112"/>
      <c r="C112"/>
      <c r="D112"/>
      <c r="E112"/>
      <c r="F112"/>
      <c r="G112"/>
      <c r="H112"/>
      <c r="I112"/>
      <c r="J112"/>
      <c r="K112"/>
      <c r="L112"/>
      <c r="M112"/>
      <c r="N112"/>
      <c r="O112"/>
    </row>
    <row r="113" spans="2:15">
      <c r="B113"/>
      <c r="C113"/>
      <c r="D113"/>
      <c r="E113"/>
      <c r="F113"/>
      <c r="G113"/>
      <c r="H113"/>
      <c r="I113"/>
      <c r="J113"/>
      <c r="K113"/>
      <c r="L113"/>
      <c r="M113"/>
      <c r="N113"/>
      <c r="O113"/>
    </row>
    <row r="114" spans="2:15">
      <c r="B114"/>
      <c r="C114"/>
      <c r="D114"/>
      <c r="E114"/>
      <c r="F114"/>
      <c r="G114"/>
      <c r="H114"/>
      <c r="I114"/>
      <c r="J114"/>
      <c r="K114"/>
      <c r="L114"/>
      <c r="M114"/>
      <c r="N114"/>
      <c r="O114"/>
    </row>
    <row r="115" spans="2:15">
      <c r="B115"/>
      <c r="C115"/>
      <c r="D115"/>
      <c r="E115"/>
      <c r="F115"/>
      <c r="G115"/>
      <c r="H115"/>
      <c r="I115"/>
      <c r="J115"/>
      <c r="K115"/>
      <c r="L115"/>
      <c r="M115"/>
      <c r="N115"/>
      <c r="O115"/>
    </row>
    <row r="116" spans="2:15">
      <c r="B116"/>
      <c r="C116"/>
      <c r="D116"/>
      <c r="E116"/>
      <c r="F116"/>
      <c r="G116"/>
      <c r="H116"/>
      <c r="I116"/>
      <c r="J116"/>
      <c r="K116"/>
      <c r="L116"/>
      <c r="M116"/>
      <c r="N116"/>
      <c r="O116"/>
    </row>
    <row r="117" spans="2:15">
      <c r="B117"/>
      <c r="C117"/>
      <c r="D117"/>
      <c r="E117"/>
      <c r="F117"/>
      <c r="G117"/>
      <c r="H117"/>
      <c r="I117"/>
      <c r="J117"/>
      <c r="K117"/>
      <c r="L117"/>
      <c r="M117"/>
      <c r="N117"/>
      <c r="O117"/>
    </row>
    <row r="118" spans="2:15">
      <c r="B118"/>
      <c r="C118"/>
      <c r="D118"/>
      <c r="E118"/>
      <c r="F118"/>
      <c r="G118"/>
      <c r="H118"/>
      <c r="I118"/>
      <c r="J118"/>
      <c r="K118"/>
      <c r="L118"/>
      <c r="M118"/>
      <c r="N118"/>
      <c r="O118"/>
    </row>
    <row r="119" spans="2:15">
      <c r="B119"/>
      <c r="C119"/>
      <c r="D119"/>
      <c r="E119"/>
      <c r="F119"/>
      <c r="G119"/>
      <c r="H119"/>
      <c r="I119"/>
      <c r="J119"/>
      <c r="K119"/>
      <c r="L119"/>
      <c r="M119"/>
      <c r="N119"/>
      <c r="O119"/>
    </row>
    <row r="120" spans="2:15">
      <c r="B120"/>
      <c r="C120"/>
      <c r="D120"/>
      <c r="E120"/>
      <c r="F120"/>
      <c r="G120"/>
      <c r="H120"/>
      <c r="I120"/>
      <c r="J120"/>
      <c r="K120"/>
      <c r="L120"/>
      <c r="M120"/>
      <c r="N120"/>
      <c r="O120"/>
    </row>
    <row r="121" spans="2:15">
      <c r="B121"/>
      <c r="C121"/>
      <c r="D121"/>
      <c r="E121"/>
      <c r="F121"/>
      <c r="G121"/>
      <c r="H121"/>
      <c r="I121"/>
      <c r="J121"/>
      <c r="K121"/>
      <c r="L121"/>
      <c r="M121"/>
      <c r="N121"/>
      <c r="O121"/>
    </row>
    <row r="122" spans="2:15">
      <c r="B122"/>
      <c r="C122"/>
      <c r="D122"/>
      <c r="E122"/>
      <c r="F122"/>
      <c r="G122"/>
      <c r="H122"/>
      <c r="I122"/>
      <c r="J122"/>
      <c r="K122"/>
      <c r="L122"/>
      <c r="M122"/>
      <c r="N122"/>
      <c r="O122"/>
    </row>
    <row r="123" spans="2:15">
      <c r="B123"/>
      <c r="C123"/>
      <c r="D123"/>
      <c r="E123"/>
      <c r="F123"/>
      <c r="G123"/>
      <c r="H123"/>
      <c r="I123"/>
      <c r="J123"/>
      <c r="K123"/>
      <c r="L123"/>
      <c r="M123"/>
      <c r="N123"/>
      <c r="O123"/>
    </row>
    <row r="124" spans="2:15">
      <c r="B124"/>
      <c r="C124"/>
      <c r="D124"/>
      <c r="E124"/>
      <c r="F124"/>
      <c r="G124"/>
      <c r="H124"/>
      <c r="I124"/>
      <c r="J124"/>
      <c r="K124"/>
      <c r="L124"/>
      <c r="M124"/>
      <c r="N124"/>
      <c r="O124"/>
    </row>
    <row r="125" spans="2:15">
      <c r="B125"/>
      <c r="C125"/>
      <c r="D125"/>
      <c r="E125"/>
      <c r="F125"/>
      <c r="G125"/>
      <c r="H125"/>
      <c r="I125"/>
      <c r="J125"/>
      <c r="K125"/>
      <c r="L125"/>
      <c r="M125"/>
      <c r="N125"/>
      <c r="O125"/>
    </row>
    <row r="126" spans="2:15">
      <c r="B126"/>
      <c r="C126"/>
      <c r="D126"/>
      <c r="E126"/>
      <c r="F126"/>
      <c r="G126"/>
      <c r="H126"/>
      <c r="I126"/>
      <c r="J126"/>
      <c r="K126"/>
      <c r="L126"/>
      <c r="M126"/>
      <c r="N126"/>
      <c r="O126"/>
    </row>
    <row r="127" spans="2:15">
      <c r="B127"/>
      <c r="C127"/>
      <c r="D127"/>
      <c r="E127"/>
      <c r="F127"/>
      <c r="G127"/>
      <c r="H127"/>
      <c r="I127"/>
      <c r="J127"/>
      <c r="K127"/>
      <c r="L127"/>
      <c r="M127"/>
      <c r="N127"/>
      <c r="O127"/>
    </row>
    <row r="128" spans="2:15">
      <c r="B128"/>
      <c r="C128"/>
      <c r="D128"/>
      <c r="E128"/>
      <c r="F128"/>
      <c r="G128"/>
      <c r="H128"/>
      <c r="I128"/>
      <c r="J128"/>
      <c r="K128"/>
      <c r="L128"/>
      <c r="M128"/>
      <c r="N128"/>
      <c r="O128"/>
    </row>
    <row r="129" spans="2:15">
      <c r="B129"/>
      <c r="C129"/>
      <c r="D129"/>
      <c r="E129"/>
      <c r="F129"/>
      <c r="G129"/>
      <c r="H129"/>
      <c r="I129"/>
      <c r="J129"/>
      <c r="K129"/>
      <c r="L129"/>
      <c r="M129"/>
      <c r="N129"/>
      <c r="O129"/>
    </row>
    <row r="130" spans="2:15">
      <c r="B130"/>
      <c r="C130"/>
      <c r="D130"/>
      <c r="E130"/>
      <c r="F130"/>
      <c r="G130"/>
      <c r="H130"/>
      <c r="I130"/>
      <c r="J130"/>
      <c r="K130"/>
      <c r="L130"/>
      <c r="M130"/>
      <c r="N130"/>
      <c r="O130"/>
    </row>
    <row r="131" spans="2:15">
      <c r="B131"/>
      <c r="C131"/>
      <c r="D131"/>
      <c r="E131"/>
      <c r="F131"/>
      <c r="G131"/>
      <c r="H131"/>
      <c r="I131"/>
      <c r="J131"/>
      <c r="K131"/>
      <c r="L131"/>
      <c r="M131"/>
      <c r="N131"/>
      <c r="O131"/>
    </row>
    <row r="132" spans="2:15">
      <c r="B132"/>
      <c r="C132"/>
      <c r="D132"/>
      <c r="E132"/>
      <c r="F132"/>
      <c r="G132"/>
      <c r="H132"/>
      <c r="I132"/>
      <c r="J132"/>
      <c r="K132"/>
      <c r="L132"/>
      <c r="M132"/>
      <c r="N132"/>
      <c r="O132"/>
    </row>
    <row r="133" spans="2:15">
      <c r="B133"/>
      <c r="C133"/>
      <c r="D133"/>
      <c r="E133"/>
      <c r="F133"/>
      <c r="G133"/>
      <c r="H133"/>
      <c r="I133"/>
      <c r="J133"/>
      <c r="K133"/>
      <c r="L133"/>
      <c r="M133"/>
      <c r="N133"/>
      <c r="O133"/>
    </row>
    <row r="134" spans="2:15">
      <c r="B134"/>
      <c r="C134"/>
      <c r="D134"/>
      <c r="E134"/>
      <c r="F134"/>
      <c r="G134"/>
      <c r="H134"/>
      <c r="I134"/>
      <c r="J134"/>
      <c r="K134"/>
      <c r="L134"/>
      <c r="M134"/>
      <c r="N134"/>
      <c r="O134"/>
    </row>
    <row r="135" spans="2:15">
      <c r="B135"/>
      <c r="C135"/>
      <c r="D135"/>
      <c r="E135"/>
      <c r="F135"/>
      <c r="G135"/>
      <c r="H135"/>
      <c r="I135"/>
      <c r="J135"/>
      <c r="K135"/>
      <c r="L135"/>
      <c r="M135"/>
      <c r="N135"/>
      <c r="O135"/>
    </row>
    <row r="136" spans="2:15">
      <c r="B136"/>
      <c r="C136"/>
      <c r="D136"/>
      <c r="E136"/>
      <c r="F136"/>
      <c r="G136"/>
      <c r="H136"/>
      <c r="I136"/>
      <c r="J136"/>
      <c r="K136"/>
      <c r="L136"/>
      <c r="M136"/>
      <c r="N136"/>
      <c r="O136"/>
    </row>
    <row r="137" spans="2:15">
      <c r="B137"/>
      <c r="C137"/>
      <c r="D137"/>
      <c r="E137"/>
      <c r="F137"/>
      <c r="G137"/>
      <c r="H137"/>
      <c r="I137"/>
      <c r="J137"/>
      <c r="K137"/>
      <c r="L137"/>
      <c r="M137"/>
      <c r="N137"/>
      <c r="O137"/>
    </row>
    <row r="138" spans="2:15">
      <c r="B138"/>
      <c r="C138"/>
      <c r="D138"/>
      <c r="E138"/>
      <c r="F138"/>
      <c r="G138"/>
      <c r="H138"/>
      <c r="I138"/>
      <c r="J138"/>
      <c r="K138"/>
      <c r="L138"/>
      <c r="M138"/>
      <c r="N138"/>
      <c r="O138"/>
    </row>
    <row r="139" spans="2:15">
      <c r="B139"/>
      <c r="C139"/>
      <c r="D139"/>
      <c r="E139"/>
      <c r="F139"/>
      <c r="G139"/>
      <c r="H139"/>
      <c r="I139"/>
      <c r="J139"/>
      <c r="K139"/>
      <c r="L139"/>
      <c r="M139"/>
      <c r="N139"/>
      <c r="O139"/>
    </row>
    <row r="140" spans="2:15">
      <c r="B140"/>
      <c r="C140"/>
      <c r="D140"/>
      <c r="E140"/>
      <c r="F140"/>
      <c r="G140"/>
      <c r="H140"/>
      <c r="I140"/>
      <c r="J140"/>
      <c r="K140"/>
      <c r="L140"/>
      <c r="M140"/>
      <c r="N140"/>
      <c r="O140"/>
    </row>
    <row r="141" spans="2:15">
      <c r="B141"/>
      <c r="C141"/>
      <c r="D141"/>
      <c r="E141"/>
      <c r="F141"/>
      <c r="G141"/>
      <c r="H141"/>
      <c r="I141"/>
      <c r="J141"/>
      <c r="K141"/>
      <c r="L141"/>
      <c r="M141"/>
      <c r="N141"/>
      <c r="O141"/>
    </row>
    <row r="142" spans="2:15">
      <c r="B142"/>
      <c r="C142"/>
      <c r="D142"/>
      <c r="E142"/>
      <c r="F142"/>
      <c r="G142"/>
      <c r="H142"/>
      <c r="I142"/>
      <c r="J142"/>
      <c r="K142"/>
      <c r="L142"/>
      <c r="M142"/>
      <c r="N142"/>
      <c r="O142"/>
    </row>
    <row r="143" spans="2:15">
      <c r="B143"/>
      <c r="C143"/>
      <c r="D143"/>
      <c r="E143"/>
      <c r="F143"/>
      <c r="G143"/>
      <c r="H143"/>
      <c r="I143"/>
      <c r="J143"/>
      <c r="K143"/>
      <c r="L143"/>
      <c r="M143"/>
      <c r="N143"/>
      <c r="O143"/>
    </row>
    <row r="144" spans="2:15">
      <c r="B144"/>
      <c r="C144"/>
      <c r="D144"/>
      <c r="E144"/>
      <c r="F144"/>
      <c r="G144"/>
      <c r="H144"/>
      <c r="I144"/>
      <c r="J144"/>
      <c r="K144"/>
      <c r="L144"/>
      <c r="M144"/>
      <c r="N144"/>
      <c r="O144"/>
    </row>
    <row r="145" spans="2:15">
      <c r="B145"/>
      <c r="C145"/>
      <c r="D145"/>
      <c r="E145"/>
      <c r="F145"/>
      <c r="G145"/>
      <c r="H145"/>
      <c r="I145"/>
      <c r="J145"/>
      <c r="K145"/>
      <c r="L145"/>
      <c r="M145"/>
      <c r="N145"/>
      <c r="O145"/>
    </row>
    <row r="146" spans="2:15">
      <c r="B146"/>
      <c r="C146"/>
      <c r="D146"/>
      <c r="E146"/>
      <c r="F146"/>
      <c r="G146"/>
      <c r="H146"/>
      <c r="I146"/>
      <c r="J146"/>
      <c r="K146"/>
      <c r="L146"/>
      <c r="M146"/>
      <c r="N146"/>
      <c r="O146"/>
    </row>
    <row r="147" spans="2:15">
      <c r="B147"/>
      <c r="C147"/>
      <c r="D147"/>
      <c r="E147"/>
      <c r="F147"/>
      <c r="G147"/>
      <c r="H147"/>
      <c r="I147"/>
      <c r="J147"/>
      <c r="K147"/>
      <c r="L147"/>
      <c r="M147"/>
      <c r="N147"/>
      <c r="O147"/>
    </row>
    <row r="148" spans="2:15">
      <c r="B148"/>
      <c r="C148"/>
      <c r="D148"/>
      <c r="E148"/>
      <c r="F148"/>
      <c r="G148"/>
      <c r="H148"/>
      <c r="I148"/>
      <c r="J148"/>
      <c r="K148"/>
      <c r="L148"/>
      <c r="M148"/>
      <c r="N148"/>
      <c r="O148"/>
    </row>
    <row r="149" spans="2:15">
      <c r="B149"/>
      <c r="C149"/>
      <c r="D149"/>
      <c r="E149"/>
      <c r="F149"/>
      <c r="G149"/>
      <c r="H149"/>
      <c r="I149"/>
      <c r="J149"/>
      <c r="K149"/>
      <c r="L149"/>
      <c r="M149"/>
      <c r="N149"/>
      <c r="O149"/>
    </row>
    <row r="150" spans="2:15">
      <c r="B150"/>
      <c r="C150"/>
      <c r="D150"/>
      <c r="E150"/>
      <c r="F150"/>
      <c r="G150"/>
      <c r="H150"/>
      <c r="I150"/>
      <c r="J150"/>
      <c r="K150"/>
      <c r="L150"/>
      <c r="M150"/>
      <c r="N150"/>
      <c r="O150"/>
    </row>
    <row r="151" spans="2:15">
      <c r="B151"/>
      <c r="C151"/>
      <c r="D151"/>
      <c r="E151"/>
      <c r="F151"/>
      <c r="G151"/>
      <c r="H151"/>
      <c r="I151"/>
      <c r="J151"/>
      <c r="K151"/>
      <c r="L151"/>
      <c r="M151"/>
      <c r="N151"/>
      <c r="O151"/>
    </row>
    <row r="152" spans="2:15">
      <c r="B152"/>
      <c r="C152"/>
      <c r="D152"/>
      <c r="E152"/>
      <c r="F152"/>
      <c r="G152"/>
      <c r="H152"/>
      <c r="I152"/>
      <c r="J152"/>
      <c r="K152"/>
      <c r="L152"/>
      <c r="M152"/>
      <c r="N152"/>
      <c r="O152"/>
    </row>
    <row r="153" spans="2:15">
      <c r="B153"/>
      <c r="C153"/>
      <c r="D153"/>
      <c r="E153"/>
      <c r="F153"/>
      <c r="G153"/>
      <c r="H153"/>
      <c r="I153"/>
      <c r="J153"/>
      <c r="K153"/>
      <c r="L153"/>
      <c r="M153"/>
      <c r="N153"/>
      <c r="O153"/>
    </row>
    <row r="154" spans="2:15">
      <c r="B154"/>
      <c r="C154"/>
      <c r="D154"/>
      <c r="E154"/>
      <c r="F154"/>
      <c r="G154"/>
      <c r="H154"/>
      <c r="I154"/>
      <c r="J154"/>
      <c r="K154"/>
      <c r="L154"/>
      <c r="M154"/>
      <c r="N154"/>
      <c r="O154"/>
    </row>
    <row r="155" spans="2:15">
      <c r="B155"/>
      <c r="C155"/>
      <c r="D155"/>
      <c r="E155"/>
      <c r="F155"/>
      <c r="G155"/>
      <c r="H155"/>
      <c r="I155"/>
      <c r="J155"/>
      <c r="K155"/>
      <c r="L155"/>
      <c r="M155"/>
      <c r="N155"/>
      <c r="O155"/>
    </row>
    <row r="156" spans="2:15">
      <c r="B156"/>
      <c r="C156"/>
      <c r="D156"/>
      <c r="E156"/>
      <c r="F156"/>
      <c r="G156"/>
      <c r="H156"/>
      <c r="I156"/>
      <c r="J156"/>
      <c r="K156"/>
      <c r="L156"/>
      <c r="M156"/>
      <c r="N156"/>
      <c r="O156"/>
    </row>
    <row r="157" spans="2:15">
      <c r="B157"/>
      <c r="C157"/>
      <c r="D157"/>
      <c r="E157"/>
      <c r="F157"/>
      <c r="G157"/>
      <c r="H157"/>
      <c r="I157"/>
      <c r="J157"/>
      <c r="K157"/>
      <c r="L157"/>
      <c r="M157"/>
      <c r="N157"/>
      <c r="O157"/>
    </row>
    <row r="158" spans="2:15">
      <c r="B158"/>
      <c r="C158"/>
      <c r="D158"/>
      <c r="E158"/>
      <c r="F158"/>
      <c r="G158"/>
      <c r="H158"/>
      <c r="I158"/>
      <c r="J158"/>
      <c r="K158"/>
      <c r="L158"/>
      <c r="M158"/>
      <c r="N158"/>
      <c r="O158"/>
    </row>
    <row r="159" spans="2:15">
      <c r="B159"/>
      <c r="C159"/>
      <c r="D159"/>
      <c r="E159"/>
      <c r="F159"/>
      <c r="G159"/>
      <c r="H159"/>
      <c r="I159"/>
      <c r="J159"/>
      <c r="K159"/>
      <c r="L159"/>
      <c r="M159"/>
      <c r="N159"/>
      <c r="O159"/>
    </row>
    <row r="160" spans="2:15">
      <c r="B160"/>
      <c r="C160"/>
      <c r="D160"/>
      <c r="E160"/>
      <c r="F160"/>
      <c r="G160"/>
      <c r="H160"/>
      <c r="I160"/>
      <c r="J160"/>
      <c r="K160"/>
      <c r="L160"/>
      <c r="M160"/>
      <c r="N160"/>
      <c r="O160"/>
    </row>
    <row r="161" spans="2:15">
      <c r="B161"/>
      <c r="C161"/>
      <c r="D161"/>
      <c r="E161"/>
      <c r="F161"/>
      <c r="G161"/>
      <c r="H161"/>
      <c r="I161"/>
      <c r="J161"/>
      <c r="K161"/>
      <c r="L161"/>
      <c r="M161"/>
      <c r="N161"/>
      <c r="O161"/>
    </row>
    <row r="162" spans="2:15">
      <c r="B162"/>
      <c r="C162"/>
      <c r="D162"/>
      <c r="E162"/>
      <c r="F162"/>
      <c r="G162"/>
      <c r="H162"/>
      <c r="I162"/>
      <c r="J162"/>
      <c r="K162"/>
      <c r="L162"/>
      <c r="M162"/>
      <c r="N162"/>
      <c r="O162"/>
    </row>
    <row r="163" spans="2:15">
      <c r="B163"/>
      <c r="C163"/>
      <c r="D163"/>
      <c r="E163"/>
      <c r="F163"/>
      <c r="G163"/>
      <c r="H163"/>
      <c r="I163"/>
      <c r="J163"/>
      <c r="K163"/>
      <c r="L163"/>
      <c r="M163"/>
      <c r="N163"/>
      <c r="O163"/>
    </row>
    <row r="164" spans="2:15">
      <c r="B164"/>
      <c r="C164"/>
      <c r="D164"/>
      <c r="E164"/>
      <c r="F164"/>
      <c r="G164"/>
      <c r="H164"/>
      <c r="I164"/>
      <c r="J164"/>
      <c r="K164"/>
      <c r="L164"/>
      <c r="M164"/>
      <c r="N164"/>
      <c r="O164"/>
    </row>
    <row r="165" spans="2:15">
      <c r="B165"/>
      <c r="C165"/>
      <c r="D165"/>
      <c r="E165"/>
      <c r="F165"/>
      <c r="G165"/>
      <c r="H165"/>
      <c r="I165"/>
      <c r="J165"/>
      <c r="K165"/>
      <c r="L165"/>
      <c r="M165"/>
      <c r="N165"/>
      <c r="O165"/>
    </row>
    <row r="166" spans="2:15">
      <c r="B166"/>
      <c r="C166"/>
      <c r="D166"/>
      <c r="E166"/>
      <c r="F166"/>
      <c r="G166"/>
      <c r="H166"/>
      <c r="I166"/>
      <c r="J166"/>
      <c r="K166"/>
      <c r="L166"/>
      <c r="M166"/>
      <c r="N166"/>
      <c r="O166"/>
    </row>
    <row r="167" spans="2:15">
      <c r="B167"/>
      <c r="C167"/>
      <c r="D167"/>
      <c r="E167"/>
      <c r="F167"/>
      <c r="G167"/>
      <c r="H167"/>
      <c r="I167"/>
      <c r="J167"/>
      <c r="K167"/>
      <c r="L167"/>
      <c r="M167"/>
      <c r="N167"/>
      <c r="O167"/>
    </row>
    <row r="168" spans="2:15">
      <c r="B168"/>
      <c r="C168"/>
      <c r="D168"/>
      <c r="E168"/>
      <c r="F168"/>
      <c r="G168"/>
      <c r="H168"/>
      <c r="I168"/>
      <c r="J168"/>
      <c r="K168"/>
      <c r="L168"/>
      <c r="M168"/>
      <c r="N168"/>
      <c r="O168"/>
    </row>
    <row r="169" spans="2:15">
      <c r="B169"/>
      <c r="C169"/>
      <c r="D169"/>
      <c r="E169"/>
      <c r="F169"/>
      <c r="G169"/>
      <c r="H169"/>
      <c r="I169"/>
      <c r="J169"/>
      <c r="K169"/>
      <c r="L169"/>
      <c r="M169"/>
      <c r="N169"/>
      <c r="O169"/>
    </row>
    <row r="170" spans="2:15">
      <c r="B170"/>
      <c r="C170"/>
      <c r="D170"/>
      <c r="E170"/>
      <c r="F170"/>
      <c r="G170"/>
      <c r="H170"/>
      <c r="I170"/>
      <c r="J170"/>
      <c r="K170"/>
      <c r="L170"/>
      <c r="M170"/>
      <c r="N170"/>
      <c r="O170"/>
    </row>
    <row r="171" spans="2:15">
      <c r="B171"/>
      <c r="C171"/>
      <c r="D171"/>
      <c r="E171"/>
      <c r="F171"/>
      <c r="G171"/>
      <c r="H171"/>
      <c r="I171"/>
      <c r="J171"/>
      <c r="K171"/>
      <c r="L171"/>
      <c r="M171"/>
      <c r="N171"/>
      <c r="O171"/>
    </row>
    <row r="172" spans="2:15">
      <c r="B172"/>
      <c r="C172"/>
      <c r="D172"/>
      <c r="E172"/>
      <c r="F172"/>
      <c r="G172"/>
      <c r="H172"/>
      <c r="I172"/>
      <c r="J172"/>
      <c r="K172"/>
      <c r="L172"/>
      <c r="M172"/>
      <c r="N172"/>
      <c r="O172"/>
    </row>
  </sheetData>
  <phoneticPr fontId="0" type="noConversion"/>
  <pageMargins left="0.25" right="0.23" top="0.52" bottom="0.56999999999999995" header="0.32" footer="0.34"/>
  <pageSetup scale="54" orientation="landscape" r:id="rId1"/>
  <headerFooter alignWithMargins="0">
    <oddFooter>&amp;R&amp;P</oddFooter>
  </headerFooter>
</worksheet>
</file>

<file path=xl/worksheets/sheet86.xml><?xml version="1.0" encoding="utf-8"?>
<worksheet xmlns="http://schemas.openxmlformats.org/spreadsheetml/2006/main" xmlns:r="http://schemas.openxmlformats.org/officeDocument/2006/relationships">
  <sheetPr>
    <pageSetUpPr fitToPage="1"/>
  </sheetPr>
  <dimension ref="A1:U157"/>
  <sheetViews>
    <sheetView workbookViewId="0">
      <selection activeCell="B9" sqref="B9"/>
    </sheetView>
  </sheetViews>
  <sheetFormatPr baseColWidth="10" defaultColWidth="9" defaultRowHeight="15.75"/>
  <cols>
    <col min="1" max="1" width="33.25" customWidth="1"/>
    <col min="2" max="2" width="17.37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9.75" style="21" customWidth="1"/>
    <col min="18" max="18" width="15.75" style="20" customWidth="1"/>
    <col min="19" max="21" width="15.75" customWidth="1"/>
  </cols>
  <sheetData>
    <row r="1" spans="1:21">
      <c r="A1" s="111" t="s">
        <v>402</v>
      </c>
      <c r="B1" s="42"/>
      <c r="C1" s="43"/>
      <c r="D1" s="42"/>
      <c r="E1" s="43"/>
      <c r="F1" s="42"/>
      <c r="G1" s="43"/>
      <c r="H1" s="42"/>
      <c r="I1" s="43"/>
      <c r="J1" s="42"/>
      <c r="K1" s="43"/>
      <c r="L1" s="42"/>
      <c r="M1" s="43"/>
      <c r="N1" s="42"/>
      <c r="O1" s="43"/>
      <c r="P1" s="42"/>
      <c r="Q1" s="43"/>
    </row>
    <row r="2" spans="1:21">
      <c r="A2" s="111" t="s">
        <v>291</v>
      </c>
      <c r="B2" s="42"/>
      <c r="C2" s="43"/>
      <c r="D2" s="42"/>
      <c r="E2" s="43"/>
      <c r="F2" s="42"/>
      <c r="G2" s="43"/>
      <c r="H2" s="42"/>
      <c r="I2" s="43"/>
      <c r="J2" s="42"/>
      <c r="K2" s="43"/>
      <c r="L2" s="42"/>
      <c r="M2" s="43"/>
      <c r="N2" s="42"/>
      <c r="O2" s="43"/>
      <c r="P2" s="42"/>
      <c r="Q2" s="43"/>
    </row>
    <row r="3" spans="1:21">
      <c r="A3" s="111" t="s">
        <v>387</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5" spans="1:21">
      <c r="A5" s="111"/>
      <c r="B5" s="42"/>
      <c r="C5" s="43"/>
      <c r="D5" s="42"/>
      <c r="E5" s="43"/>
      <c r="F5" s="42"/>
      <c r="G5" s="43"/>
      <c r="H5" s="42"/>
      <c r="I5" s="43"/>
      <c r="J5" s="42"/>
      <c r="K5" s="43"/>
      <c r="L5" s="42"/>
      <c r="M5" s="43"/>
      <c r="N5" s="42"/>
      <c r="O5" s="43"/>
      <c r="P5" s="42"/>
      <c r="Q5" s="43"/>
    </row>
    <row r="6" spans="1:21" ht="16.5" thickBot="1">
      <c r="J6" s="118" t="s">
        <v>195</v>
      </c>
      <c r="K6" s="43"/>
      <c r="L6" s="42"/>
      <c r="M6" s="43"/>
      <c r="N6" s="42"/>
      <c r="O6" s="43"/>
      <c r="P6" s="42"/>
      <c r="Q6" s="43"/>
    </row>
    <row r="7" spans="1:21" s="11" customFormat="1" ht="16.5" thickBot="1">
      <c r="B7" s="200" t="str">
        <f>+buhcomp!B6</f>
        <v>Déc. 14</v>
      </c>
      <c r="C7" s="201" t="s">
        <v>289</v>
      </c>
      <c r="D7" s="200" t="str">
        <f>+buhcomp!D6</f>
        <v>Mars 15</v>
      </c>
      <c r="E7" s="201" t="s">
        <v>289</v>
      </c>
      <c r="F7" s="200" t="str">
        <f>+buhcomp!F6</f>
        <v>Juin 15</v>
      </c>
      <c r="G7" s="201" t="s">
        <v>289</v>
      </c>
      <c r="H7" s="200" t="str">
        <f>+buhcomp!H6</f>
        <v>Sept. 15</v>
      </c>
      <c r="I7" s="201" t="s">
        <v>289</v>
      </c>
      <c r="J7" s="205" t="str">
        <f>+buhcomp!J6</f>
        <v>2014</v>
      </c>
      <c r="K7" s="204" t="s">
        <v>289</v>
      </c>
      <c r="L7" s="205" t="str">
        <f>+buhcomp!L6</f>
        <v>2013</v>
      </c>
      <c r="M7" s="204" t="s">
        <v>289</v>
      </c>
      <c r="N7" s="205" t="str">
        <f>+buhcomp!N6</f>
        <v>2012</v>
      </c>
      <c r="O7" s="204" t="s">
        <v>289</v>
      </c>
      <c r="P7" s="205" t="str">
        <f>+buhcomp!P6</f>
        <v>2011</v>
      </c>
      <c r="Q7" s="204" t="s">
        <v>289</v>
      </c>
      <c r="R7" s="2"/>
      <c r="S7" s="3"/>
      <c r="T7" s="3"/>
      <c r="U7" s="3"/>
    </row>
    <row r="8" spans="1:21">
      <c r="A8" s="86" t="s">
        <v>244</v>
      </c>
      <c r="B8" s="120"/>
      <c r="C8" s="119"/>
      <c r="D8" s="120"/>
      <c r="E8" s="119"/>
      <c r="F8" s="120"/>
      <c r="G8" s="119"/>
      <c r="H8" s="120"/>
      <c r="I8" s="119"/>
      <c r="J8" s="197"/>
      <c r="K8" s="119"/>
      <c r="L8" s="197"/>
      <c r="M8" s="119"/>
      <c r="N8" s="197"/>
      <c r="O8" s="119"/>
      <c r="P8" s="197"/>
      <c r="Q8" s="119"/>
      <c r="R8" s="22"/>
      <c r="S8" s="17"/>
      <c r="T8" s="17"/>
      <c r="U8" s="17"/>
    </row>
    <row r="9" spans="1:21">
      <c r="A9" s="10" t="s">
        <v>255</v>
      </c>
      <c r="B9"/>
    </row>
    <row r="10" spans="1:21">
      <c r="A10" s="10" t="s">
        <v>256</v>
      </c>
      <c r="B10" s="20">
        <f>+capitalbkvar!B10</f>
        <v>379216</v>
      </c>
      <c r="C10" s="52">
        <f t="shared" ref="C10:C15" si="0">+B10/$B$23</f>
        <v>3.079141644283204E-2</v>
      </c>
      <c r="D10" s="20">
        <f>+capitalbkvar!D10</f>
        <v>0</v>
      </c>
      <c r="E10" s="49">
        <v>0</v>
      </c>
      <c r="F10" s="20">
        <f>+capitalbkvar!F10</f>
        <v>0</v>
      </c>
      <c r="G10" s="49">
        <v>0</v>
      </c>
      <c r="H10" s="20">
        <f>+capitalbkvar!H10</f>
        <v>0</v>
      </c>
      <c r="I10" s="49">
        <v>0</v>
      </c>
      <c r="J10" s="20">
        <f>+capitalbkvar!J10</f>
        <v>262016</v>
      </c>
      <c r="K10" s="52">
        <f t="shared" ref="K10:K15" si="1">+J10/$J$23</f>
        <v>2.1866577291794493E-2</v>
      </c>
      <c r="L10" s="20">
        <f>+capitalbkvar!L10</f>
        <v>262872</v>
      </c>
      <c r="M10" s="52">
        <f t="shared" ref="M10:M15" si="2">+L10/$L$23</f>
        <v>2.5467340106875402E-2</v>
      </c>
      <c r="N10" s="20">
        <f>+capitalbkvar!N10</f>
        <v>218417</v>
      </c>
      <c r="O10" s="52">
        <f t="shared" ref="O10:O15" si="3">+N10/$N$23</f>
        <v>2.3167457770942167E-2</v>
      </c>
      <c r="P10" s="20">
        <f>+capitalbkvar!P10</f>
        <v>186348</v>
      </c>
      <c r="Q10" s="52">
        <f>+P10/$P$23</f>
        <v>2.3082897414712516E-2</v>
      </c>
    </row>
    <row r="11" spans="1:21">
      <c r="A11" s="10" t="s">
        <v>257</v>
      </c>
      <c r="B11" s="20">
        <f>+capitalbkvar!B11</f>
        <v>3669089</v>
      </c>
      <c r="C11" s="52">
        <f t="shared" si="0"/>
        <v>0.29792109870051414</v>
      </c>
      <c r="D11" s="20">
        <f>+capitalbkvar!D11</f>
        <v>0</v>
      </c>
      <c r="E11" s="49">
        <v>0</v>
      </c>
      <c r="F11" s="20">
        <f>+capitalbkvar!F11</f>
        <v>0</v>
      </c>
      <c r="G11" s="49">
        <v>0</v>
      </c>
      <c r="H11" s="20">
        <f>+capitalbkvar!H11</f>
        <v>0</v>
      </c>
      <c r="I11" s="49">
        <v>0</v>
      </c>
      <c r="J11" s="20">
        <f>+capitalbkvar!J11</f>
        <v>3747700</v>
      </c>
      <c r="K11" s="52">
        <f t="shared" si="1"/>
        <v>0.31276476137510006</v>
      </c>
      <c r="L11" s="20">
        <f>+capitalbkvar!L11</f>
        <v>3182205</v>
      </c>
      <c r="M11" s="52">
        <f t="shared" si="2"/>
        <v>0.30829566110045742</v>
      </c>
      <c r="N11" s="20">
        <f>+capitalbkvar!N11</f>
        <v>2755816</v>
      </c>
      <c r="O11" s="52">
        <f t="shared" si="3"/>
        <v>0.29230898146429424</v>
      </c>
      <c r="P11" s="20">
        <f>+capitalbkvar!P11</f>
        <v>2367954</v>
      </c>
      <c r="Q11" s="52">
        <f t="shared" ref="Q11:Q28" si="4">+P11/$P$23</f>
        <v>0.29331808908471335</v>
      </c>
    </row>
    <row r="12" spans="1:21">
      <c r="A12" s="10" t="s">
        <v>258</v>
      </c>
      <c r="B12" s="20">
        <f>+capitalbkvar!B12</f>
        <v>699005</v>
      </c>
      <c r="C12" s="52">
        <f t="shared" si="0"/>
        <v>5.6757505091087429E-2</v>
      </c>
      <c r="D12" s="20">
        <f>+capitalbkvar!D12</f>
        <v>0</v>
      </c>
      <c r="E12" s="49">
        <v>0</v>
      </c>
      <c r="F12" s="20">
        <f>+capitalbkvar!F12</f>
        <v>0</v>
      </c>
      <c r="G12" s="49">
        <v>0</v>
      </c>
      <c r="H12" s="20">
        <f>+capitalbkvar!H12</f>
        <v>0</v>
      </c>
      <c r="I12" s="49">
        <v>0</v>
      </c>
      <c r="J12" s="20">
        <f>+capitalbkvar!J12</f>
        <v>541052</v>
      </c>
      <c r="K12" s="52">
        <f t="shared" si="1"/>
        <v>4.5153560763006813E-2</v>
      </c>
      <c r="L12" s="20">
        <f>+capitalbkvar!L12</f>
        <v>458335</v>
      </c>
      <c r="M12" s="52">
        <f t="shared" si="2"/>
        <v>4.4404019172390889E-2</v>
      </c>
      <c r="N12" s="20">
        <f>+capitalbkvar!N12</f>
        <v>687504</v>
      </c>
      <c r="O12" s="52">
        <f t="shared" si="3"/>
        <v>7.2923444087931902E-2</v>
      </c>
      <c r="P12" s="20">
        <f>+capitalbkvar!P12</f>
        <v>790654</v>
      </c>
      <c r="Q12" s="52">
        <f t="shared" si="4"/>
        <v>9.7938186471183533E-2</v>
      </c>
    </row>
    <row r="13" spans="1:21">
      <c r="A13" s="10" t="s">
        <v>259</v>
      </c>
      <c r="B13" s="20">
        <f>+capitalbkvar!B13</f>
        <v>33668</v>
      </c>
      <c r="C13" s="52">
        <f t="shared" si="0"/>
        <v>2.7337596746900687E-3</v>
      </c>
      <c r="D13" s="20">
        <f>+capitalbkvar!D13</f>
        <v>0</v>
      </c>
      <c r="E13" s="49">
        <v>0</v>
      </c>
      <c r="F13" s="20">
        <f>+capitalbkvar!F13</f>
        <v>0</v>
      </c>
      <c r="G13" s="49">
        <v>0</v>
      </c>
      <c r="H13" s="20">
        <f>+capitalbkvar!H13</f>
        <v>0</v>
      </c>
      <c r="I13" s="49">
        <v>0</v>
      </c>
      <c r="J13" s="20">
        <f>+capitalbkvar!J13</f>
        <v>16413</v>
      </c>
      <c r="K13" s="52">
        <f t="shared" si="1"/>
        <v>1.3697489202576293E-3</v>
      </c>
      <c r="L13" s="20">
        <f>+capitalbkvar!L13</f>
        <v>24221</v>
      </c>
      <c r="M13" s="52">
        <f t="shared" si="2"/>
        <v>2.3465581907872622E-3</v>
      </c>
      <c r="N13" s="20">
        <f>+capitalbkvar!N13</f>
        <v>15305</v>
      </c>
      <c r="O13" s="52">
        <f t="shared" si="3"/>
        <v>1.6233990082469307E-3</v>
      </c>
      <c r="P13" s="20">
        <f>+capitalbkvar!P13</f>
        <v>25071</v>
      </c>
      <c r="Q13" s="52">
        <f t="shared" si="4"/>
        <v>3.105540821925953E-3</v>
      </c>
    </row>
    <row r="14" spans="1:21">
      <c r="A14" s="10" t="s">
        <v>260</v>
      </c>
      <c r="B14" s="199">
        <f>+capitalbkvar!B14</f>
        <v>120729</v>
      </c>
      <c r="C14" s="294">
        <f t="shared" si="0"/>
        <v>9.802901026662033E-3</v>
      </c>
      <c r="D14" s="199">
        <f>+capitalbkvar!D14</f>
        <v>0</v>
      </c>
      <c r="E14" s="1524">
        <v>0</v>
      </c>
      <c r="F14" s="199">
        <f>+capitalbkvar!F14</f>
        <v>0</v>
      </c>
      <c r="G14" s="1524">
        <v>0</v>
      </c>
      <c r="H14" s="199">
        <f>+capitalbkvar!H14</f>
        <v>0</v>
      </c>
      <c r="I14" s="1524">
        <v>0</v>
      </c>
      <c r="J14" s="199">
        <f>+capitalbkvar!J14</f>
        <v>141939</v>
      </c>
      <c r="K14" s="294">
        <f t="shared" si="1"/>
        <v>1.1845536586391741E-2</v>
      </c>
      <c r="L14" s="199">
        <f>+capitalbkvar!L14</f>
        <v>331133</v>
      </c>
      <c r="M14" s="294">
        <f t="shared" si="2"/>
        <v>3.2080543882992377E-2</v>
      </c>
      <c r="N14" s="199">
        <f>+capitalbkvar!N14</f>
        <v>268085</v>
      </c>
      <c r="O14" s="294">
        <f t="shared" si="3"/>
        <v>2.843573493145236E-2</v>
      </c>
      <c r="P14" s="199">
        <f>+capitalbkvar!P14</f>
        <v>200245</v>
      </c>
      <c r="Q14" s="294">
        <f t="shared" si="4"/>
        <v>2.4804316616272287E-2</v>
      </c>
    </row>
    <row r="15" spans="1:21" ht="15.6" customHeight="1">
      <c r="A15" s="10"/>
      <c r="B15" s="20">
        <f>SUM(B10:B14)</f>
        <v>4901707</v>
      </c>
      <c r="C15" s="52">
        <f t="shared" si="0"/>
        <v>0.39800668093578573</v>
      </c>
      <c r="D15" s="20">
        <f>SUM(D10:D14)</f>
        <v>0</v>
      </c>
      <c r="E15" s="49">
        <v>0</v>
      </c>
      <c r="F15" s="20">
        <f>SUM(F10:F14)</f>
        <v>0</v>
      </c>
      <c r="G15" s="49">
        <v>0</v>
      </c>
      <c r="H15" s="20">
        <f>SUM(H10:H14)</f>
        <v>0</v>
      </c>
      <c r="I15" s="49">
        <v>0</v>
      </c>
      <c r="J15" s="20">
        <f>SUM(J10:J14)</f>
        <v>4709120</v>
      </c>
      <c r="K15" s="52">
        <f t="shared" si="1"/>
        <v>0.39300018493655076</v>
      </c>
      <c r="L15" s="20">
        <f>SUM(L10:L14)</f>
        <v>4258766</v>
      </c>
      <c r="M15" s="52">
        <f t="shared" si="2"/>
        <v>0.41259412245350335</v>
      </c>
      <c r="N15" s="20">
        <f>SUM(N10:N14)</f>
        <v>3945127</v>
      </c>
      <c r="O15" s="52">
        <f t="shared" si="3"/>
        <v>0.41845901726286761</v>
      </c>
      <c r="P15" s="20">
        <f>SUM(P10:P14)</f>
        <v>3570272</v>
      </c>
      <c r="Q15" s="52">
        <f t="shared" si="4"/>
        <v>0.44224903040880764</v>
      </c>
    </row>
    <row r="16" spans="1:21" ht="7.9" customHeight="1">
      <c r="A16" s="10"/>
      <c r="C16" s="52" t="s">
        <v>0</v>
      </c>
      <c r="E16" s="49" t="s">
        <v>0</v>
      </c>
      <c r="G16" s="49" t="s">
        <v>0</v>
      </c>
      <c r="I16" s="49" t="s">
        <v>0</v>
      </c>
      <c r="K16" s="52" t="s">
        <v>0</v>
      </c>
      <c r="M16" s="52" t="s">
        <v>0</v>
      </c>
      <c r="O16" s="52" t="s">
        <v>0</v>
      </c>
      <c r="Q16" s="52" t="s">
        <v>0</v>
      </c>
    </row>
    <row r="17" spans="1:17" ht="15.6" customHeight="1">
      <c r="A17" s="10" t="s">
        <v>261</v>
      </c>
      <c r="B17" s="20">
        <f>+capitalbkvar!B17</f>
        <v>298391</v>
      </c>
      <c r="C17" s="52">
        <f t="shared" ref="C17:C23" si="5">+B17/$B$23</f>
        <v>2.4228623116622442E-2</v>
      </c>
      <c r="D17" s="20">
        <f>+capitalbkvar!D17</f>
        <v>0</v>
      </c>
      <c r="E17" s="49">
        <v>0</v>
      </c>
      <c r="F17" s="20">
        <f>+capitalbkvar!F17</f>
        <v>0</v>
      </c>
      <c r="G17" s="49">
        <v>0</v>
      </c>
      <c r="H17" s="20">
        <f>+capitalbkvar!H17</f>
        <v>0</v>
      </c>
      <c r="I17" s="49">
        <v>0</v>
      </c>
      <c r="J17" s="20">
        <f>+capitalbkvar!J17</f>
        <v>74992</v>
      </c>
      <c r="K17" s="52">
        <f t="shared" ref="K17:K23" si="6">+J17/$J$23</f>
        <v>6.2584665221446494E-3</v>
      </c>
      <c r="L17" s="20">
        <f>+capitalbkvar!L17</f>
        <v>174985</v>
      </c>
      <c r="M17" s="52">
        <f t="shared" ref="M17:M23" si="7">+L17/$L$23</f>
        <v>1.6952746997023618E-2</v>
      </c>
      <c r="N17" s="20">
        <f>+capitalbkvar!N17</f>
        <v>80000</v>
      </c>
      <c r="O17" s="52">
        <f t="shared" ref="O17:O23" si="8">+N17/$N$23</f>
        <v>8.4855877595396562E-3</v>
      </c>
      <c r="P17" s="20">
        <f>+capitalbkvar!P17</f>
        <v>0</v>
      </c>
      <c r="Q17" s="52">
        <f t="shared" si="4"/>
        <v>0</v>
      </c>
    </row>
    <row r="18" spans="1:17" ht="15.6" customHeight="1">
      <c r="A18" s="10" t="s">
        <v>909</v>
      </c>
      <c r="B18" s="20">
        <f>+capitalbkvar!B18</f>
        <v>0</v>
      </c>
      <c r="C18" s="52">
        <v>0</v>
      </c>
      <c r="D18" s="20">
        <v>0</v>
      </c>
      <c r="E18" s="49">
        <v>0</v>
      </c>
      <c r="F18" s="20">
        <v>0</v>
      </c>
      <c r="G18" s="49">
        <v>0</v>
      </c>
      <c r="H18" s="20">
        <v>0</v>
      </c>
      <c r="I18" s="49">
        <v>0</v>
      </c>
      <c r="J18" s="20">
        <v>0</v>
      </c>
      <c r="K18" s="52">
        <v>0</v>
      </c>
      <c r="L18" s="20">
        <v>0</v>
      </c>
      <c r="M18" s="52">
        <v>0</v>
      </c>
      <c r="N18" s="20">
        <v>0</v>
      </c>
      <c r="O18" s="52">
        <v>0</v>
      </c>
      <c r="P18" s="20">
        <v>0</v>
      </c>
      <c r="Q18" s="52">
        <v>0</v>
      </c>
    </row>
    <row r="19" spans="1:17">
      <c r="A19" s="10" t="s">
        <v>262</v>
      </c>
      <c r="B19" s="20">
        <f>+capitalbkvar!B19</f>
        <v>714956</v>
      </c>
      <c r="C19" s="52">
        <f t="shared" si="5"/>
        <v>5.8052687477061687E-2</v>
      </c>
      <c r="D19" s="20">
        <f>+capitalbkvar!D19</f>
        <v>0</v>
      </c>
      <c r="E19" s="49">
        <v>0</v>
      </c>
      <c r="F19" s="20">
        <f>+capitalbkvar!F19</f>
        <v>0</v>
      </c>
      <c r="G19" s="49">
        <v>0</v>
      </c>
      <c r="H19" s="20">
        <f>+capitalbkvar!H19</f>
        <v>0</v>
      </c>
      <c r="I19" s="49">
        <v>0</v>
      </c>
      <c r="J19" s="20">
        <f>+capitalbkvar!J19</f>
        <v>1081518</v>
      </c>
      <c r="K19" s="52">
        <f t="shared" si="6"/>
        <v>9.0258216824419105E-2</v>
      </c>
      <c r="L19" s="20">
        <f>+capitalbkvar!L19</f>
        <v>583114</v>
      </c>
      <c r="M19" s="52">
        <f t="shared" si="7"/>
        <v>5.6492751449681002E-2</v>
      </c>
      <c r="N19" s="20">
        <f>+capitalbkvar!N19</f>
        <v>652046</v>
      </c>
      <c r="O19" s="52">
        <f t="shared" si="8"/>
        <v>6.9162419453209945E-2</v>
      </c>
      <c r="P19" s="20">
        <f>+capitalbkvar!P19</f>
        <v>685989</v>
      </c>
      <c r="Q19" s="52">
        <f t="shared" si="4"/>
        <v>8.4973349403380902E-2</v>
      </c>
    </row>
    <row r="20" spans="1:17">
      <c r="A20" s="10" t="s">
        <v>263</v>
      </c>
      <c r="B20" s="20">
        <f>+capitalbkvar!B20</f>
        <v>5637972</v>
      </c>
      <c r="C20" s="52">
        <f t="shared" si="5"/>
        <v>0.45778960736104662</v>
      </c>
      <c r="D20" s="20">
        <f>+capitalbkvar!D20</f>
        <v>0</v>
      </c>
      <c r="E20" s="49">
        <v>0</v>
      </c>
      <c r="F20" s="20">
        <f>+capitalbkvar!F20</f>
        <v>0</v>
      </c>
      <c r="G20" s="49">
        <v>0</v>
      </c>
      <c r="H20" s="20">
        <f>+capitalbkvar!H20</f>
        <v>0</v>
      </c>
      <c r="I20" s="49">
        <v>0</v>
      </c>
      <c r="J20" s="20">
        <f>+capitalbkvar!J20</f>
        <v>5416947</v>
      </c>
      <c r="K20" s="52">
        <f t="shared" si="6"/>
        <v>0.45207197370028662</v>
      </c>
      <c r="L20" s="20">
        <f>+capitalbkvar!L20</f>
        <v>4719462</v>
      </c>
      <c r="M20" s="52">
        <f t="shared" si="7"/>
        <v>0.45722687800706963</v>
      </c>
      <c r="N20" s="20">
        <f>+capitalbkvar!N20</f>
        <v>4108729</v>
      </c>
      <c r="O20" s="52">
        <f t="shared" si="8"/>
        <v>0.43581225637082016</v>
      </c>
      <c r="P20" s="20">
        <f>+capitalbkvar!P20</f>
        <v>3304691</v>
      </c>
      <c r="Q20" s="52">
        <f t="shared" si="4"/>
        <v>0.40935155376136972</v>
      </c>
    </row>
    <row r="21" spans="1:17">
      <c r="A21" s="10" t="s">
        <v>264</v>
      </c>
      <c r="B21" s="20">
        <f>+capitalbkvar!B21</f>
        <v>293320</v>
      </c>
      <c r="C21" s="52">
        <f t="shared" si="5"/>
        <v>2.3816870256032168E-2</v>
      </c>
      <c r="D21" s="20">
        <f>+capitalbkvar!D21</f>
        <v>0</v>
      </c>
      <c r="E21" s="49">
        <v>0</v>
      </c>
      <c r="F21" s="20">
        <f>+capitalbkvar!F21</f>
        <v>0</v>
      </c>
      <c r="G21" s="49">
        <v>0</v>
      </c>
      <c r="H21" s="20">
        <f>+capitalbkvar!H21</f>
        <v>0</v>
      </c>
      <c r="I21" s="49">
        <v>0</v>
      </c>
      <c r="J21" s="20">
        <f>+capitalbkvar!J21</f>
        <v>297986</v>
      </c>
      <c r="K21" s="52">
        <f t="shared" si="6"/>
        <v>2.4868458036427826E-2</v>
      </c>
      <c r="L21" s="20">
        <f>+capitalbkvar!L21</f>
        <v>302775</v>
      </c>
      <c r="M21" s="52">
        <f t="shared" si="7"/>
        <v>2.9333188399141789E-2</v>
      </c>
      <c r="N21" s="20">
        <f>+capitalbkvar!N21</f>
        <v>296962</v>
      </c>
      <c r="O21" s="52">
        <f t="shared" si="8"/>
        <v>3.1498713903105192E-2</v>
      </c>
      <c r="P21" s="20">
        <f>+capitalbkvar!P21</f>
        <v>245121</v>
      </c>
      <c r="Q21" s="52">
        <f t="shared" si="4"/>
        <v>3.0363099669391391E-2</v>
      </c>
    </row>
    <row r="22" spans="1:17" ht="16.5" thickBot="1">
      <c r="A22" s="10" t="s">
        <v>265</v>
      </c>
      <c r="B22" s="97">
        <f>+capitalbkvar!B22</f>
        <v>469294</v>
      </c>
      <c r="C22" s="295">
        <f t="shared" si="5"/>
        <v>3.8105530853451385E-2</v>
      </c>
      <c r="D22" s="97">
        <f>+capitalbkvar!D22</f>
        <v>0</v>
      </c>
      <c r="E22" s="209">
        <v>0</v>
      </c>
      <c r="F22" s="97">
        <f>+capitalbkvar!F22</f>
        <v>0</v>
      </c>
      <c r="G22" s="209">
        <v>0</v>
      </c>
      <c r="H22" s="97">
        <f>+capitalbkvar!H22</f>
        <v>0</v>
      </c>
      <c r="I22" s="209">
        <v>0</v>
      </c>
      <c r="J22" s="97">
        <f>+capitalbkvar!J22</f>
        <v>401925</v>
      </c>
      <c r="K22" s="295">
        <f t="shared" si="6"/>
        <v>3.3542699980171065E-2</v>
      </c>
      <c r="L22" s="97">
        <f>+capitalbkvar!L22</f>
        <v>282824</v>
      </c>
      <c r="M22" s="295">
        <f t="shared" si="7"/>
        <v>2.7400312693580637E-2</v>
      </c>
      <c r="N22" s="97">
        <f>+capitalbkvar!N22</f>
        <v>344886</v>
      </c>
      <c r="O22" s="295">
        <f t="shared" si="8"/>
        <v>3.6582005250457426E-2</v>
      </c>
      <c r="P22" s="97">
        <f>+capitalbkvar!P22</f>
        <v>266917</v>
      </c>
      <c r="Q22" s="295">
        <f t="shared" si="4"/>
        <v>3.3062966757050359E-2</v>
      </c>
    </row>
    <row r="23" spans="1:17">
      <c r="A23" s="10" t="s">
        <v>54</v>
      </c>
      <c r="B23" s="13">
        <f>SUM(B15:B22)</f>
        <v>12315640</v>
      </c>
      <c r="C23" s="109">
        <f t="shared" si="5"/>
        <v>1</v>
      </c>
      <c r="D23" s="13">
        <f>SUM(D15:D22)</f>
        <v>0</v>
      </c>
      <c r="E23" s="47">
        <v>0</v>
      </c>
      <c r="F23" s="13">
        <f>SUM(F15:F22)</f>
        <v>0</v>
      </c>
      <c r="G23" s="47">
        <v>0</v>
      </c>
      <c r="H23" s="13">
        <f>SUM(H15:H22)</f>
        <v>0</v>
      </c>
      <c r="I23" s="47">
        <v>0</v>
      </c>
      <c r="J23" s="13">
        <f>SUM(J15:J22)</f>
        <v>11982488</v>
      </c>
      <c r="K23" s="52">
        <f t="shared" si="6"/>
        <v>1</v>
      </c>
      <c r="L23" s="13">
        <f>SUM(L15:L22)</f>
        <v>10321926</v>
      </c>
      <c r="M23" s="52">
        <f t="shared" si="7"/>
        <v>1</v>
      </c>
      <c r="N23" s="13">
        <f>SUM(N15:N22)</f>
        <v>9427750</v>
      </c>
      <c r="O23" s="52">
        <f t="shared" si="8"/>
        <v>1</v>
      </c>
      <c r="P23" s="13">
        <f>SUM(P15:P22)</f>
        <v>8072990</v>
      </c>
      <c r="Q23" s="52">
        <f t="shared" si="4"/>
        <v>1</v>
      </c>
    </row>
    <row r="24" spans="1:17" ht="7.9" customHeight="1">
      <c r="A24" s="10"/>
      <c r="C24" s="52" t="s">
        <v>0</v>
      </c>
      <c r="E24" s="49" t="s">
        <v>0</v>
      </c>
      <c r="G24" s="49" t="s">
        <v>0</v>
      </c>
      <c r="I24" s="49" t="s">
        <v>0</v>
      </c>
      <c r="K24" s="52" t="s">
        <v>0</v>
      </c>
      <c r="M24" s="52" t="s">
        <v>0</v>
      </c>
      <c r="O24" s="52" t="s">
        <v>0</v>
      </c>
      <c r="Q24" s="52" t="s">
        <v>0</v>
      </c>
    </row>
    <row r="25" spans="1:17">
      <c r="A25" s="86" t="s">
        <v>266</v>
      </c>
      <c r="C25" s="52" t="s">
        <v>0</v>
      </c>
      <c r="E25" s="49" t="s">
        <v>0</v>
      </c>
      <c r="G25" s="49" t="s">
        <v>0</v>
      </c>
      <c r="I25" s="49" t="s">
        <v>0</v>
      </c>
      <c r="K25" s="52" t="s">
        <v>0</v>
      </c>
      <c r="M25" s="52" t="s">
        <v>0</v>
      </c>
      <c r="O25" s="52" t="s">
        <v>0</v>
      </c>
      <c r="Q25" s="52" t="s">
        <v>0</v>
      </c>
    </row>
    <row r="26" spans="1:17">
      <c r="A26" s="10" t="s">
        <v>267</v>
      </c>
      <c r="C26" s="52" t="s">
        <v>0</v>
      </c>
      <c r="E26" s="49" t="s">
        <v>0</v>
      </c>
      <c r="G26" s="49" t="s">
        <v>0</v>
      </c>
      <c r="I26" s="49" t="s">
        <v>0</v>
      </c>
      <c r="K26" s="52" t="s">
        <v>0</v>
      </c>
      <c r="M26" s="52" t="s">
        <v>0</v>
      </c>
      <c r="O26" s="52" t="s">
        <v>0</v>
      </c>
      <c r="Q26" s="52" t="s">
        <v>0</v>
      </c>
    </row>
    <row r="27" spans="1:17">
      <c r="A27" s="10" t="s">
        <v>268</v>
      </c>
      <c r="B27" s="20">
        <f>+capitalbkvar!B27</f>
        <v>5535253</v>
      </c>
      <c r="C27" s="52">
        <f>+B27/$B$23</f>
        <v>0.4494490745101351</v>
      </c>
      <c r="D27" s="20">
        <f>+capitalbkvar!D27</f>
        <v>0</v>
      </c>
      <c r="E27" s="49">
        <v>0</v>
      </c>
      <c r="F27" s="20">
        <f>+capitalbkvar!F27</f>
        <v>0</v>
      </c>
      <c r="G27" s="49">
        <v>0</v>
      </c>
      <c r="H27" s="20">
        <f>+capitalbkvar!H27</f>
        <v>0</v>
      </c>
      <c r="I27" s="49">
        <v>0</v>
      </c>
      <c r="J27" s="20">
        <f>+capitalbkvar!J27</f>
        <v>5375280</v>
      </c>
      <c r="K27" s="52">
        <f>+J27/$J$23</f>
        <v>0.44859464912462255</v>
      </c>
      <c r="L27" s="20">
        <f>+capitalbkvar!L27</f>
        <v>4446288</v>
      </c>
      <c r="M27" s="52">
        <f>+L27/$L$23</f>
        <v>0.43076146835387119</v>
      </c>
      <c r="N27" s="20">
        <f>+capitalbkvar!N27</f>
        <v>3966588</v>
      </c>
      <c r="O27" s="52">
        <f>+N27/$N$23</f>
        <v>0.42073538224921109</v>
      </c>
      <c r="P27" s="20">
        <f>+capitalbkvar!P27</f>
        <v>3502122</v>
      </c>
      <c r="Q27" s="52">
        <f t="shared" si="4"/>
        <v>0.43380730064077871</v>
      </c>
    </row>
    <row r="28" spans="1:17">
      <c r="A28" s="10" t="s">
        <v>269</v>
      </c>
      <c r="B28" s="20">
        <f>+capitalbkvar!B28</f>
        <v>2676583</v>
      </c>
      <c r="C28" s="52">
        <f>+B28/$B$23</f>
        <v>0.21733202659382703</v>
      </c>
      <c r="D28" s="20">
        <f>+capitalbkvar!D28</f>
        <v>0</v>
      </c>
      <c r="E28" s="49">
        <v>0</v>
      </c>
      <c r="F28" s="20">
        <f>+capitalbkvar!F28</f>
        <v>0</v>
      </c>
      <c r="G28" s="49">
        <v>0</v>
      </c>
      <c r="H28" s="20">
        <f>+capitalbkvar!H28</f>
        <v>0</v>
      </c>
      <c r="I28" s="49">
        <v>0</v>
      </c>
      <c r="J28" s="20">
        <f>+capitalbkvar!J28</f>
        <v>2579050</v>
      </c>
      <c r="K28" s="52">
        <f>+J28/$J$23</f>
        <v>0.21523493284533229</v>
      </c>
      <c r="L28" s="20">
        <f>+capitalbkvar!L28</f>
        <v>2405891</v>
      </c>
      <c r="M28" s="52">
        <f>+L28/$L$23</f>
        <v>0.23308547261431636</v>
      </c>
      <c r="N28" s="20">
        <f>+capitalbkvar!N28</f>
        <v>2387708</v>
      </c>
      <c r="O28" s="52">
        <f>+N28/$N$23</f>
        <v>0.25326382222693644</v>
      </c>
      <c r="P28" s="20">
        <f>+capitalbkvar!P28</f>
        <v>2163229</v>
      </c>
      <c r="Q28" s="52">
        <f t="shared" si="4"/>
        <v>0.26795883557393235</v>
      </c>
    </row>
    <row r="29" spans="1:17">
      <c r="A29" s="10" t="s">
        <v>270</v>
      </c>
      <c r="B29" s="199">
        <f>+capitalbkvar!B29</f>
        <v>2207658</v>
      </c>
      <c r="C29" s="294">
        <f>+B29/$B$23</f>
        <v>0.17925645764247736</v>
      </c>
      <c r="D29" s="199">
        <f>+capitalbkvar!D29</f>
        <v>0</v>
      </c>
      <c r="E29" s="1524">
        <v>0</v>
      </c>
      <c r="F29" s="199">
        <f>+capitalbkvar!F29</f>
        <v>0</v>
      </c>
      <c r="G29" s="1524">
        <v>0</v>
      </c>
      <c r="H29" s="199">
        <f>+capitalbkvar!H29</f>
        <v>0</v>
      </c>
      <c r="I29" s="1524">
        <v>0</v>
      </c>
      <c r="J29" s="199">
        <f>+capitalbkvar!J29</f>
        <v>2191768</v>
      </c>
      <c r="K29" s="294">
        <f>+J29/$J$23</f>
        <v>0.18291426621916917</v>
      </c>
      <c r="L29" s="199">
        <f>+capitalbkvar!L29</f>
        <v>1894697</v>
      </c>
      <c r="M29" s="294">
        <f>+L29/$L$23</f>
        <v>0.18356041304694493</v>
      </c>
      <c r="N29" s="199">
        <f>+capitalbkvar!N29</f>
        <v>1560473</v>
      </c>
      <c r="O29" s="294">
        <f>+N29/$N$23</f>
        <v>0.16551913234865159</v>
      </c>
      <c r="P29" s="199">
        <f>+capitalbkvar!P29</f>
        <v>1256483</v>
      </c>
      <c r="Q29" s="294">
        <f t="shared" ref="Q29:Q45" si="9">+P29/$P$23</f>
        <v>0.15564035134442133</v>
      </c>
    </row>
    <row r="30" spans="1:17">
      <c r="A30" s="10"/>
      <c r="B30" s="20">
        <f>SUM(B27:B29)</f>
        <v>10419494</v>
      </c>
      <c r="C30" s="52">
        <f>+B30/$B$23</f>
        <v>0.84603755874643949</v>
      </c>
      <c r="D30" s="20">
        <f>SUM(D27:D29)</f>
        <v>0</v>
      </c>
      <c r="E30" s="49">
        <v>0</v>
      </c>
      <c r="F30" s="20">
        <f>SUM(F27:F29)</f>
        <v>0</v>
      </c>
      <c r="G30" s="49">
        <v>0</v>
      </c>
      <c r="H30" s="20">
        <f>SUM(H27:H29)</f>
        <v>0</v>
      </c>
      <c r="I30" s="49">
        <v>0</v>
      </c>
      <c r="J30" s="20">
        <f>SUM(J27:J29)</f>
        <v>10146098</v>
      </c>
      <c r="K30" s="52">
        <f>+J30/$J$23</f>
        <v>0.84674384818912396</v>
      </c>
      <c r="L30" s="20">
        <f>SUM(L27:L29)</f>
        <v>8746876</v>
      </c>
      <c r="M30" s="52">
        <f>+L30/$L$23</f>
        <v>0.84740735401513245</v>
      </c>
      <c r="N30" s="20">
        <f>SUM(N27:N29)</f>
        <v>7914769</v>
      </c>
      <c r="O30" s="52">
        <f>+N30/$N$23</f>
        <v>0.83951833682479915</v>
      </c>
      <c r="P30" s="20">
        <f>SUM(P27:P29)</f>
        <v>6921834</v>
      </c>
      <c r="Q30" s="52">
        <f t="shared" si="9"/>
        <v>0.8574064875591324</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+capitalbkvar!B33</f>
        <v>0</v>
      </c>
      <c r="C33" s="52">
        <f>+B33/$B$23</f>
        <v>0</v>
      </c>
      <c r="D33" s="20">
        <f>+capitalbkvar!D33</f>
        <v>0</v>
      </c>
      <c r="E33" s="49">
        <v>0</v>
      </c>
      <c r="F33" s="20">
        <f>+capitalbkvar!F33</f>
        <v>0</v>
      </c>
      <c r="G33" s="49">
        <v>0</v>
      </c>
      <c r="H33" s="20">
        <f>+capitalbkvar!H33</f>
        <v>0</v>
      </c>
      <c r="I33" s="49">
        <v>0</v>
      </c>
      <c r="J33" s="20">
        <f>+capitalbkvar!J33</f>
        <v>0</v>
      </c>
      <c r="K33" s="52">
        <f>+J33/$J$23</f>
        <v>0</v>
      </c>
      <c r="L33" s="20">
        <f>+capitalbkvar!L33</f>
        <v>0</v>
      </c>
      <c r="M33" s="52">
        <f>+L33/$L$23</f>
        <v>0</v>
      </c>
      <c r="N33" s="20">
        <f>+capitalbkvar!N33</f>
        <v>0</v>
      </c>
      <c r="O33" s="52">
        <f>+N33/$N$23</f>
        <v>0</v>
      </c>
      <c r="P33" s="20">
        <f>+capitalbkvar!P33</f>
        <v>0</v>
      </c>
      <c r="Q33" s="52">
        <f t="shared" si="9"/>
        <v>0</v>
      </c>
    </row>
    <row r="34" spans="1:21">
      <c r="A34" s="10" t="s">
        <v>273</v>
      </c>
      <c r="B34" s="20">
        <f>+capitalbkvar!B34</f>
        <v>0</v>
      </c>
      <c r="C34" s="52">
        <f>+B34/$B$23</f>
        <v>0</v>
      </c>
      <c r="D34" s="20">
        <f>+capitalbkvar!D34</f>
        <v>0</v>
      </c>
      <c r="E34" s="49">
        <v>0</v>
      </c>
      <c r="F34" s="20">
        <f>+capitalbkvar!F34</f>
        <v>0</v>
      </c>
      <c r="G34" s="49">
        <v>0</v>
      </c>
      <c r="H34" s="20">
        <f>+capitalbkvar!H34</f>
        <v>0</v>
      </c>
      <c r="I34" s="49">
        <v>0</v>
      </c>
      <c r="J34" s="20">
        <f>+capitalbkvar!J34</f>
        <v>0</v>
      </c>
      <c r="K34" s="52">
        <f>+J34/$J$23</f>
        <v>0</v>
      </c>
      <c r="L34" s="20">
        <f>+capitalbkvar!L34</f>
        <v>0</v>
      </c>
      <c r="M34" s="52">
        <f>+L34/$L$23</f>
        <v>0</v>
      </c>
      <c r="N34" s="20">
        <f>+capitalbkvar!N34</f>
        <v>0</v>
      </c>
      <c r="O34" s="52">
        <f>+N34/$N$23</f>
        <v>0</v>
      </c>
      <c r="P34" s="20">
        <f>+capitalbkvar!P34</f>
        <v>0</v>
      </c>
      <c r="Q34" s="52">
        <f t="shared" si="9"/>
        <v>0</v>
      </c>
    </row>
    <row r="35" spans="1:21" ht="18">
      <c r="A35" s="10" t="s">
        <v>274</v>
      </c>
      <c r="B35" s="199">
        <f>+capitalbkvar!B35</f>
        <v>334252</v>
      </c>
      <c r="C35" s="294">
        <f>+B35/$B$23</f>
        <v>2.714044905502272E-2</v>
      </c>
      <c r="D35" s="199">
        <f>+capitalbkvar!D35</f>
        <v>0</v>
      </c>
      <c r="E35" s="1524">
        <v>0</v>
      </c>
      <c r="F35" s="199">
        <f>+capitalbkvar!F35</f>
        <v>0</v>
      </c>
      <c r="G35" s="1524">
        <v>0</v>
      </c>
      <c r="H35" s="199">
        <f>+capitalbkvar!H35</f>
        <v>0</v>
      </c>
      <c r="I35" s="1524">
        <v>0</v>
      </c>
      <c r="J35" s="199">
        <f>+capitalbkvar!J35</f>
        <v>313866</v>
      </c>
      <c r="K35" s="294">
        <f>+J35/$J$23</f>
        <v>2.6193725376566203E-2</v>
      </c>
      <c r="L35" s="199">
        <f>+capitalbkvar!L35</f>
        <v>348826</v>
      </c>
      <c r="M35" s="294">
        <f>+L35/$L$23</f>
        <v>3.3794661965218506E-2</v>
      </c>
      <c r="N35" s="199">
        <f>+capitalbkvar!N35</f>
        <v>268674</v>
      </c>
      <c r="O35" s="294">
        <f>+N35/$N$23</f>
        <v>2.8498210071331971E-2</v>
      </c>
      <c r="P35" s="199">
        <f>+capitalbkvar!P35</f>
        <v>228641</v>
      </c>
      <c r="Q35" s="294">
        <f t="shared" si="9"/>
        <v>2.8321724664591433E-2</v>
      </c>
      <c r="R35" s="14"/>
      <c r="S35" s="15"/>
      <c r="T35" s="15"/>
      <c r="U35" s="15"/>
    </row>
    <row r="36" spans="1:21">
      <c r="A36" s="10"/>
      <c r="B36" s="20">
        <f>SUM(B33:B35)</f>
        <v>334252</v>
      </c>
      <c r="C36" s="52">
        <f>+B36/$B$23</f>
        <v>2.714044905502272E-2</v>
      </c>
      <c r="D36" s="20">
        <f>SUM(D33:D35)</f>
        <v>0</v>
      </c>
      <c r="E36" s="49">
        <v>0</v>
      </c>
      <c r="F36" s="20">
        <f>SUM(F33:F35)</f>
        <v>0</v>
      </c>
      <c r="G36" s="49">
        <v>0</v>
      </c>
      <c r="H36" s="20">
        <f>SUM(H33:H35)</f>
        <v>0</v>
      </c>
      <c r="I36" s="49">
        <v>0</v>
      </c>
      <c r="J36" s="20">
        <f>SUM(J33:J35)</f>
        <v>313866</v>
      </c>
      <c r="K36" s="52">
        <f>+J36/$J$23</f>
        <v>2.6193725376566203E-2</v>
      </c>
      <c r="L36" s="20">
        <f>SUM(L33:L35)</f>
        <v>348826</v>
      </c>
      <c r="M36" s="52">
        <f>+L36/$L$23</f>
        <v>3.3794661965218506E-2</v>
      </c>
      <c r="N36" s="20">
        <f>SUM(N33:N35)</f>
        <v>268674</v>
      </c>
      <c r="O36" s="52">
        <f>+N36/$N$23</f>
        <v>2.8498210071331971E-2</v>
      </c>
      <c r="P36" s="20">
        <f>SUM(P33:P35)</f>
        <v>228641</v>
      </c>
      <c r="Q36" s="52">
        <f t="shared" si="9"/>
        <v>2.8321724664591433E-2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+capitalbkvar!B39</f>
        <v>0</v>
      </c>
      <c r="C39" s="52">
        <f>+B39/$B$23</f>
        <v>0</v>
      </c>
      <c r="D39" s="20">
        <f>+capitalbkvar!D39</f>
        <v>0</v>
      </c>
      <c r="E39" s="49">
        <v>0</v>
      </c>
      <c r="F39" s="20">
        <f>+capitalbkvar!F39</f>
        <v>0</v>
      </c>
      <c r="G39" s="49">
        <v>0</v>
      </c>
      <c r="H39" s="20">
        <f>+capitalbkvar!H39</f>
        <v>0</v>
      </c>
      <c r="I39" s="49">
        <v>0</v>
      </c>
      <c r="J39" s="20">
        <f>+capitalbkvar!J39</f>
        <v>0</v>
      </c>
      <c r="K39" s="52">
        <f>+J39/$J$23</f>
        <v>0</v>
      </c>
      <c r="L39" s="20">
        <f>+capitalbkvar!L39</f>
        <v>0</v>
      </c>
      <c r="M39" s="52">
        <f>+L39/$L$23</f>
        <v>0</v>
      </c>
      <c r="N39" s="20">
        <f>+capitalbkvar!N39</f>
        <v>0</v>
      </c>
      <c r="O39" s="52">
        <f>+N39/$N$23</f>
        <v>0</v>
      </c>
      <c r="P39" s="20">
        <f>+capitalbkvar!P39</f>
        <v>0</v>
      </c>
      <c r="Q39" s="52">
        <f t="shared" si="9"/>
        <v>0</v>
      </c>
    </row>
    <row r="40" spans="1:21">
      <c r="A40" s="10" t="s">
        <v>276</v>
      </c>
      <c r="B40" s="20">
        <f>+capitalbkvar!B40</f>
        <v>0</v>
      </c>
      <c r="C40" s="52">
        <f>+B40/$B$23</f>
        <v>0</v>
      </c>
      <c r="D40" s="20">
        <f>+capitalbkvar!D40</f>
        <v>0</v>
      </c>
      <c r="E40" s="49">
        <v>0</v>
      </c>
      <c r="F40" s="20">
        <f>+capitalbkvar!F40</f>
        <v>0</v>
      </c>
      <c r="G40" s="49">
        <v>0</v>
      </c>
      <c r="H40" s="20">
        <f>+capitalbkvar!H40</f>
        <v>0</v>
      </c>
      <c r="I40" s="49">
        <v>0</v>
      </c>
      <c r="J40" s="20">
        <f>+capitalbkvar!J40</f>
        <v>0</v>
      </c>
      <c r="K40" s="52">
        <f>+J40/$J$23</f>
        <v>0</v>
      </c>
      <c r="L40" s="20">
        <f>+capitalbkvar!L40</f>
        <v>0</v>
      </c>
      <c r="M40" s="52">
        <f>+L40/$L$23</f>
        <v>0</v>
      </c>
      <c r="N40" s="20">
        <f>+capitalbkvar!N40</f>
        <v>0</v>
      </c>
      <c r="O40" s="52">
        <f>+N40/$N$23</f>
        <v>0</v>
      </c>
      <c r="P40" s="20">
        <f>+capitalbkvar!P40</f>
        <v>0</v>
      </c>
      <c r="Q40" s="52">
        <f t="shared" si="9"/>
        <v>0</v>
      </c>
    </row>
    <row r="41" spans="1:21">
      <c r="A41" s="10" t="s">
        <v>274</v>
      </c>
      <c r="B41" s="199">
        <f>+capitalbkvar!B41</f>
        <v>60293</v>
      </c>
      <c r="C41" s="294">
        <f>+B41/$B$23</f>
        <v>4.8956448873140167E-3</v>
      </c>
      <c r="D41" s="199">
        <f>+capitalbkvar!D41</f>
        <v>0</v>
      </c>
      <c r="E41" s="1524">
        <v>0</v>
      </c>
      <c r="F41" s="199">
        <f>+capitalbkvar!F41</f>
        <v>0</v>
      </c>
      <c r="G41" s="1524">
        <v>0</v>
      </c>
      <c r="H41" s="199">
        <f>+capitalbkvar!H41</f>
        <v>0</v>
      </c>
      <c r="I41" s="1524">
        <v>0</v>
      </c>
      <c r="J41" s="199">
        <f>+capitalbkvar!J41</f>
        <v>88007</v>
      </c>
      <c r="K41" s="294">
        <f>+J41/$J$23</f>
        <v>7.3446349372517624E-3</v>
      </c>
      <c r="L41" s="199">
        <f>+capitalbkvar!L41</f>
        <v>53979</v>
      </c>
      <c r="M41" s="294">
        <f>+L41/$L$23</f>
        <v>5.2295472763513318E-3</v>
      </c>
      <c r="N41" s="199">
        <f>+capitalbkvar!N41</f>
        <v>255237</v>
      </c>
      <c r="O41" s="294">
        <f>+N41/$N$23</f>
        <v>2.7072949537270293E-2</v>
      </c>
      <c r="P41" s="199">
        <f>+capitalbkvar!P41</f>
        <v>37442</v>
      </c>
      <c r="Q41" s="294">
        <f t="shared" si="9"/>
        <v>4.6379346437936874E-3</v>
      </c>
    </row>
    <row r="42" spans="1:21">
      <c r="A42" s="10"/>
      <c r="B42" s="20">
        <f>SUM(B39:B41)</f>
        <v>60293</v>
      </c>
      <c r="C42" s="52">
        <f>+B42/$B$23</f>
        <v>4.8956448873140167E-3</v>
      </c>
      <c r="D42" s="20">
        <f>SUM(D39:D41)</f>
        <v>0</v>
      </c>
      <c r="E42" s="49">
        <v>0</v>
      </c>
      <c r="F42" s="20">
        <f>SUM(F39:F41)</f>
        <v>0</v>
      </c>
      <c r="G42" s="49">
        <v>0</v>
      </c>
      <c r="H42" s="20">
        <f>SUM(H39:H41)</f>
        <v>0</v>
      </c>
      <c r="I42" s="49">
        <v>0</v>
      </c>
      <c r="J42" s="20">
        <f>SUM(J39:J41)</f>
        <v>88007</v>
      </c>
      <c r="K42" s="52">
        <f>+J42/$J$23</f>
        <v>7.3446349372517624E-3</v>
      </c>
      <c r="L42" s="20">
        <f>SUM(L39:L41)</f>
        <v>53979</v>
      </c>
      <c r="M42" s="52">
        <f>+L42/$L$23</f>
        <v>5.2295472763513318E-3</v>
      </c>
      <c r="N42" s="20">
        <f>SUM(N39:N41)</f>
        <v>255237</v>
      </c>
      <c r="O42" s="52">
        <f>+N42/$N$23</f>
        <v>2.7072949537270293E-2</v>
      </c>
      <c r="P42" s="20">
        <f>SUM(P39:P41)</f>
        <v>37442</v>
      </c>
      <c r="Q42" s="52">
        <f t="shared" si="9"/>
        <v>4.6379346437936874E-3</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+capitalbkvar!B44</f>
        <v>427259</v>
      </c>
      <c r="C44" s="294">
        <f>+B44/$B$23</f>
        <v>3.4692391138422367E-2</v>
      </c>
      <c r="D44" s="199">
        <f>+capitalbkvar!D44</f>
        <v>0</v>
      </c>
      <c r="E44" s="1524">
        <v>0</v>
      </c>
      <c r="F44" s="199">
        <f>+capitalbkvar!F44</f>
        <v>0</v>
      </c>
      <c r="G44" s="1524">
        <v>0</v>
      </c>
      <c r="H44" s="199">
        <f>+capitalbkvar!H44</f>
        <v>0</v>
      </c>
      <c r="I44" s="1524">
        <v>0</v>
      </c>
      <c r="J44" s="199">
        <f>+capitalbkvar!J44</f>
        <v>425327</v>
      </c>
      <c r="K44" s="294">
        <f>+J44/$J$23</f>
        <v>3.5495716749309493E-2</v>
      </c>
      <c r="L44" s="199">
        <f>+capitalbkvar!L44</f>
        <v>299498</v>
      </c>
      <c r="M44" s="294">
        <f>+L44/$L$23</f>
        <v>2.9015708889988168E-2</v>
      </c>
      <c r="N44" s="199">
        <f>+capitalbkvar!N44</f>
        <v>241876</v>
      </c>
      <c r="O44" s="294">
        <f>+N44/$N$23</f>
        <v>2.5655750311580176E-2</v>
      </c>
      <c r="P44" s="199">
        <f>+capitalbkvar!P44</f>
        <v>256606</v>
      </c>
      <c r="Q44" s="294">
        <f t="shared" si="9"/>
        <v>3.1785744810782619E-2</v>
      </c>
      <c r="R44" s="14"/>
    </row>
    <row r="45" spans="1:21">
      <c r="A45" s="10"/>
      <c r="B45" s="20">
        <f>+B30+B36+B42+B44</f>
        <v>11241298</v>
      </c>
      <c r="C45" s="52">
        <f>+B45/$B$23</f>
        <v>0.91276604382719861</v>
      </c>
      <c r="D45" s="20">
        <f>+D30+D36+D42+D44</f>
        <v>0</v>
      </c>
      <c r="E45" s="49">
        <v>0</v>
      </c>
      <c r="F45" s="20">
        <f>+F30+F36+F42+F44</f>
        <v>0</v>
      </c>
      <c r="G45" s="49">
        <v>0</v>
      </c>
      <c r="H45" s="20">
        <f>+H30+H36+H42+H44</f>
        <v>0</v>
      </c>
      <c r="I45" s="49">
        <v>0</v>
      </c>
      <c r="J45" s="20">
        <f>+J30+J36+J42+J44</f>
        <v>10973298</v>
      </c>
      <c r="K45" s="52">
        <f>+J45/$J$23</f>
        <v>0.91577792525225143</v>
      </c>
      <c r="L45" s="20">
        <f>+L30+L36+L42+L44</f>
        <v>9449179</v>
      </c>
      <c r="M45" s="52">
        <f>+L45/$L$23</f>
        <v>0.91544727214669042</v>
      </c>
      <c r="N45" s="20">
        <f>+N30+N36+N42+N44</f>
        <v>8680556</v>
      </c>
      <c r="O45" s="52">
        <f>+N45/$N$23</f>
        <v>0.92074524674498159</v>
      </c>
      <c r="P45" s="20">
        <f>+P30+P36+P42+P44</f>
        <v>7444523</v>
      </c>
      <c r="Q45" s="52">
        <f t="shared" si="9"/>
        <v>0.92215189167830014</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+capitalbkvar!B48</f>
        <v>270000</v>
      </c>
      <c r="C48" s="52">
        <f t="shared" ref="C48:C53" si="10">+B48/$B$23</f>
        <v>2.1923343001256937E-2</v>
      </c>
      <c r="D48" s="20">
        <f>+capitalbkvar!D48</f>
        <v>0</v>
      </c>
      <c r="E48" s="49">
        <v>0</v>
      </c>
      <c r="F48" s="20">
        <f>+capitalbkvar!F48</f>
        <v>0</v>
      </c>
      <c r="G48" s="49">
        <v>0</v>
      </c>
      <c r="H48" s="20">
        <f>+capitalbkvar!H48</f>
        <v>0</v>
      </c>
      <c r="I48" s="49">
        <v>0</v>
      </c>
      <c r="J48" s="20">
        <f>+capitalbkvar!J48</f>
        <v>270000</v>
      </c>
      <c r="K48" s="52">
        <f t="shared" ref="K48:K53" si="11">+J48/$J$23</f>
        <v>2.2532882987239378E-2</v>
      </c>
      <c r="L48" s="20">
        <f>+capitalbkvar!L48</f>
        <v>270000</v>
      </c>
      <c r="M48" s="52">
        <f t="shared" ref="M48:M53" si="12">+L48/$L$23</f>
        <v>2.6157908901885171E-2</v>
      </c>
      <c r="N48" s="20">
        <f>+capitalbkvar!N48</f>
        <v>270000</v>
      </c>
      <c r="O48" s="52">
        <f t="shared" ref="O48:O53" si="13">+N48/$N$23</f>
        <v>2.8638858688446341E-2</v>
      </c>
      <c r="P48" s="20">
        <f>+capitalbkvar!P48</f>
        <v>270000</v>
      </c>
      <c r="Q48" s="52">
        <f t="shared" ref="Q48:Q53" si="14">+P48/$P$23</f>
        <v>3.3444857481552681E-2</v>
      </c>
    </row>
    <row r="49" spans="1:21">
      <c r="A49" s="10" t="s">
        <v>280</v>
      </c>
      <c r="B49" s="20">
        <f>+capitalbkvar!B49</f>
        <v>206958</v>
      </c>
      <c r="C49" s="52">
        <f t="shared" si="10"/>
        <v>1.6804486003163456E-2</v>
      </c>
      <c r="D49" s="20">
        <f>+capitalbkvar!D49</f>
        <v>0</v>
      </c>
      <c r="E49" s="49">
        <v>0</v>
      </c>
      <c r="F49" s="20">
        <f>+capitalbkvar!F49</f>
        <v>0</v>
      </c>
      <c r="G49" s="49">
        <v>0</v>
      </c>
      <c r="H49" s="20">
        <f>+capitalbkvar!H49</f>
        <v>0</v>
      </c>
      <c r="I49" s="49">
        <v>0</v>
      </c>
      <c r="J49" s="20">
        <f>+capitalbkvar!J49</f>
        <v>204148</v>
      </c>
      <c r="K49" s="52">
        <f t="shared" si="11"/>
        <v>1.7037196281773869E-2</v>
      </c>
      <c r="L49" s="20">
        <f>+capitalbkvar!L49</f>
        <v>171108</v>
      </c>
      <c r="M49" s="52">
        <f t="shared" si="12"/>
        <v>1.6577138801421362E-2</v>
      </c>
      <c r="N49" s="20">
        <f>+capitalbkvar!N49</f>
        <v>147921</v>
      </c>
      <c r="O49" s="52">
        <f t="shared" si="13"/>
        <v>1.568995783723582E-2</v>
      </c>
      <c r="P49" s="20">
        <f>+capitalbkvar!P49</f>
        <v>117270</v>
      </c>
      <c r="Q49" s="52">
        <f t="shared" si="14"/>
        <v>1.452621643282105E-2</v>
      </c>
    </row>
    <row r="50" spans="1:21">
      <c r="A50" s="10" t="s">
        <v>290</v>
      </c>
      <c r="B50" s="20">
        <f>+capitalbkvar!B50</f>
        <v>1384</v>
      </c>
      <c r="C50" s="52">
        <f t="shared" si="10"/>
        <v>1.1237743227310964E-4</v>
      </c>
      <c r="D50" s="20">
        <f>+capitalbkvar!D50</f>
        <v>0</v>
      </c>
      <c r="E50" s="49">
        <v>0</v>
      </c>
      <c r="F50" s="20">
        <f>+capitalbkvar!F50</f>
        <v>0</v>
      </c>
      <c r="G50" s="49">
        <v>0</v>
      </c>
      <c r="H50" s="20">
        <f>+capitalbkvar!H50</f>
        <v>0</v>
      </c>
      <c r="I50" s="49">
        <v>0</v>
      </c>
      <c r="J50" s="20">
        <f>+capitalbkvar!J50</f>
        <v>1384</v>
      </c>
      <c r="K50" s="52">
        <f t="shared" si="11"/>
        <v>1.1550188909014556E-4</v>
      </c>
      <c r="L50" s="20">
        <f>+capitalbkvar!L50</f>
        <v>1387</v>
      </c>
      <c r="M50" s="52">
        <f t="shared" si="12"/>
        <v>1.3437414684042495E-4</v>
      </c>
      <c r="N50" s="20">
        <f>+capitalbkvar!N50</f>
        <v>1387</v>
      </c>
      <c r="O50" s="52">
        <f t="shared" si="13"/>
        <v>1.4711887778101881E-4</v>
      </c>
      <c r="P50" s="20">
        <f>+capitalbkvar!P50</f>
        <v>1387</v>
      </c>
      <c r="Q50" s="52">
        <f t="shared" si="14"/>
        <v>1.7180747158116139E-4</v>
      </c>
    </row>
    <row r="51" spans="1:21" ht="18">
      <c r="A51" s="10" t="s">
        <v>282</v>
      </c>
      <c r="B51" s="199">
        <f>+capitalbkvar!B51</f>
        <v>596000</v>
      </c>
      <c r="C51" s="294">
        <f t="shared" si="10"/>
        <v>4.8393749736107911E-2</v>
      </c>
      <c r="D51" s="199">
        <f>+capitalbkvar!D51</f>
        <v>0</v>
      </c>
      <c r="E51" s="49">
        <v>0</v>
      </c>
      <c r="F51" s="199">
        <f>+capitalbkvar!F51</f>
        <v>0</v>
      </c>
      <c r="G51" s="49">
        <v>0</v>
      </c>
      <c r="H51" s="199">
        <f>+capitalbkvar!H51</f>
        <v>0</v>
      </c>
      <c r="I51" s="49">
        <v>0</v>
      </c>
      <c r="J51" s="199">
        <f>+capitalbkvar!J51</f>
        <v>533658</v>
      </c>
      <c r="K51" s="294">
        <f t="shared" si="11"/>
        <v>4.4536493589645156E-2</v>
      </c>
      <c r="L51" s="199">
        <f>+capitalbkvar!L51</f>
        <v>430252</v>
      </c>
      <c r="M51" s="294">
        <f t="shared" si="12"/>
        <v>4.1683306003162585E-2</v>
      </c>
      <c r="N51" s="199">
        <f>+capitalbkvar!N51</f>
        <v>327886</v>
      </c>
      <c r="O51" s="294">
        <f t="shared" si="13"/>
        <v>3.4778817851555247E-2</v>
      </c>
      <c r="P51" s="199">
        <f>+capitalbkvar!P51</f>
        <v>239810</v>
      </c>
      <c r="Q51" s="294">
        <f t="shared" si="14"/>
        <v>2.9705226935744997E-2</v>
      </c>
      <c r="R51" s="14"/>
      <c r="S51" s="15"/>
      <c r="T51" s="15"/>
      <c r="U51" s="15"/>
    </row>
    <row r="52" spans="1:21" ht="16.5" thickBot="1">
      <c r="A52" s="10" t="s">
        <v>54</v>
      </c>
      <c r="B52" s="79">
        <f>SUM(B48:B51)</f>
        <v>1074342</v>
      </c>
      <c r="C52" s="208">
        <f t="shared" si="10"/>
        <v>8.7233956172801413E-2</v>
      </c>
      <c r="D52" s="79">
        <f>SUM(D48:D51)</f>
        <v>0</v>
      </c>
      <c r="E52" s="1525">
        <v>0</v>
      </c>
      <c r="F52" s="79">
        <f>SUM(F48:F51)</f>
        <v>0</v>
      </c>
      <c r="G52" s="1525">
        <v>0</v>
      </c>
      <c r="H52" s="79">
        <f>SUM(H48:H51)</f>
        <v>0</v>
      </c>
      <c r="I52" s="1525">
        <v>0</v>
      </c>
      <c r="J52" s="79">
        <f>SUM(J48:J51)</f>
        <v>1009190</v>
      </c>
      <c r="K52" s="208">
        <f t="shared" si="11"/>
        <v>8.4222074747748552E-2</v>
      </c>
      <c r="L52" s="79">
        <f>SUM(L48:L51)</f>
        <v>872747</v>
      </c>
      <c r="M52" s="208">
        <f t="shared" si="12"/>
        <v>8.4552727853309542E-2</v>
      </c>
      <c r="N52" s="79">
        <f>SUM(N48:N51)</f>
        <v>747194</v>
      </c>
      <c r="O52" s="208">
        <f t="shared" si="13"/>
        <v>7.9254753255018434E-2</v>
      </c>
      <c r="P52" s="79">
        <f>SUM(P48:P51)</f>
        <v>628467</v>
      </c>
      <c r="Q52" s="208">
        <f t="shared" si="14"/>
        <v>7.7848108321699888E-2</v>
      </c>
    </row>
    <row r="53" spans="1:21">
      <c r="A53" s="10" t="s">
        <v>0</v>
      </c>
      <c r="B53" s="13">
        <f>+B30+B36+B42+B44+B52</f>
        <v>12315640</v>
      </c>
      <c r="C53" s="109">
        <f t="shared" si="10"/>
        <v>1</v>
      </c>
      <c r="D53" s="13">
        <f>+D30+D36+D42+D44+D52</f>
        <v>0</v>
      </c>
      <c r="E53" s="47">
        <v>0</v>
      </c>
      <c r="F53" s="13">
        <f>+F30+F36+F42+F44+F52</f>
        <v>0</v>
      </c>
      <c r="G53" s="47">
        <v>0</v>
      </c>
      <c r="H53" s="13">
        <f>+H30+H36+H42+H44+H52</f>
        <v>0</v>
      </c>
      <c r="I53" s="47">
        <v>0</v>
      </c>
      <c r="J53" s="13">
        <f>+J30+J36+J42+J44+J52</f>
        <v>11982488</v>
      </c>
      <c r="K53" s="52">
        <f t="shared" si="11"/>
        <v>1</v>
      </c>
      <c r="L53" s="13">
        <f>+L30+L36+L42+L44+L52</f>
        <v>10321926</v>
      </c>
      <c r="M53" s="52">
        <f t="shared" si="12"/>
        <v>1</v>
      </c>
      <c r="N53" s="13">
        <f>+N30+N36+N42+N44+N52</f>
        <v>9427750</v>
      </c>
      <c r="O53" s="52">
        <f t="shared" si="13"/>
        <v>1</v>
      </c>
      <c r="P53" s="13">
        <f>+P30+P36+P42+P44+P52</f>
        <v>8072990</v>
      </c>
      <c r="Q53" s="52">
        <f t="shared" si="14"/>
        <v>1</v>
      </c>
    </row>
    <row r="54" spans="1:21">
      <c r="A54" t="s">
        <v>0</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row r="157" spans="2:18">
      <c r="B157"/>
      <c r="C157"/>
      <c r="D157"/>
      <c r="E157"/>
      <c r="F157"/>
      <c r="G157"/>
      <c r="H157"/>
      <c r="I157"/>
      <c r="J157"/>
      <c r="K157"/>
      <c r="L157"/>
      <c r="M157"/>
      <c r="N157"/>
      <c r="O157"/>
      <c r="P157"/>
      <c r="Q157"/>
      <c r="R157"/>
    </row>
  </sheetData>
  <phoneticPr fontId="0" type="noConversion"/>
  <pageMargins left="0.2" right="0.2" top="0.5" bottom="0.59" header="0.28999999999999998" footer="0.32"/>
  <pageSetup scale="53" orientation="landscape" r:id="rId1"/>
  <headerFooter alignWithMargins="0">
    <oddFooter>&amp;R&amp;P</oddFooter>
  </headerFooter>
</worksheet>
</file>

<file path=xl/worksheets/sheet87.xml><?xml version="1.0" encoding="utf-8"?>
<worksheet xmlns="http://schemas.openxmlformats.org/spreadsheetml/2006/main" xmlns:r="http://schemas.openxmlformats.org/officeDocument/2006/relationships">
  <sheetPr>
    <pageSetUpPr fitToPage="1"/>
  </sheetPr>
  <dimension ref="A1:O172"/>
  <sheetViews>
    <sheetView topLeftCell="A6" workbookViewId="0">
      <pane xSplit="1" ySplit="3" topLeftCell="B9" activePane="bottomRight" state="frozen"/>
      <selection activeCell="A39" sqref="A39:K39"/>
      <selection pane="topRight" activeCell="A39" sqref="A39:K39"/>
      <selection pane="bottomLeft" activeCell="A39" sqref="A39:K39"/>
      <selection pane="bottomRight" activeCell="B10" sqref="B10"/>
    </sheetView>
  </sheetViews>
  <sheetFormatPr baseColWidth="10" defaultColWidth="9" defaultRowHeight="15.75"/>
  <cols>
    <col min="1" max="1" width="33.25" customWidth="1"/>
    <col min="2" max="2" width="17.875" style="20" customWidth="1"/>
    <col min="3" max="3" width="15.75" style="21" customWidth="1"/>
    <col min="4" max="4" width="15.75" style="20" customWidth="1"/>
    <col min="5" max="5" width="14.5" style="21" customWidth="1"/>
    <col min="6" max="6" width="10" style="20" customWidth="1"/>
    <col min="7" max="7" width="9" style="21"/>
    <col min="8" max="8" width="17.875" style="20" customWidth="1"/>
    <col min="9" max="9" width="15.75" style="20" customWidth="1"/>
    <col min="10" max="10" width="15.75" style="21" customWidth="1"/>
    <col min="11" max="11" width="14.5" style="20" customWidth="1"/>
    <col min="12" max="12" width="15.75" style="20" customWidth="1"/>
    <col min="13" max="15" width="15.75" customWidth="1"/>
  </cols>
  <sheetData>
    <row r="1" spans="1:15">
      <c r="A1" s="111" t="s">
        <v>402</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193"/>
      <c r="D6" s="194"/>
    </row>
    <row r="7" spans="1:15" ht="16.5" thickBot="1">
      <c r="B7" s="367" t="str">
        <f>+'buhgdes&amp;$'!B7</f>
        <v>Décembre 14</v>
      </c>
      <c r="C7" s="43"/>
      <c r="D7" s="42"/>
      <c r="E7" s="43"/>
      <c r="H7" s="367" t="str">
        <f>+'buhgdes&amp;$'!H7</f>
        <v>Septembre 14</v>
      </c>
      <c r="I7" s="193"/>
      <c r="J7" s="194"/>
      <c r="K7" s="42"/>
    </row>
    <row r="8" spans="1:15" ht="16.5" thickTop="1">
      <c r="A8" s="86" t="s">
        <v>244</v>
      </c>
      <c r="B8" s="348" t="s">
        <v>297</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t="s">
        <v>0</v>
      </c>
      <c r="C9" s="122"/>
      <c r="D9" s="322"/>
      <c r="E9" s="328" t="s">
        <v>0</v>
      </c>
      <c r="H9" s="128"/>
      <c r="I9" s="81"/>
      <c r="J9" s="326" t="s">
        <v>0</v>
      </c>
      <c r="K9" s="328" t="s">
        <v>0</v>
      </c>
    </row>
    <row r="10" spans="1:15">
      <c r="A10" s="10" t="s">
        <v>256</v>
      </c>
      <c r="B10" s="124">
        <v>167986</v>
      </c>
      <c r="C10" s="91">
        <v>211230</v>
      </c>
      <c r="D10" s="323">
        <f t="shared" ref="D10:D15" si="0">SUM(B10:C10)</f>
        <v>379216</v>
      </c>
      <c r="E10" s="329">
        <f t="shared" ref="E10:E15" si="1">+B10/D10</f>
        <v>0.44298236361334964</v>
      </c>
      <c r="F10" s="87" t="s">
        <v>0</v>
      </c>
      <c r="G10" s="98" t="s">
        <v>0</v>
      </c>
      <c r="H10" s="124">
        <v>101957</v>
      </c>
      <c r="I10" s="91">
        <v>160059</v>
      </c>
      <c r="J10" s="323">
        <f t="shared" ref="J10:J15" si="2">SUM(H10:I10)</f>
        <v>262016</v>
      </c>
      <c r="K10" s="329">
        <f t="shared" ref="K10:K15" si="3">+H10/J10</f>
        <v>0.38912509159745967</v>
      </c>
    </row>
    <row r="11" spans="1:15">
      <c r="A11" s="10" t="s">
        <v>257</v>
      </c>
      <c r="B11" s="124">
        <v>2617709</v>
      </c>
      <c r="C11" s="91">
        <v>1051380</v>
      </c>
      <c r="D11" s="323">
        <f t="shared" si="0"/>
        <v>3669089</v>
      </c>
      <c r="E11" s="329">
        <f t="shared" si="1"/>
        <v>0.7134493058086081</v>
      </c>
      <c r="F11" s="87" t="s">
        <v>0</v>
      </c>
      <c r="G11" s="98" t="s">
        <v>0</v>
      </c>
      <c r="H11" s="124">
        <v>2434581</v>
      </c>
      <c r="I11" s="91">
        <v>1313119</v>
      </c>
      <c r="J11" s="323">
        <f t="shared" si="2"/>
        <v>3747700</v>
      </c>
      <c r="K11" s="329">
        <f t="shared" si="3"/>
        <v>0.6496200336206206</v>
      </c>
    </row>
    <row r="12" spans="1:15">
      <c r="A12" s="10" t="s">
        <v>258</v>
      </c>
      <c r="B12" s="124">
        <v>699005</v>
      </c>
      <c r="C12" s="91">
        <v>0</v>
      </c>
      <c r="D12" s="323">
        <f t="shared" si="0"/>
        <v>699005</v>
      </c>
      <c r="E12" s="329">
        <f t="shared" si="1"/>
        <v>1</v>
      </c>
      <c r="F12" s="87" t="s">
        <v>0</v>
      </c>
      <c r="G12" s="98" t="s">
        <v>0</v>
      </c>
      <c r="H12" s="124">
        <v>541052</v>
      </c>
      <c r="I12" s="91">
        <v>0</v>
      </c>
      <c r="J12" s="323">
        <f t="shared" si="2"/>
        <v>541052</v>
      </c>
      <c r="K12" s="329">
        <f t="shared" si="3"/>
        <v>1</v>
      </c>
    </row>
    <row r="13" spans="1:15">
      <c r="A13" s="10" t="s">
        <v>259</v>
      </c>
      <c r="B13" s="124">
        <v>1124</v>
      </c>
      <c r="C13" s="91">
        <v>32544</v>
      </c>
      <c r="D13" s="323">
        <f t="shared" si="0"/>
        <v>33668</v>
      </c>
      <c r="E13" s="329">
        <f t="shared" si="1"/>
        <v>3.3384816442913155E-2</v>
      </c>
      <c r="F13" s="87" t="s">
        <v>0</v>
      </c>
      <c r="G13" s="98" t="s">
        <v>0</v>
      </c>
      <c r="H13" s="124">
        <v>874</v>
      </c>
      <c r="I13" s="91">
        <v>15539</v>
      </c>
      <c r="J13" s="323">
        <f t="shared" si="2"/>
        <v>16413</v>
      </c>
      <c r="K13" s="329">
        <f t="shared" si="3"/>
        <v>5.3250472186681289E-2</v>
      </c>
    </row>
    <row r="14" spans="1:15">
      <c r="A14" s="10" t="s">
        <v>260</v>
      </c>
      <c r="B14" s="685">
        <v>48647</v>
      </c>
      <c r="C14" s="224">
        <v>72082</v>
      </c>
      <c r="D14" s="684">
        <f t="shared" si="0"/>
        <v>120729</v>
      </c>
      <c r="E14" s="329">
        <f t="shared" si="1"/>
        <v>0.40294378318382496</v>
      </c>
      <c r="F14" s="87" t="s">
        <v>0</v>
      </c>
      <c r="G14" s="98" t="s">
        <v>0</v>
      </c>
      <c r="H14" s="685">
        <v>75153</v>
      </c>
      <c r="I14" s="224">
        <v>66786</v>
      </c>
      <c r="J14" s="684">
        <f t="shared" si="2"/>
        <v>141939</v>
      </c>
      <c r="K14" s="329">
        <f t="shared" si="3"/>
        <v>0.52947392894130574</v>
      </c>
    </row>
    <row r="15" spans="1:15" ht="15.6" customHeight="1">
      <c r="A15" s="10"/>
      <c r="B15" s="124">
        <f>SUM(B10:B14)</f>
        <v>3534471</v>
      </c>
      <c r="C15" s="91">
        <f>SUM(C10:C14)</f>
        <v>1367236</v>
      </c>
      <c r="D15" s="323">
        <f t="shared" si="0"/>
        <v>4901707</v>
      </c>
      <c r="E15" s="329">
        <f t="shared" si="1"/>
        <v>0.72106941520576406</v>
      </c>
      <c r="F15" s="87" t="s">
        <v>0</v>
      </c>
      <c r="G15" s="98" t="s">
        <v>0</v>
      </c>
      <c r="H15" s="124">
        <f>SUM(H10:H14)</f>
        <v>3153617</v>
      </c>
      <c r="I15" s="91">
        <f>SUM(I10:I14)</f>
        <v>1555503</v>
      </c>
      <c r="J15" s="323">
        <f t="shared" si="2"/>
        <v>4709120</v>
      </c>
      <c r="K15" s="329">
        <f t="shared" si="3"/>
        <v>0.66968287068496879</v>
      </c>
    </row>
    <row r="16" spans="1:15" ht="7.9" customHeight="1">
      <c r="A16" s="10"/>
      <c r="B16" s="124"/>
      <c r="C16" s="92" t="s">
        <v>0</v>
      </c>
      <c r="D16" s="323"/>
      <c r="E16" s="329" t="s">
        <v>0</v>
      </c>
      <c r="F16" s="87"/>
      <c r="G16" s="98" t="s">
        <v>0</v>
      </c>
      <c r="H16" s="124"/>
      <c r="I16" s="92" t="s">
        <v>0</v>
      </c>
      <c r="J16" s="327" t="s">
        <v>0</v>
      </c>
      <c r="K16" s="329" t="s">
        <v>0</v>
      </c>
    </row>
    <row r="17" spans="1:11" ht="15.6" customHeight="1">
      <c r="A17" s="10" t="s">
        <v>261</v>
      </c>
      <c r="B17" s="124">
        <v>0</v>
      </c>
      <c r="C17" s="91">
        <v>298391</v>
      </c>
      <c r="D17" s="323">
        <f t="shared" ref="D17:D23" si="4">SUM(B17:C17)</f>
        <v>298391</v>
      </c>
      <c r="E17" s="129">
        <v>0</v>
      </c>
      <c r="F17"/>
      <c r="G17"/>
      <c r="H17" s="124">
        <v>0</v>
      </c>
      <c r="I17" s="91">
        <v>74992</v>
      </c>
      <c r="J17" s="327">
        <f t="shared" ref="J17:J23" si="5">SUM(H17:I17)</f>
        <v>74992</v>
      </c>
      <c r="K17" s="129">
        <v>0</v>
      </c>
    </row>
    <row r="18" spans="1:11" ht="15.6" customHeight="1">
      <c r="A18" s="10" t="s">
        <v>909</v>
      </c>
      <c r="B18" s="124">
        <v>0</v>
      </c>
      <c r="C18" s="91">
        <v>0</v>
      </c>
      <c r="D18" s="323">
        <v>0</v>
      </c>
      <c r="E18" s="129">
        <v>0</v>
      </c>
      <c r="F18"/>
      <c r="G18"/>
      <c r="H18" s="124">
        <v>0</v>
      </c>
      <c r="I18" s="91">
        <v>0</v>
      </c>
      <c r="J18" s="327">
        <f t="shared" si="5"/>
        <v>0</v>
      </c>
      <c r="K18" s="129">
        <v>0</v>
      </c>
    </row>
    <row r="19" spans="1:11">
      <c r="A19" s="10" t="s">
        <v>262</v>
      </c>
      <c r="B19" s="124">
        <v>419800</v>
      </c>
      <c r="C19" s="91">
        <v>295156</v>
      </c>
      <c r="D19" s="323">
        <f t="shared" si="4"/>
        <v>714956</v>
      </c>
      <c r="E19" s="329">
        <f>+B19/D19</f>
        <v>0.58716900060982768</v>
      </c>
      <c r="F19"/>
      <c r="G19"/>
      <c r="H19" s="124">
        <v>379837</v>
      </c>
      <c r="I19" s="91">
        <v>701681</v>
      </c>
      <c r="J19" s="323">
        <f t="shared" si="5"/>
        <v>1081518</v>
      </c>
      <c r="K19" s="329">
        <f>+H19/J19</f>
        <v>0.35120728457593864</v>
      </c>
    </row>
    <row r="20" spans="1:11">
      <c r="A20" s="10" t="s">
        <v>298</v>
      </c>
      <c r="B20" s="124">
        <v>3041076</v>
      </c>
      <c r="C20" s="91">
        <v>2596896</v>
      </c>
      <c r="D20" s="323">
        <f t="shared" si="4"/>
        <v>5637972</v>
      </c>
      <c r="E20" s="329">
        <f>+B20/D20</f>
        <v>0.53939182386858253</v>
      </c>
      <c r="F20"/>
      <c r="G20"/>
      <c r="H20" s="124">
        <v>3146348</v>
      </c>
      <c r="I20" s="91">
        <v>2270599</v>
      </c>
      <c r="J20" s="323">
        <f t="shared" si="5"/>
        <v>5416947</v>
      </c>
      <c r="K20" s="329">
        <f>+H20/J20</f>
        <v>0.58083418575075596</v>
      </c>
    </row>
    <row r="21" spans="1:11">
      <c r="A21" s="10" t="s">
        <v>264</v>
      </c>
      <c r="B21" s="124">
        <v>0</v>
      </c>
      <c r="C21" s="91">
        <v>293320</v>
      </c>
      <c r="D21" s="323">
        <f t="shared" si="4"/>
        <v>293320</v>
      </c>
      <c r="E21" s="129">
        <v>0</v>
      </c>
      <c r="F21"/>
      <c r="G21"/>
      <c r="H21" s="124">
        <v>0</v>
      </c>
      <c r="I21" s="91">
        <v>297986</v>
      </c>
      <c r="J21" s="323">
        <f t="shared" si="5"/>
        <v>297986</v>
      </c>
      <c r="K21" s="129">
        <v>0</v>
      </c>
    </row>
    <row r="22" spans="1:11">
      <c r="A22" s="10" t="s">
        <v>265</v>
      </c>
      <c r="B22" s="685">
        <v>168749</v>
      </c>
      <c r="C22" s="224">
        <v>300545</v>
      </c>
      <c r="D22" s="684">
        <f t="shared" si="4"/>
        <v>469294</v>
      </c>
      <c r="E22" s="329">
        <f>+B22/D22</f>
        <v>0.35958056143909789</v>
      </c>
      <c r="F22"/>
      <c r="G22"/>
      <c r="H22" s="685">
        <v>140005</v>
      </c>
      <c r="I22" s="224">
        <v>261920</v>
      </c>
      <c r="J22" s="684">
        <f t="shared" si="5"/>
        <v>401925</v>
      </c>
      <c r="K22" s="329">
        <f>+H22/J22</f>
        <v>0.34833613236300304</v>
      </c>
    </row>
    <row r="23" spans="1:11">
      <c r="A23" s="10" t="s">
        <v>54</v>
      </c>
      <c r="B23" s="125">
        <f>SUM(B15:B22)</f>
        <v>7164096</v>
      </c>
      <c r="C23" s="94">
        <f>SUM(C15:C22)</f>
        <v>5151544</v>
      </c>
      <c r="D23" s="324">
        <f t="shared" si="4"/>
        <v>12315640</v>
      </c>
      <c r="E23" s="369">
        <f>+B23/D23</f>
        <v>0.58170716259975119</v>
      </c>
      <c r="F23"/>
      <c r="G23"/>
      <c r="H23" s="125">
        <f>SUM(H15:H22)</f>
        <v>6819807</v>
      </c>
      <c r="I23" s="94">
        <f>SUM(I15:I22)</f>
        <v>5162681</v>
      </c>
      <c r="J23" s="324">
        <f t="shared" si="5"/>
        <v>11982488</v>
      </c>
      <c r="K23" s="369">
        <f>+H23/J23</f>
        <v>0.56914782639465189</v>
      </c>
    </row>
    <row r="24" spans="1:11" ht="7.9" customHeight="1">
      <c r="A24" s="10"/>
      <c r="B24" s="124"/>
      <c r="C24" s="92" t="s">
        <v>0</v>
      </c>
      <c r="D24" s="323"/>
      <c r="E24" s="329" t="s">
        <v>0</v>
      </c>
      <c r="F24"/>
      <c r="G24"/>
      <c r="H24" s="124"/>
      <c r="I24" s="92" t="s">
        <v>0</v>
      </c>
      <c r="J24" s="327" t="s">
        <v>0</v>
      </c>
      <c r="K24" s="329" t="s">
        <v>0</v>
      </c>
    </row>
    <row r="25" spans="1:11">
      <c r="A25" s="86" t="s">
        <v>266</v>
      </c>
      <c r="B25" s="124"/>
      <c r="C25" s="92" t="s">
        <v>0</v>
      </c>
      <c r="D25" s="323"/>
      <c r="E25" s="329" t="s">
        <v>0</v>
      </c>
      <c r="F25"/>
      <c r="G25"/>
      <c r="H25" s="124"/>
      <c r="I25" s="92" t="s">
        <v>0</v>
      </c>
      <c r="J25" s="327" t="s">
        <v>0</v>
      </c>
      <c r="K25" s="329" t="s">
        <v>0</v>
      </c>
    </row>
    <row r="26" spans="1:11">
      <c r="A26" s="10" t="s">
        <v>267</v>
      </c>
      <c r="B26" s="124"/>
      <c r="C26" s="92" t="s">
        <v>0</v>
      </c>
      <c r="D26" s="323"/>
      <c r="E26" s="329" t="s">
        <v>0</v>
      </c>
      <c r="F26"/>
      <c r="G26"/>
      <c r="H26" s="124"/>
      <c r="I26" s="92" t="s">
        <v>0</v>
      </c>
      <c r="J26" s="327" t="s">
        <v>0</v>
      </c>
      <c r="K26" s="329" t="s">
        <v>0</v>
      </c>
    </row>
    <row r="27" spans="1:11">
      <c r="A27" s="10" t="s">
        <v>268</v>
      </c>
      <c r="B27" s="124">
        <v>3073203</v>
      </c>
      <c r="C27" s="91">
        <v>2462050</v>
      </c>
      <c r="D27" s="323">
        <f>SUM(B27:C27)</f>
        <v>5535253</v>
      </c>
      <c r="E27" s="329">
        <f>+B27/D27</f>
        <v>0.55520551635128512</v>
      </c>
      <c r="F27"/>
      <c r="G27"/>
      <c r="H27" s="124">
        <v>2993731</v>
      </c>
      <c r="I27" s="91">
        <v>2381549</v>
      </c>
      <c r="J27" s="323">
        <f>SUM(H27:I27)</f>
        <v>5375280</v>
      </c>
      <c r="K27" s="329">
        <f>+H27/J27</f>
        <v>0.55694419639535053</v>
      </c>
    </row>
    <row r="28" spans="1:11">
      <c r="A28" s="10" t="s">
        <v>269</v>
      </c>
      <c r="B28" s="124">
        <v>1595125</v>
      </c>
      <c r="C28" s="91">
        <v>1081458</v>
      </c>
      <c r="D28" s="323">
        <f>SUM(B28:C28)</f>
        <v>2676583</v>
      </c>
      <c r="E28" s="329">
        <f>+B28/D28</f>
        <v>0.59595573908972743</v>
      </c>
      <c r="F28"/>
      <c r="G28"/>
      <c r="H28" s="124">
        <v>1526477</v>
      </c>
      <c r="I28" s="91">
        <v>1052573</v>
      </c>
      <c r="J28" s="323">
        <f>SUM(H28:I28)</f>
        <v>2579050</v>
      </c>
      <c r="K28" s="329">
        <f>+H28/J28</f>
        <v>0.59187569066128998</v>
      </c>
    </row>
    <row r="29" spans="1:11">
      <c r="A29" s="10" t="s">
        <v>270</v>
      </c>
      <c r="B29" s="685">
        <v>1955428</v>
      </c>
      <c r="C29" s="224">
        <v>252230</v>
      </c>
      <c r="D29" s="684">
        <f>SUM(B29:C29)</f>
        <v>2207658</v>
      </c>
      <c r="E29" s="329">
        <f>+B29/D29</f>
        <v>0.88574770186324148</v>
      </c>
      <c r="F29"/>
      <c r="G29"/>
      <c r="H29" s="685">
        <v>1934031</v>
      </c>
      <c r="I29" s="224">
        <v>257737</v>
      </c>
      <c r="J29" s="684">
        <f>SUM(H29:I29)</f>
        <v>2191768</v>
      </c>
      <c r="K29" s="329">
        <f>+H29/J29</f>
        <v>0.88240680582981412</v>
      </c>
    </row>
    <row r="30" spans="1:11">
      <c r="A30" s="10"/>
      <c r="B30" s="124">
        <f>SUM(B27:B29)</f>
        <v>6623756</v>
      </c>
      <c r="C30" s="91">
        <f>SUM(C27:C29)</f>
        <v>3795738</v>
      </c>
      <c r="D30" s="323">
        <f>SUM(B30:C30)</f>
        <v>10419494</v>
      </c>
      <c r="E30" s="329">
        <f>+B30/D30</f>
        <v>0.63570802958377826</v>
      </c>
      <c r="F30"/>
      <c r="G30"/>
      <c r="H30" s="124">
        <f>SUM(H27:H29)</f>
        <v>6454239</v>
      </c>
      <c r="I30" s="91">
        <f>SUM(I27:I29)</f>
        <v>3691859</v>
      </c>
      <c r="J30" s="323">
        <f>SUM(H30:I30)</f>
        <v>10146098</v>
      </c>
      <c r="K30" s="329">
        <f>+H30/J30</f>
        <v>0.63613016550796175</v>
      </c>
    </row>
    <row r="31" spans="1:11" ht="7.9" customHeight="1">
      <c r="A31" s="10"/>
      <c r="B31" s="124"/>
      <c r="C31" s="92" t="s">
        <v>0</v>
      </c>
      <c r="D31" s="323"/>
      <c r="E31" s="329" t="s">
        <v>0</v>
      </c>
      <c r="F31"/>
      <c r="G31"/>
      <c r="H31" s="124"/>
      <c r="I31" s="92" t="s">
        <v>0</v>
      </c>
      <c r="J31" s="327" t="s">
        <v>0</v>
      </c>
      <c r="K31" s="329" t="s">
        <v>0</v>
      </c>
    </row>
    <row r="32" spans="1:11">
      <c r="A32" s="10" t="s">
        <v>271</v>
      </c>
      <c r="B32" s="124"/>
      <c r="C32" s="92" t="s">
        <v>0</v>
      </c>
      <c r="D32" s="323"/>
      <c r="E32" s="329" t="s">
        <v>0</v>
      </c>
      <c r="F32"/>
      <c r="G32"/>
      <c r="H32" s="124"/>
      <c r="I32" s="92" t="s">
        <v>0</v>
      </c>
      <c r="J32" s="327" t="s">
        <v>0</v>
      </c>
      <c r="K32" s="329" t="s">
        <v>0</v>
      </c>
    </row>
    <row r="33" spans="1:15">
      <c r="A33" s="10" t="s">
        <v>272</v>
      </c>
      <c r="B33" s="124">
        <v>0</v>
      </c>
      <c r="C33" s="91">
        <v>0</v>
      </c>
      <c r="D33" s="323">
        <f>SUM(B33:C33)</f>
        <v>0</v>
      </c>
      <c r="E33" s="129">
        <v>0</v>
      </c>
      <c r="F33"/>
      <c r="G33"/>
      <c r="H33" s="124">
        <v>0</v>
      </c>
      <c r="I33" s="91">
        <v>0</v>
      </c>
      <c r="J33" s="327">
        <f>SUM(H33:I33)</f>
        <v>0</v>
      </c>
      <c r="K33" s="129">
        <v>0</v>
      </c>
    </row>
    <row r="34" spans="1:15">
      <c r="A34" s="10" t="s">
        <v>273</v>
      </c>
      <c r="B34" s="124">
        <v>0</v>
      </c>
      <c r="C34" s="91">
        <v>0</v>
      </c>
      <c r="D34" s="323">
        <f>SUM(B34:C34)</f>
        <v>0</v>
      </c>
      <c r="E34" s="129">
        <v>0</v>
      </c>
      <c r="F34"/>
      <c r="G34"/>
      <c r="H34" s="124">
        <v>0</v>
      </c>
      <c r="I34" s="91">
        <v>0</v>
      </c>
      <c r="J34" s="327">
        <f>SUM(H34:I34)</f>
        <v>0</v>
      </c>
      <c r="K34" s="129">
        <v>0</v>
      </c>
    </row>
    <row r="35" spans="1:15" ht="18">
      <c r="A35" s="10" t="s">
        <v>274</v>
      </c>
      <c r="B35" s="685">
        <v>123957</v>
      </c>
      <c r="C35" s="224">
        <v>210295</v>
      </c>
      <c r="D35" s="684">
        <f>SUM(B35:C35)</f>
        <v>334252</v>
      </c>
      <c r="E35" s="329">
        <f>+B35/D35</f>
        <v>0.37084894032047677</v>
      </c>
      <c r="F35"/>
      <c r="G35"/>
      <c r="H35" s="685">
        <v>105235</v>
      </c>
      <c r="I35" s="224">
        <v>208631</v>
      </c>
      <c r="J35" s="684">
        <f>SUM(H35:I35)</f>
        <v>313866</v>
      </c>
      <c r="K35" s="329">
        <f>+H35/J35</f>
        <v>0.33528639610534433</v>
      </c>
      <c r="L35" s="14"/>
      <c r="M35" s="15"/>
      <c r="N35" s="15"/>
      <c r="O35" s="15"/>
    </row>
    <row r="36" spans="1:15">
      <c r="A36" s="10"/>
      <c r="B36" s="124">
        <f>SUM(B33:B35)</f>
        <v>123957</v>
      </c>
      <c r="C36" s="91">
        <f>SUM(C33:C35)</f>
        <v>210295</v>
      </c>
      <c r="D36" s="323">
        <f>SUM(B36:C36)</f>
        <v>334252</v>
      </c>
      <c r="E36" s="329">
        <f>+B36/D36</f>
        <v>0.37084894032047677</v>
      </c>
      <c r="F36"/>
      <c r="G36"/>
      <c r="H36" s="124">
        <f>SUM(H33:H35)</f>
        <v>105235</v>
      </c>
      <c r="I36" s="91">
        <f>SUM(I33:I35)</f>
        <v>208631</v>
      </c>
      <c r="J36" s="323">
        <f>SUM(H36:I36)</f>
        <v>313866</v>
      </c>
      <c r="K36" s="329">
        <f>+H36/J36</f>
        <v>0.33528639610534433</v>
      </c>
    </row>
    <row r="37" spans="1:15" ht="7.15" customHeight="1">
      <c r="A37" s="10"/>
      <c r="B37" s="124"/>
      <c r="C37" s="92" t="s">
        <v>0</v>
      </c>
      <c r="D37" s="323"/>
      <c r="E37" s="329" t="s">
        <v>54</v>
      </c>
      <c r="F37"/>
      <c r="G37"/>
      <c r="H37" s="124"/>
      <c r="I37" s="92" t="s">
        <v>0</v>
      </c>
      <c r="J37" s="327" t="s">
        <v>0</v>
      </c>
      <c r="K37" s="329" t="s">
        <v>54</v>
      </c>
    </row>
    <row r="38" spans="1:15">
      <c r="A38" s="10" t="s">
        <v>275</v>
      </c>
      <c r="B38" s="124"/>
      <c r="C38" s="92" t="s">
        <v>0</v>
      </c>
      <c r="D38" s="323"/>
      <c r="E38" s="329" t="s">
        <v>0</v>
      </c>
      <c r="F38"/>
      <c r="G38"/>
      <c r="H38" s="124"/>
      <c r="I38" s="92" t="s">
        <v>0</v>
      </c>
      <c r="J38" s="327" t="s">
        <v>0</v>
      </c>
      <c r="K38" s="329" t="s">
        <v>0</v>
      </c>
    </row>
    <row r="39" spans="1:15">
      <c r="A39" s="10" t="s">
        <v>272</v>
      </c>
      <c r="B39" s="124">
        <v>0</v>
      </c>
      <c r="C39" s="92">
        <v>0</v>
      </c>
      <c r="D39" s="323">
        <f>SUM(B39:C39)</f>
        <v>0</v>
      </c>
      <c r="E39" s="129">
        <v>0</v>
      </c>
      <c r="F39"/>
      <c r="G39"/>
      <c r="H39" s="124">
        <v>0</v>
      </c>
      <c r="I39" s="92">
        <v>0</v>
      </c>
      <c r="J39" s="327">
        <f>SUM(H39:I39)</f>
        <v>0</v>
      </c>
      <c r="K39" s="129">
        <v>0</v>
      </c>
    </row>
    <row r="40" spans="1:15">
      <c r="A40" s="10" t="s">
        <v>276</v>
      </c>
      <c r="B40" s="124">
        <v>0</v>
      </c>
      <c r="C40" s="92">
        <v>0</v>
      </c>
      <c r="D40" s="323">
        <f>SUM(B40:C40)</f>
        <v>0</v>
      </c>
      <c r="E40" s="129">
        <v>0</v>
      </c>
      <c r="F40"/>
      <c r="G40"/>
      <c r="H40" s="124">
        <v>0</v>
      </c>
      <c r="I40" s="92">
        <v>0</v>
      </c>
      <c r="J40" s="327">
        <f>SUM(H40:I40)</f>
        <v>0</v>
      </c>
      <c r="K40" s="129">
        <v>0</v>
      </c>
    </row>
    <row r="41" spans="1:15">
      <c r="A41" s="10" t="s">
        <v>274</v>
      </c>
      <c r="B41" s="685">
        <v>0</v>
      </c>
      <c r="C41" s="224">
        <v>60293</v>
      </c>
      <c r="D41" s="684">
        <f>SUM(B41:C41)</f>
        <v>60293</v>
      </c>
      <c r="E41" s="1413">
        <v>0</v>
      </c>
      <c r="F41"/>
      <c r="G41"/>
      <c r="H41" s="685">
        <v>0</v>
      </c>
      <c r="I41" s="224">
        <v>88007</v>
      </c>
      <c r="J41" s="684">
        <f>SUM(H41:I41)</f>
        <v>88007</v>
      </c>
      <c r="K41" s="329">
        <f>+H41/J41</f>
        <v>0</v>
      </c>
    </row>
    <row r="42" spans="1:15">
      <c r="A42" s="10"/>
      <c r="B42" s="124">
        <f>SUM(B39:B41)</f>
        <v>0</v>
      </c>
      <c r="C42" s="91">
        <f>SUM(C39:C41)</f>
        <v>60293</v>
      </c>
      <c r="D42" s="323">
        <f>SUM(D39:D41)</f>
        <v>60293</v>
      </c>
      <c r="E42" s="129">
        <f>+B42/D42</f>
        <v>0</v>
      </c>
      <c r="F42"/>
      <c r="G42"/>
      <c r="H42" s="124">
        <f>SUM(H39:H41)</f>
        <v>0</v>
      </c>
      <c r="I42" s="91">
        <f>SUM(I39:I41)</f>
        <v>88007</v>
      </c>
      <c r="J42" s="323">
        <f>SUM(H42:I42)</f>
        <v>88007</v>
      </c>
      <c r="K42" s="329">
        <f>+H42/J42</f>
        <v>0</v>
      </c>
    </row>
    <row r="43" spans="1:15" ht="8.4499999999999993" customHeight="1">
      <c r="A43" s="10"/>
      <c r="B43" s="124"/>
      <c r="C43" s="92" t="s">
        <v>0</v>
      </c>
      <c r="D43" s="323"/>
      <c r="E43" s="329" t="s">
        <v>0</v>
      </c>
      <c r="F43"/>
      <c r="G43"/>
      <c r="H43" s="124"/>
      <c r="I43" s="92" t="s">
        <v>0</v>
      </c>
      <c r="J43" s="327" t="s">
        <v>0</v>
      </c>
      <c r="K43" s="329" t="s">
        <v>0</v>
      </c>
    </row>
    <row r="44" spans="1:15" ht="18">
      <c r="A44" s="10" t="s">
        <v>277</v>
      </c>
      <c r="B44" s="685">
        <v>259311</v>
      </c>
      <c r="C44" s="224">
        <v>167948</v>
      </c>
      <c r="D44" s="684">
        <f>SUM(B44:C44)</f>
        <v>427259</v>
      </c>
      <c r="E44" s="329">
        <f>+B44/D44</f>
        <v>0.60691758394790984</v>
      </c>
      <c r="F44"/>
      <c r="G44"/>
      <c r="H44" s="685">
        <v>256534</v>
      </c>
      <c r="I44" s="224">
        <v>168793</v>
      </c>
      <c r="J44" s="684">
        <f>SUM(H44:I44)</f>
        <v>425327</v>
      </c>
      <c r="K44" s="329">
        <f>+H44/J44</f>
        <v>0.60314534464071179</v>
      </c>
      <c r="L44" s="14"/>
    </row>
    <row r="45" spans="1:15">
      <c r="A45" s="10"/>
      <c r="B45" s="664">
        <f>+B30+B36+B42+B44</f>
        <v>7007024</v>
      </c>
      <c r="C45" s="91">
        <f>+C30+C36+C42+C44</f>
        <v>4234274</v>
      </c>
      <c r="D45" s="323">
        <f>+D30+D36+D42+D44</f>
        <v>11241298</v>
      </c>
      <c r="E45" s="329">
        <f>+B45/D45</f>
        <v>0.62332872947590212</v>
      </c>
      <c r="F45"/>
      <c r="G45"/>
      <c r="H45" s="664">
        <f>+H30+H36+H42+H44</f>
        <v>6816008</v>
      </c>
      <c r="I45" s="91">
        <f>+I30+I36+I42+I44</f>
        <v>4157290</v>
      </c>
      <c r="J45" s="323">
        <f>+J30+J36+J42+J44</f>
        <v>10973298</v>
      </c>
      <c r="K45" s="329">
        <f>+H45/J45</f>
        <v>0.62114489190032018</v>
      </c>
    </row>
    <row r="46" spans="1:15" ht="8.4499999999999993" customHeight="1">
      <c r="A46" s="10"/>
      <c r="B46" s="124"/>
      <c r="C46" s="92" t="s">
        <v>0</v>
      </c>
      <c r="D46" s="323"/>
      <c r="E46" s="329" t="s">
        <v>0</v>
      </c>
      <c r="F46"/>
      <c r="G46"/>
      <c r="H46" s="124"/>
      <c r="I46" s="92" t="s">
        <v>0</v>
      </c>
      <c r="J46" s="327" t="s">
        <v>0</v>
      </c>
      <c r="K46" s="329" t="s">
        <v>0</v>
      </c>
    </row>
    <row r="47" spans="1:15">
      <c r="A47" s="86" t="s">
        <v>278</v>
      </c>
      <c r="B47" s="124"/>
      <c r="C47" s="92" t="s">
        <v>0</v>
      </c>
      <c r="D47" s="323"/>
      <c r="E47" s="329" t="s">
        <v>0</v>
      </c>
      <c r="F47"/>
      <c r="G47"/>
      <c r="H47" s="124"/>
      <c r="I47" s="92" t="s">
        <v>0</v>
      </c>
      <c r="J47" s="327" t="s">
        <v>0</v>
      </c>
      <c r="K47" s="329" t="s">
        <v>0</v>
      </c>
    </row>
    <row r="48" spans="1:15">
      <c r="A48" s="10" t="s">
        <v>279</v>
      </c>
      <c r="B48" s="124">
        <v>0</v>
      </c>
      <c r="C48" s="91">
        <f>+capitalbkvar!B48</f>
        <v>270000</v>
      </c>
      <c r="D48" s="323">
        <f>SUM(B48:C48)</f>
        <v>270000</v>
      </c>
      <c r="E48" s="129">
        <f>+B48/D48</f>
        <v>0</v>
      </c>
      <c r="F48"/>
      <c r="G48"/>
      <c r="H48" s="124">
        <v>0</v>
      </c>
      <c r="I48" s="91">
        <v>270000</v>
      </c>
      <c r="J48" s="323">
        <f>SUM(H48:I48)</f>
        <v>270000</v>
      </c>
      <c r="K48" s="129">
        <f>+H48/J48</f>
        <v>0</v>
      </c>
    </row>
    <row r="49" spans="1:15">
      <c r="A49" s="10" t="s">
        <v>280</v>
      </c>
      <c r="B49" s="124">
        <v>0</v>
      </c>
      <c r="C49" s="91">
        <f>+capitalbkvar!B49</f>
        <v>206958</v>
      </c>
      <c r="D49" s="323">
        <f>SUM(B49:C49)</f>
        <v>206958</v>
      </c>
      <c r="E49" s="129">
        <f>+B49/D49</f>
        <v>0</v>
      </c>
      <c r="F49"/>
      <c r="G49"/>
      <c r="H49" s="124">
        <v>0</v>
      </c>
      <c r="I49" s="91">
        <v>204148</v>
      </c>
      <c r="J49" s="323">
        <f>SUM(H49:I49)</f>
        <v>204148</v>
      </c>
      <c r="K49" s="129">
        <f>+H49/J49</f>
        <v>0</v>
      </c>
    </row>
    <row r="50" spans="1:15">
      <c r="A50" s="10" t="s">
        <v>290</v>
      </c>
      <c r="B50" s="124">
        <v>0</v>
      </c>
      <c r="C50" s="91">
        <f>+capitalbkvar!B50</f>
        <v>1384</v>
      </c>
      <c r="D50" s="323">
        <f>SUM(B50:C50)</f>
        <v>1384</v>
      </c>
      <c r="E50" s="129">
        <v>0</v>
      </c>
      <c r="F50"/>
      <c r="G50"/>
      <c r="H50" s="124">
        <v>0</v>
      </c>
      <c r="I50" s="91">
        <v>1384</v>
      </c>
      <c r="J50" s="323">
        <f>SUM(H50:I50)</f>
        <v>1384</v>
      </c>
      <c r="K50" s="329"/>
    </row>
    <row r="51" spans="1:15" ht="18">
      <c r="A51" s="10" t="s">
        <v>282</v>
      </c>
      <c r="B51" s="685">
        <v>0</v>
      </c>
      <c r="C51" s="199">
        <f>+capitalbkvar!B51</f>
        <v>596000</v>
      </c>
      <c r="D51" s="684">
        <f>SUM(B51:C51)</f>
        <v>596000</v>
      </c>
      <c r="E51" s="129">
        <v>0</v>
      </c>
      <c r="F51"/>
      <c r="G51"/>
      <c r="H51" s="685">
        <v>0</v>
      </c>
      <c r="I51" s="199">
        <v>533658</v>
      </c>
      <c r="J51" s="684">
        <f>SUM(H51:I51)</f>
        <v>533658</v>
      </c>
      <c r="K51" s="129">
        <f>+H51/J51</f>
        <v>0</v>
      </c>
      <c r="L51" s="14"/>
      <c r="M51" s="15"/>
      <c r="N51" s="15"/>
      <c r="O51" s="15"/>
    </row>
    <row r="52" spans="1:15">
      <c r="A52" s="10" t="s">
        <v>54</v>
      </c>
      <c r="B52" s="124">
        <f>SUM(B48:B51)</f>
        <v>0</v>
      </c>
      <c r="C52" s="91">
        <f>SUM(C48:C51)</f>
        <v>1074342</v>
      </c>
      <c r="D52" s="323">
        <f>SUM(B52:C52)</f>
        <v>1074342</v>
      </c>
      <c r="E52" s="129">
        <f>+B52/D52</f>
        <v>0</v>
      </c>
      <c r="F52"/>
      <c r="G52"/>
      <c r="H52" s="124">
        <f>SUM(H48:H51)</f>
        <v>0</v>
      </c>
      <c r="I52" s="91">
        <f>SUM(I48:I51)</f>
        <v>1009190</v>
      </c>
      <c r="J52" s="323">
        <f>SUM(H52:I52)</f>
        <v>1009190</v>
      </c>
      <c r="K52" s="129">
        <f>+H52/J52</f>
        <v>0</v>
      </c>
    </row>
    <row r="53" spans="1:15">
      <c r="A53" s="10" t="s">
        <v>0</v>
      </c>
      <c r="B53" s="124"/>
      <c r="C53" s="92" t="s">
        <v>0</v>
      </c>
      <c r="D53" s="323"/>
      <c r="E53" s="329" t="s">
        <v>0</v>
      </c>
      <c r="F53"/>
      <c r="G53"/>
      <c r="H53" s="124"/>
      <c r="I53" s="92" t="s">
        <v>0</v>
      </c>
      <c r="J53" s="327" t="s">
        <v>0</v>
      </c>
      <c r="K53" s="329" t="s">
        <v>0</v>
      </c>
    </row>
    <row r="54" spans="1:15" ht="16.5" thickBot="1">
      <c r="A54" s="10" t="s">
        <v>0</v>
      </c>
      <c r="B54" s="126">
        <f>+B30+B36+B42+B44+B52</f>
        <v>7007024</v>
      </c>
      <c r="C54" s="127">
        <f>+C30+C36+C42+C44+C52</f>
        <v>5308616</v>
      </c>
      <c r="D54" s="325">
        <f>SUM(B54:C54)</f>
        <v>12315640</v>
      </c>
      <c r="E54" s="368">
        <f>+B54/D54</f>
        <v>0.56895329840755338</v>
      </c>
      <c r="F54"/>
      <c r="G54"/>
      <c r="H54" s="126">
        <f>+H30+H36+H42+H44+H52</f>
        <v>6816008</v>
      </c>
      <c r="I54" s="127">
        <f>+I30+I36+I42+I44+I52</f>
        <v>5166480</v>
      </c>
      <c r="J54" s="325">
        <f>SUM(H54:I54)</f>
        <v>11982488</v>
      </c>
      <c r="K54" s="368">
        <f>+H54/J54</f>
        <v>0.56883078038550927</v>
      </c>
    </row>
    <row r="55" spans="1:15" ht="16.5" thickTop="1">
      <c r="A55" s="10"/>
      <c r="B55" s="94"/>
      <c r="C55" s="94"/>
      <c r="D55" s="339"/>
      <c r="E55" s="237"/>
      <c r="F55"/>
      <c r="G55"/>
      <c r="H55" s="94"/>
      <c r="I55" s="94"/>
      <c r="J55" s="339"/>
      <c r="K55" s="230"/>
    </row>
    <row r="56" spans="1:15">
      <c r="A56" s="10"/>
      <c r="B56" s="90" t="str">
        <f>+'buhgdes&amp;$'!B56</f>
        <v xml:space="preserve">* converties au taux de 46,7477 Gdes </v>
      </c>
      <c r="C56"/>
      <c r="D56" s="90"/>
      <c r="E56" s="98" t="s">
        <v>0</v>
      </c>
      <c r="F56"/>
      <c r="G56"/>
      <c r="H56" s="90" t="str">
        <f>+'buhgdes&amp;$'!H56</f>
        <v xml:space="preserve">* converties au taux de 45,5577 Gdes </v>
      </c>
      <c r="I56"/>
      <c r="J56" s="88" t="s">
        <v>0</v>
      </c>
    </row>
    <row r="57" spans="1:15">
      <c r="C57" s="48"/>
      <c r="E57" s="112" t="s">
        <v>0</v>
      </c>
      <c r="F57"/>
      <c r="G57"/>
      <c r="H57"/>
      <c r="J57" s="48"/>
    </row>
    <row r="58" spans="1:15">
      <c r="B58"/>
      <c r="C58" s="48"/>
      <c r="E58" s="112" t="s">
        <v>0</v>
      </c>
      <c r="F58"/>
      <c r="G58"/>
      <c r="H58"/>
      <c r="J58" s="48"/>
    </row>
    <row r="59" spans="1:15">
      <c r="B59"/>
      <c r="C59" s="48"/>
      <c r="E59" s="112" t="s">
        <v>0</v>
      </c>
      <c r="F59"/>
      <c r="G59"/>
      <c r="H59"/>
      <c r="J59" s="48"/>
    </row>
    <row r="60" spans="1:15">
      <c r="B60"/>
      <c r="C60" s="48"/>
      <c r="E60" s="112" t="s">
        <v>0</v>
      </c>
      <c r="F60"/>
      <c r="G60"/>
      <c r="H60"/>
      <c r="J60" s="48"/>
    </row>
    <row r="61" spans="1:15">
      <c r="B61"/>
      <c r="C61" s="48"/>
      <c r="E61" s="112" t="s">
        <v>0</v>
      </c>
      <c r="F61"/>
      <c r="G61"/>
      <c r="H61"/>
      <c r="J61" s="48"/>
    </row>
    <row r="62" spans="1:15">
      <c r="B62"/>
      <c r="C62" s="48"/>
      <c r="E62" s="112" t="s">
        <v>0</v>
      </c>
      <c r="F62"/>
      <c r="G62"/>
      <c r="H62"/>
      <c r="J62" s="48"/>
    </row>
    <row r="63" spans="1:15">
      <c r="B63"/>
      <c r="C63" s="48"/>
      <c r="E63" s="112" t="s">
        <v>0</v>
      </c>
      <c r="F63"/>
      <c r="G63"/>
      <c r="H63"/>
      <c r="I63"/>
      <c r="J63"/>
    </row>
    <row r="64" spans="1:15">
      <c r="B64"/>
      <c r="C64" s="48"/>
      <c r="E64" s="112" t="s">
        <v>0</v>
      </c>
      <c r="F64"/>
      <c r="G64"/>
      <c r="H64"/>
      <c r="I64"/>
      <c r="J64"/>
    </row>
    <row r="65" spans="2:12">
      <c r="B65"/>
      <c r="C65" s="48"/>
      <c r="E65" s="112" t="s">
        <v>0</v>
      </c>
      <c r="F65"/>
      <c r="G65"/>
      <c r="H65"/>
      <c r="I65"/>
      <c r="J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7" right="0.28999999999999998" top="0.48" bottom="0.52" header="0.28999999999999998" footer="0.28999999999999998"/>
  <pageSetup scale="66" orientation="landscape" r:id="rId1"/>
  <headerFooter alignWithMargins="0">
    <oddFooter>&amp;R&amp;P</oddFooter>
  </headerFooter>
</worksheet>
</file>

<file path=xl/worksheets/sheet88.xml><?xml version="1.0" encoding="utf-8"?>
<worksheet xmlns="http://schemas.openxmlformats.org/spreadsheetml/2006/main" xmlns:r="http://schemas.openxmlformats.org/officeDocument/2006/relationships">
  <sheetPr>
    <pageSetUpPr fitToPage="1"/>
  </sheetPr>
  <dimension ref="A1:X121"/>
  <sheetViews>
    <sheetView workbookViewId="0">
      <selection activeCell="B9" sqref="B9"/>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8.75" style="33" customWidth="1"/>
    <col min="12" max="12" width="15.75" style="33" customWidth="1"/>
    <col min="13" max="13" width="9" style="33"/>
    <col min="14" max="14" width="15.75" style="33" customWidth="1"/>
    <col min="15" max="15" width="9" style="33"/>
    <col min="16" max="16" width="15.75" style="33" customWidth="1"/>
    <col min="17" max="17" width="9" style="33"/>
    <col min="18" max="18" width="15.75" style="33" customWidth="1"/>
    <col min="19" max="19" width="9" style="33"/>
    <col min="20" max="20" width="16.375" style="33" customWidth="1"/>
    <col min="21" max="21" width="12.875" style="33" customWidth="1"/>
  </cols>
  <sheetData>
    <row r="1" spans="1:22">
      <c r="A1" s="111" t="s">
        <v>402</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6" spans="1:22" s="11" customFormat="1" ht="16.5" thickBot="1">
      <c r="B6" s="1022">
        <f>+buhrésult!B6</f>
        <v>2015</v>
      </c>
      <c r="C6" s="345"/>
      <c r="D6" s="346"/>
      <c r="E6" s="345"/>
      <c r="F6" s="346"/>
      <c r="G6" s="345"/>
      <c r="H6" s="346"/>
      <c r="I6" s="347"/>
      <c r="J6" s="332" t="str">
        <f>+buhrésult!J6</f>
        <v>2014</v>
      </c>
      <c r="K6" s="345"/>
      <c r="L6" s="346"/>
      <c r="M6" s="345"/>
      <c r="N6" s="346"/>
      <c r="O6" s="345"/>
      <c r="P6" s="346"/>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35" t="s">
        <v>0</v>
      </c>
      <c r="E9" s="35" t="s">
        <v>0</v>
      </c>
      <c r="F9" s="35" t="s">
        <v>0</v>
      </c>
      <c r="G9" s="35" t="s">
        <v>0</v>
      </c>
      <c r="H9" s="35" t="s">
        <v>0</v>
      </c>
      <c r="I9" s="35" t="s">
        <v>0</v>
      </c>
      <c r="J9" s="24" t="s">
        <v>0</v>
      </c>
      <c r="K9" s="52" t="s">
        <v>0</v>
      </c>
      <c r="L9" s="24" t="s">
        <v>0</v>
      </c>
      <c r="M9" s="52" t="s">
        <v>0</v>
      </c>
      <c r="N9" s="24" t="s">
        <v>0</v>
      </c>
      <c r="O9" s="52" t="s">
        <v>0</v>
      </c>
      <c r="P9" s="24" t="s">
        <v>0</v>
      </c>
      <c r="Q9" s="35" t="s">
        <v>0</v>
      </c>
      <c r="S9" s="35" t="s">
        <v>0</v>
      </c>
      <c r="T9" s="35" t="s">
        <v>0</v>
      </c>
      <c r="U9" s="35" t="s">
        <v>0</v>
      </c>
    </row>
    <row r="10" spans="1:22">
      <c r="A10" t="s">
        <v>302</v>
      </c>
      <c r="B10" s="20">
        <f>+B50</f>
        <v>180436</v>
      </c>
      <c r="C10" s="48">
        <v>0</v>
      </c>
      <c r="D10" s="20">
        <f>+F50</f>
        <v>0</v>
      </c>
      <c r="E10" s="48">
        <v>0</v>
      </c>
      <c r="F10" s="20">
        <f>+J50</f>
        <v>0</v>
      </c>
      <c r="G10" s="48">
        <v>0</v>
      </c>
      <c r="H10" s="20">
        <f>+N50</f>
        <v>0</v>
      </c>
      <c r="J10" s="20">
        <f>+D50</f>
        <v>146250</v>
      </c>
      <c r="K10" s="51">
        <f t="shared" ref="K10:K15" si="0">+(-J10+L10)/ABS(J10)</f>
        <v>3.3155555555555556E-2</v>
      </c>
      <c r="L10" s="20">
        <f>+H50</f>
        <v>151099</v>
      </c>
      <c r="M10" s="51">
        <f t="shared" ref="M10:M15" si="1">+(-L10+N10)/ABS(L10)</f>
        <v>0.1596767682115699</v>
      </c>
      <c r="N10" s="20">
        <f>+L50</f>
        <v>175226</v>
      </c>
      <c r="O10" s="51">
        <f t="shared" ref="O10:O15" si="2">+(-N10+P10)/ABS(N10)</f>
        <v>1.2532386746259117E-2</v>
      </c>
      <c r="P10" s="20">
        <f>+P50</f>
        <v>177422</v>
      </c>
    </row>
    <row r="11" spans="1:22">
      <c r="A11" t="s">
        <v>322</v>
      </c>
      <c r="B11" s="20">
        <f>+B51</f>
        <v>6974</v>
      </c>
      <c r="C11" s="48">
        <v>0</v>
      </c>
      <c r="D11" s="20">
        <f>+F51</f>
        <v>0</v>
      </c>
      <c r="E11" s="48">
        <v>0</v>
      </c>
      <c r="F11" s="20">
        <f>+J51</f>
        <v>0</v>
      </c>
      <c r="G11" s="48">
        <v>0</v>
      </c>
      <c r="H11" s="20">
        <f>+N51</f>
        <v>0</v>
      </c>
      <c r="J11" s="20">
        <f>+D51</f>
        <v>1920</v>
      </c>
      <c r="K11" s="51">
        <f t="shared" si="0"/>
        <v>-6.458333333333334E-2</v>
      </c>
      <c r="L11" s="20">
        <f>+H51</f>
        <v>1796</v>
      </c>
      <c r="M11" s="51">
        <f t="shared" si="1"/>
        <v>-0.89198218262806239</v>
      </c>
      <c r="N11" s="20">
        <f>+L51</f>
        <v>194</v>
      </c>
      <c r="O11" s="51">
        <f t="shared" si="2"/>
        <v>7.5463917525773194</v>
      </c>
      <c r="P11" s="20">
        <f>+P51</f>
        <v>1658</v>
      </c>
    </row>
    <row r="12" spans="1:22">
      <c r="A12" t="s">
        <v>304</v>
      </c>
      <c r="B12" s="217">
        <f>+B52</f>
        <v>5085</v>
      </c>
      <c r="C12" s="48">
        <v>0</v>
      </c>
      <c r="D12" s="217">
        <f>+F52</f>
        <v>0</v>
      </c>
      <c r="E12" s="48">
        <v>0</v>
      </c>
      <c r="F12" s="217">
        <f>+J52</f>
        <v>0</v>
      </c>
      <c r="G12" s="48">
        <v>0</v>
      </c>
      <c r="H12" s="217">
        <f>+N52</f>
        <v>0</v>
      </c>
      <c r="J12" s="199">
        <f>+D52</f>
        <v>948</v>
      </c>
      <c r="K12" s="51">
        <f t="shared" si="0"/>
        <v>2.9883966244725739</v>
      </c>
      <c r="L12" s="199">
        <f>+H52</f>
        <v>3781</v>
      </c>
      <c r="M12" s="51">
        <f t="shared" si="1"/>
        <v>-0.60777572070880714</v>
      </c>
      <c r="N12" s="199">
        <f>+L52</f>
        <v>1483</v>
      </c>
      <c r="O12" s="51">
        <f t="shared" si="2"/>
        <v>3.7929871881321646</v>
      </c>
      <c r="P12" s="199">
        <f>+P52</f>
        <v>7108</v>
      </c>
    </row>
    <row r="13" spans="1:22">
      <c r="B13" s="20">
        <f>SUM(B10:B12)</f>
        <v>192495</v>
      </c>
      <c r="C13" s="48">
        <v>0</v>
      </c>
      <c r="D13" s="20">
        <f>SUM(D10:D12)</f>
        <v>0</v>
      </c>
      <c r="E13" s="48">
        <v>0</v>
      </c>
      <c r="F13" s="20">
        <f>SUM(F10:F12)</f>
        <v>0</v>
      </c>
      <c r="G13" s="48">
        <v>0</v>
      </c>
      <c r="H13" s="20">
        <f>SUM(H10:H12)</f>
        <v>0</v>
      </c>
      <c r="J13" s="20">
        <f>SUM(J10:J12)</f>
        <v>149118</v>
      </c>
      <c r="K13" s="51">
        <f t="shared" si="0"/>
        <v>5.0684692659504552E-2</v>
      </c>
      <c r="L13" s="20">
        <f>SUM(L10:L12)</f>
        <v>156676</v>
      </c>
      <c r="M13" s="51">
        <f t="shared" si="1"/>
        <v>0.12910081952564528</v>
      </c>
      <c r="N13" s="20">
        <f>SUM(N10:N12)</f>
        <v>176903</v>
      </c>
      <c r="O13" s="51">
        <f t="shared" si="2"/>
        <v>5.2486390846961328E-2</v>
      </c>
      <c r="P13" s="20">
        <f>SUM(P10:P12)</f>
        <v>186188</v>
      </c>
    </row>
    <row r="14" spans="1:22">
      <c r="A14" t="s">
        <v>305</v>
      </c>
      <c r="B14" s="217">
        <f>+B54</f>
        <v>18451</v>
      </c>
      <c r="C14" s="48">
        <v>0</v>
      </c>
      <c r="D14" s="217">
        <f>+F54</f>
        <v>0</v>
      </c>
      <c r="E14" s="48">
        <v>0</v>
      </c>
      <c r="F14" s="217">
        <f>+J54</f>
        <v>0</v>
      </c>
      <c r="G14" s="48">
        <v>0</v>
      </c>
      <c r="H14" s="217">
        <f>+N54</f>
        <v>0</v>
      </c>
      <c r="J14" s="217">
        <f>+D54</f>
        <v>10644</v>
      </c>
      <c r="K14" s="51">
        <f t="shared" si="0"/>
        <v>0.10315670800450959</v>
      </c>
      <c r="L14" s="217">
        <f>+H54</f>
        <v>11742</v>
      </c>
      <c r="M14" s="51">
        <f t="shared" si="1"/>
        <v>0.18506216998807698</v>
      </c>
      <c r="N14" s="217">
        <f>+L54</f>
        <v>13915</v>
      </c>
      <c r="O14" s="51">
        <f t="shared" si="2"/>
        <v>0.20991735537190082</v>
      </c>
      <c r="P14" s="217">
        <f>+P54</f>
        <v>16836</v>
      </c>
    </row>
    <row r="15" spans="1:22">
      <c r="B15" s="20">
        <f>+B13-B14</f>
        <v>174044</v>
      </c>
      <c r="C15" s="48">
        <v>0</v>
      </c>
      <c r="D15" s="20">
        <f>+D13-D14</f>
        <v>0</v>
      </c>
      <c r="E15" s="48">
        <v>0</v>
      </c>
      <c r="F15" s="20">
        <f>+F13-F14</f>
        <v>0</v>
      </c>
      <c r="G15" s="48">
        <v>0</v>
      </c>
      <c r="H15" s="20">
        <f>+H13-H14</f>
        <v>0</v>
      </c>
      <c r="J15" s="20">
        <f>+J13-J14</f>
        <v>138474</v>
      </c>
      <c r="K15" s="51">
        <f t="shared" si="0"/>
        <v>4.6651356933431545E-2</v>
      </c>
      <c r="L15" s="20">
        <f>+L13-L14</f>
        <v>144934</v>
      </c>
      <c r="M15" s="51">
        <f t="shared" si="1"/>
        <v>0.12456704430982378</v>
      </c>
      <c r="N15" s="20">
        <f>+N13-N14</f>
        <v>162988</v>
      </c>
      <c r="O15" s="51">
        <f t="shared" si="2"/>
        <v>3.9045819324122023E-2</v>
      </c>
      <c r="P15" s="20">
        <f>+P13-P14</f>
        <v>169352</v>
      </c>
    </row>
    <row r="16" spans="1:22" ht="9" customHeight="1">
      <c r="B16" s="20"/>
      <c r="C16" s="49" t="s">
        <v>0</v>
      </c>
      <c r="E16" s="49" t="s">
        <v>0</v>
      </c>
      <c r="G16" s="49" t="s">
        <v>0</v>
      </c>
      <c r="J16" s="20"/>
      <c r="K16" s="51"/>
      <c r="L16" s="20"/>
      <c r="M16" s="51"/>
      <c r="N16" s="20"/>
      <c r="O16" s="51"/>
      <c r="P16" s="20"/>
    </row>
    <row r="17" spans="1:16">
      <c r="A17" t="s">
        <v>306</v>
      </c>
      <c r="B17" s="20"/>
      <c r="C17" s="49" t="s">
        <v>0</v>
      </c>
      <c r="E17" s="49" t="s">
        <v>0</v>
      </c>
      <c r="G17" s="49" t="s">
        <v>0</v>
      </c>
      <c r="J17" s="20"/>
      <c r="K17" s="51"/>
      <c r="L17" s="20"/>
      <c r="M17" s="51"/>
      <c r="N17" s="20"/>
      <c r="O17" s="52" t="s">
        <v>0</v>
      </c>
      <c r="P17" s="20"/>
    </row>
    <row r="18" spans="1:16">
      <c r="A18" t="s">
        <v>307</v>
      </c>
      <c r="B18" s="20">
        <f>+B58</f>
        <v>100544</v>
      </c>
      <c r="C18" s="48">
        <v>0</v>
      </c>
      <c r="D18" s="20">
        <f>+F58</f>
        <v>0</v>
      </c>
      <c r="E18" s="48">
        <v>0</v>
      </c>
      <c r="F18" s="20">
        <f>+J58</f>
        <v>0</v>
      </c>
      <c r="G18" s="48">
        <v>0</v>
      </c>
      <c r="H18" s="20">
        <f>+N58</f>
        <v>0</v>
      </c>
      <c r="J18" s="20">
        <f>+D58</f>
        <v>87484</v>
      </c>
      <c r="K18" s="51">
        <f>+(-J18+L18)/ABS(J18)</f>
        <v>-9.5057381921265602E-2</v>
      </c>
      <c r="L18" s="20">
        <f>+H58</f>
        <v>79168</v>
      </c>
      <c r="M18" s="51">
        <f>+(-L18+N18)/ABS(L18)</f>
        <v>0.17143290218270008</v>
      </c>
      <c r="N18" s="20">
        <f>+L58</f>
        <v>92740</v>
      </c>
      <c r="O18" s="51">
        <f>+(-N18+P18)/ABS(N18)</f>
        <v>2.5814103946517144E-2</v>
      </c>
      <c r="P18" s="20">
        <f>+P58</f>
        <v>95134</v>
      </c>
    </row>
    <row r="19" spans="1:16">
      <c r="A19" t="s">
        <v>308</v>
      </c>
      <c r="B19" s="20">
        <f>+B59</f>
        <v>24105</v>
      </c>
      <c r="C19" s="48">
        <v>0</v>
      </c>
      <c r="D19" s="20">
        <f>+F59</f>
        <v>0</v>
      </c>
      <c r="E19" s="48">
        <v>0</v>
      </c>
      <c r="F19" s="20">
        <f>+J59</f>
        <v>0</v>
      </c>
      <c r="G19" s="48">
        <v>0</v>
      </c>
      <c r="H19" s="20">
        <f>+N59</f>
        <v>0</v>
      </c>
      <c r="J19" s="20">
        <f>+D59</f>
        <v>18296</v>
      </c>
      <c r="K19" s="51">
        <f>+(-J19+L19)/ABS(J19)</f>
        <v>0.25355268911237427</v>
      </c>
      <c r="L19" s="20">
        <f>+H59</f>
        <v>22935</v>
      </c>
      <c r="M19" s="51">
        <f>+(-L19+N19)/ABS(L19)</f>
        <v>8.5894920427294526E-3</v>
      </c>
      <c r="N19" s="20">
        <f>+L59</f>
        <v>23132</v>
      </c>
      <c r="O19" s="51">
        <f>+(-N19+P19)/ABS(N19)</f>
        <v>-0.11092858378004496</v>
      </c>
      <c r="P19" s="20">
        <f>+P59</f>
        <v>20566</v>
      </c>
    </row>
    <row r="20" spans="1:16">
      <c r="A20" t="s">
        <v>274</v>
      </c>
      <c r="B20" s="217">
        <f>+B60</f>
        <v>3141</v>
      </c>
      <c r="C20" s="48">
        <v>0</v>
      </c>
      <c r="D20" s="217">
        <f>+F60</f>
        <v>0</v>
      </c>
      <c r="E20" s="48">
        <v>0</v>
      </c>
      <c r="F20" s="217">
        <f>+J60</f>
        <v>0</v>
      </c>
      <c r="G20" s="48">
        <v>0</v>
      </c>
      <c r="H20" s="217">
        <f>+N60</f>
        <v>0</v>
      </c>
      <c r="J20" s="217">
        <f>+D60</f>
        <v>1357</v>
      </c>
      <c r="K20" s="51">
        <f>+(-J20+L20)/ABS(J20)</f>
        <v>3.7759764185703757</v>
      </c>
      <c r="L20" s="217">
        <f>+H60</f>
        <v>6481</v>
      </c>
      <c r="M20" s="51">
        <f>+(-L20+N20)/ABS(L20)</f>
        <v>-0.51458108316617801</v>
      </c>
      <c r="N20" s="217">
        <f>+L60</f>
        <v>3146</v>
      </c>
      <c r="O20" s="51">
        <f>+(-N20+P20)/ABS(N20)</f>
        <v>0.3712650985378258</v>
      </c>
      <c r="P20" s="217">
        <f>+P60</f>
        <v>4314</v>
      </c>
    </row>
    <row r="21" spans="1:16">
      <c r="B21" s="20">
        <f>SUM(B18:B20)</f>
        <v>127790</v>
      </c>
      <c r="C21" s="48">
        <v>0</v>
      </c>
      <c r="D21" s="20">
        <f>SUM(D18:D20)</f>
        <v>0</v>
      </c>
      <c r="E21" s="48">
        <v>0</v>
      </c>
      <c r="F21" s="20">
        <f>SUM(F18:F20)</f>
        <v>0</v>
      </c>
      <c r="G21" s="48">
        <v>0</v>
      </c>
      <c r="H21" s="20">
        <f>SUM(H18:H20)</f>
        <v>0</v>
      </c>
      <c r="J21" s="20">
        <f>SUM(J18:J20)</f>
        <v>107137</v>
      </c>
      <c r="K21" s="51">
        <f>+(-J21+L21)/ABS(J21)</f>
        <v>1.3506071665251035E-2</v>
      </c>
      <c r="L21" s="20">
        <f>SUM(L18:L20)</f>
        <v>108584</v>
      </c>
      <c r="M21" s="51">
        <f>+(-L21+N21)/ABS(L21)</f>
        <v>9.609150519413541E-2</v>
      </c>
      <c r="N21" s="20">
        <f>SUM(N18:N20)</f>
        <v>119018</v>
      </c>
      <c r="O21" s="51">
        <f>+(-N21+P21)/ABS(N21)</f>
        <v>8.3684820783410906E-3</v>
      </c>
      <c r="P21" s="20">
        <f>SUM(P18:P20)</f>
        <v>120014</v>
      </c>
    </row>
    <row r="22" spans="1:16">
      <c r="B22" s="217"/>
      <c r="C22" s="49" t="s">
        <v>0</v>
      </c>
      <c r="D22" s="217"/>
      <c r="E22" s="49" t="s">
        <v>0</v>
      </c>
      <c r="F22" s="334"/>
      <c r="G22" s="49" t="s">
        <v>0</v>
      </c>
      <c r="H22" s="334"/>
      <c r="J22" s="217"/>
      <c r="K22" s="51"/>
      <c r="L22" s="217"/>
      <c r="M22" s="51"/>
      <c r="N22" s="217"/>
      <c r="O22" s="51"/>
      <c r="P22" s="217"/>
    </row>
    <row r="23" spans="1:16">
      <c r="A23" t="s">
        <v>309</v>
      </c>
      <c r="B23" s="20">
        <f>+B15+B21</f>
        <v>301834</v>
      </c>
      <c r="C23" s="48">
        <v>0</v>
      </c>
      <c r="D23" s="20">
        <f>+D15+D21</f>
        <v>0</v>
      </c>
      <c r="E23" s="48">
        <v>0</v>
      </c>
      <c r="F23" s="20">
        <f>+F15+F21</f>
        <v>0</v>
      </c>
      <c r="G23" s="48">
        <v>0</v>
      </c>
      <c r="H23" s="20">
        <f>+H15+H21</f>
        <v>0</v>
      </c>
      <c r="J23" s="20">
        <f>+J15+J21</f>
        <v>245611</v>
      </c>
      <c r="K23" s="51">
        <f>+(-J23+L23)/ABS(J23)</f>
        <v>3.2193183530053619E-2</v>
      </c>
      <c r="L23" s="20">
        <f>+L15+L21</f>
        <v>253518</v>
      </c>
      <c r="M23" s="51">
        <f>+(-L23+N23)/ABS(L23)</f>
        <v>0.11237071923887061</v>
      </c>
      <c r="N23" s="20">
        <f>+N15+N21</f>
        <v>282006</v>
      </c>
      <c r="O23" s="51">
        <f>+(-N23+P23)/ABS(N23)</f>
        <v>2.6098735487897422E-2</v>
      </c>
      <c r="P23" s="20">
        <f>+P15+P21</f>
        <v>289366</v>
      </c>
    </row>
    <row r="24" spans="1:16">
      <c r="B24" s="20"/>
      <c r="C24" s="49" t="s">
        <v>0</v>
      </c>
      <c r="D24" s="20"/>
      <c r="E24" s="49" t="s">
        <v>0</v>
      </c>
      <c r="G24" s="49" t="s">
        <v>0</v>
      </c>
      <c r="J24" s="20"/>
      <c r="K24" s="51"/>
      <c r="L24" s="20"/>
      <c r="M24" s="51"/>
      <c r="N24" s="20"/>
      <c r="O24" s="51"/>
      <c r="P24" s="20"/>
    </row>
    <row r="25" spans="1:16">
      <c r="A25" t="s">
        <v>403</v>
      </c>
      <c r="B25" s="20">
        <f>+B65</f>
        <v>11425</v>
      </c>
      <c r="C25" s="48">
        <v>0</v>
      </c>
      <c r="D25" s="20">
        <f>+F65</f>
        <v>0</v>
      </c>
      <c r="E25" s="48">
        <v>0</v>
      </c>
      <c r="F25" s="20">
        <f>+J65</f>
        <v>0</v>
      </c>
      <c r="G25" s="48">
        <v>0</v>
      </c>
      <c r="H25" s="20">
        <f>+N65</f>
        <v>0</v>
      </c>
      <c r="J25" s="20">
        <f>+D65</f>
        <v>4936</v>
      </c>
      <c r="K25" s="51">
        <f>+(-J25+L25)/ABS(J25)</f>
        <v>0.18800648298217179</v>
      </c>
      <c r="L25" s="20">
        <f>+H65</f>
        <v>5864</v>
      </c>
      <c r="M25" s="51">
        <f>+(-L25+N25)/ABS(L25)</f>
        <v>1.8971691678035472</v>
      </c>
      <c r="N25" s="20">
        <f>+L65</f>
        <v>16989</v>
      </c>
      <c r="O25" s="51">
        <f>+(-N25+P25)/ABS(N25)</f>
        <v>-0.70857613750073578</v>
      </c>
      <c r="P25" s="20">
        <f>+P65</f>
        <v>4951</v>
      </c>
    </row>
    <row r="26" spans="1:16">
      <c r="B26" s="20"/>
      <c r="C26" s="49" t="s">
        <v>0</v>
      </c>
      <c r="D26" s="20"/>
      <c r="E26" s="49" t="s">
        <v>0</v>
      </c>
      <c r="G26" s="49" t="s">
        <v>0</v>
      </c>
      <c r="J26" s="20"/>
      <c r="K26" s="51"/>
      <c r="L26" s="20"/>
      <c r="M26" s="51"/>
      <c r="N26" s="20"/>
      <c r="O26" s="51"/>
      <c r="P26" s="20"/>
    </row>
    <row r="27" spans="1:16">
      <c r="A27" t="s">
        <v>311</v>
      </c>
      <c r="B27" s="217"/>
      <c r="C27" s="49" t="s">
        <v>0</v>
      </c>
      <c r="D27" s="217"/>
      <c r="E27" s="49" t="s">
        <v>0</v>
      </c>
      <c r="F27" s="334"/>
      <c r="G27" s="49" t="s">
        <v>0</v>
      </c>
      <c r="H27" s="334"/>
      <c r="J27" s="217"/>
      <c r="K27" s="51"/>
      <c r="L27" s="217"/>
      <c r="M27" s="51"/>
      <c r="N27" s="217"/>
      <c r="O27" s="51"/>
      <c r="P27" s="217"/>
    </row>
    <row r="28" spans="1:16">
      <c r="A28" t="s">
        <v>312</v>
      </c>
      <c r="B28" s="20">
        <f>+B23-B25</f>
        <v>290409</v>
      </c>
      <c r="C28" s="48">
        <v>0</v>
      </c>
      <c r="D28" s="20">
        <f>+D23-D25</f>
        <v>0</v>
      </c>
      <c r="E28" s="48">
        <v>0</v>
      </c>
      <c r="F28" s="20">
        <f>+F23-F25</f>
        <v>0</v>
      </c>
      <c r="G28" s="48">
        <v>0</v>
      </c>
      <c r="H28" s="20">
        <f>+H23-H25</f>
        <v>0</v>
      </c>
      <c r="J28" s="20">
        <f>+J23-J25</f>
        <v>240675</v>
      </c>
      <c r="K28" s="51">
        <f>+(-J28+L28)/ABS(J28)</f>
        <v>2.899761088604965E-2</v>
      </c>
      <c r="L28" s="20">
        <f>+L23-L25</f>
        <v>247654</v>
      </c>
      <c r="M28" s="51">
        <f>+(-L28+N28)/ABS(L28)</f>
        <v>7.0109911408658854E-2</v>
      </c>
      <c r="N28" s="20">
        <f>+N23-N25</f>
        <v>265017</v>
      </c>
      <c r="O28" s="51">
        <f>+(-N28+P28)/ABS(N28)</f>
        <v>7.3195304452167223E-2</v>
      </c>
      <c r="P28" s="20">
        <f>+P23-P25</f>
        <v>284415</v>
      </c>
    </row>
    <row r="29" spans="1:16">
      <c r="B29" s="20"/>
      <c r="C29" s="49" t="s">
        <v>0</v>
      </c>
      <c r="D29" s="20"/>
      <c r="E29" s="49" t="s">
        <v>0</v>
      </c>
      <c r="G29" s="49" t="s">
        <v>0</v>
      </c>
      <c r="J29" s="20"/>
      <c r="K29" s="51"/>
      <c r="L29" s="20"/>
      <c r="M29" s="51"/>
      <c r="N29" s="20"/>
      <c r="O29" s="51"/>
      <c r="P29" s="20"/>
    </row>
    <row r="30" spans="1:16">
      <c r="A30" t="s">
        <v>313</v>
      </c>
      <c r="B30" s="20"/>
      <c r="C30" s="49" t="s">
        <v>0</v>
      </c>
      <c r="D30" s="20"/>
      <c r="E30" s="49" t="s">
        <v>0</v>
      </c>
      <c r="G30" s="49" t="s">
        <v>0</v>
      </c>
      <c r="J30" s="20"/>
      <c r="K30" s="51"/>
      <c r="L30" s="20"/>
      <c r="M30" s="51"/>
      <c r="N30" s="20"/>
      <c r="O30" s="51"/>
      <c r="P30" s="20"/>
    </row>
    <row r="31" spans="1:16">
      <c r="A31" t="s">
        <v>314</v>
      </c>
      <c r="B31" s="20">
        <f>+B71</f>
        <v>72682</v>
      </c>
      <c r="C31" s="48">
        <v>0</v>
      </c>
      <c r="D31" s="20">
        <f>+F71</f>
        <v>0</v>
      </c>
      <c r="E31" s="48">
        <v>0</v>
      </c>
      <c r="F31" s="20">
        <f>+J71</f>
        <v>0</v>
      </c>
      <c r="G31" s="48">
        <v>0</v>
      </c>
      <c r="H31" s="20">
        <f>+N71</f>
        <v>0</v>
      </c>
      <c r="J31" s="20">
        <f>+D71</f>
        <v>64399</v>
      </c>
      <c r="K31" s="51">
        <f>+(-J31+L31)/ABS(J31)</f>
        <v>1.4580971754219785E-2</v>
      </c>
      <c r="L31" s="20">
        <f>+H71</f>
        <v>65338</v>
      </c>
      <c r="M31" s="51">
        <f>+(-L31+N31)/ABS(L31)</f>
        <v>2.1365820808717746E-2</v>
      </c>
      <c r="N31" s="20">
        <f>+L71</f>
        <v>66734</v>
      </c>
      <c r="O31" s="51">
        <f>+(-N31+P31)/ABS(N31)</f>
        <v>9.9109899002007978E-2</v>
      </c>
      <c r="P31" s="20">
        <f>+P71</f>
        <v>73348</v>
      </c>
    </row>
    <row r="32" spans="1:16">
      <c r="A32" t="s">
        <v>315</v>
      </c>
      <c r="B32" s="20">
        <f>+B72</f>
        <v>20991</v>
      </c>
      <c r="C32" s="48">
        <v>0</v>
      </c>
      <c r="D32" s="20">
        <f>+F72</f>
        <v>0</v>
      </c>
      <c r="E32" s="48">
        <v>0</v>
      </c>
      <c r="F32" s="20">
        <f>+J72</f>
        <v>0</v>
      </c>
      <c r="G32" s="48">
        <v>0</v>
      </c>
      <c r="H32" s="20">
        <f>+N72</f>
        <v>0</v>
      </c>
      <c r="J32" s="20">
        <f>+D72</f>
        <v>19651</v>
      </c>
      <c r="K32" s="51">
        <f>+(-J32+L32)/ABS(J32)</f>
        <v>0.16258714569233118</v>
      </c>
      <c r="L32" s="20">
        <f>+H72</f>
        <v>22846</v>
      </c>
      <c r="M32" s="51">
        <f>+(-L32+N32)/ABS(L32)</f>
        <v>-8.4434912019609565E-2</v>
      </c>
      <c r="N32" s="20">
        <f>+L72</f>
        <v>20917</v>
      </c>
      <c r="O32" s="51">
        <f>+(-N32+P32)/ABS(N32)</f>
        <v>6.7313668308074767E-2</v>
      </c>
      <c r="P32" s="20">
        <f>+P72</f>
        <v>22325</v>
      </c>
    </row>
    <row r="33" spans="1:22">
      <c r="A33" t="s">
        <v>316</v>
      </c>
      <c r="B33" s="20">
        <f>+B73</f>
        <v>12415</v>
      </c>
      <c r="C33" s="48">
        <v>0</v>
      </c>
      <c r="D33" s="20">
        <f>+F73</f>
        <v>0</v>
      </c>
      <c r="E33" s="48">
        <v>0</v>
      </c>
      <c r="F33" s="20">
        <f>+J73</f>
        <v>0</v>
      </c>
      <c r="G33" s="48">
        <v>0</v>
      </c>
      <c r="H33" s="20">
        <f>+N73</f>
        <v>0</v>
      </c>
      <c r="J33" s="20">
        <f>+D73</f>
        <v>10801</v>
      </c>
      <c r="K33" s="51">
        <f>+(-J33+L33)/ABS(J33)</f>
        <v>8.0825849458383489E-2</v>
      </c>
      <c r="L33" s="20">
        <f>+H73</f>
        <v>11674</v>
      </c>
      <c r="M33" s="51">
        <f>+(-L33+N33)/ABS(L33)</f>
        <v>3.0066815144766147E-2</v>
      </c>
      <c r="N33" s="20">
        <f>+L73</f>
        <v>12025</v>
      </c>
      <c r="O33" s="51">
        <f>+(-N33+P33)/ABS(N33)</f>
        <v>-2.0706860706860706E-2</v>
      </c>
      <c r="P33" s="20">
        <f>+P73</f>
        <v>11776</v>
      </c>
    </row>
    <row r="34" spans="1:22">
      <c r="A34" t="s">
        <v>317</v>
      </c>
      <c r="B34" s="217">
        <f>+B74</f>
        <v>92882</v>
      </c>
      <c r="C34" s="48">
        <v>0</v>
      </c>
      <c r="D34" s="217">
        <f>+F74</f>
        <v>0</v>
      </c>
      <c r="E34" s="48">
        <v>0</v>
      </c>
      <c r="F34" s="217">
        <f>+J74</f>
        <v>0</v>
      </c>
      <c r="G34" s="48">
        <v>0</v>
      </c>
      <c r="H34" s="217">
        <f>+N74</f>
        <v>0</v>
      </c>
      <c r="J34" s="217">
        <f>+D74</f>
        <v>74820</v>
      </c>
      <c r="K34" s="51">
        <f>+(-J34+L34)/ABS(J34)</f>
        <v>9.5348837209302331E-2</v>
      </c>
      <c r="L34" s="217">
        <f>+H74</f>
        <v>81954</v>
      </c>
      <c r="M34" s="51">
        <f>+(-L34+N34)/ABS(L34)</f>
        <v>4.092539717402445E-2</v>
      </c>
      <c r="N34" s="217">
        <f>+L74</f>
        <v>85308</v>
      </c>
      <c r="O34" s="51">
        <f>+(-N34+P34)/ABS(N34)</f>
        <v>0.19369812913208609</v>
      </c>
      <c r="P34" s="217">
        <f>+P74</f>
        <v>101832</v>
      </c>
    </row>
    <row r="35" spans="1:22">
      <c r="B35" s="20">
        <f>SUM(B31:B34)</f>
        <v>198970</v>
      </c>
      <c r="C35" s="48">
        <v>0</v>
      </c>
      <c r="D35" s="20">
        <f>SUM(D31:D34)</f>
        <v>0</v>
      </c>
      <c r="E35" s="48">
        <v>0</v>
      </c>
      <c r="F35" s="20">
        <f>SUM(F31:F34)</f>
        <v>0</v>
      </c>
      <c r="G35" s="48">
        <v>0</v>
      </c>
      <c r="H35" s="20">
        <f>SUM(H31:H34)</f>
        <v>0</v>
      </c>
      <c r="J35" s="20">
        <f>SUM(J31:J34)</f>
        <v>169671</v>
      </c>
      <c r="K35" s="51">
        <f>+(-J35+L35)/ABS(J35)</f>
        <v>7.1556129214774472E-2</v>
      </c>
      <c r="L35" s="20">
        <f>SUM(L31:L34)</f>
        <v>181812</v>
      </c>
      <c r="M35" s="51">
        <f>+(-L35+N35)/ABS(L35)</f>
        <v>1.744659318416826E-2</v>
      </c>
      <c r="N35" s="20">
        <f>SUM(N31:N34)</f>
        <v>184984</v>
      </c>
      <c r="O35" s="51">
        <f>+(-N35+P35)/ABS(N35)</f>
        <v>0.13134649483198546</v>
      </c>
      <c r="P35" s="20">
        <f>SUM(P31:P34)</f>
        <v>209281</v>
      </c>
    </row>
    <row r="36" spans="1:22">
      <c r="B36" s="217"/>
      <c r="C36" s="48"/>
      <c r="D36" s="217"/>
      <c r="E36" s="48"/>
      <c r="F36" s="334"/>
      <c r="G36" s="48"/>
      <c r="H36" s="334"/>
      <c r="J36" s="217"/>
      <c r="K36" s="51"/>
      <c r="L36" s="217"/>
      <c r="M36" s="51"/>
      <c r="N36" s="217"/>
      <c r="O36" s="51"/>
      <c r="P36" s="217"/>
    </row>
    <row r="37" spans="1:22">
      <c r="A37" t="s">
        <v>318</v>
      </c>
      <c r="B37" s="20">
        <f>+B28-B35</f>
        <v>91439</v>
      </c>
      <c r="C37" s="48">
        <v>0</v>
      </c>
      <c r="D37" s="20">
        <f>+D28-D35</f>
        <v>0</v>
      </c>
      <c r="E37" s="48">
        <v>0</v>
      </c>
      <c r="F37" s="20">
        <f>+F28-F35</f>
        <v>0</v>
      </c>
      <c r="G37" s="48">
        <v>0</v>
      </c>
      <c r="H37" s="20">
        <f>+H28-H35</f>
        <v>0</v>
      </c>
      <c r="J37" s="20">
        <f>+J28-J35</f>
        <v>71004</v>
      </c>
      <c r="K37" s="51">
        <f>+(-J37+L37)/ABS(J37)</f>
        <v>-7.2700129570165056E-2</v>
      </c>
      <c r="L37" s="20">
        <f>+L28-L35</f>
        <v>65842</v>
      </c>
      <c r="M37" s="51">
        <f>+(-L37+N37)/ABS(L37)</f>
        <v>0.21553111995382887</v>
      </c>
      <c r="N37" s="20">
        <f>+N28-N35</f>
        <v>80033</v>
      </c>
      <c r="O37" s="51">
        <f>+(-N37+P37)/ABS(N37)</f>
        <v>-6.1212249946896904E-2</v>
      </c>
      <c r="P37" s="20">
        <f>+P28-P35</f>
        <v>75134</v>
      </c>
    </row>
    <row r="38" spans="1:22">
      <c r="B38" s="20"/>
      <c r="C38" s="49" t="s">
        <v>0</v>
      </c>
      <c r="D38" s="20"/>
      <c r="E38" s="49" t="s">
        <v>0</v>
      </c>
      <c r="G38" s="49" t="s">
        <v>0</v>
      </c>
      <c r="J38" s="20"/>
      <c r="K38" s="51"/>
      <c r="L38" s="20"/>
      <c r="M38" s="51"/>
      <c r="N38" s="20"/>
      <c r="O38" s="51"/>
      <c r="P38" s="20"/>
    </row>
    <row r="39" spans="1:22">
      <c r="A39" t="s">
        <v>319</v>
      </c>
      <c r="B39" s="20">
        <f>+B79</f>
        <v>18288</v>
      </c>
      <c r="C39" s="48">
        <v>0</v>
      </c>
      <c r="D39" s="20">
        <f>+F79</f>
        <v>0</v>
      </c>
      <c r="E39" s="48">
        <v>0</v>
      </c>
      <c r="F39" s="20">
        <f>+J79</f>
        <v>0</v>
      </c>
      <c r="G39" s="48">
        <v>0</v>
      </c>
      <c r="H39" s="20">
        <f>+N79</f>
        <v>0</v>
      </c>
      <c r="J39" s="20">
        <f>+D79</f>
        <v>14201</v>
      </c>
      <c r="K39" s="51">
        <f>+(-J39+L39)/ABS(J39)</f>
        <v>-7.267093866629111E-2</v>
      </c>
      <c r="L39" s="20">
        <f>+H79</f>
        <v>13169</v>
      </c>
      <c r="M39" s="51">
        <f>+(-L39+N39)/ABS(L39)</f>
        <v>0.21573392057103805</v>
      </c>
      <c r="N39" s="20">
        <f>+L79</f>
        <v>16010</v>
      </c>
      <c r="O39" s="51">
        <f>+(-N39+P39)/ABS(N39)</f>
        <v>-0.15196752029981261</v>
      </c>
      <c r="P39" s="20">
        <f>+P79</f>
        <v>13577</v>
      </c>
    </row>
    <row r="40" spans="1:22" ht="16.5" thickBot="1">
      <c r="B40" s="79"/>
      <c r="C40" s="49" t="s">
        <v>0</v>
      </c>
      <c r="D40" s="79"/>
      <c r="E40" s="49" t="s">
        <v>0</v>
      </c>
      <c r="F40" s="36"/>
      <c r="G40" s="49" t="s">
        <v>0</v>
      </c>
      <c r="H40" s="36"/>
      <c r="J40" s="79"/>
      <c r="K40" s="51"/>
      <c r="L40" s="79"/>
      <c r="M40" s="51"/>
      <c r="N40" s="79"/>
      <c r="O40" s="51"/>
      <c r="P40" s="79"/>
    </row>
    <row r="41" spans="1:22" s="11" customFormat="1">
      <c r="A41" s="11" t="s">
        <v>326</v>
      </c>
      <c r="B41" s="13">
        <f>+B37-B39</f>
        <v>73151</v>
      </c>
      <c r="C41" s="47">
        <v>0</v>
      </c>
      <c r="D41" s="13">
        <f>+D37-D39</f>
        <v>0</v>
      </c>
      <c r="E41" s="47">
        <v>0</v>
      </c>
      <c r="F41" s="13">
        <f>+F37-F39</f>
        <v>0</v>
      </c>
      <c r="G41" s="47">
        <v>0</v>
      </c>
      <c r="H41" s="13">
        <f>+H37-H39</f>
        <v>0</v>
      </c>
      <c r="I41" s="137"/>
      <c r="J41" s="13">
        <f>+J37-J39</f>
        <v>56803</v>
      </c>
      <c r="K41" s="109">
        <f>+(-J41+L41)/ABS(J41)</f>
        <v>-7.2707427424607854E-2</v>
      </c>
      <c r="L41" s="13">
        <f>+L37-L39</f>
        <v>52673</v>
      </c>
      <c r="M41" s="109">
        <f>+(-L41+N41)/ABS(L41)</f>
        <v>0.21548041691189035</v>
      </c>
      <c r="N41" s="13">
        <f>+N37-N39</f>
        <v>64023</v>
      </c>
      <c r="O41" s="109">
        <f>+(-N41+P41)/ABS(N41)</f>
        <v>-3.8517407806569516E-2</v>
      </c>
      <c r="P41" s="13">
        <f>+P37-P39</f>
        <v>61557</v>
      </c>
      <c r="Q41" s="137"/>
      <c r="R41" s="137"/>
      <c r="S41" s="137"/>
      <c r="T41" s="137"/>
      <c r="U41" s="137"/>
    </row>
    <row r="42" spans="1:22" ht="5.45" customHeight="1">
      <c r="C42" s="35"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218" t="str">
        <f>+buhrésult!B46</f>
        <v xml:space="preserve"> 2015</v>
      </c>
      <c r="C46" s="137" t="s">
        <v>0</v>
      </c>
      <c r="D46" s="218" t="str">
        <f>+buhrésult!D46</f>
        <v xml:space="preserve"> 2014</v>
      </c>
      <c r="E46" s="137"/>
      <c r="F46" s="218" t="str">
        <f>+buhrésult!F46</f>
        <v xml:space="preserve"> 2015</v>
      </c>
      <c r="G46" s="137" t="s">
        <v>0</v>
      </c>
      <c r="H46" s="218" t="str">
        <f>+buhrésult!H46</f>
        <v xml:space="preserve"> 2014</v>
      </c>
      <c r="I46" s="137"/>
      <c r="J46" s="218" t="str">
        <f>+buhrésult!J46</f>
        <v xml:space="preserve"> 2015</v>
      </c>
      <c r="K46" s="137" t="s">
        <v>0</v>
      </c>
      <c r="L46" s="218" t="str">
        <f>+buhrésult!L46</f>
        <v xml:space="preserve"> 2014</v>
      </c>
      <c r="M46" s="137"/>
      <c r="N46" s="218" t="str">
        <f>+buhrésult!N46</f>
        <v xml:space="preserve"> 2015</v>
      </c>
      <c r="O46" s="137" t="s">
        <v>0</v>
      </c>
      <c r="P46" s="218" t="str">
        <f>+buhrésult!P46</f>
        <v xml:space="preserve"> 2014</v>
      </c>
      <c r="Q46" s="137"/>
      <c r="R46" s="1021" t="str">
        <f>+buhrésult!R46</f>
        <v xml:space="preserve"> 2014 (oct.-déc. 14)</v>
      </c>
      <c r="S46" s="137"/>
      <c r="T46" s="1021" t="str">
        <f>+buhrésult!T46</f>
        <v xml:space="preserve"> 2013 (oct. -déc. 13)</v>
      </c>
      <c r="U46" s="218" t="str">
        <f>+buhrésult!U46</f>
        <v>2014</v>
      </c>
    </row>
    <row r="47" spans="1:22" ht="16.5" thickBot="1">
      <c r="B47" s="220"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4">
      <c r="A49" t="s">
        <v>301</v>
      </c>
      <c r="B49" s="24" t="s">
        <v>0</v>
      </c>
      <c r="C49" s="52" t="s">
        <v>0</v>
      </c>
      <c r="D49" s="24" t="s">
        <v>0</v>
      </c>
      <c r="E49" s="35" t="s">
        <v>0</v>
      </c>
      <c r="F49" s="35" t="s">
        <v>0</v>
      </c>
      <c r="G49" s="52" t="s">
        <v>0</v>
      </c>
      <c r="H49" s="24" t="s">
        <v>0</v>
      </c>
      <c r="I49" s="35" t="s">
        <v>0</v>
      </c>
      <c r="J49" s="35" t="s">
        <v>0</v>
      </c>
      <c r="K49" s="52" t="s">
        <v>0</v>
      </c>
      <c r="L49" s="24" t="s">
        <v>0</v>
      </c>
      <c r="M49" s="35" t="s">
        <v>0</v>
      </c>
      <c r="N49" s="35" t="s">
        <v>0</v>
      </c>
      <c r="O49" s="52" t="s">
        <v>0</v>
      </c>
      <c r="P49" s="24" t="s">
        <v>0</v>
      </c>
      <c r="Q49" s="35" t="s">
        <v>0</v>
      </c>
      <c r="R49" s="24" t="s">
        <v>0</v>
      </c>
      <c r="S49" s="52" t="s">
        <v>0</v>
      </c>
      <c r="T49" s="24" t="s">
        <v>0</v>
      </c>
      <c r="U49" s="24" t="s">
        <v>0</v>
      </c>
      <c r="V49" t="s">
        <v>0</v>
      </c>
      <c r="W49" t="s">
        <v>0</v>
      </c>
      <c r="X49" t="s">
        <v>0</v>
      </c>
    </row>
    <row r="50" spans="1:24">
      <c r="A50" t="s">
        <v>302</v>
      </c>
      <c r="B50" s="20">
        <v>180436</v>
      </c>
      <c r="C50" s="51">
        <f t="shared" ref="C50:C55" si="3">+(B50-D50)/ABS(D50)</f>
        <v>0.23375042735042734</v>
      </c>
      <c r="D50" s="20">
        <v>146250</v>
      </c>
      <c r="E50" s="35"/>
      <c r="F50" s="20">
        <v>0</v>
      </c>
      <c r="G50" s="48">
        <v>0</v>
      </c>
      <c r="H50" s="20">
        <v>151099</v>
      </c>
      <c r="J50" s="20">
        <v>0</v>
      </c>
      <c r="K50" s="48">
        <v>0</v>
      </c>
      <c r="L50" s="20">
        <v>175226</v>
      </c>
      <c r="M50" s="35"/>
      <c r="N50" s="20">
        <v>0</v>
      </c>
      <c r="O50" s="48">
        <v>0</v>
      </c>
      <c r="P50" s="20">
        <v>177422</v>
      </c>
      <c r="R50" s="20">
        <f>+B50+F50+J50+N50</f>
        <v>180436</v>
      </c>
      <c r="S50" s="51">
        <f t="shared" ref="S50:S55" si="4">+(R50-T50)/ABS(T50)</f>
        <v>0.23375042735042734</v>
      </c>
      <c r="T50" s="81">
        <f>+D50</f>
        <v>146250</v>
      </c>
      <c r="U50" s="20">
        <f>+D50+H50+L50+P50</f>
        <v>649997</v>
      </c>
    </row>
    <row r="51" spans="1:24">
      <c r="A51" t="s">
        <v>322</v>
      </c>
      <c r="B51" s="20">
        <v>6974</v>
      </c>
      <c r="C51" s="51">
        <f t="shared" si="3"/>
        <v>2.6322916666666667</v>
      </c>
      <c r="D51" s="20">
        <v>1920</v>
      </c>
      <c r="E51" s="35"/>
      <c r="F51" s="20">
        <v>0</v>
      </c>
      <c r="G51" s="48">
        <v>0</v>
      </c>
      <c r="H51" s="20">
        <v>1796</v>
      </c>
      <c r="J51" s="20">
        <v>0</v>
      </c>
      <c r="K51" s="48">
        <v>0</v>
      </c>
      <c r="L51" s="20">
        <v>194</v>
      </c>
      <c r="M51" s="35"/>
      <c r="N51" s="20">
        <v>0</v>
      </c>
      <c r="O51" s="48">
        <v>0</v>
      </c>
      <c r="P51" s="20">
        <v>1658</v>
      </c>
      <c r="R51" s="20">
        <f>+B51+F51+J51+N51</f>
        <v>6974</v>
      </c>
      <c r="S51" s="51">
        <f t="shared" si="4"/>
        <v>2.6322916666666667</v>
      </c>
      <c r="T51" s="81">
        <f>+D51</f>
        <v>1920</v>
      </c>
      <c r="U51" s="20">
        <f>+D51+H51+L51+P51</f>
        <v>5568</v>
      </c>
    </row>
    <row r="52" spans="1:24">
      <c r="A52" t="s">
        <v>304</v>
      </c>
      <c r="B52" s="199">
        <v>5085</v>
      </c>
      <c r="C52" s="51">
        <f t="shared" si="3"/>
        <v>4.3639240506329111</v>
      </c>
      <c r="D52" s="199">
        <v>948</v>
      </c>
      <c r="E52" s="23" t="s">
        <v>0</v>
      </c>
      <c r="F52" s="199">
        <v>0</v>
      </c>
      <c r="G52" s="48">
        <v>0</v>
      </c>
      <c r="H52" s="199">
        <v>3781</v>
      </c>
      <c r="J52" s="199">
        <v>0</v>
      </c>
      <c r="K52" s="48">
        <v>0</v>
      </c>
      <c r="L52" s="199">
        <v>1483</v>
      </c>
      <c r="M52" s="35"/>
      <c r="N52" s="199">
        <v>0</v>
      </c>
      <c r="O52" s="48">
        <v>0</v>
      </c>
      <c r="P52" s="199">
        <v>7108</v>
      </c>
      <c r="R52" s="217">
        <f>+B52+F52+J52+N52</f>
        <v>5085</v>
      </c>
      <c r="S52" s="51">
        <f t="shared" si="4"/>
        <v>4.3639240506329111</v>
      </c>
      <c r="T52" s="217">
        <f>+D52</f>
        <v>948</v>
      </c>
      <c r="U52" s="217">
        <f>+D52+H52+L52+P52</f>
        <v>13320</v>
      </c>
    </row>
    <row r="53" spans="1:24">
      <c r="B53" s="20">
        <f>SUM(B50:B52)</f>
        <v>192495</v>
      </c>
      <c r="C53" s="51">
        <f t="shared" si="3"/>
        <v>0.29089043576228224</v>
      </c>
      <c r="D53" s="20">
        <f>SUM(D50:D52)</f>
        <v>149118</v>
      </c>
      <c r="E53" s="35"/>
      <c r="F53" s="20">
        <f>SUM(F50:F52)</f>
        <v>0</v>
      </c>
      <c r="G53" s="48">
        <v>0</v>
      </c>
      <c r="H53" s="20">
        <f>SUM(H50:H52)</f>
        <v>156676</v>
      </c>
      <c r="J53" s="20">
        <f>SUM(J50:J52)</f>
        <v>0</v>
      </c>
      <c r="K53" s="48">
        <v>0</v>
      </c>
      <c r="L53" s="20">
        <f>SUM(L50:L52)</f>
        <v>176903</v>
      </c>
      <c r="M53" s="35"/>
      <c r="N53" s="20">
        <f>SUM(N50:N52)</f>
        <v>0</v>
      </c>
      <c r="O53" s="48">
        <v>0</v>
      </c>
      <c r="P53" s="20">
        <f>SUM(P50:P52)</f>
        <v>186188</v>
      </c>
      <c r="R53" s="20">
        <f>SUM(R50:R52)</f>
        <v>192495</v>
      </c>
      <c r="S53" s="51">
        <f t="shared" si="4"/>
        <v>0.29089043576228224</v>
      </c>
      <c r="T53" s="20">
        <f>SUM(T50:T52)</f>
        <v>149118</v>
      </c>
      <c r="U53" s="20">
        <f>SUM(U50:U52)</f>
        <v>668885</v>
      </c>
    </row>
    <row r="54" spans="1:24">
      <c r="A54" t="s">
        <v>305</v>
      </c>
      <c r="B54" s="217">
        <v>18451</v>
      </c>
      <c r="C54" s="51">
        <f t="shared" si="3"/>
        <v>0.73346486283352119</v>
      </c>
      <c r="D54" s="217">
        <v>10644</v>
      </c>
      <c r="E54" s="35" t="s">
        <v>0</v>
      </c>
      <c r="F54" s="217">
        <v>0</v>
      </c>
      <c r="G54" s="48">
        <v>0</v>
      </c>
      <c r="H54" s="217">
        <v>11742</v>
      </c>
      <c r="J54" s="217">
        <v>0</v>
      </c>
      <c r="K54" s="48">
        <v>0</v>
      </c>
      <c r="L54" s="217">
        <v>13915</v>
      </c>
      <c r="M54" s="35" t="s">
        <v>0</v>
      </c>
      <c r="N54" s="217">
        <v>0</v>
      </c>
      <c r="O54" s="48">
        <v>0</v>
      </c>
      <c r="P54" s="217">
        <v>16836</v>
      </c>
      <c r="R54" s="217">
        <f>+B54+F54+J54+N54</f>
        <v>18451</v>
      </c>
      <c r="S54" s="51">
        <f t="shared" si="4"/>
        <v>0.73346486283352119</v>
      </c>
      <c r="T54" s="217">
        <f>+D54</f>
        <v>10644</v>
      </c>
      <c r="U54" s="217">
        <f>+D54+H54+L54+P54</f>
        <v>53137</v>
      </c>
    </row>
    <row r="55" spans="1:24">
      <c r="B55" s="20">
        <f>+B53-B54</f>
        <v>174044</v>
      </c>
      <c r="C55" s="51">
        <f t="shared" si="3"/>
        <v>0.25687132602510221</v>
      </c>
      <c r="D55" s="20">
        <f>+D53-D54</f>
        <v>138474</v>
      </c>
      <c r="E55" s="35" t="s">
        <v>0</v>
      </c>
      <c r="F55" s="20">
        <f>+F53-F54</f>
        <v>0</v>
      </c>
      <c r="G55" s="48">
        <v>0</v>
      </c>
      <c r="H55" s="20">
        <f>+H53-H54</f>
        <v>144934</v>
      </c>
      <c r="J55" s="20">
        <f>+J53-J54</f>
        <v>0</v>
      </c>
      <c r="K55" s="48">
        <v>0</v>
      </c>
      <c r="L55" s="20">
        <f>+L53-L54</f>
        <v>162988</v>
      </c>
      <c r="M55" s="35" t="s">
        <v>0</v>
      </c>
      <c r="N55" s="20">
        <f>+N53-N54</f>
        <v>0</v>
      </c>
      <c r="O55" s="48">
        <v>0</v>
      </c>
      <c r="P55" s="20">
        <f>+P53-P54</f>
        <v>169352</v>
      </c>
      <c r="R55" s="20">
        <f>+R53-R54</f>
        <v>174044</v>
      </c>
      <c r="S55" s="51">
        <f t="shared" si="4"/>
        <v>0.25687132602510221</v>
      </c>
      <c r="T55" s="20">
        <f>+T53-T54</f>
        <v>138474</v>
      </c>
      <c r="U55" s="20">
        <f>+U53-U54</f>
        <v>615748</v>
      </c>
    </row>
    <row r="56" spans="1:24">
      <c r="B56" s="20"/>
      <c r="C56" s="52" t="s">
        <v>0</v>
      </c>
      <c r="D56" s="20"/>
      <c r="E56" s="23" t="s">
        <v>0</v>
      </c>
      <c r="G56" s="49" t="s">
        <v>0</v>
      </c>
      <c r="K56" s="49" t="s">
        <v>0</v>
      </c>
      <c r="M56" s="35" t="s">
        <v>0</v>
      </c>
      <c r="O56" s="49" t="s">
        <v>0</v>
      </c>
      <c r="R56" s="20"/>
      <c r="S56" s="51"/>
      <c r="T56" s="20"/>
      <c r="U56" s="20"/>
    </row>
    <row r="57" spans="1:24">
      <c r="A57" t="s">
        <v>306</v>
      </c>
      <c r="B57" s="20"/>
      <c r="C57" s="52" t="s">
        <v>0</v>
      </c>
      <c r="D57" s="20"/>
      <c r="E57" s="35" t="s">
        <v>0</v>
      </c>
      <c r="G57" s="49" t="s">
        <v>0</v>
      </c>
      <c r="K57" s="49" t="s">
        <v>0</v>
      </c>
      <c r="M57" s="35" t="s">
        <v>0</v>
      </c>
      <c r="O57" s="49" t="s">
        <v>0</v>
      </c>
      <c r="R57" s="20"/>
      <c r="S57" s="52" t="s">
        <v>0</v>
      </c>
      <c r="T57" s="20"/>
      <c r="U57" s="20"/>
    </row>
    <row r="58" spans="1:24">
      <c r="A58" t="s">
        <v>307</v>
      </c>
      <c r="B58" s="20">
        <v>100544</v>
      </c>
      <c r="C58" s="51">
        <f>+(B58-D58)/ABS(D58)</f>
        <v>0.14928444058342097</v>
      </c>
      <c r="D58" s="20">
        <v>87484</v>
      </c>
      <c r="E58" s="23" t="s">
        <v>0</v>
      </c>
      <c r="F58" s="20">
        <v>0</v>
      </c>
      <c r="G58" s="48">
        <v>0</v>
      </c>
      <c r="H58" s="20">
        <v>79168</v>
      </c>
      <c r="J58" s="20">
        <v>0</v>
      </c>
      <c r="K58" s="48">
        <v>0</v>
      </c>
      <c r="L58" s="20">
        <v>92740</v>
      </c>
      <c r="M58" s="35" t="s">
        <v>0</v>
      </c>
      <c r="N58" s="20">
        <v>0</v>
      </c>
      <c r="O58" s="48">
        <v>0</v>
      </c>
      <c r="P58" s="20">
        <v>95134</v>
      </c>
      <c r="R58" s="20">
        <f>+B58+F58+J58+N58</f>
        <v>100544</v>
      </c>
      <c r="S58" s="51">
        <f>+(R58-T58)/ABS(T58)</f>
        <v>0.14928444058342097</v>
      </c>
      <c r="T58" s="81">
        <f>+D58</f>
        <v>87484</v>
      </c>
      <c r="U58" s="20">
        <f>+D58+H58+L58+P58</f>
        <v>354526</v>
      </c>
    </row>
    <row r="59" spans="1:24">
      <c r="A59" t="s">
        <v>308</v>
      </c>
      <c r="B59" s="20">
        <v>24105</v>
      </c>
      <c r="C59" s="51">
        <f>+(B59-D59)/ABS(D59)</f>
        <v>0.31750109313511149</v>
      </c>
      <c r="D59" s="20">
        <v>18296</v>
      </c>
      <c r="E59" s="35" t="s">
        <v>0</v>
      </c>
      <c r="F59" s="20">
        <v>0</v>
      </c>
      <c r="G59" s="48">
        <v>0</v>
      </c>
      <c r="H59" s="20">
        <v>22935</v>
      </c>
      <c r="J59" s="20">
        <v>0</v>
      </c>
      <c r="K59" s="48">
        <v>0</v>
      </c>
      <c r="L59" s="20">
        <v>23132</v>
      </c>
      <c r="M59" s="35" t="s">
        <v>0</v>
      </c>
      <c r="N59" s="20">
        <v>0</v>
      </c>
      <c r="O59" s="48">
        <v>0</v>
      </c>
      <c r="P59" s="20">
        <v>20566</v>
      </c>
      <c r="R59" s="20">
        <f>+B59+F59+J59+N59</f>
        <v>24105</v>
      </c>
      <c r="S59" s="51">
        <f>+(R59-T59)/ABS(T59)</f>
        <v>0.31750109313511149</v>
      </c>
      <c r="T59" s="81">
        <f>+D59</f>
        <v>18296</v>
      </c>
      <c r="U59" s="20">
        <f>+D59+H59+L59+P59</f>
        <v>84929</v>
      </c>
    </row>
    <row r="60" spans="1:24">
      <c r="A60" t="s">
        <v>274</v>
      </c>
      <c r="B60" s="217">
        <v>3141</v>
      </c>
      <c r="C60" s="52">
        <f>+(B60-D60)/ABS(D60)</f>
        <v>1.3146647015475312</v>
      </c>
      <c r="D60" s="217">
        <v>1357</v>
      </c>
      <c r="E60" s="35" t="s">
        <v>0</v>
      </c>
      <c r="F60" s="217">
        <v>0</v>
      </c>
      <c r="G60" s="48">
        <v>0</v>
      </c>
      <c r="H60" s="217">
        <v>6481</v>
      </c>
      <c r="J60" s="217">
        <v>0</v>
      </c>
      <c r="K60" s="48">
        <v>0</v>
      </c>
      <c r="L60" s="217">
        <v>3146</v>
      </c>
      <c r="M60" s="35" t="s">
        <v>0</v>
      </c>
      <c r="N60" s="217">
        <v>0</v>
      </c>
      <c r="O60" s="48">
        <v>0</v>
      </c>
      <c r="P60" s="217">
        <v>4314</v>
      </c>
      <c r="R60" s="217">
        <f>+B60+F60+J60+N60</f>
        <v>3141</v>
      </c>
      <c r="S60" s="51">
        <f>+(R60-T60)/ABS(T60)</f>
        <v>1.3146647015475312</v>
      </c>
      <c r="T60" s="217">
        <f>+D60</f>
        <v>1357</v>
      </c>
      <c r="U60" s="217">
        <f>+D60+H60+L60+P60</f>
        <v>15298</v>
      </c>
    </row>
    <row r="61" spans="1:24">
      <c r="B61" s="20">
        <f>SUM(B58:B60)</f>
        <v>127790</v>
      </c>
      <c r="C61" s="51">
        <f>+(B61-D61)/ABS(D61)</f>
        <v>0.19277187152897693</v>
      </c>
      <c r="D61" s="20">
        <f>SUM(D58:D60)</f>
        <v>107137</v>
      </c>
      <c r="E61" s="23" t="s">
        <v>0</v>
      </c>
      <c r="F61" s="20">
        <f>SUM(F58:F60)</f>
        <v>0</v>
      </c>
      <c r="G61" s="48">
        <v>0</v>
      </c>
      <c r="H61" s="20">
        <f>SUM(H58:H60)</f>
        <v>108584</v>
      </c>
      <c r="J61" s="20">
        <f>SUM(J58:J60)</f>
        <v>0</v>
      </c>
      <c r="K61" s="48">
        <v>0</v>
      </c>
      <c r="L61" s="20">
        <f>SUM(L58:L60)</f>
        <v>119018</v>
      </c>
      <c r="M61" s="35" t="s">
        <v>0</v>
      </c>
      <c r="N61" s="20">
        <f>SUM(N58:N60)</f>
        <v>0</v>
      </c>
      <c r="O61" s="48">
        <v>0</v>
      </c>
      <c r="P61" s="20">
        <f>SUM(P58:P60)</f>
        <v>120014</v>
      </c>
      <c r="R61" s="20">
        <f>SUM(R58:R60)</f>
        <v>127790</v>
      </c>
      <c r="S61" s="51">
        <f>+(R61-T61)/ABS(T61)</f>
        <v>0.19277187152897693</v>
      </c>
      <c r="T61" s="20">
        <f>SUM(T58:T60)</f>
        <v>107137</v>
      </c>
      <c r="U61" s="20">
        <f>SUM(U58:U60)</f>
        <v>454753</v>
      </c>
    </row>
    <row r="62" spans="1:24">
      <c r="B62" s="217"/>
      <c r="C62" s="52" t="s">
        <v>0</v>
      </c>
      <c r="D62" s="217"/>
      <c r="E62" s="35" t="s">
        <v>0</v>
      </c>
      <c r="F62" s="217"/>
      <c r="G62" s="49" t="s">
        <v>0</v>
      </c>
      <c r="H62" s="217"/>
      <c r="J62" s="217"/>
      <c r="K62" s="49" t="s">
        <v>0</v>
      </c>
      <c r="L62" s="217"/>
      <c r="M62" s="35" t="s">
        <v>0</v>
      </c>
      <c r="N62" s="217"/>
      <c r="O62" s="49" t="s">
        <v>0</v>
      </c>
      <c r="P62" s="217"/>
      <c r="R62" s="217"/>
      <c r="S62" s="51"/>
      <c r="T62" s="217"/>
      <c r="U62" s="217"/>
    </row>
    <row r="63" spans="1:24">
      <c r="A63" t="s">
        <v>309</v>
      </c>
      <c r="B63" s="20">
        <f>+B55+B61</f>
        <v>301834</v>
      </c>
      <c r="C63" s="51">
        <f>+(B63-D63)/ABS(D63)</f>
        <v>0.2289107572543575</v>
      </c>
      <c r="D63" s="20">
        <f>+D55+D61</f>
        <v>245611</v>
      </c>
      <c r="E63" s="35" t="s">
        <v>0</v>
      </c>
      <c r="F63" s="20">
        <f>+F55+F61</f>
        <v>0</v>
      </c>
      <c r="G63" s="48">
        <v>0</v>
      </c>
      <c r="H63" s="20">
        <f>+H55+H61</f>
        <v>253518</v>
      </c>
      <c r="J63" s="20">
        <f>+J55+J61</f>
        <v>0</v>
      </c>
      <c r="K63" s="48">
        <v>0</v>
      </c>
      <c r="L63" s="20">
        <f>+L55+L61</f>
        <v>282006</v>
      </c>
      <c r="M63" s="35" t="s">
        <v>0</v>
      </c>
      <c r="N63" s="20">
        <f>+N55+N61</f>
        <v>0</v>
      </c>
      <c r="O63" s="48">
        <v>0</v>
      </c>
      <c r="P63" s="20">
        <f>+P55+P61</f>
        <v>289366</v>
      </c>
      <c r="R63" s="20">
        <f>+R55+R61</f>
        <v>301834</v>
      </c>
      <c r="S63" s="51">
        <f>+(R63-T63)/ABS(T63)</f>
        <v>0.2289107572543575</v>
      </c>
      <c r="T63" s="20">
        <f>+T55+T61</f>
        <v>245611</v>
      </c>
      <c r="U63" s="20">
        <f>+U55+U61</f>
        <v>1070501</v>
      </c>
    </row>
    <row r="64" spans="1:24">
      <c r="B64" s="20"/>
      <c r="C64" s="52" t="s">
        <v>0</v>
      </c>
      <c r="D64" s="20"/>
      <c r="E64" s="35" t="s">
        <v>0</v>
      </c>
      <c r="F64" s="20"/>
      <c r="G64" s="49" t="s">
        <v>0</v>
      </c>
      <c r="H64" s="20"/>
      <c r="J64" s="20"/>
      <c r="K64" s="49" t="s">
        <v>0</v>
      </c>
      <c r="L64" s="20"/>
      <c r="M64" s="35" t="s">
        <v>0</v>
      </c>
      <c r="N64" s="20"/>
      <c r="O64" s="49" t="s">
        <v>0</v>
      </c>
      <c r="P64" s="20"/>
      <c r="R64" s="20"/>
      <c r="S64" s="51"/>
      <c r="T64" s="20"/>
      <c r="U64" s="20"/>
    </row>
    <row r="65" spans="1:21">
      <c r="A65" t="s">
        <v>403</v>
      </c>
      <c r="B65" s="20">
        <v>11425</v>
      </c>
      <c r="C65" s="51">
        <f>+(B65-D65)/ABS(D65)</f>
        <v>1.3146272285251215</v>
      </c>
      <c r="D65" s="20">
        <v>4936</v>
      </c>
      <c r="E65" s="35" t="s">
        <v>0</v>
      </c>
      <c r="F65" s="20">
        <v>0</v>
      </c>
      <c r="G65" s="48">
        <v>0</v>
      </c>
      <c r="H65" s="20">
        <v>5864</v>
      </c>
      <c r="J65" s="20">
        <v>0</v>
      </c>
      <c r="K65" s="48">
        <v>0</v>
      </c>
      <c r="L65" s="20">
        <v>16989</v>
      </c>
      <c r="M65" s="35" t="s">
        <v>0</v>
      </c>
      <c r="N65" s="20">
        <v>0</v>
      </c>
      <c r="O65" s="48">
        <v>0</v>
      </c>
      <c r="P65" s="20">
        <v>4951</v>
      </c>
      <c r="R65" s="20">
        <f>+B65+F65+J65+N65</f>
        <v>11425</v>
      </c>
      <c r="S65" s="51">
        <f>+(R65-T65)/ABS(T65)</f>
        <v>1.3146272285251215</v>
      </c>
      <c r="T65" s="81">
        <f>+D65</f>
        <v>4936</v>
      </c>
      <c r="U65" s="20">
        <f>+D65+H65+L65+P65</f>
        <v>32740</v>
      </c>
    </row>
    <row r="66" spans="1:21">
      <c r="B66" s="20"/>
      <c r="C66" s="52" t="s">
        <v>0</v>
      </c>
      <c r="D66" s="20"/>
      <c r="E66" s="35" t="s">
        <v>0</v>
      </c>
      <c r="F66" s="20"/>
      <c r="G66" s="49" t="s">
        <v>0</v>
      </c>
      <c r="H66" s="20"/>
      <c r="J66" s="20"/>
      <c r="K66" s="49" t="s">
        <v>0</v>
      </c>
      <c r="L66" s="20"/>
      <c r="M66" s="35" t="s">
        <v>0</v>
      </c>
      <c r="N66" s="20"/>
      <c r="O66" s="49" t="s">
        <v>0</v>
      </c>
      <c r="P66" s="20"/>
      <c r="R66" s="20"/>
      <c r="S66" s="51"/>
      <c r="T66" s="20"/>
      <c r="U66" s="20"/>
    </row>
    <row r="67" spans="1:21">
      <c r="A67" t="s">
        <v>311</v>
      </c>
      <c r="B67" s="217"/>
      <c r="C67" s="52" t="s">
        <v>0</v>
      </c>
      <c r="D67" s="217"/>
      <c r="E67" s="35" t="s">
        <v>0</v>
      </c>
      <c r="F67" s="217"/>
      <c r="G67" s="49" t="s">
        <v>0</v>
      </c>
      <c r="H67" s="217"/>
      <c r="J67" s="217"/>
      <c r="K67" s="49" t="s">
        <v>0</v>
      </c>
      <c r="L67" s="217"/>
      <c r="M67" s="35" t="s">
        <v>0</v>
      </c>
      <c r="N67" s="217"/>
      <c r="O67" s="49" t="s">
        <v>0</v>
      </c>
      <c r="P67" s="217"/>
      <c r="R67" s="217"/>
      <c r="S67" s="51"/>
      <c r="T67" s="217"/>
      <c r="U67" s="217"/>
    </row>
    <row r="68" spans="1:21">
      <c r="A68" t="s">
        <v>312</v>
      </c>
      <c r="B68" s="20">
        <f>+B63-B65</f>
        <v>290409</v>
      </c>
      <c r="C68" s="51">
        <f>+(B68-D68)/ABS(D68)</f>
        <v>0.20664381427235898</v>
      </c>
      <c r="D68" s="20">
        <f>+D63-D65</f>
        <v>240675</v>
      </c>
      <c r="E68" s="35" t="s">
        <v>0</v>
      </c>
      <c r="F68" s="20">
        <f>+F63-F65</f>
        <v>0</v>
      </c>
      <c r="G68" s="48">
        <v>0</v>
      </c>
      <c r="H68" s="20">
        <f>+H63-H65</f>
        <v>247654</v>
      </c>
      <c r="J68" s="20">
        <f>+J63-J65</f>
        <v>0</v>
      </c>
      <c r="K68" s="48">
        <v>0</v>
      </c>
      <c r="L68" s="20">
        <f>+L63-L65</f>
        <v>265017</v>
      </c>
      <c r="M68" s="35" t="s">
        <v>0</v>
      </c>
      <c r="N68" s="20">
        <f>+N63-N65</f>
        <v>0</v>
      </c>
      <c r="O68" s="48">
        <v>0</v>
      </c>
      <c r="P68" s="20">
        <f>+P63-P65</f>
        <v>284415</v>
      </c>
      <c r="R68" s="20">
        <f>+R63-R65</f>
        <v>290409</v>
      </c>
      <c r="S68" s="51">
        <f>+(R68-T68)/ABS(T68)</f>
        <v>0.20664381427235898</v>
      </c>
      <c r="T68" s="20">
        <f>+T63-T65</f>
        <v>240675</v>
      </c>
      <c r="U68" s="20">
        <f>+U63-U65</f>
        <v>1037761</v>
      </c>
    </row>
    <row r="69" spans="1:21">
      <c r="B69" s="20"/>
      <c r="C69" s="52" t="s">
        <v>0</v>
      </c>
      <c r="D69" s="20"/>
      <c r="E69" s="35" t="s">
        <v>0</v>
      </c>
      <c r="F69" s="20"/>
      <c r="G69" s="49" t="s">
        <v>0</v>
      </c>
      <c r="H69" s="20"/>
      <c r="J69" s="20"/>
      <c r="K69" s="49" t="s">
        <v>0</v>
      </c>
      <c r="L69" s="20"/>
      <c r="M69" s="35" t="s">
        <v>0</v>
      </c>
      <c r="N69" s="20"/>
      <c r="O69" s="49" t="s">
        <v>0</v>
      </c>
      <c r="P69" s="20"/>
      <c r="R69" s="20"/>
      <c r="S69" s="51"/>
      <c r="T69" s="20"/>
      <c r="U69" s="20"/>
    </row>
    <row r="70" spans="1:21">
      <c r="A70" t="s">
        <v>313</v>
      </c>
      <c r="B70" s="20"/>
      <c r="C70" s="52" t="s">
        <v>0</v>
      </c>
      <c r="D70" s="20"/>
      <c r="E70" s="35" t="s">
        <v>0</v>
      </c>
      <c r="F70" s="20"/>
      <c r="G70" s="49" t="s">
        <v>0</v>
      </c>
      <c r="H70" s="20"/>
      <c r="J70" s="20"/>
      <c r="K70" s="49" t="s">
        <v>0</v>
      </c>
      <c r="L70" s="20"/>
      <c r="M70" s="35" t="s">
        <v>0</v>
      </c>
      <c r="N70" s="20"/>
      <c r="O70" s="49" t="s">
        <v>0</v>
      </c>
      <c r="P70" s="20"/>
      <c r="R70" s="20"/>
      <c r="S70" s="51"/>
      <c r="T70" s="20"/>
      <c r="U70" s="20"/>
    </row>
    <row r="71" spans="1:21">
      <c r="A71" t="s">
        <v>314</v>
      </c>
      <c r="B71" s="20">
        <v>72682</v>
      </c>
      <c r="C71" s="51">
        <f>+(B71-D71)/ABS(D71)</f>
        <v>0.12862000962747869</v>
      </c>
      <c r="D71" s="20">
        <v>64399</v>
      </c>
      <c r="E71" s="23" t="s">
        <v>0</v>
      </c>
      <c r="F71" s="20">
        <v>0</v>
      </c>
      <c r="G71" s="48">
        <v>0</v>
      </c>
      <c r="H71" s="20">
        <v>65338</v>
      </c>
      <c r="J71" s="20">
        <v>0</v>
      </c>
      <c r="K71" s="48">
        <v>0</v>
      </c>
      <c r="L71" s="20">
        <v>66734</v>
      </c>
      <c r="M71" s="35" t="s">
        <v>0</v>
      </c>
      <c r="N71" s="20">
        <v>0</v>
      </c>
      <c r="O71" s="48">
        <v>0</v>
      </c>
      <c r="P71" s="20">
        <v>73348</v>
      </c>
      <c r="R71" s="20">
        <f>+B71+F71+J71+N71</f>
        <v>72682</v>
      </c>
      <c r="S71" s="51">
        <f>+(R71-T71)/ABS(T71)</f>
        <v>0.12862000962747869</v>
      </c>
      <c r="T71" s="81">
        <f>+D71</f>
        <v>64399</v>
      </c>
      <c r="U71" s="20">
        <f>+D71+H71+L71+P71</f>
        <v>269819</v>
      </c>
    </row>
    <row r="72" spans="1:21">
      <c r="A72" t="s">
        <v>315</v>
      </c>
      <c r="B72" s="20">
        <v>20991</v>
      </c>
      <c r="C72" s="51">
        <f>+(B72-D72)/ABS(D72)</f>
        <v>6.8189913999287574E-2</v>
      </c>
      <c r="D72" s="20">
        <v>19651</v>
      </c>
      <c r="E72" s="35" t="s">
        <v>0</v>
      </c>
      <c r="F72" s="20">
        <v>0</v>
      </c>
      <c r="G72" s="48">
        <v>0</v>
      </c>
      <c r="H72" s="20">
        <v>22846</v>
      </c>
      <c r="J72" s="20">
        <v>0</v>
      </c>
      <c r="K72" s="48">
        <v>0</v>
      </c>
      <c r="L72" s="20">
        <v>20917</v>
      </c>
      <c r="M72" s="35" t="s">
        <v>0</v>
      </c>
      <c r="N72" s="20">
        <v>0</v>
      </c>
      <c r="O72" s="48">
        <v>0</v>
      </c>
      <c r="P72" s="20">
        <v>22325</v>
      </c>
      <c r="R72" s="20">
        <f>+B72+F72+J72+N72</f>
        <v>20991</v>
      </c>
      <c r="S72" s="51">
        <f>+(R72-T72)/ABS(T72)</f>
        <v>6.8189913999287574E-2</v>
      </c>
      <c r="T72" s="81">
        <f>+D72</f>
        <v>19651</v>
      </c>
      <c r="U72" s="20">
        <f>+D72+H72+L72+P72</f>
        <v>85739</v>
      </c>
    </row>
    <row r="73" spans="1:21">
      <c r="A73" t="s">
        <v>316</v>
      </c>
      <c r="B73" s="20">
        <v>12415</v>
      </c>
      <c r="C73" s="51">
        <f>+(B73-D73)/ABS(D73)</f>
        <v>0.14943060827701138</v>
      </c>
      <c r="D73" s="20">
        <v>10801</v>
      </c>
      <c r="E73" s="35" t="s">
        <v>0</v>
      </c>
      <c r="F73" s="20">
        <v>0</v>
      </c>
      <c r="G73" s="48">
        <v>0</v>
      </c>
      <c r="H73" s="20">
        <v>11674</v>
      </c>
      <c r="J73" s="20">
        <v>0</v>
      </c>
      <c r="K73" s="48">
        <v>0</v>
      </c>
      <c r="L73" s="20">
        <v>12025</v>
      </c>
      <c r="M73" s="35" t="s">
        <v>0</v>
      </c>
      <c r="N73" s="20">
        <v>0</v>
      </c>
      <c r="O73" s="48">
        <v>0</v>
      </c>
      <c r="P73" s="20">
        <v>11776</v>
      </c>
      <c r="R73" s="20">
        <f>+B73+F73+J73+N73</f>
        <v>12415</v>
      </c>
      <c r="S73" s="51">
        <f>+(R73-T73)/ABS(T73)</f>
        <v>0.14943060827701138</v>
      </c>
      <c r="T73" s="81">
        <f>+D73</f>
        <v>10801</v>
      </c>
      <c r="U73" s="20">
        <f>+D73+H73+L73+P73</f>
        <v>46276</v>
      </c>
    </row>
    <row r="74" spans="1:21">
      <c r="A74" t="s">
        <v>317</v>
      </c>
      <c r="B74" s="217">
        <v>92882</v>
      </c>
      <c r="C74" s="51">
        <f>+(B74-D74)/ABS(D74)</f>
        <v>0.24140604116546377</v>
      </c>
      <c r="D74" s="217">
        <v>74820</v>
      </c>
      <c r="E74" s="35" t="s">
        <v>0</v>
      </c>
      <c r="F74" s="217">
        <v>0</v>
      </c>
      <c r="G74" s="48">
        <v>0</v>
      </c>
      <c r="H74" s="217">
        <v>81954</v>
      </c>
      <c r="J74" s="217">
        <v>0</v>
      </c>
      <c r="K74" s="48">
        <v>0</v>
      </c>
      <c r="L74" s="217">
        <v>85308</v>
      </c>
      <c r="M74" s="35" t="s">
        <v>0</v>
      </c>
      <c r="N74" s="217">
        <v>0</v>
      </c>
      <c r="O74" s="48">
        <v>0</v>
      </c>
      <c r="P74" s="217">
        <v>101832</v>
      </c>
      <c r="R74" s="217">
        <f>+B74+F74+J74+N74</f>
        <v>92882</v>
      </c>
      <c r="S74" s="51">
        <f>+(R74-T74)/ABS(T74)</f>
        <v>0.24140604116546377</v>
      </c>
      <c r="T74" s="217">
        <f>+D74</f>
        <v>74820</v>
      </c>
      <c r="U74" s="217">
        <f>+D74+H74+L74+P74</f>
        <v>343914</v>
      </c>
    </row>
    <row r="75" spans="1:21">
      <c r="B75" s="20">
        <f>SUM(B71:B74)</f>
        <v>198970</v>
      </c>
      <c r="C75" s="51">
        <f>+(B75-D75)/ABS(D75)</f>
        <v>0.17268124782667632</v>
      </c>
      <c r="D75" s="20">
        <f>SUM(D71:D74)</f>
        <v>169671</v>
      </c>
      <c r="E75" s="35" t="s">
        <v>0</v>
      </c>
      <c r="F75" s="20">
        <f>SUM(F71:F74)</f>
        <v>0</v>
      </c>
      <c r="G75" s="48">
        <v>0</v>
      </c>
      <c r="H75" s="20">
        <f>SUM(H71:H74)</f>
        <v>181812</v>
      </c>
      <c r="J75" s="20">
        <f>SUM(J71:J74)</f>
        <v>0</v>
      </c>
      <c r="K75" s="48">
        <v>0</v>
      </c>
      <c r="L75" s="20">
        <f>SUM(L71:L74)</f>
        <v>184984</v>
      </c>
      <c r="M75" s="35" t="s">
        <v>0</v>
      </c>
      <c r="N75" s="20">
        <f>SUM(N71:N74)</f>
        <v>0</v>
      </c>
      <c r="O75" s="48">
        <v>0</v>
      </c>
      <c r="P75" s="20">
        <f>SUM(P71:P74)</f>
        <v>209281</v>
      </c>
      <c r="R75" s="20">
        <f>SUM(R71:R74)</f>
        <v>198970</v>
      </c>
      <c r="S75" s="51">
        <f>+(R75-T75)/ABS(T75)</f>
        <v>0.17268124782667632</v>
      </c>
      <c r="T75" s="20">
        <f>SUM(T71:T74)</f>
        <v>169671</v>
      </c>
      <c r="U75" s="20">
        <f>SUM(U71:U74)</f>
        <v>745748</v>
      </c>
    </row>
    <row r="76" spans="1:21">
      <c r="B76" s="217"/>
      <c r="C76" s="51"/>
      <c r="D76" s="217"/>
      <c r="E76" s="35"/>
      <c r="F76" s="217"/>
      <c r="G76" s="48"/>
      <c r="H76" s="217"/>
      <c r="J76" s="217"/>
      <c r="K76" s="48"/>
      <c r="L76" s="217"/>
      <c r="M76" s="35"/>
      <c r="N76" s="217"/>
      <c r="O76" s="48"/>
      <c r="P76" s="217"/>
      <c r="R76" s="217"/>
      <c r="S76" s="51"/>
      <c r="T76" s="217"/>
      <c r="U76" s="217"/>
    </row>
    <row r="77" spans="1:21">
      <c r="A77" t="s">
        <v>318</v>
      </c>
      <c r="B77" s="20">
        <f>+B68-B75</f>
        <v>91439</v>
      </c>
      <c r="C77" s="51">
        <f>+(B77-D77)/ABS(D77)</f>
        <v>0.28780068728522334</v>
      </c>
      <c r="D77" s="20">
        <f>+D68-D75</f>
        <v>71004</v>
      </c>
      <c r="E77" s="35" t="s">
        <v>0</v>
      </c>
      <c r="F77" s="20">
        <f>+F68-F75</f>
        <v>0</v>
      </c>
      <c r="G77" s="48">
        <v>0</v>
      </c>
      <c r="H77" s="20">
        <f>+H68-H75</f>
        <v>65842</v>
      </c>
      <c r="J77" s="20">
        <f>+J68-J75</f>
        <v>0</v>
      </c>
      <c r="K77" s="48">
        <v>0</v>
      </c>
      <c r="L77" s="20">
        <f>+L68-L75</f>
        <v>80033</v>
      </c>
      <c r="M77" s="35" t="s">
        <v>0</v>
      </c>
      <c r="N77" s="20">
        <f>+N68-N75</f>
        <v>0</v>
      </c>
      <c r="O77" s="48">
        <v>0</v>
      </c>
      <c r="P77" s="20">
        <f>+P68-P75</f>
        <v>75134</v>
      </c>
      <c r="R77" s="20">
        <f>+R68-R75</f>
        <v>91439</v>
      </c>
      <c r="S77" s="51">
        <f>+(R77-T77)/ABS(T77)</f>
        <v>0.28780068728522334</v>
      </c>
      <c r="T77" s="20">
        <f>+T68-T75</f>
        <v>71004</v>
      </c>
      <c r="U77" s="20">
        <f>+U68-U75</f>
        <v>292013</v>
      </c>
    </row>
    <row r="78" spans="1:21">
      <c r="B78" s="20"/>
      <c r="C78" s="52" t="s">
        <v>0</v>
      </c>
      <c r="D78" s="20"/>
      <c r="E78" s="35" t="s">
        <v>0</v>
      </c>
      <c r="F78" s="20"/>
      <c r="G78" s="49" t="s">
        <v>0</v>
      </c>
      <c r="H78" s="20"/>
      <c r="J78" s="20"/>
      <c r="K78" s="49" t="s">
        <v>0</v>
      </c>
      <c r="L78" s="20"/>
      <c r="M78" s="35" t="s">
        <v>0</v>
      </c>
      <c r="N78" s="20"/>
      <c r="O78" s="49" t="s">
        <v>0</v>
      </c>
      <c r="P78" s="20"/>
      <c r="R78" s="20"/>
      <c r="S78" s="51"/>
      <c r="T78" s="20"/>
      <c r="U78" s="20"/>
    </row>
    <row r="79" spans="1:21">
      <c r="A79" t="s">
        <v>319</v>
      </c>
      <c r="B79" s="20">
        <v>18288</v>
      </c>
      <c r="C79" s="51">
        <f>+(B79-D79)/ABS(D79)</f>
        <v>0.28779663403985634</v>
      </c>
      <c r="D79" s="20">
        <v>14201</v>
      </c>
      <c r="E79" s="35" t="s">
        <v>0</v>
      </c>
      <c r="F79" s="20">
        <v>0</v>
      </c>
      <c r="G79" s="48">
        <v>0</v>
      </c>
      <c r="H79" s="20">
        <v>13169</v>
      </c>
      <c r="J79" s="20">
        <v>0</v>
      </c>
      <c r="K79" s="48">
        <v>0</v>
      </c>
      <c r="L79" s="20">
        <v>16010</v>
      </c>
      <c r="M79" s="35" t="s">
        <v>0</v>
      </c>
      <c r="N79" s="20">
        <v>0</v>
      </c>
      <c r="O79" s="48">
        <v>0</v>
      </c>
      <c r="P79" s="20">
        <v>13577</v>
      </c>
      <c r="R79" s="20">
        <f>+B79+F79+J79+N79</f>
        <v>18288</v>
      </c>
      <c r="S79" s="51">
        <f>+(R79-T79)/ABS(T79)</f>
        <v>0.28779663403985634</v>
      </c>
      <c r="T79" s="81">
        <f>+D79</f>
        <v>14201</v>
      </c>
      <c r="U79" s="20">
        <f>+D79+H79+L79+P79</f>
        <v>56957</v>
      </c>
    </row>
    <row r="80" spans="1:21" ht="16.5" thickBot="1">
      <c r="B80" s="79"/>
      <c r="C80" s="52" t="s">
        <v>0</v>
      </c>
      <c r="D80" s="79"/>
      <c r="E80" s="35" t="s">
        <v>0</v>
      </c>
      <c r="F80" s="79"/>
      <c r="G80" s="49" t="s">
        <v>0</v>
      </c>
      <c r="H80" s="79"/>
      <c r="J80" s="79"/>
      <c r="K80" s="49" t="s">
        <v>0</v>
      </c>
      <c r="L80" s="79"/>
      <c r="M80" s="35" t="s">
        <v>0</v>
      </c>
      <c r="N80" s="79"/>
      <c r="O80" s="49" t="s">
        <v>0</v>
      </c>
      <c r="P80" s="79"/>
      <c r="R80" s="79"/>
      <c r="S80" s="51"/>
      <c r="T80" s="79"/>
      <c r="U80" s="79"/>
    </row>
    <row r="81" spans="1:21" s="11" customFormat="1">
      <c r="A81" s="11" t="s">
        <v>326</v>
      </c>
      <c r="B81" s="13">
        <f>+B77-B79</f>
        <v>73151</v>
      </c>
      <c r="C81" s="109">
        <f>+(B81-D81)/ABS(D81)</f>
        <v>0.28780170061440419</v>
      </c>
      <c r="D81" s="13">
        <f>+D77-D79</f>
        <v>56803</v>
      </c>
      <c r="E81" s="137" t="s">
        <v>0</v>
      </c>
      <c r="F81" s="13">
        <f>+F77-F79</f>
        <v>0</v>
      </c>
      <c r="G81" s="47">
        <v>0</v>
      </c>
      <c r="H81" s="13">
        <f>+H77-H79</f>
        <v>52673</v>
      </c>
      <c r="I81" s="137"/>
      <c r="J81" s="13">
        <f>+J77-J79</f>
        <v>0</v>
      </c>
      <c r="K81" s="47">
        <v>0</v>
      </c>
      <c r="L81" s="13">
        <f>+L77-L79</f>
        <v>64023</v>
      </c>
      <c r="M81" s="137" t="s">
        <v>0</v>
      </c>
      <c r="N81" s="13">
        <f>+N77-N79</f>
        <v>0</v>
      </c>
      <c r="O81" s="47">
        <v>0</v>
      </c>
      <c r="P81" s="13">
        <f>+P77-P79</f>
        <v>61557</v>
      </c>
      <c r="Q81" s="137"/>
      <c r="R81" s="13">
        <f>+R77-R79</f>
        <v>73151</v>
      </c>
      <c r="S81" s="109">
        <f>+(R81-T81)/ABS(T81)</f>
        <v>0.28780170061440419</v>
      </c>
      <c r="T81" s="13">
        <f>+T77-T79</f>
        <v>56803</v>
      </c>
      <c r="U81" s="13">
        <f>+U77-U79</f>
        <v>235056</v>
      </c>
    </row>
    <row r="82" spans="1:21">
      <c r="E82" s="35"/>
      <c r="M82" s="35"/>
    </row>
    <row r="83" spans="1:21">
      <c r="E83" s="35"/>
      <c r="F83" s="35" t="s">
        <v>0</v>
      </c>
      <c r="M83" s="35"/>
      <c r="N83" s="35" t="s">
        <v>0</v>
      </c>
    </row>
    <row r="84" spans="1:21">
      <c r="B84"/>
      <c r="C84"/>
      <c r="D84"/>
      <c r="E84"/>
      <c r="F84"/>
      <c r="G84"/>
      <c r="H84"/>
      <c r="M84" s="35" t="s">
        <v>0</v>
      </c>
    </row>
    <row r="85" spans="1:21">
      <c r="B85"/>
      <c r="C85"/>
      <c r="D85"/>
      <c r="E85"/>
      <c r="F85"/>
      <c r="G85"/>
      <c r="H85"/>
      <c r="M85" s="35" t="s">
        <v>0</v>
      </c>
    </row>
    <row r="86" spans="1:21">
      <c r="B86"/>
      <c r="C86"/>
      <c r="D86"/>
      <c r="E86"/>
      <c r="F86"/>
      <c r="G86"/>
      <c r="H86"/>
      <c r="M86" s="35"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21" spans="2:8">
      <c r="B121" s="35" t="s">
        <v>0</v>
      </c>
    </row>
  </sheetData>
  <phoneticPr fontId="0" type="noConversion"/>
  <pageMargins left="0.22" right="0.23" top="0.48" bottom="0.41" header="0.31" footer="0.2"/>
  <pageSetup scale="44" orientation="landscape" r:id="rId1"/>
  <headerFooter alignWithMargins="0">
    <oddFooter>&amp;R&amp;16&amp;P</oddFooter>
  </headerFooter>
</worksheet>
</file>

<file path=xl/worksheets/sheet89.xml><?xml version="1.0" encoding="utf-8"?>
<worksheet xmlns="http://schemas.openxmlformats.org/spreadsheetml/2006/main" xmlns:r="http://schemas.openxmlformats.org/officeDocument/2006/relationships">
  <dimension ref="A1:N45"/>
  <sheetViews>
    <sheetView workbookViewId="0">
      <selection activeCell="H40" sqref="H40"/>
    </sheetView>
  </sheetViews>
  <sheetFormatPr baseColWidth="10" defaultColWidth="9" defaultRowHeight="15.75"/>
  <cols>
    <col min="1" max="1" width="50" customWidth="1"/>
    <col min="2" max="2" width="15.75" customWidth="1"/>
    <col min="4" max="4" width="15.75" customWidth="1"/>
    <col min="5" max="5" width="6.125" customWidth="1"/>
    <col min="6" max="6" width="16" customWidth="1"/>
    <col min="8" max="8" width="16" customWidth="1"/>
    <col min="10" max="10" width="15.875" customWidth="1"/>
    <col min="12" max="12" width="15.875" customWidth="1"/>
  </cols>
  <sheetData>
    <row r="1" spans="1:14">
      <c r="A1" s="111" t="s">
        <v>402</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+BUHVARAN!B7</f>
        <v xml:space="preserve">     CUMUL (Octobre - Décembre )</v>
      </c>
      <c r="C8" s="111"/>
      <c r="D8" s="39"/>
      <c r="E8" s="11"/>
      <c r="F8" s="111" t="s">
        <v>214</v>
      </c>
      <c r="G8" s="111"/>
      <c r="H8" s="111"/>
      <c r="I8" s="111"/>
      <c r="J8" s="111"/>
      <c r="K8" s="111"/>
      <c r="L8" s="111"/>
    </row>
    <row r="9" spans="1:14" ht="16.5" thickBot="1">
      <c r="B9" s="223" t="str">
        <f>+BUHVARAN!B8</f>
        <v xml:space="preserve"> 2015</v>
      </c>
      <c r="C9" s="203" t="s">
        <v>196</v>
      </c>
      <c r="D9" s="223" t="str">
        <f>+BUHVARAN!D8</f>
        <v xml:space="preserve"> 2014</v>
      </c>
      <c r="E9" s="11"/>
      <c r="F9" s="223" t="str">
        <f>+BUHVARAN!F8</f>
        <v>2014</v>
      </c>
      <c r="G9" s="203" t="s">
        <v>196</v>
      </c>
      <c r="H9" s="223" t="str">
        <f>+BUHVARAN!H8</f>
        <v>2013</v>
      </c>
      <c r="I9" s="203" t="s">
        <v>196</v>
      </c>
      <c r="J9" s="223" t="str">
        <f>+BUHVARAN!J8</f>
        <v>2012</v>
      </c>
      <c r="K9" s="203" t="s">
        <v>196</v>
      </c>
      <c r="L9" s="223" t="str">
        <f>+BUHVARAN!L8</f>
        <v>2011</v>
      </c>
    </row>
    <row r="10" spans="1:14">
      <c r="A10" t="s">
        <v>300</v>
      </c>
    </row>
    <row r="11" spans="1:14">
      <c r="A11" t="s">
        <v>301</v>
      </c>
      <c r="B11" s="24" t="s">
        <v>0</v>
      </c>
      <c r="C11" s="52" t="s">
        <v>0</v>
      </c>
      <c r="D11" s="24" t="s">
        <v>0</v>
      </c>
      <c r="E11" s="49" t="s">
        <v>0</v>
      </c>
      <c r="F11" s="24" t="s">
        <v>0</v>
      </c>
      <c r="G11" s="52" t="s">
        <v>0</v>
      </c>
      <c r="H11" s="24" t="s">
        <v>0</v>
      </c>
      <c r="J11" s="24" t="s">
        <v>0</v>
      </c>
      <c r="L11" s="24" t="s">
        <v>0</v>
      </c>
      <c r="M11" s="48"/>
      <c r="N11" s="48"/>
    </row>
    <row r="12" spans="1:14">
      <c r="A12" t="s">
        <v>302</v>
      </c>
      <c r="B12" s="20">
        <f>+'CAPITALBKRÉSULT      '!R50</f>
        <v>180436</v>
      </c>
      <c r="C12" s="51">
        <f t="shared" ref="C12:C17" si="0">+(B12-D12)/ABS(D12)</f>
        <v>0.23375042735042734</v>
      </c>
      <c r="D12" s="20">
        <f>+'CAPITALBKRÉSULT      '!T50</f>
        <v>146250</v>
      </c>
      <c r="E12" s="49"/>
      <c r="F12" s="81">
        <f>+'CAPITALBKRÉSULT      '!U50</f>
        <v>649997</v>
      </c>
      <c r="G12" s="51">
        <f t="shared" ref="G12:G17" si="1">+(F12-H12)/ABS(H12)</f>
        <v>0.20727301769498943</v>
      </c>
      <c r="H12" s="81">
        <v>538401</v>
      </c>
      <c r="I12" s="51">
        <f t="shared" ref="I12:I17" si="2">+(H12-J12)/ABS(J12)</f>
        <v>0.1162317710816896</v>
      </c>
      <c r="J12" s="81">
        <v>482338</v>
      </c>
      <c r="K12" s="51">
        <f t="shared" ref="K12:K17" si="3">+(J12-L12)/ABS(L12)</f>
        <v>0.25017949017015928</v>
      </c>
      <c r="L12" s="81">
        <v>385815</v>
      </c>
      <c r="M12" s="48"/>
      <c r="N12" s="48"/>
    </row>
    <row r="13" spans="1:14">
      <c r="A13" t="s">
        <v>322</v>
      </c>
      <c r="B13" s="20">
        <f>+'CAPITALBKRÉSULT      '!R51</f>
        <v>6974</v>
      </c>
      <c r="C13" s="51">
        <f t="shared" si="0"/>
        <v>2.6322916666666667</v>
      </c>
      <c r="D13" s="20">
        <f>+'CAPITALBKRÉSULT      '!T51</f>
        <v>1920</v>
      </c>
      <c r="E13" s="49"/>
      <c r="F13" s="81">
        <f>+'CAPITALBKRÉSULT      '!U51</f>
        <v>5568</v>
      </c>
      <c r="G13" s="51">
        <f t="shared" si="1"/>
        <v>0.60230215827338129</v>
      </c>
      <c r="H13" s="81">
        <v>3475</v>
      </c>
      <c r="I13" s="51">
        <f t="shared" si="2"/>
        <v>28.956896551724139</v>
      </c>
      <c r="J13" s="81">
        <v>116</v>
      </c>
      <c r="K13" s="51">
        <f t="shared" si="3"/>
        <v>-0.85990338164251212</v>
      </c>
      <c r="L13" s="81">
        <v>828</v>
      </c>
      <c r="M13" s="48"/>
      <c r="N13" s="48"/>
    </row>
    <row r="14" spans="1:14">
      <c r="A14" t="s">
        <v>304</v>
      </c>
      <c r="B14" s="199">
        <f>+'CAPITALBKRÉSULT      '!R52</f>
        <v>5085</v>
      </c>
      <c r="C14" s="51">
        <f t="shared" si="0"/>
        <v>4.3639240506329111</v>
      </c>
      <c r="D14" s="217">
        <f>+'CAPITALBKRÉSULT      '!T52</f>
        <v>948</v>
      </c>
      <c r="E14" s="49"/>
      <c r="F14" s="217">
        <f>+'CAPITALBKRÉSULT      '!U52</f>
        <v>13320</v>
      </c>
      <c r="G14" s="51">
        <f t="shared" si="1"/>
        <v>7.1428571428571425E-2</v>
      </c>
      <c r="H14" s="217">
        <v>12432</v>
      </c>
      <c r="I14" s="51">
        <f t="shared" si="2"/>
        <v>-0.1090088153085358</v>
      </c>
      <c r="J14" s="217">
        <v>13953</v>
      </c>
      <c r="K14" s="51">
        <f t="shared" si="3"/>
        <v>0.58269056261343011</v>
      </c>
      <c r="L14" s="217">
        <v>8816</v>
      </c>
      <c r="M14" s="48"/>
      <c r="N14" s="48"/>
    </row>
    <row r="15" spans="1:14">
      <c r="B15" s="20">
        <f>SUM(B12:B14)</f>
        <v>192495</v>
      </c>
      <c r="C15" s="51">
        <f t="shared" si="0"/>
        <v>0.29089043576228224</v>
      </c>
      <c r="D15" s="20">
        <f>SUM(D12:D14)</f>
        <v>149118</v>
      </c>
      <c r="E15" s="49"/>
      <c r="F15" s="20">
        <f>SUM(F12:F14)</f>
        <v>668885</v>
      </c>
      <c r="G15" s="51">
        <f t="shared" si="1"/>
        <v>0.20670277174422885</v>
      </c>
      <c r="H15" s="20">
        <f>SUM(H12:H14)</f>
        <v>554308</v>
      </c>
      <c r="I15" s="51">
        <f t="shared" si="2"/>
        <v>0.11664017630694168</v>
      </c>
      <c r="J15" s="20">
        <f>SUM(J12:J14)</f>
        <v>496407</v>
      </c>
      <c r="K15" s="51">
        <f t="shared" si="3"/>
        <v>0.25526792916585539</v>
      </c>
      <c r="L15" s="20">
        <f>SUM(L12:L14)</f>
        <v>395459</v>
      </c>
      <c r="M15" s="48"/>
      <c r="N15" s="48"/>
    </row>
    <row r="16" spans="1:14">
      <c r="A16" t="s">
        <v>305</v>
      </c>
      <c r="B16" s="217">
        <f>+'CAPITALBKRÉSULT      '!R54</f>
        <v>18451</v>
      </c>
      <c r="C16" s="51">
        <f t="shared" si="0"/>
        <v>0.73346486283352119</v>
      </c>
      <c r="D16" s="217">
        <f>+'CAPITALBKRÉSULT      '!T54</f>
        <v>10644</v>
      </c>
      <c r="E16" s="49" t="s">
        <v>0</v>
      </c>
      <c r="F16" s="217">
        <f>+'CAPITALBKRÉSULT      '!U54</f>
        <v>53137</v>
      </c>
      <c r="G16" s="51">
        <f t="shared" si="1"/>
        <v>0.56280697626540399</v>
      </c>
      <c r="H16" s="217">
        <v>34001</v>
      </c>
      <c r="I16" s="51">
        <f t="shared" si="2"/>
        <v>0.38069520019491593</v>
      </c>
      <c r="J16" s="217">
        <v>24626</v>
      </c>
      <c r="K16" s="51">
        <f t="shared" si="3"/>
        <v>0.44901441600470726</v>
      </c>
      <c r="L16" s="217">
        <v>16995</v>
      </c>
      <c r="M16" s="48"/>
      <c r="N16" s="48"/>
    </row>
    <row r="17" spans="1:14" s="187" customFormat="1">
      <c r="B17" s="24">
        <f>+B15-B16</f>
        <v>174044</v>
      </c>
      <c r="C17" s="51">
        <f t="shared" si="0"/>
        <v>0.25687132602510221</v>
      </c>
      <c r="D17" s="24">
        <f>+D15-D16</f>
        <v>138474</v>
      </c>
      <c r="E17" s="49" t="s">
        <v>0</v>
      </c>
      <c r="F17" s="24">
        <f>+F15-F16</f>
        <v>615748</v>
      </c>
      <c r="G17" s="51">
        <f t="shared" si="1"/>
        <v>0.18343208913199321</v>
      </c>
      <c r="H17" s="24">
        <f>+H15-H16</f>
        <v>520307</v>
      </c>
      <c r="I17" s="51">
        <f t="shared" si="2"/>
        <v>0.10285704595988393</v>
      </c>
      <c r="J17" s="24">
        <f>+J15-J16</f>
        <v>471781</v>
      </c>
      <c r="K17" s="51">
        <f t="shared" si="3"/>
        <v>0.24656770525069754</v>
      </c>
      <c r="L17" s="24">
        <f>+L15-L16</f>
        <v>378464</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0">
        <f>+'CAPITALBKRÉSULT      '!R58</f>
        <v>100544</v>
      </c>
      <c r="C20" s="51">
        <f>+(B20-D20)/ABS(D20)</f>
        <v>0.14928444058342097</v>
      </c>
      <c r="D20" s="20">
        <f>+'CAPITALBKRÉSULT      '!T58</f>
        <v>87484</v>
      </c>
      <c r="E20" s="49" t="s">
        <v>0</v>
      </c>
      <c r="F20" s="81">
        <f>+'CAPITALBKRÉSULT      '!U58</f>
        <v>354526</v>
      </c>
      <c r="G20" s="51">
        <f>+(F20-H20)/ABS(H20)</f>
        <v>0.1495804096032374</v>
      </c>
      <c r="H20" s="20">
        <v>308396</v>
      </c>
      <c r="I20" s="51">
        <f>+(H20-J20)/ABS(J20)</f>
        <v>0.19636276175623987</v>
      </c>
      <c r="J20" s="20">
        <v>257778</v>
      </c>
      <c r="K20" s="51">
        <f>+(J20-L20)/ABS(L20)</f>
        <v>0.19159066430608651</v>
      </c>
      <c r="L20" s="20">
        <v>216331</v>
      </c>
      <c r="M20" s="48"/>
      <c r="N20" s="48"/>
    </row>
    <row r="21" spans="1:14">
      <c r="A21" t="s">
        <v>308</v>
      </c>
      <c r="B21" s="20">
        <f>+'CAPITALBKRÉSULT      '!R59</f>
        <v>24105</v>
      </c>
      <c r="C21" s="51">
        <f>+(B21-D21)/ABS(D21)</f>
        <v>0.31750109313511149</v>
      </c>
      <c r="D21" s="20">
        <f>+'CAPITALBKRÉSULT      '!T59</f>
        <v>18296</v>
      </c>
      <c r="E21" s="49" t="s">
        <v>0</v>
      </c>
      <c r="F21" s="81">
        <f>+'CAPITALBKRÉSULT      '!U59</f>
        <v>84929</v>
      </c>
      <c r="G21" s="51">
        <f>+(F21-H21)/ABS(H21)</f>
        <v>0.19140071543803044</v>
      </c>
      <c r="H21" s="20">
        <v>71285</v>
      </c>
      <c r="I21" s="51">
        <f>+(H21-J21)/ABS(J21)</f>
        <v>0.22434433127801728</v>
      </c>
      <c r="J21" s="20">
        <v>58223</v>
      </c>
      <c r="K21" s="51">
        <f>+(J21-L21)/ABS(L21)</f>
        <v>-0.12739235346132519</v>
      </c>
      <c r="L21" s="20">
        <v>66723</v>
      </c>
      <c r="M21" s="48"/>
      <c r="N21" s="48"/>
    </row>
    <row r="22" spans="1:14">
      <c r="A22" t="s">
        <v>274</v>
      </c>
      <c r="B22" s="217">
        <f>+'CAPITALBKRÉSULT      '!R60</f>
        <v>3141</v>
      </c>
      <c r="C22" s="52">
        <f>+(B22-D22)/ABS(D22)</f>
        <v>1.3146647015475312</v>
      </c>
      <c r="D22" s="217">
        <f>+'CAPITALBKRÉSULT      '!T60</f>
        <v>1357</v>
      </c>
      <c r="E22" s="49" t="s">
        <v>0</v>
      </c>
      <c r="F22" s="217">
        <f>+'CAPITALBKRÉSULT      '!U60</f>
        <v>15298</v>
      </c>
      <c r="G22" s="51">
        <f>+(F22-H22)/ABS(H22)</f>
        <v>-4.8335925349922239E-2</v>
      </c>
      <c r="H22" s="217">
        <v>16075</v>
      </c>
      <c r="I22" s="51">
        <f>+(H22-J22)/ABS(J22)</f>
        <v>-0.42165857168555498</v>
      </c>
      <c r="J22" s="217">
        <v>27795</v>
      </c>
      <c r="K22" s="51">
        <f>+(J22-L22)/ABS(L22)</f>
        <v>7.1841739935215185E-2</v>
      </c>
      <c r="L22" s="217">
        <v>25932</v>
      </c>
      <c r="M22" s="48"/>
      <c r="N22" s="48"/>
    </row>
    <row r="23" spans="1:14" s="187" customFormat="1">
      <c r="B23" s="24">
        <f>SUM(B20:B22)</f>
        <v>127790</v>
      </c>
      <c r="C23" s="51">
        <f>+(B23-D23)/ABS(D23)</f>
        <v>0.19277187152897693</v>
      </c>
      <c r="D23" s="24">
        <f>SUM(D20:D22)</f>
        <v>107137</v>
      </c>
      <c r="E23" s="49" t="s">
        <v>0</v>
      </c>
      <c r="F23" s="24">
        <f>SUM(F20:F22)</f>
        <v>454753</v>
      </c>
      <c r="G23" s="51">
        <f>+(F23-H23)/ABS(H23)</f>
        <v>0.1490741770181627</v>
      </c>
      <c r="H23" s="24">
        <f>SUM(H20:H22)</f>
        <v>395756</v>
      </c>
      <c r="I23" s="51">
        <f>+(H23-J23)/ABS(J23)</f>
        <v>0.15113613887305263</v>
      </c>
      <c r="J23" s="24">
        <f>SUM(J20:J22)</f>
        <v>343796</v>
      </c>
      <c r="K23" s="51">
        <f>+(J23-L23)/ABS(L23)</f>
        <v>0.11265882596622501</v>
      </c>
      <c r="L23" s="24">
        <f>SUM(L20:L22)</f>
        <v>308986</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301834</v>
      </c>
      <c r="C25" s="51">
        <f>+(B25-D25)/ABS(D25)</f>
        <v>0.2289107572543575</v>
      </c>
      <c r="D25" s="24">
        <f>+D17+D23</f>
        <v>245611</v>
      </c>
      <c r="E25" s="49" t="s">
        <v>0</v>
      </c>
      <c r="F25" s="24">
        <f>+F17+F23</f>
        <v>1070501</v>
      </c>
      <c r="G25" s="51">
        <f>+(F25-H25)/ABS(H25)</f>
        <v>0.16858884159713905</v>
      </c>
      <c r="H25" s="24">
        <f>+H17+H23</f>
        <v>916063</v>
      </c>
      <c r="I25" s="51">
        <f>+(H25-J25)/ABS(J25)</f>
        <v>0.12320847694331744</v>
      </c>
      <c r="J25" s="24">
        <f>+J17+J23</f>
        <v>815577</v>
      </c>
      <c r="K25" s="51">
        <f>+(J25-L25)/ABS(L25)</f>
        <v>0.18638010037093608</v>
      </c>
      <c r="L25" s="24">
        <f>+L17+L23</f>
        <v>687450</v>
      </c>
      <c r="M25" s="49"/>
      <c r="N25" s="49"/>
    </row>
    <row r="26" spans="1:14">
      <c r="B26" s="20"/>
      <c r="C26" s="51"/>
      <c r="D26" s="20"/>
      <c r="E26" s="49" t="s">
        <v>0</v>
      </c>
      <c r="F26" s="20"/>
      <c r="G26" s="51"/>
      <c r="H26" s="20"/>
      <c r="I26" s="51"/>
      <c r="J26" s="20"/>
      <c r="K26" s="51"/>
      <c r="L26" s="20"/>
      <c r="M26" s="48"/>
      <c r="N26" s="48"/>
    </row>
    <row r="27" spans="1:14">
      <c r="A27" t="s">
        <v>403</v>
      </c>
      <c r="B27" s="20">
        <f>+'CAPITALBKRÉSULT      '!R65</f>
        <v>11425</v>
      </c>
      <c r="C27" s="51">
        <f>+(B27-D27)/ABS(D27)</f>
        <v>1.3146272285251215</v>
      </c>
      <c r="D27" s="20">
        <f>+'CAPITALBKRÉSULT      '!T65</f>
        <v>4936</v>
      </c>
      <c r="E27" s="49" t="s">
        <v>0</v>
      </c>
      <c r="F27" s="81">
        <f>+'CAPITALBKRÉSULT      '!U65</f>
        <v>32740</v>
      </c>
      <c r="G27" s="51">
        <f>+(F27-H27)/ABS(H27)</f>
        <v>0.14100508817174323</v>
      </c>
      <c r="H27" s="20">
        <v>28694</v>
      </c>
      <c r="I27" s="51">
        <f>+(H27-J27)/ABS(J27)</f>
        <v>0.63975084290530893</v>
      </c>
      <c r="J27" s="20">
        <v>17499</v>
      </c>
      <c r="K27" s="51">
        <f>+(J27-L27)/ABS(L27)</f>
        <v>0.11302633252766824</v>
      </c>
      <c r="L27" s="20">
        <v>15722</v>
      </c>
      <c r="M27" s="48"/>
      <c r="N27" s="48"/>
    </row>
    <row r="28" spans="1:14">
      <c r="B28" s="20"/>
      <c r="C28" s="51"/>
      <c r="D28" s="20"/>
      <c r="E28" s="49" t="s">
        <v>0</v>
      </c>
      <c r="F28" s="20"/>
      <c r="G28" s="51"/>
      <c r="H28" s="20"/>
      <c r="I28" s="51"/>
      <c r="J28" s="20"/>
      <c r="K28" s="51"/>
      <c r="L28" s="20"/>
      <c r="M28" s="48"/>
      <c r="N28" s="48"/>
    </row>
    <row r="29" spans="1:14">
      <c r="A29" t="s">
        <v>311</v>
      </c>
      <c r="B29" s="217"/>
      <c r="C29" s="51"/>
      <c r="D29" s="217"/>
      <c r="E29" s="49" t="s">
        <v>0</v>
      </c>
      <c r="F29" s="217"/>
      <c r="G29" s="51"/>
      <c r="H29" s="217"/>
      <c r="I29" s="51"/>
      <c r="J29" s="217"/>
      <c r="K29" s="51"/>
      <c r="L29" s="217"/>
      <c r="M29" s="48"/>
      <c r="N29" s="48"/>
    </row>
    <row r="30" spans="1:14" s="187" customFormat="1">
      <c r="A30" s="187" t="s">
        <v>312</v>
      </c>
      <c r="B30" s="24">
        <f>+B25-B27</f>
        <v>290409</v>
      </c>
      <c r="C30" s="51">
        <f>+(B30-D30)/ABS(D30)</f>
        <v>0.20664381427235898</v>
      </c>
      <c r="D30" s="24">
        <f>+D25-D27</f>
        <v>240675</v>
      </c>
      <c r="E30" s="49" t="s">
        <v>0</v>
      </c>
      <c r="F30" s="24">
        <f>+F25-F27</f>
        <v>1037761</v>
      </c>
      <c r="G30" s="51">
        <f>+(F30-H30)/ABS(H30)</f>
        <v>0.16948079096745547</v>
      </c>
      <c r="H30" s="24">
        <f>+H25-H27</f>
        <v>887369</v>
      </c>
      <c r="I30" s="51">
        <f>+(H30-J30)/ABS(J30)</f>
        <v>0.11188254782114029</v>
      </c>
      <c r="J30" s="24">
        <f>+J25-J27</f>
        <v>798078</v>
      </c>
      <c r="K30" s="51">
        <f>+(J30-L30)/ABS(L30)</f>
        <v>0.18809696782030821</v>
      </c>
      <c r="L30" s="24">
        <f>+L25-L27</f>
        <v>671728</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0">
        <f>+'CAPITALBKRÉSULT      '!R71</f>
        <v>72682</v>
      </c>
      <c r="C33" s="51">
        <f>+(B33-D33)/ABS(D33)</f>
        <v>0.12862000962747869</v>
      </c>
      <c r="D33" s="20">
        <f>+'CAPITALBKRÉSULT      '!T71</f>
        <v>64399</v>
      </c>
      <c r="E33" s="49" t="s">
        <v>0</v>
      </c>
      <c r="F33" s="81">
        <f>+'CAPITALBKRÉSULT      '!U71</f>
        <v>269819</v>
      </c>
      <c r="G33" s="51">
        <f>+(F33-H33)/ABS(H33)</f>
        <v>0.12432547305434134</v>
      </c>
      <c r="H33" s="20">
        <v>239983</v>
      </c>
      <c r="I33" s="51">
        <f>+(H33-J33)/ABS(J33)</f>
        <v>0.12523326800266324</v>
      </c>
      <c r="J33" s="20">
        <v>213274</v>
      </c>
      <c r="K33" s="51">
        <f>+(J33-L33)/ABS(L33)</f>
        <v>0.173285655343144</v>
      </c>
      <c r="L33" s="20">
        <v>181775</v>
      </c>
      <c r="M33" s="48"/>
      <c r="N33" s="48"/>
    </row>
    <row r="34" spans="1:14">
      <c r="A34" t="s">
        <v>315</v>
      </c>
      <c r="B34" s="20">
        <f>+'CAPITALBKRÉSULT      '!R72</f>
        <v>20991</v>
      </c>
      <c r="C34" s="51">
        <f>+(B34-D34)/ABS(D34)</f>
        <v>6.8189913999287574E-2</v>
      </c>
      <c r="D34" s="20">
        <f>+'CAPITALBKRÉSULT      '!T72</f>
        <v>19651</v>
      </c>
      <c r="E34" s="49" t="s">
        <v>0</v>
      </c>
      <c r="F34" s="81">
        <f>+'CAPITALBKRÉSULT      '!U72</f>
        <v>85739</v>
      </c>
      <c r="G34" s="51">
        <f>+(F34-H34)/ABS(H34)</f>
        <v>0.17621477762230087</v>
      </c>
      <c r="H34" s="20">
        <v>72894</v>
      </c>
      <c r="I34" s="51">
        <f>+(H34-J34)/ABS(J34)</f>
        <v>0.13386635141861622</v>
      </c>
      <c r="J34" s="20">
        <v>64288</v>
      </c>
      <c r="K34" s="51">
        <f>+(J34-L34)/ABS(L34)</f>
        <v>0.12140664247837007</v>
      </c>
      <c r="L34" s="20">
        <v>57328</v>
      </c>
      <c r="M34" s="48"/>
      <c r="N34" s="48"/>
    </row>
    <row r="35" spans="1:14">
      <c r="A35" t="s">
        <v>316</v>
      </c>
      <c r="B35" s="20">
        <f>+'CAPITALBKRÉSULT      '!R73</f>
        <v>12415</v>
      </c>
      <c r="C35" s="51">
        <f>+(B35-D35)/ABS(D35)</f>
        <v>0.14943060827701138</v>
      </c>
      <c r="D35" s="20">
        <f>+'CAPITALBKRÉSULT      '!T73</f>
        <v>10801</v>
      </c>
      <c r="E35" s="49" t="s">
        <v>0</v>
      </c>
      <c r="F35" s="81">
        <f>+'CAPITALBKRÉSULT      '!U73</f>
        <v>46276</v>
      </c>
      <c r="G35" s="51">
        <f>+(F35-H35)/ABS(H35)</f>
        <v>0.19982369260286759</v>
      </c>
      <c r="H35" s="20">
        <v>38569</v>
      </c>
      <c r="I35" s="51">
        <f>+(H35-J35)/ABS(J35)</f>
        <v>0.17398715490213984</v>
      </c>
      <c r="J35" s="20">
        <v>32853</v>
      </c>
      <c r="K35" s="51">
        <f>+(J35-L35)/ABS(L35)</f>
        <v>0.15176693310896089</v>
      </c>
      <c r="L35" s="20">
        <v>28524</v>
      </c>
      <c r="M35" s="48"/>
      <c r="N35" s="48"/>
    </row>
    <row r="36" spans="1:14">
      <c r="A36" t="s">
        <v>317</v>
      </c>
      <c r="B36" s="217">
        <f>+'CAPITALBKRÉSULT      '!R74</f>
        <v>92882</v>
      </c>
      <c r="C36" s="51">
        <f>+(B36-D36)/ABS(D36)</f>
        <v>0.24140604116546377</v>
      </c>
      <c r="D36" s="217">
        <f>+'CAPITALBKRÉSULT      '!T74</f>
        <v>74820</v>
      </c>
      <c r="E36" s="49" t="s">
        <v>0</v>
      </c>
      <c r="F36" s="217">
        <f>+'CAPITALBKRÉSULT      '!U74</f>
        <v>343914</v>
      </c>
      <c r="G36" s="51">
        <f>+(F36-H36)/ABS(H36)</f>
        <v>0.17420473828147673</v>
      </c>
      <c r="H36" s="217">
        <v>292891</v>
      </c>
      <c r="I36" s="51">
        <f>+(H36-J36)/ABS(J36)</f>
        <v>0.12288900731107934</v>
      </c>
      <c r="J36" s="217">
        <v>260837</v>
      </c>
      <c r="K36" s="51">
        <f>+(J36-L36)/ABS(L36)</f>
        <v>0.14789355325637787</v>
      </c>
      <c r="L36" s="217">
        <v>227231</v>
      </c>
      <c r="M36" s="48"/>
      <c r="N36" s="48"/>
    </row>
    <row r="37" spans="1:14" s="187" customFormat="1">
      <c r="B37" s="24">
        <f>SUM(B33:B36)</f>
        <v>198970</v>
      </c>
      <c r="C37" s="51">
        <f>+(B37-D37)/ABS(D37)</f>
        <v>0.17268124782667632</v>
      </c>
      <c r="D37" s="24">
        <f>SUM(D33:D36)</f>
        <v>169671</v>
      </c>
      <c r="E37" s="49" t="s">
        <v>0</v>
      </c>
      <c r="F37" s="24">
        <f>SUM(F33:F36)</f>
        <v>745748</v>
      </c>
      <c r="G37" s="51">
        <f>+(F37-H37)/ABS(H37)</f>
        <v>0.15738813695317821</v>
      </c>
      <c r="H37" s="24">
        <f>SUM(H33:H36)</f>
        <v>644337</v>
      </c>
      <c r="I37" s="51">
        <f>+(H37-J37)/ABS(J37)</f>
        <v>0.12793828292942519</v>
      </c>
      <c r="J37" s="24">
        <f>SUM(J33:J36)</f>
        <v>571252</v>
      </c>
      <c r="K37" s="51">
        <f>+(J37-L37)/ABS(L37)</f>
        <v>0.15437559865658432</v>
      </c>
      <c r="L37" s="24">
        <f>SUM(L33:L36)</f>
        <v>494858</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91439</v>
      </c>
      <c r="C39" s="51">
        <f>+(B39-D39)/ABS(D39)</f>
        <v>0.28780068728522334</v>
      </c>
      <c r="D39" s="24">
        <f>+D30-D37</f>
        <v>71004</v>
      </c>
      <c r="E39" s="49" t="s">
        <v>0</v>
      </c>
      <c r="F39" s="24">
        <f>+F30-F37</f>
        <v>292013</v>
      </c>
      <c r="G39" s="51">
        <f>+(F39-H39)/ABS(H39)</f>
        <v>0.2015413608084532</v>
      </c>
      <c r="H39" s="24">
        <f>+H30-H37</f>
        <v>243032</v>
      </c>
      <c r="I39" s="51">
        <f>+(H39-J39)/ABS(J39)</f>
        <v>7.1446835900646308E-2</v>
      </c>
      <c r="J39" s="24">
        <f>+J30-J37</f>
        <v>226826</v>
      </c>
      <c r="K39" s="51">
        <f>+(J39-L39)/ABS(L39)</f>
        <v>0.28244473342002602</v>
      </c>
      <c r="L39" s="24">
        <f>+L30-L37</f>
        <v>176870</v>
      </c>
      <c r="M39" s="49"/>
      <c r="N39" s="49"/>
    </row>
    <row r="40" spans="1:14">
      <c r="B40" s="20"/>
      <c r="C40" s="51"/>
      <c r="D40" s="20"/>
      <c r="E40" s="49" t="s">
        <v>0</v>
      </c>
      <c r="F40" s="20"/>
      <c r="G40" s="51"/>
      <c r="H40" s="20"/>
      <c r="I40" s="51"/>
      <c r="J40" s="20"/>
      <c r="K40" s="51"/>
      <c r="L40" s="20"/>
      <c r="M40" s="48"/>
      <c r="N40" s="48"/>
    </row>
    <row r="41" spans="1:14">
      <c r="A41" t="s">
        <v>319</v>
      </c>
      <c r="B41" s="20">
        <f>+'CAPITALBKRÉSULT      '!R79</f>
        <v>18288</v>
      </c>
      <c r="C41" s="51">
        <f>+(B41-D41)/ABS(D41)</f>
        <v>0.28779663403985634</v>
      </c>
      <c r="D41" s="20">
        <f>+'CAPITALBKRÉSULT      '!T79</f>
        <v>14201</v>
      </c>
      <c r="E41" s="49" t="s">
        <v>0</v>
      </c>
      <c r="F41" s="81">
        <f>+'CAPITALBKRÉSULT      '!U79</f>
        <v>56957</v>
      </c>
      <c r="G41" s="51">
        <f>+(F41-H41)/ABS(H41)</f>
        <v>0.17178595675519986</v>
      </c>
      <c r="H41" s="81">
        <v>48607</v>
      </c>
      <c r="I41" s="51">
        <f>+(H41-J41)/ABS(J41)</f>
        <v>7.1464785627686545E-2</v>
      </c>
      <c r="J41" s="81">
        <v>45365</v>
      </c>
      <c r="K41" s="48">
        <v>0</v>
      </c>
      <c r="L41" s="20">
        <v>0</v>
      </c>
      <c r="M41" s="48"/>
      <c r="N41" s="48"/>
    </row>
    <row r="42" spans="1:14" ht="16.5" thickBot="1">
      <c r="B42" s="79"/>
      <c r="C42" s="51"/>
      <c r="D42" s="79"/>
      <c r="E42" s="49" t="s">
        <v>0</v>
      </c>
      <c r="F42" s="79"/>
      <c r="G42" s="51"/>
      <c r="H42" s="79"/>
      <c r="I42" s="51"/>
      <c r="J42" s="79"/>
      <c r="K42" s="51"/>
      <c r="L42" s="79"/>
      <c r="M42" s="48"/>
      <c r="N42" s="48"/>
    </row>
    <row r="43" spans="1:14">
      <c r="A43" s="11" t="s">
        <v>326</v>
      </c>
      <c r="B43" s="13">
        <f>+B39-B41</f>
        <v>73151</v>
      </c>
      <c r="C43" s="109">
        <f>+(B43-D43)/ABS(D43)</f>
        <v>0.28780170061440419</v>
      </c>
      <c r="D43" s="13">
        <f>+D39-D41</f>
        <v>56803</v>
      </c>
      <c r="E43" s="47" t="s">
        <v>0</v>
      </c>
      <c r="F43" s="13">
        <f>+F39-F41</f>
        <v>235056</v>
      </c>
      <c r="G43" s="109">
        <f>+(F43-H43)/ABS(H43)</f>
        <v>0.20898032660408897</v>
      </c>
      <c r="H43" s="13">
        <f>+H39-H41</f>
        <v>194425</v>
      </c>
      <c r="I43" s="109">
        <f>+(H43-J43)/ABS(J43)</f>
        <v>7.1442348493615707E-2</v>
      </c>
      <c r="J43" s="13">
        <f>+J39-J41</f>
        <v>181461</v>
      </c>
      <c r="K43" s="109">
        <f>+(J43-L43)/ABS(L43)</f>
        <v>2.5956917510035621E-2</v>
      </c>
      <c r="L43" s="13">
        <f>+L39-L41</f>
        <v>176870</v>
      </c>
      <c r="M43" s="48"/>
      <c r="N43" s="48"/>
    </row>
    <row r="44" spans="1:14">
      <c r="E44" t="s">
        <v>0</v>
      </c>
    </row>
    <row r="45" spans="1:14">
      <c r="E45" t="s">
        <v>0</v>
      </c>
    </row>
  </sheetData>
  <phoneticPr fontId="0" type="noConversion"/>
  <pageMargins left="0.18" right="0.16" top="0.5" bottom="0.75" header="0.34" footer="0.5"/>
  <pageSetup scale="62" orientation="landscape" r:id="rId1"/>
  <headerFooter alignWithMargins="0">
    <oddFooter>&amp;R&amp;P</oddFooter>
  </headerFooter>
</worksheet>
</file>

<file path=xl/worksheets/sheet90.xml><?xml version="1.0" encoding="utf-8"?>
<worksheet xmlns="http://schemas.openxmlformats.org/spreadsheetml/2006/main" xmlns:r="http://schemas.openxmlformats.org/officeDocument/2006/relationships">
  <sheetPr>
    <pageSetUpPr fitToPage="1"/>
  </sheetPr>
  <dimension ref="A1:AA76"/>
  <sheetViews>
    <sheetView workbookViewId="0">
      <selection activeCell="B75" sqref="B75"/>
    </sheetView>
  </sheetViews>
  <sheetFormatPr baseColWidth="10" defaultColWidth="9" defaultRowHeight="15.75"/>
  <cols>
    <col min="1" max="1" width="34.75" customWidth="1"/>
    <col min="2" max="2" width="14.875" customWidth="1"/>
    <col min="3" max="3" width="12.75" customWidth="1"/>
    <col min="4" max="4" width="14" customWidth="1"/>
    <col min="5" max="5" width="14.625" customWidth="1"/>
    <col min="6" max="6" width="14.75" customWidth="1"/>
    <col min="8" max="8" width="14.75" customWidth="1"/>
    <col min="9" max="9" width="12.75" customWidth="1"/>
    <col min="10" max="10" width="13.75" customWidth="1"/>
    <col min="11" max="11" width="13.25" customWidth="1"/>
    <col min="12" max="12" width="14.5" customWidth="1"/>
    <col min="14" max="14" width="14.25" customWidth="1"/>
    <col min="15" max="15" width="14" customWidth="1"/>
    <col min="16" max="16" width="13.75" customWidth="1"/>
    <col min="17" max="17" width="10.5" customWidth="1"/>
    <col min="18" max="18" width="15.125" customWidth="1"/>
    <col min="19" max="19" width="9.75" customWidth="1"/>
    <col min="20" max="20" width="15.875" customWidth="1"/>
  </cols>
  <sheetData>
    <row r="1" spans="1:27">
      <c r="A1" s="111" t="s">
        <v>404</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+'capitalbkinfin '!I4</f>
        <v>Var. déc. 14</v>
      </c>
      <c r="J4" s="156" t="s">
        <v>195</v>
      </c>
      <c r="K4" s="157"/>
      <c r="L4" s="157"/>
      <c r="M4" s="157"/>
      <c r="N4" s="157"/>
      <c r="O4" s="157"/>
      <c r="P4" s="157"/>
    </row>
    <row r="5" spans="1:27" ht="16.5" thickBot="1">
      <c r="B5" s="1" t="str">
        <f>+'capitalbkinfin '!B5</f>
        <v>Déc. 14</v>
      </c>
      <c r="C5" s="1" t="s">
        <v>196</v>
      </c>
      <c r="D5" s="1" t="str">
        <f>+'capitalbkinfin '!D5</f>
        <v>Mars 15</v>
      </c>
      <c r="E5" s="1" t="s">
        <v>196</v>
      </c>
      <c r="F5" s="1" t="str">
        <f>+'capitalbkinfin '!F5</f>
        <v>Juin 15</v>
      </c>
      <c r="G5" s="1" t="s">
        <v>196</v>
      </c>
      <c r="H5" s="1" t="str">
        <f>+'capitalbkinfin '!H5</f>
        <v>Sept. 15</v>
      </c>
      <c r="I5" s="155" t="str">
        <f>+'capitalbkinfin '!I5</f>
        <v>/sept. 14</v>
      </c>
      <c r="J5" s="155" t="str">
        <f>+'capitalbkinfin '!J5</f>
        <v>2014</v>
      </c>
      <c r="K5" s="1" t="s">
        <v>196</v>
      </c>
      <c r="L5" s="155" t="str">
        <f>+'capitalbkinfin '!L5</f>
        <v>2013</v>
      </c>
      <c r="M5" s="1" t="s">
        <v>196</v>
      </c>
      <c r="N5" s="155" t="str">
        <f>+'capitalbkinfin '!N5</f>
        <v>2012</v>
      </c>
      <c r="O5" s="1" t="s">
        <v>196</v>
      </c>
      <c r="P5" s="155" t="str">
        <f>+'capitalbkinfin '!P5</f>
        <v>2011</v>
      </c>
    </row>
    <row r="6" spans="1:27">
      <c r="B6" s="3"/>
      <c r="D6" s="3"/>
      <c r="F6" s="3"/>
      <c r="H6" s="3"/>
      <c r="J6" s="53"/>
      <c r="L6" s="53"/>
      <c r="N6" s="53"/>
      <c r="P6" s="53"/>
    </row>
    <row r="7" spans="1:27">
      <c r="A7" s="11" t="s">
        <v>197</v>
      </c>
    </row>
    <row r="8" spans="1:27">
      <c r="A8" s="11" t="s">
        <v>198</v>
      </c>
    </row>
    <row r="9" spans="1:27">
      <c r="E9" s="116" t="s">
        <v>0</v>
      </c>
    </row>
    <row r="10" spans="1:27">
      <c r="A10" s="11" t="s">
        <v>18</v>
      </c>
    </row>
    <row r="11" spans="1:27">
      <c r="A11" t="s">
        <v>199</v>
      </c>
      <c r="B11" s="20">
        <f>+cbnavar!B23</f>
        <v>6360128</v>
      </c>
      <c r="C11" s="48">
        <v>0</v>
      </c>
      <c r="D11" s="20">
        <f>+cbnavar!D23</f>
        <v>0</v>
      </c>
      <c r="E11" s="48">
        <v>0</v>
      </c>
      <c r="F11" s="20">
        <f>+cbnavar!F23</f>
        <v>0</v>
      </c>
      <c r="G11" s="48">
        <v>0</v>
      </c>
      <c r="H11" s="20">
        <f>+cbnavar!H23</f>
        <v>0</v>
      </c>
      <c r="I11" s="51">
        <f>+(B11-J11)/ABS(J11)</f>
        <v>-0.10293057936683124</v>
      </c>
      <c r="J11" s="20">
        <f>+cbnavar!J23</f>
        <v>7089895</v>
      </c>
      <c r="K11" s="51">
        <f>+(-L11+J11)/ABS(L11)</f>
        <v>0.32845246299483716</v>
      </c>
      <c r="L11" s="20">
        <f>+cbnavar!L23</f>
        <v>5336958</v>
      </c>
      <c r="M11" s="51">
        <f>+(-N11+L11)/ABS(N11)</f>
        <v>-4.2857783365286152E-2</v>
      </c>
      <c r="N11" s="20">
        <f>+cbnavar!N23</f>
        <v>5575930</v>
      </c>
      <c r="O11" s="51">
        <f>+(-P11+N11)/ABS(P11)</f>
        <v>8.6877832111522557E-2</v>
      </c>
      <c r="P11" s="20">
        <f>+cbnavar!P23</f>
        <v>5130227</v>
      </c>
      <c r="Q11" s="48"/>
      <c r="R11" s="48"/>
      <c r="S11" s="48"/>
      <c r="T11" s="48"/>
      <c r="U11" s="48"/>
      <c r="V11" s="48"/>
      <c r="W11" s="48"/>
      <c r="X11" s="48"/>
      <c r="Y11" s="48"/>
      <c r="Z11" s="48"/>
      <c r="AA11" s="48"/>
    </row>
    <row r="12" spans="1:27">
      <c r="A12" t="s">
        <v>200</v>
      </c>
      <c r="B12" s="20">
        <f>+cbnavar!B17</f>
        <v>796833</v>
      </c>
      <c r="C12" s="48">
        <v>0</v>
      </c>
      <c r="D12" s="20">
        <f>+cbnavar!D17</f>
        <v>0</v>
      </c>
      <c r="E12" s="48">
        <v>0</v>
      </c>
      <c r="F12" s="20">
        <f>+cbnavar!F17</f>
        <v>0</v>
      </c>
      <c r="G12" s="48">
        <v>0</v>
      </c>
      <c r="H12" s="20">
        <f>+cbnavar!H17</f>
        <v>0</v>
      </c>
      <c r="I12" s="48">
        <v>0</v>
      </c>
      <c r="J12" s="20">
        <f>+cbnavar!J17</f>
        <v>49563</v>
      </c>
      <c r="K12" s="48">
        <v>0</v>
      </c>
      <c r="L12" s="20">
        <f>+cbnavar!L17</f>
        <v>0</v>
      </c>
      <c r="M12" s="51">
        <f>+(-N12+L12)/ABS(N12)</f>
        <v>-1</v>
      </c>
      <c r="N12" s="20">
        <f>+cbnavar!N17</f>
        <v>399899</v>
      </c>
      <c r="O12" s="51">
        <f>+(-P12+N12)/ABS(P12)</f>
        <v>3.8914579652914894E-2</v>
      </c>
      <c r="P12" s="20">
        <f>+cbnavar!P17</f>
        <v>384920</v>
      </c>
      <c r="Q12" s="48"/>
      <c r="R12" s="48"/>
      <c r="S12" s="48"/>
      <c r="T12" s="48"/>
      <c r="U12" s="48"/>
      <c r="V12" s="48"/>
      <c r="W12" s="48"/>
      <c r="X12" s="48"/>
      <c r="Y12" s="48"/>
      <c r="Z12" s="48"/>
      <c r="AA12" s="48"/>
    </row>
    <row r="13" spans="1:27">
      <c r="A13" t="s">
        <v>382</v>
      </c>
      <c r="B13" s="20">
        <f>+cbnavar!B20</f>
        <v>1798882</v>
      </c>
      <c r="C13" s="48">
        <v>0</v>
      </c>
      <c r="D13" s="20">
        <f>+cbnavar!D20</f>
        <v>0</v>
      </c>
      <c r="E13" s="48">
        <v>0</v>
      </c>
      <c r="F13" s="20">
        <f>+cbnavar!F20</f>
        <v>0</v>
      </c>
      <c r="G13" s="48">
        <v>0</v>
      </c>
      <c r="H13" s="20">
        <f>+cbnavar!H20</f>
        <v>0</v>
      </c>
      <c r="I13" s="51">
        <f>+(B13-J13)/ABS(J13)</f>
        <v>0.24294844776717545</v>
      </c>
      <c r="J13" s="20">
        <f>+cbnavar!J20</f>
        <v>1447270</v>
      </c>
      <c r="K13" s="51">
        <f>+(-L13+J13)/ABS(L13)</f>
        <v>0.10429480620456698</v>
      </c>
      <c r="L13" s="20">
        <f>+cbnavar!L20</f>
        <v>1310583</v>
      </c>
      <c r="M13" s="51">
        <f>+(-N13+L13)/ABS(N13)</f>
        <v>-0.17301740244842018</v>
      </c>
      <c r="N13" s="20">
        <f>+cbnavar!N20</f>
        <v>1584777</v>
      </c>
      <c r="O13" s="51">
        <f>+(-P13+N13)/ABS(P13)</f>
        <v>-9.9512475069747891E-2</v>
      </c>
      <c r="P13" s="20">
        <f>+cbnavar!P20</f>
        <v>1759910</v>
      </c>
      <c r="Q13" s="48"/>
      <c r="R13" s="48"/>
      <c r="S13" s="48"/>
      <c r="T13" s="48"/>
      <c r="U13" s="48"/>
      <c r="V13" s="48"/>
      <c r="W13" s="48"/>
      <c r="X13" s="48"/>
      <c r="Y13" s="48"/>
      <c r="Z13" s="48"/>
      <c r="AA13" s="48"/>
    </row>
    <row r="14" spans="1:27">
      <c r="A14" t="s">
        <v>202</v>
      </c>
      <c r="B14" s="20">
        <f>+cbnavar!B30</f>
        <v>4588078</v>
      </c>
      <c r="C14" s="48">
        <v>0</v>
      </c>
      <c r="D14" s="20">
        <f>+cbnavar!D30</f>
        <v>0</v>
      </c>
      <c r="E14" s="48">
        <v>0</v>
      </c>
      <c r="F14" s="20">
        <f>+cbnavar!F30</f>
        <v>0</v>
      </c>
      <c r="G14" s="48">
        <v>0</v>
      </c>
      <c r="H14" s="20">
        <f>+cbnavar!H30</f>
        <v>0</v>
      </c>
      <c r="I14" s="51">
        <f>+(B14-J14)/ABS(J14)</f>
        <v>-0.17156837785084511</v>
      </c>
      <c r="J14" s="20">
        <f>+cbnavar!J30</f>
        <v>5538270</v>
      </c>
      <c r="K14" s="51">
        <f>+(-L14+J14)/ABS(L14)</f>
        <v>0.32106931268386552</v>
      </c>
      <c r="L14" s="20">
        <f>+cbnavar!L30</f>
        <v>4192263</v>
      </c>
      <c r="M14" s="51">
        <f>+(-N14+L14)/ABS(N14)</f>
        <v>-0.11492202323057263</v>
      </c>
      <c r="N14" s="20">
        <f>+cbnavar!N30</f>
        <v>4736603</v>
      </c>
      <c r="O14" s="51">
        <f>+(-P14+N14)/ABS(P14)</f>
        <v>0.14503935450822397</v>
      </c>
      <c r="P14" s="20">
        <f>+cbnavar!P30</f>
        <v>4136629</v>
      </c>
      <c r="Q14" s="48"/>
      <c r="R14" s="48"/>
      <c r="S14" s="48"/>
      <c r="T14" s="48"/>
      <c r="U14" s="48"/>
      <c r="V14" s="48"/>
      <c r="W14" s="48"/>
      <c r="X14" s="48"/>
      <c r="Y14" s="48"/>
      <c r="Z14" s="48"/>
      <c r="AA14" s="48"/>
    </row>
    <row r="15" spans="1:27">
      <c r="A15" t="s">
        <v>203</v>
      </c>
      <c r="B15" s="20">
        <f>+cbnavar!B52</f>
        <v>390175</v>
      </c>
      <c r="C15" s="48">
        <v>0</v>
      </c>
      <c r="D15" s="20">
        <f>+cbnavar!D52</f>
        <v>0</v>
      </c>
      <c r="E15" s="48">
        <v>0</v>
      </c>
      <c r="F15" s="20">
        <f>+cbnavar!F52</f>
        <v>0</v>
      </c>
      <c r="G15" s="48">
        <v>0</v>
      </c>
      <c r="H15" s="20">
        <f>+cbnavar!H52</f>
        <v>0</v>
      </c>
      <c r="I15" s="51">
        <f>+(B15-J15)/ABS(J15)</f>
        <v>5.593113004319257E-2</v>
      </c>
      <c r="J15" s="20">
        <f>+cbnavar!J52</f>
        <v>369508</v>
      </c>
      <c r="K15" s="51">
        <f>+(-L15+J15)/ABS(L15)</f>
        <v>0.55377544541299251</v>
      </c>
      <c r="L15" s="20">
        <f>+cbnavar!L52</f>
        <v>237813</v>
      </c>
      <c r="M15" s="51">
        <f>+(-N15+L15)/ABS(N15)</f>
        <v>2.0717983054775825E-2</v>
      </c>
      <c r="N15" s="20">
        <f>+cbnavar!N52</f>
        <v>232986</v>
      </c>
      <c r="O15" s="51">
        <f>+(-P15+N15)/ABS(P15)</f>
        <v>8.3650773717331553E-2</v>
      </c>
      <c r="P15" s="20">
        <f>+cbnavar!P52</f>
        <v>215001</v>
      </c>
      <c r="Q15" s="48"/>
      <c r="R15" s="48"/>
      <c r="S15" s="48"/>
      <c r="T15" s="48"/>
      <c r="U15" s="48"/>
      <c r="V15" s="48"/>
      <c r="W15" s="48"/>
      <c r="X15" s="48"/>
      <c r="Y15" s="48"/>
      <c r="Z15" s="48"/>
      <c r="AA15" s="48"/>
    </row>
    <row r="16" spans="1:27">
      <c r="B16" s="20"/>
      <c r="C16" s="51"/>
      <c r="D16" s="48"/>
      <c r="E16" s="51"/>
      <c r="F16" s="48"/>
      <c r="G16" s="51"/>
      <c r="H16" s="51"/>
      <c r="I16" s="51"/>
      <c r="J16" s="20"/>
      <c r="K16" s="51"/>
      <c r="L16" s="20"/>
      <c r="M16" s="51"/>
      <c r="N16" s="20"/>
      <c r="O16" s="51"/>
      <c r="P16" s="20"/>
      <c r="Q16" s="48"/>
      <c r="R16" s="48"/>
      <c r="S16" s="48"/>
      <c r="T16" s="48"/>
      <c r="U16" s="48"/>
      <c r="V16" s="48"/>
      <c r="W16" s="48"/>
      <c r="X16" s="48"/>
      <c r="Y16" s="48"/>
      <c r="Z16" s="48"/>
      <c r="AA16" s="48"/>
    </row>
    <row r="17" spans="1:27" ht="16.5" thickBot="1">
      <c r="B17" s="79"/>
      <c r="C17" s="319"/>
      <c r="D17" s="168"/>
      <c r="E17" s="319"/>
      <c r="F17" s="168"/>
      <c r="G17" s="319"/>
      <c r="H17" s="168"/>
      <c r="I17" s="319"/>
      <c r="J17" s="79"/>
      <c r="K17" s="319"/>
      <c r="L17" s="79"/>
      <c r="M17" s="319"/>
      <c r="N17" s="79"/>
      <c r="O17" s="319"/>
      <c r="P17" s="79"/>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+'capitalbkinfin '!B19</f>
        <v>2015</v>
      </c>
      <c r="C19" s="48"/>
      <c r="D19" s="56" t="str">
        <f>+'capitalbkinfin '!D19</f>
        <v>2014</v>
      </c>
      <c r="E19" s="48"/>
      <c r="F19" s="56" t="str">
        <f>+'capitalbkinfin '!F19</f>
        <v>2015</v>
      </c>
      <c r="G19" s="48"/>
      <c r="H19" s="56" t="str">
        <f>+'capitalbkinfin '!H19</f>
        <v>2014</v>
      </c>
      <c r="I19" s="48"/>
      <c r="J19" s="56" t="str">
        <f>+'capitalbkinfin '!J19</f>
        <v>2015</v>
      </c>
      <c r="K19" s="48"/>
      <c r="L19" s="56" t="str">
        <f>+'capitalbkinfin '!L19</f>
        <v>2014</v>
      </c>
      <c r="M19" s="48"/>
      <c r="N19" s="56" t="str">
        <f>+'capitalbkinfin '!N19</f>
        <v>2015</v>
      </c>
      <c r="O19" s="48"/>
      <c r="P19" s="56" t="str">
        <f>+'capitalbkinfin '!P19</f>
        <v>2014</v>
      </c>
      <c r="Q19" s="48"/>
      <c r="R19" s="56" t="str">
        <f>+'capitalbkinfin '!R19</f>
        <v>2015</v>
      </c>
      <c r="S19" s="48"/>
      <c r="T19" s="56" t="str">
        <f>+'capitalbkinfin '!T19</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292" t="str">
        <f>+'capitalbkinfin '!B21</f>
        <v>(oct. - déc. 14)</v>
      </c>
      <c r="C21" s="292"/>
      <c r="D21" s="292" t="str">
        <f>+'capitalbkinfin '!D21</f>
        <v>(oct. - déc. 13)</v>
      </c>
      <c r="E21" s="186"/>
      <c r="F21" s="292" t="str">
        <f>+'capitalbkinfin '!F21</f>
        <v>(janv. - mars 15)</v>
      </c>
      <c r="G21" s="292"/>
      <c r="H21" s="292" t="str">
        <f>+'capitalbkinfin '!H21</f>
        <v>(janv. - mars 14)</v>
      </c>
      <c r="I21" s="186"/>
      <c r="J21" s="292" t="str">
        <f>+'capitalbkinfin '!J21</f>
        <v>(avril - juin 15)</v>
      </c>
      <c r="K21" s="292"/>
      <c r="L21" s="292" t="str">
        <f>+'capitalbkinfin '!L21</f>
        <v>(avril - juin 14)</v>
      </c>
      <c r="M21" s="186"/>
      <c r="N21" s="292" t="str">
        <f>+'capitalbkinfin '!N21</f>
        <v>(juil. - sept. 15)</v>
      </c>
      <c r="O21" s="292"/>
      <c r="P21" s="292" t="str">
        <f>+'capitalbkinfin '!P21</f>
        <v>(juil. - sept. 14)</v>
      </c>
      <c r="Q21" s="186"/>
      <c r="R21" s="162" t="str">
        <f>+'capitalbkinfin '!R21</f>
        <v>(oct. - déc. 14)</v>
      </c>
      <c r="S21" s="292"/>
      <c r="T21" s="162" t="str">
        <f>+'capitalbkinfin '!T21</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+'CBNARÉSULT         '!B15</f>
        <v>35810</v>
      </c>
      <c r="C23" s="51">
        <f>+(-D23+B23)/ABS(D23)</f>
        <v>0.1116629932015025</v>
      </c>
      <c r="D23" s="20">
        <f>+'CBNARÉSULT         '!D55</f>
        <v>32213</v>
      </c>
      <c r="E23" s="48"/>
      <c r="F23" s="20">
        <f>+'CBNARÉSULT         '!D15</f>
        <v>0</v>
      </c>
      <c r="G23" s="48">
        <v>0</v>
      </c>
      <c r="H23" s="20">
        <f>+'CBNARÉSULT         '!H55</f>
        <v>34506</v>
      </c>
      <c r="I23" s="48"/>
      <c r="J23" s="20">
        <f>+'CBNARÉSULT         '!F15</f>
        <v>0</v>
      </c>
      <c r="K23" s="48">
        <v>0</v>
      </c>
      <c r="L23" s="20">
        <f>+'CBNARÉSULT         '!L55</f>
        <v>35649</v>
      </c>
      <c r="M23" s="48"/>
      <c r="N23" s="20">
        <f>+'CBNARÉSULT         '!H15</f>
        <v>0</v>
      </c>
      <c r="O23" s="48">
        <v>0</v>
      </c>
      <c r="P23" s="20">
        <f>+'CBNARÉSULT         '!P55</f>
        <v>29789</v>
      </c>
      <c r="Q23" s="48"/>
      <c r="R23" s="20">
        <f>+'CBNARÉSULT         '!R55</f>
        <v>35810</v>
      </c>
      <c r="S23" s="51">
        <f>+(-T23+R23)/ABS(T23)</f>
        <v>0.1116629932015025</v>
      </c>
      <c r="T23" s="20">
        <f>+'CBNARÉSULT         '!T55</f>
        <v>32213</v>
      </c>
      <c r="U23" s="48"/>
      <c r="V23" s="48"/>
      <c r="W23" s="48"/>
      <c r="X23" s="48"/>
      <c r="Y23" s="48"/>
      <c r="Z23" s="48"/>
      <c r="AA23" s="48"/>
    </row>
    <row r="24" spans="1:27">
      <c r="A24" t="s">
        <v>210</v>
      </c>
      <c r="B24" s="20">
        <f>+'CBNARÉSULT         '!B21</f>
        <v>52941</v>
      </c>
      <c r="C24" s="51">
        <f>+(-D24+B24)/ABS(D24)</f>
        <v>0.11043292222501888</v>
      </c>
      <c r="D24" s="20">
        <f>+'CBNARÉSULT         '!D61</f>
        <v>47676</v>
      </c>
      <c r="E24" s="48"/>
      <c r="F24" s="20">
        <f>+'CBNARÉSULT         '!D21</f>
        <v>0</v>
      </c>
      <c r="G24" s="48">
        <v>0</v>
      </c>
      <c r="H24" s="20">
        <f>+'CBNARÉSULT         '!H61</f>
        <v>50046</v>
      </c>
      <c r="I24" s="48"/>
      <c r="J24" s="20">
        <f>+'CBNARÉSULT         '!F21</f>
        <v>0</v>
      </c>
      <c r="K24" s="48">
        <v>0</v>
      </c>
      <c r="L24" s="20">
        <f>+'CBNARÉSULT         '!L61</f>
        <v>134076</v>
      </c>
      <c r="M24" s="48"/>
      <c r="N24" s="20">
        <f>+'CBNARÉSULT         '!H21</f>
        <v>0</v>
      </c>
      <c r="O24" s="48">
        <v>0</v>
      </c>
      <c r="P24" s="20">
        <f>+'CBNARÉSULT         '!P61</f>
        <v>47171</v>
      </c>
      <c r="Q24" s="48"/>
      <c r="R24" s="20">
        <f>+'CBNARÉSULT         '!R61</f>
        <v>52941</v>
      </c>
      <c r="S24" s="51">
        <f>+(-T24+R24)/ABS(T24)</f>
        <v>0.11043292222501888</v>
      </c>
      <c r="T24" s="20">
        <f>+'CBNARÉSULT         '!T61</f>
        <v>47676</v>
      </c>
      <c r="U24" s="48"/>
      <c r="V24" s="48"/>
      <c r="W24" s="48"/>
      <c r="X24" s="48"/>
      <c r="Y24" s="48"/>
      <c r="Z24" s="48"/>
      <c r="AA24" s="48"/>
    </row>
    <row r="25" spans="1:27">
      <c r="A25" t="s">
        <v>643</v>
      </c>
      <c r="B25" s="20">
        <f>+'CBNARÉSULT         '!B25</f>
        <v>101</v>
      </c>
      <c r="C25" s="51">
        <f>+(-D25+B25)/ABS(D25)</f>
        <v>1.0060008317984672</v>
      </c>
      <c r="D25" s="20">
        <f>+'CBNARÉSULT         '!D65</f>
        <v>-16831</v>
      </c>
      <c r="E25" s="48"/>
      <c r="F25" s="20">
        <f>+'CBNARÉSULT         '!D25</f>
        <v>0</v>
      </c>
      <c r="G25" s="48">
        <v>0</v>
      </c>
      <c r="H25" s="20">
        <f>+'CBNARÉSULT         '!H65</f>
        <v>37724</v>
      </c>
      <c r="I25" s="48"/>
      <c r="J25" s="20">
        <f>+'CBNARÉSULT         '!F25</f>
        <v>0</v>
      </c>
      <c r="K25" s="48">
        <v>0</v>
      </c>
      <c r="L25" s="20">
        <f>+'CBNARÉSULT         '!L65</f>
        <v>-35555</v>
      </c>
      <c r="M25" s="48"/>
      <c r="N25" s="20">
        <f>+'CBNARÉSULT         '!H25</f>
        <v>0</v>
      </c>
      <c r="O25" s="48">
        <v>0</v>
      </c>
      <c r="P25" s="20">
        <f>+'CBNARÉSULT         '!P65</f>
        <v>-2060</v>
      </c>
      <c r="Q25" s="48"/>
      <c r="R25" s="20">
        <f>+'CBNARÉSULT         '!R65</f>
        <v>101</v>
      </c>
      <c r="S25" s="51">
        <f>+(-T25+R25)/ABS(T25)</f>
        <v>1.0060008317984672</v>
      </c>
      <c r="T25" s="20">
        <f>+'CBNARÉSULT         '!T65</f>
        <v>-16831</v>
      </c>
      <c r="U25" s="48"/>
      <c r="V25" s="48"/>
      <c r="W25" s="48"/>
      <c r="X25" s="48"/>
      <c r="Y25" s="48"/>
      <c r="Z25" s="48"/>
      <c r="AA25" s="48"/>
    </row>
    <row r="26" spans="1:27">
      <c r="A26" t="s">
        <v>212</v>
      </c>
      <c r="B26" s="20">
        <f>+'CBNARÉSULT         '!B35</f>
        <v>59696</v>
      </c>
      <c r="C26" s="51">
        <f>+(-D26+B26)/ABS(D26)</f>
        <v>-9.6459761764216195E-2</v>
      </c>
      <c r="D26" s="20">
        <f>+'CBNARÉSULT         '!D75</f>
        <v>66069</v>
      </c>
      <c r="E26" s="48"/>
      <c r="F26" s="20">
        <f>+'CBNARÉSULT         '!D35</f>
        <v>0</v>
      </c>
      <c r="G26" s="48">
        <v>0</v>
      </c>
      <c r="H26" s="20">
        <f>+'CBNARÉSULT         '!H75</f>
        <v>41767</v>
      </c>
      <c r="I26" s="48"/>
      <c r="J26" s="20">
        <f>+'CBNARÉSULT         '!F35</f>
        <v>0</v>
      </c>
      <c r="K26" s="48">
        <v>0</v>
      </c>
      <c r="L26" s="20">
        <f>+'CBNARÉSULT         '!L75</f>
        <v>53150</v>
      </c>
      <c r="M26" s="48"/>
      <c r="N26" s="20">
        <f>+'CBNARÉSULT         '!H35</f>
        <v>0</v>
      </c>
      <c r="O26" s="48">
        <v>0</v>
      </c>
      <c r="P26" s="20">
        <f>+'CBNARÉSULT         '!P75</f>
        <v>66845</v>
      </c>
      <c r="Q26" s="48"/>
      <c r="R26" s="20">
        <f>+'CBNARÉSULT         '!R75</f>
        <v>59696</v>
      </c>
      <c r="S26" s="51">
        <f>+(-T26+R26)/ABS(T26)</f>
        <v>-9.6459761764216195E-2</v>
      </c>
      <c r="T26" s="20">
        <f>+'CBNARÉSULT         '!T75</f>
        <v>66069</v>
      </c>
      <c r="U26" s="48"/>
      <c r="V26" s="48"/>
      <c r="W26" s="48"/>
      <c r="X26" s="48"/>
      <c r="Y26" s="48"/>
      <c r="Z26" s="48"/>
      <c r="AA26" s="48"/>
    </row>
    <row r="27" spans="1:27">
      <c r="A27" t="s">
        <v>383</v>
      </c>
      <c r="B27" s="20">
        <f>+'CBNARÉSULT         '!B41</f>
        <v>19669</v>
      </c>
      <c r="C27" s="51">
        <f>+(-D27+B27)/ABS(D27)</f>
        <v>-0.10473372781065089</v>
      </c>
      <c r="D27" s="20">
        <f>+'CBNARÉSULT         '!D81</f>
        <v>21970</v>
      </c>
      <c r="E27" s="48"/>
      <c r="F27" s="20">
        <f>+'CBNARÉSULT         '!D41</f>
        <v>0</v>
      </c>
      <c r="G27" s="48">
        <v>0</v>
      </c>
      <c r="H27" s="20">
        <f>+'CBNARÉSULT         '!H81</f>
        <v>3492</v>
      </c>
      <c r="I27" s="48"/>
      <c r="J27" s="20">
        <f>+'CBNARÉSULT         '!F41</f>
        <v>0</v>
      </c>
      <c r="K27" s="48">
        <v>0</v>
      </c>
      <c r="L27" s="20">
        <f>+'CBNARÉSULT         '!L81</f>
        <v>104970</v>
      </c>
      <c r="M27" s="48"/>
      <c r="N27" s="20">
        <f>+'CBNARÉSULT         '!H41</f>
        <v>0</v>
      </c>
      <c r="O27" s="48">
        <v>0</v>
      </c>
      <c r="P27" s="20">
        <f>+'CBNARÉSULT         '!P81</f>
        <v>8366</v>
      </c>
      <c r="Q27" s="48"/>
      <c r="R27" s="20">
        <f>+'CBNARÉSULT         '!R81</f>
        <v>19669</v>
      </c>
      <c r="S27" s="51">
        <f>+(-T27+R27)/ABS(T27)</f>
        <v>-0.10473372781065089</v>
      </c>
      <c r="T27" s="20">
        <f>+'CBNARÉSULT         '!T81</f>
        <v>21970</v>
      </c>
      <c r="U27" s="48"/>
      <c r="V27" s="48"/>
      <c r="W27" s="48"/>
      <c r="X27" s="48"/>
      <c r="Y27" s="48"/>
      <c r="Z27" s="48"/>
      <c r="AA27" s="48"/>
    </row>
    <row r="28" spans="1:27">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c r="B32" s="56" t="str">
        <f>+'capitalbkinfin '!B32</f>
        <v>2015</v>
      </c>
      <c r="C32" s="56" t="str">
        <f>+'capitalbkinfin '!C32</f>
        <v>2014</v>
      </c>
      <c r="D32" s="48"/>
      <c r="E32" s="56" t="str">
        <f>+'capitalbkinfin '!E32</f>
        <v>2015</v>
      </c>
      <c r="F32" s="56" t="str">
        <f>+'capitalbkinfin '!F32</f>
        <v>2014</v>
      </c>
      <c r="G32" s="48"/>
      <c r="H32" s="56" t="str">
        <f>+'capitalbkinfin '!H32</f>
        <v>2015</v>
      </c>
      <c r="I32" s="56" t="str">
        <f>+'capitalbkinfin '!I32</f>
        <v>2014</v>
      </c>
      <c r="J32" s="48"/>
      <c r="K32" s="56" t="str">
        <f>+'capitalbkinfin '!K32</f>
        <v>2015</v>
      </c>
      <c r="L32" s="56" t="str">
        <f>+'capitalbkinfin '!L32</f>
        <v>2014</v>
      </c>
      <c r="M32" s="48"/>
      <c r="N32" s="56" t="str">
        <f>+'capitalbkinfin '!N32</f>
        <v>2015</v>
      </c>
      <c r="O32" s="56" t="str">
        <f>+'capitalbkinfin '!O32</f>
        <v>2014</v>
      </c>
      <c r="P32" s="48"/>
      <c r="U32" s="48"/>
      <c r="V32" s="48"/>
      <c r="W32" s="48"/>
      <c r="X32" s="48"/>
      <c r="Y32" s="48"/>
      <c r="Z32" s="48"/>
      <c r="AA32" s="48"/>
    </row>
    <row r="33" spans="1:27" ht="16.5" thickBot="1">
      <c r="B33" s="55" t="s">
        <v>204</v>
      </c>
      <c r="C33" s="55" t="s">
        <v>204</v>
      </c>
      <c r="D33" s="48"/>
      <c r="E33" s="55" t="s">
        <v>205</v>
      </c>
      <c r="F33" s="55" t="s">
        <v>205</v>
      </c>
      <c r="G33" s="48"/>
      <c r="H33" s="55" t="s">
        <v>206</v>
      </c>
      <c r="I33" s="55" t="s">
        <v>206</v>
      </c>
      <c r="J33" s="48"/>
      <c r="K33" s="55" t="s">
        <v>207</v>
      </c>
      <c r="L33" s="55" t="s">
        <v>207</v>
      </c>
      <c r="M33" s="48"/>
      <c r="N33" s="55" t="s">
        <v>208</v>
      </c>
      <c r="O33" s="55" t="s">
        <v>208</v>
      </c>
      <c r="P33" s="48"/>
      <c r="Q33" s="111" t="s">
        <v>214</v>
      </c>
      <c r="R33" s="111"/>
      <c r="S33" s="111"/>
      <c r="T33" s="111"/>
      <c r="U33" s="48"/>
      <c r="V33" s="48"/>
      <c r="W33" s="48"/>
      <c r="X33" s="48"/>
      <c r="Y33" s="48"/>
      <c r="Z33" s="48"/>
      <c r="AA33" s="48"/>
    </row>
    <row r="34" spans="1:27" ht="16.5" thickBot="1">
      <c r="B34" s="292" t="str">
        <f>+'capitalbkinfin '!B34</f>
        <v>(oct. - déc. 14)</v>
      </c>
      <c r="C34" s="292" t="str">
        <f>+'capitalbkinfin '!C34</f>
        <v>(oct. - déc. 13)</v>
      </c>
      <c r="D34" s="186"/>
      <c r="E34" s="292" t="str">
        <f>+'capitalbkinfin '!E34</f>
        <v>(janv. - mars 15)</v>
      </c>
      <c r="F34" s="292" t="str">
        <f>+'capitalbkinfin '!F34</f>
        <v>(janv. - mars 14)</v>
      </c>
      <c r="G34" s="186"/>
      <c r="H34" s="292" t="str">
        <f>+'capitalbkinfin '!H34</f>
        <v>(avril - juin 15)</v>
      </c>
      <c r="I34" s="292" t="str">
        <f>+'capitalbkinfin '!I34</f>
        <v>(avril - juin 14)</v>
      </c>
      <c r="J34" s="186"/>
      <c r="K34" s="292" t="str">
        <f>+'capitalbkinfin '!K34</f>
        <v>(juil. - sept. 15)</v>
      </c>
      <c r="L34" s="292" t="str">
        <f>+'capitalbkinfin '!L34</f>
        <v>(juil. - sept. 14)</v>
      </c>
      <c r="M34" s="186"/>
      <c r="N34" s="162" t="str">
        <f>+'capitalbkinfin '!N34</f>
        <v>(oct. - déc. 14)</v>
      </c>
      <c r="O34" s="162" t="str">
        <f>+'capitalbkinfin '!O34</f>
        <v>(oct. - déc. 13)</v>
      </c>
      <c r="P34" s="48"/>
      <c r="Q34" s="163" t="str">
        <f>+'capitalbkinfin '!Q34</f>
        <v>2014</v>
      </c>
      <c r="R34" s="163" t="str">
        <f>+'capitalbkinfin '!R34</f>
        <v>2013</v>
      </c>
      <c r="S34" s="163" t="str">
        <f>+'capitalbkinfin '!S34</f>
        <v>2012</v>
      </c>
      <c r="T34" s="163" t="str">
        <f>+'capitalbkinfin '!T34</f>
        <v>2011</v>
      </c>
      <c r="U34" s="48"/>
      <c r="V34" s="48"/>
      <c r="W34" s="48"/>
      <c r="X34" s="48"/>
      <c r="Y34" s="48"/>
      <c r="Z34" s="48"/>
      <c r="AA34" s="48"/>
    </row>
    <row r="35" spans="1:27">
      <c r="B35" s="315"/>
      <c r="C35" s="315"/>
      <c r="D35" s="186"/>
      <c r="E35" s="315"/>
      <c r="F35" s="315"/>
      <c r="G35" s="186"/>
      <c r="H35" s="315"/>
      <c r="I35" s="315"/>
      <c r="J35" s="186"/>
      <c r="K35" s="315"/>
      <c r="L35" s="315"/>
      <c r="M35" s="186"/>
      <c r="N35" s="315"/>
      <c r="O35" s="315"/>
      <c r="P35" s="48"/>
      <c r="Q35" s="316"/>
      <c r="R35" s="316"/>
      <c r="S35" s="316"/>
      <c r="T35" s="316"/>
      <c r="U35" s="48"/>
      <c r="V35" s="48"/>
      <c r="W35" s="48"/>
      <c r="X35" s="48"/>
      <c r="Y35" s="48"/>
      <c r="Z35" s="48"/>
      <c r="AA35" s="48"/>
    </row>
    <row r="36" spans="1:27">
      <c r="A36" s="11" t="s">
        <v>215</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64" t="s">
        <v>216</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1" t="s">
        <v>384</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t="s">
        <v>219</v>
      </c>
      <c r="B40" s="61"/>
      <c r="C40" s="61"/>
      <c r="D40" s="61"/>
      <c r="E40" s="61"/>
      <c r="F40" s="61"/>
      <c r="G40" s="61"/>
      <c r="H40" s="61"/>
      <c r="I40" s="61"/>
      <c r="J40" s="61"/>
      <c r="K40" s="61"/>
      <c r="M40" s="61"/>
      <c r="N40" s="61"/>
      <c r="O40" s="61"/>
      <c r="P40" s="61"/>
      <c r="Q40" s="61"/>
      <c r="R40" s="61"/>
      <c r="S40" s="61"/>
      <c r="T40" s="61"/>
      <c r="U40" s="48"/>
      <c r="V40" s="48"/>
      <c r="W40" s="48"/>
      <c r="X40" s="48"/>
      <c r="Y40" s="48"/>
      <c r="Z40" s="48"/>
      <c r="AA40" s="48"/>
    </row>
    <row r="41" spans="1:27">
      <c r="A41" t="s">
        <v>220</v>
      </c>
      <c r="B41" s="62">
        <f>+cbnavar!B52/cbnavar!B23</f>
        <v>6.1347035782927641E-2</v>
      </c>
      <c r="C41" s="63">
        <v>4.8272640325617011E-2</v>
      </c>
      <c r="D41" s="63"/>
      <c r="E41" s="321">
        <v>0</v>
      </c>
      <c r="F41" s="62">
        <v>4.9958485194651139E-2</v>
      </c>
      <c r="G41" s="63"/>
      <c r="H41" s="321">
        <v>0</v>
      </c>
      <c r="I41" s="62">
        <v>5.7758755850720003E-2</v>
      </c>
      <c r="J41" s="63"/>
      <c r="K41" s="321">
        <v>0</v>
      </c>
      <c r="L41" s="62">
        <v>5.2117556042790482E-2</v>
      </c>
      <c r="M41" s="63"/>
      <c r="N41" s="63">
        <f>+B41</f>
        <v>6.1347035782927641E-2</v>
      </c>
      <c r="O41" s="63">
        <f>+C41</f>
        <v>4.8272640325617011E-2</v>
      </c>
      <c r="P41" s="63"/>
      <c r="Q41" s="63">
        <v>5.21E-2</v>
      </c>
      <c r="R41" s="63">
        <v>4.4600000000000001E-2</v>
      </c>
      <c r="S41" s="63">
        <v>4.1799999999999997E-2</v>
      </c>
      <c r="T41" s="63">
        <v>4.1908671877482227E-2</v>
      </c>
      <c r="U41" s="48"/>
      <c r="V41" s="48"/>
      <c r="W41" s="48"/>
      <c r="X41" s="48"/>
      <c r="Y41" s="48"/>
      <c r="Z41" s="48"/>
      <c r="AA41" s="48"/>
    </row>
    <row r="42" spans="1:27">
      <c r="B42" s="62"/>
      <c r="C42" s="63"/>
      <c r="D42" s="63"/>
      <c r="E42" s="61"/>
      <c r="F42" s="61"/>
      <c r="G42" s="63"/>
      <c r="H42" s="61"/>
      <c r="I42" s="63"/>
      <c r="J42" s="63"/>
      <c r="K42" s="54" t="s">
        <v>0</v>
      </c>
      <c r="L42" s="63" t="s">
        <v>0</v>
      </c>
      <c r="M42" s="63"/>
      <c r="N42" s="63"/>
      <c r="O42" s="63"/>
      <c r="P42" s="63"/>
      <c r="Q42" s="63"/>
      <c r="R42" s="63"/>
      <c r="S42" s="63"/>
      <c r="T42" s="63"/>
      <c r="U42" s="48"/>
      <c r="V42" s="48"/>
      <c r="W42" s="48"/>
      <c r="X42" s="48"/>
      <c r="Y42" s="48"/>
      <c r="Z42" s="48"/>
      <c r="AA42" s="48"/>
    </row>
    <row r="43" spans="1:27">
      <c r="A43" t="s">
        <v>221</v>
      </c>
      <c r="B43" s="62">
        <f>+cbnavar!B30/cbnavar!B23</f>
        <v>0.72138139358201592</v>
      </c>
      <c r="C43" s="63">
        <v>0.79544282609224837</v>
      </c>
      <c r="D43" s="63"/>
      <c r="E43" s="321">
        <v>0</v>
      </c>
      <c r="F43" s="62">
        <v>0.80171359690101474</v>
      </c>
      <c r="G43" s="63"/>
      <c r="H43" s="321">
        <v>0</v>
      </c>
      <c r="I43" s="62">
        <v>0.78011782041692679</v>
      </c>
      <c r="J43" s="63"/>
      <c r="K43" s="321">
        <v>0</v>
      </c>
      <c r="L43" s="62">
        <v>0.78114979135798202</v>
      </c>
      <c r="M43" s="63"/>
      <c r="N43" s="63">
        <f>+B43</f>
        <v>0.72138139358201592</v>
      </c>
      <c r="O43" s="63">
        <f>+C43</f>
        <v>0.79544282609224837</v>
      </c>
      <c r="P43" s="63"/>
      <c r="Q43" s="63">
        <v>0.78110000000000002</v>
      </c>
      <c r="R43" s="63">
        <v>0.78549999999999998</v>
      </c>
      <c r="S43" s="63">
        <v>0.84950000000000003</v>
      </c>
      <c r="T43" s="63">
        <v>0.80632474937268861</v>
      </c>
      <c r="U43" s="48"/>
      <c r="V43" s="48"/>
      <c r="W43" s="48"/>
      <c r="X43" s="48"/>
      <c r="Y43" s="48"/>
      <c r="Z43" s="48"/>
      <c r="AA43" s="48"/>
    </row>
    <row r="44" spans="1:27">
      <c r="A44" t="s">
        <v>0</v>
      </c>
      <c r="B44" s="61"/>
      <c r="C44" s="63"/>
      <c r="D44" s="63"/>
      <c r="E44" s="61"/>
      <c r="F44" s="61"/>
      <c r="G44" s="63"/>
      <c r="H44" s="61"/>
      <c r="I44" s="63"/>
      <c r="J44" s="63"/>
      <c r="K44" s="61"/>
      <c r="L44" s="62"/>
      <c r="M44" s="63"/>
      <c r="N44" s="63"/>
      <c r="O44" s="63"/>
      <c r="P44" s="63"/>
      <c r="Q44" s="63"/>
      <c r="R44" s="63"/>
      <c r="S44" s="63"/>
      <c r="T44" s="63"/>
      <c r="U44" s="48"/>
      <c r="V44" s="48"/>
      <c r="W44" s="48"/>
      <c r="X44" s="48"/>
      <c r="Y44" s="48"/>
      <c r="Z44" s="48"/>
      <c r="AA44" s="48"/>
    </row>
    <row r="45" spans="1:27">
      <c r="A45" s="11" t="s">
        <v>222</v>
      </c>
      <c r="B45" s="61"/>
      <c r="C45" s="63"/>
      <c r="D45" s="63"/>
      <c r="E45" s="61"/>
      <c r="F45" s="61"/>
      <c r="G45" s="63"/>
      <c r="H45" s="61"/>
      <c r="I45" s="63"/>
      <c r="J45" s="63"/>
      <c r="K45" s="61"/>
      <c r="L45" s="63"/>
      <c r="M45" s="63"/>
      <c r="N45" s="63"/>
      <c r="O45" s="63"/>
      <c r="P45" s="63"/>
      <c r="Q45" s="63"/>
      <c r="R45" s="63"/>
      <c r="S45" s="63"/>
      <c r="T45" s="63"/>
      <c r="U45" s="48"/>
      <c r="V45" s="48"/>
      <c r="W45" s="48"/>
      <c r="X45" s="48"/>
      <c r="Y45" s="48"/>
      <c r="Z45" s="48"/>
      <c r="AA45" s="48"/>
    </row>
    <row r="46" spans="1:27">
      <c r="A46" s="11"/>
      <c r="B46" s="61"/>
      <c r="C46" s="63"/>
      <c r="D46" s="63"/>
      <c r="E46" s="61"/>
      <c r="F46" s="61"/>
      <c r="G46" s="63"/>
      <c r="H46" s="61"/>
      <c r="I46" s="63"/>
      <c r="J46" s="63"/>
      <c r="K46" s="61"/>
      <c r="L46" s="63"/>
      <c r="M46" s="63"/>
      <c r="N46" s="63"/>
      <c r="O46" s="63"/>
      <c r="P46" s="63"/>
      <c r="Q46" s="63"/>
      <c r="R46" s="63"/>
      <c r="S46" s="63"/>
      <c r="T46" s="63"/>
      <c r="U46" s="48"/>
      <c r="V46" s="48"/>
      <c r="W46" s="48"/>
      <c r="X46" s="48"/>
      <c r="Y46" s="48"/>
      <c r="Z46" s="48"/>
      <c r="AA46" s="48"/>
    </row>
    <row r="47" spans="1:27">
      <c r="A47" t="s">
        <v>223</v>
      </c>
      <c r="B47" s="61"/>
      <c r="C47" s="63"/>
      <c r="D47" s="63"/>
      <c r="E47" s="61"/>
      <c r="F47" s="61"/>
      <c r="G47" s="63"/>
      <c r="H47" s="61"/>
      <c r="I47" s="63"/>
      <c r="J47" s="63"/>
      <c r="K47" s="61"/>
      <c r="L47" s="63"/>
      <c r="M47" s="63"/>
      <c r="N47" s="63"/>
      <c r="O47" s="62" t="s">
        <v>0</v>
      </c>
      <c r="P47" s="63"/>
      <c r="Q47" s="63"/>
      <c r="R47" s="63"/>
      <c r="S47" s="63"/>
      <c r="T47" s="63"/>
      <c r="U47" s="48"/>
      <c r="V47" s="48"/>
      <c r="W47" s="48"/>
      <c r="X47" s="48"/>
      <c r="Y47" s="48"/>
      <c r="Z47" s="48"/>
      <c r="AA47" s="48"/>
    </row>
    <row r="48" spans="1:27">
      <c r="A48" t="s">
        <v>224</v>
      </c>
      <c r="B48" s="321">
        <v>0</v>
      </c>
      <c r="C48" s="61">
        <v>0</v>
      </c>
      <c r="D48" s="63"/>
      <c r="E48" s="61">
        <v>0</v>
      </c>
      <c r="F48" s="321">
        <v>0</v>
      </c>
      <c r="G48" s="63"/>
      <c r="H48" s="61">
        <v>0</v>
      </c>
      <c r="I48" s="321">
        <v>0</v>
      </c>
      <c r="J48" s="63"/>
      <c r="K48" s="61">
        <v>0</v>
      </c>
      <c r="L48" s="63">
        <v>3.5305172104077711E-4</v>
      </c>
      <c r="M48" s="63"/>
      <c r="N48" s="61">
        <f>+B48</f>
        <v>0</v>
      </c>
      <c r="O48" s="61">
        <f>+C48</f>
        <v>0</v>
      </c>
      <c r="P48" s="63"/>
      <c r="Q48" s="63">
        <v>4.0000000000000002E-4</v>
      </c>
      <c r="R48" s="63">
        <v>2.1399999999999999E-2</v>
      </c>
      <c r="S48" s="61">
        <v>0</v>
      </c>
      <c r="T48" s="61">
        <v>0</v>
      </c>
      <c r="U48" s="48"/>
      <c r="V48" s="48"/>
      <c r="W48" s="48"/>
      <c r="X48" s="48"/>
      <c r="Y48" s="48"/>
      <c r="Z48" s="48"/>
      <c r="AA48" s="48"/>
    </row>
    <row r="49" spans="1:27">
      <c r="B49" s="61"/>
      <c r="C49" s="61"/>
      <c r="D49" s="63"/>
      <c r="E49" s="61"/>
      <c r="F49" s="63"/>
      <c r="G49" s="63"/>
      <c r="H49" s="61"/>
      <c r="I49" s="63"/>
      <c r="J49" s="63"/>
      <c r="K49" s="61"/>
      <c r="L49" s="63"/>
      <c r="M49" s="63"/>
      <c r="N49" s="61"/>
      <c r="O49" s="61"/>
      <c r="P49" s="63"/>
      <c r="Q49" s="63"/>
      <c r="R49" s="63"/>
      <c r="S49" s="63"/>
      <c r="T49" s="63"/>
      <c r="U49" s="48"/>
      <c r="V49" s="48"/>
      <c r="W49" s="48"/>
      <c r="X49" s="48"/>
      <c r="Y49" s="48"/>
      <c r="Z49" s="48"/>
      <c r="AA49" s="48"/>
    </row>
    <row r="50" spans="1:27">
      <c r="A50" t="s">
        <v>225</v>
      </c>
      <c r="B50" s="61"/>
      <c r="C50" s="61"/>
      <c r="D50" s="63"/>
      <c r="E50" s="61"/>
      <c r="F50" s="63"/>
      <c r="G50" s="63"/>
      <c r="H50" s="61"/>
      <c r="I50" s="63"/>
      <c r="J50" s="63"/>
      <c r="K50" s="61"/>
      <c r="L50" s="63"/>
      <c r="M50" s="63"/>
      <c r="N50" s="61"/>
      <c r="O50" s="61"/>
      <c r="P50" s="63"/>
      <c r="Q50" s="63"/>
      <c r="R50" s="63"/>
      <c r="S50" s="63"/>
      <c r="T50" s="63"/>
      <c r="U50" s="48"/>
      <c r="V50" s="48"/>
      <c r="W50" s="48"/>
      <c r="X50" s="48"/>
      <c r="Y50" s="48"/>
      <c r="Z50" s="48"/>
      <c r="AA50" s="48"/>
    </row>
    <row r="51" spans="1:27">
      <c r="A51" t="s">
        <v>226</v>
      </c>
      <c r="B51" s="1363">
        <v>0</v>
      </c>
      <c r="C51" s="61">
        <v>0</v>
      </c>
      <c r="D51" s="63"/>
      <c r="E51" s="61">
        <v>0</v>
      </c>
      <c r="F51" s="1363">
        <v>0</v>
      </c>
      <c r="G51" s="538"/>
      <c r="H51" s="61">
        <v>0</v>
      </c>
      <c r="I51" s="1363">
        <v>0</v>
      </c>
      <c r="J51" s="538"/>
      <c r="K51" s="61">
        <v>0</v>
      </c>
      <c r="L51" s="63">
        <v>0.21330724070450097</v>
      </c>
      <c r="M51" s="538"/>
      <c r="N51" s="61">
        <f>+B51</f>
        <v>0</v>
      </c>
      <c r="O51" s="61">
        <f>+C51</f>
        <v>0</v>
      </c>
      <c r="P51" s="63"/>
      <c r="Q51" s="61">
        <v>0</v>
      </c>
      <c r="R51" s="63">
        <v>0.91420000000000001</v>
      </c>
      <c r="S51" s="61">
        <v>0</v>
      </c>
      <c r="T51" s="61">
        <v>0</v>
      </c>
      <c r="U51" s="48"/>
      <c r="V51" s="48"/>
      <c r="W51" s="48"/>
      <c r="X51" s="48"/>
      <c r="Y51" s="48"/>
      <c r="Z51" s="48"/>
      <c r="AA51" s="48"/>
    </row>
    <row r="52" spans="1:27">
      <c r="B52" s="61"/>
      <c r="C52" s="63"/>
      <c r="D52" s="63"/>
      <c r="E52" s="61"/>
      <c r="F52" s="61"/>
      <c r="G52" s="63"/>
      <c r="H52" s="61"/>
      <c r="I52" s="63"/>
      <c r="J52" s="63"/>
      <c r="K52" s="61"/>
      <c r="L52" s="63"/>
      <c r="M52" s="63"/>
      <c r="N52" s="63"/>
      <c r="O52" s="63"/>
      <c r="P52" s="63"/>
      <c r="Q52" s="63"/>
      <c r="R52" s="63"/>
      <c r="S52" s="63"/>
      <c r="T52" s="63"/>
      <c r="U52" s="48"/>
      <c r="V52" s="48"/>
      <c r="W52" s="48"/>
      <c r="X52" s="48"/>
      <c r="Y52" s="48"/>
      <c r="Z52" s="48"/>
      <c r="AA52" s="48"/>
    </row>
    <row r="53" spans="1:27">
      <c r="A53" t="s">
        <v>227</v>
      </c>
      <c r="B53" s="61"/>
      <c r="C53" s="63"/>
      <c r="D53" s="63"/>
      <c r="E53" s="61"/>
      <c r="F53" s="61"/>
      <c r="G53" s="63"/>
      <c r="H53" s="61"/>
      <c r="I53" s="63"/>
      <c r="J53" s="63"/>
      <c r="K53" s="61"/>
      <c r="L53" s="63"/>
      <c r="M53" s="63"/>
      <c r="N53" s="63"/>
      <c r="O53" s="63"/>
      <c r="P53" s="63"/>
      <c r="Q53" s="63"/>
      <c r="R53" s="63"/>
      <c r="S53" s="63"/>
      <c r="T53" s="63"/>
      <c r="U53" s="48"/>
      <c r="V53" s="48"/>
      <c r="W53" s="48"/>
      <c r="X53" s="48"/>
      <c r="Y53" s="48"/>
      <c r="Z53" s="48"/>
      <c r="AA53" s="48"/>
    </row>
    <row r="54" spans="1:27">
      <c r="A54" t="s">
        <v>228</v>
      </c>
      <c r="B54" s="63">
        <f>+(cbnavar!B63-cbnavar!B62)/cbnavar!B52</f>
        <v>-1.9478439161914524E-4</v>
      </c>
      <c r="C54" s="63">
        <v>-3.5795535470261493E-2</v>
      </c>
      <c r="D54" s="63"/>
      <c r="E54" s="61">
        <v>0</v>
      </c>
      <c r="F54" s="62">
        <v>-0.1735915505956446</v>
      </c>
      <c r="G54" s="63"/>
      <c r="H54" s="61">
        <v>0</v>
      </c>
      <c r="I54" s="63">
        <v>-5.9233164017696216E-3</v>
      </c>
      <c r="J54" s="63"/>
      <c r="K54" s="61">
        <v>0</v>
      </c>
      <c r="L54" s="63">
        <v>1.0879331435313985E-3</v>
      </c>
      <c r="M54" s="63"/>
      <c r="N54" s="63">
        <f>+B54</f>
        <v>-1.9478439161914524E-4</v>
      </c>
      <c r="O54" s="63">
        <f>+C54</f>
        <v>-3.5795535470261493E-2</v>
      </c>
      <c r="P54" s="63"/>
      <c r="Q54" s="63">
        <v>1.1000000000000001E-3</v>
      </c>
      <c r="R54" s="63">
        <v>1.03E-2</v>
      </c>
      <c r="S54" s="63">
        <v>-0.13969999999999999</v>
      </c>
      <c r="T54" s="63">
        <v>-0.18212008316240388</v>
      </c>
      <c r="U54" s="48"/>
      <c r="V54" s="48"/>
      <c r="W54" s="48"/>
      <c r="X54" s="48"/>
      <c r="Y54" s="48"/>
      <c r="Z54" s="48"/>
      <c r="AA54" s="48"/>
    </row>
    <row r="55" spans="1:27">
      <c r="A55" t="s">
        <v>0</v>
      </c>
      <c r="B55" s="61"/>
      <c r="C55" s="63"/>
      <c r="D55" s="63"/>
      <c r="E55" s="61"/>
      <c r="F55" s="61"/>
      <c r="G55" s="63"/>
      <c r="H55" s="61"/>
      <c r="I55" s="63"/>
      <c r="J55" s="63"/>
      <c r="K55" s="61"/>
      <c r="L55" s="63"/>
      <c r="M55" s="63"/>
      <c r="N55" s="63"/>
      <c r="O55" s="63"/>
      <c r="P55" s="63"/>
      <c r="Q55" s="63"/>
      <c r="R55" s="63"/>
      <c r="S55" s="63"/>
      <c r="T55" s="63"/>
      <c r="U55" s="48"/>
      <c r="V55" s="48"/>
      <c r="W55" s="48"/>
      <c r="X55" s="48"/>
      <c r="Y55" s="48"/>
      <c r="Z55" s="48"/>
      <c r="AA55" s="48"/>
    </row>
    <row r="56" spans="1:27">
      <c r="A56" s="11" t="s">
        <v>229</v>
      </c>
      <c r="B56" s="61"/>
      <c r="C56" s="63"/>
      <c r="D56" s="63"/>
      <c r="E56" s="61"/>
      <c r="F56" s="61"/>
      <c r="G56" s="63"/>
      <c r="H56" s="61"/>
      <c r="I56" s="63"/>
      <c r="J56" s="63"/>
      <c r="K56" s="61"/>
      <c r="L56" s="63"/>
      <c r="M56" s="63"/>
      <c r="N56" s="63"/>
      <c r="O56" s="63"/>
      <c r="P56" s="63"/>
      <c r="Q56" s="63"/>
      <c r="R56" s="63"/>
      <c r="S56" s="63"/>
      <c r="T56" s="63"/>
      <c r="U56" s="48"/>
      <c r="V56" s="48"/>
      <c r="W56" s="48"/>
      <c r="X56" s="48"/>
      <c r="Y56" s="48"/>
      <c r="Z56" s="48"/>
      <c r="AA56" s="48"/>
    </row>
    <row r="57" spans="1:27">
      <c r="A57" s="11"/>
      <c r="B57" s="61"/>
      <c r="C57" s="63"/>
      <c r="D57" s="63"/>
      <c r="E57" s="61"/>
      <c r="F57" s="61"/>
      <c r="G57" s="63"/>
      <c r="H57" s="61"/>
      <c r="I57" s="63"/>
      <c r="J57" s="63"/>
      <c r="K57" s="61"/>
      <c r="L57" s="63"/>
      <c r="M57" s="63"/>
      <c r="N57" s="63"/>
      <c r="O57" s="63"/>
      <c r="P57" s="63"/>
      <c r="Q57" s="63"/>
      <c r="R57" s="63"/>
      <c r="S57" s="63"/>
      <c r="T57" s="63"/>
      <c r="U57" s="48"/>
      <c r="V57" s="48"/>
      <c r="W57" s="48"/>
      <c r="X57" s="48"/>
      <c r="Y57" s="48"/>
      <c r="Z57" s="48"/>
      <c r="AA57" s="48"/>
    </row>
    <row r="58" spans="1:27">
      <c r="A58" t="s">
        <v>230</v>
      </c>
      <c r="B58" s="63">
        <f>+('CBNARÉSULT         '!B41/((cbnavar!B23+cbnavar!J23)/2)*4)</f>
        <v>1.1699013451501161E-2</v>
      </c>
      <c r="C58" s="63">
        <v>1.6397824508011621E-2</v>
      </c>
      <c r="D58" s="63"/>
      <c r="E58" s="61">
        <v>0</v>
      </c>
      <c r="F58" s="63">
        <v>2.58578103666161E-3</v>
      </c>
      <c r="G58" s="63"/>
      <c r="H58" s="61">
        <v>0</v>
      </c>
      <c r="I58" s="63">
        <v>7.1396142486214051E-2</v>
      </c>
      <c r="J58" s="63"/>
      <c r="K58" s="61">
        <v>0</v>
      </c>
      <c r="L58" s="62">
        <v>4.9835763429940758E-3</v>
      </c>
      <c r="M58" s="63"/>
      <c r="N58" s="320">
        <f>+'sysratfinclédéc. 14'!K37</f>
        <v>1.1699013451501161E-2</v>
      </c>
      <c r="O58" s="320">
        <f>+'sysratfinclédéc. 14'!K38</f>
        <v>1.6400000000000001E-2</v>
      </c>
      <c r="P58" s="63"/>
      <c r="Q58" s="63">
        <v>2.23E-2</v>
      </c>
      <c r="R58" s="63">
        <v>-2.9999999999999997E-4</v>
      </c>
      <c r="S58" s="63">
        <v>2.3E-3</v>
      </c>
      <c r="T58" s="63">
        <v>1.5211762423932816E-2</v>
      </c>
      <c r="U58" s="48"/>
      <c r="V58" s="48"/>
      <c r="W58" s="48"/>
      <c r="X58" s="48"/>
      <c r="Y58" s="48"/>
      <c r="Z58" s="48"/>
      <c r="AA58" s="48"/>
    </row>
    <row r="59" spans="1:27" ht="7.15" customHeight="1">
      <c r="B59" s="61"/>
      <c r="C59" s="63"/>
      <c r="D59" s="63"/>
      <c r="E59" s="61"/>
      <c r="F59" s="61"/>
      <c r="G59" s="63"/>
      <c r="H59" s="61"/>
      <c r="I59" s="63"/>
      <c r="J59" s="63"/>
      <c r="K59" s="61"/>
      <c r="L59" s="63"/>
      <c r="M59" s="63"/>
      <c r="N59" s="61"/>
      <c r="O59" s="62" t="s">
        <v>0</v>
      </c>
      <c r="P59" s="63"/>
      <c r="Q59" s="63"/>
      <c r="R59" s="63"/>
      <c r="S59" s="63"/>
      <c r="T59" s="63"/>
      <c r="U59" s="48"/>
      <c r="V59" s="48"/>
      <c r="W59" s="48"/>
      <c r="X59" s="48"/>
      <c r="Y59" s="48"/>
      <c r="Z59" s="48"/>
      <c r="AA59" s="48"/>
    </row>
    <row r="60" spans="1:27">
      <c r="A60" t="s">
        <v>390</v>
      </c>
      <c r="B60" s="63">
        <f>+('CBNARÉSULT         '!B41/((cbnavar!J52+cbnavar!B52)/2)*4)</f>
        <v>0.20712849965051211</v>
      </c>
      <c r="C60" s="63">
        <v>0.35321969316350277</v>
      </c>
      <c r="D60" s="63"/>
      <c r="E60" s="61">
        <v>0</v>
      </c>
      <c r="F60" s="63">
        <v>5.2643480620505632E-2</v>
      </c>
      <c r="G60" s="63"/>
      <c r="H60" s="61">
        <v>0</v>
      </c>
      <c r="I60" s="63">
        <v>1.3181741837149543</v>
      </c>
      <c r="J60" s="63"/>
      <c r="K60" s="61">
        <v>0</v>
      </c>
      <c r="L60" s="62">
        <v>9.097334739726623E-2</v>
      </c>
      <c r="M60" s="63"/>
      <c r="N60" s="320">
        <f>+'sysratfinclédéc. 14'!K43</f>
        <v>0.20712849965051211</v>
      </c>
      <c r="O60" s="320">
        <f>+'sysratfinclédéc. 14'!K44</f>
        <v>0.35320000000000001</v>
      </c>
      <c r="P60" s="63"/>
      <c r="Q60" s="63">
        <v>0.45710000000000001</v>
      </c>
      <c r="R60" s="63">
        <v>-6.1999999999999998E-3</v>
      </c>
      <c r="S60" s="63">
        <v>5.5599999999999997E-2</v>
      </c>
      <c r="T60" s="63">
        <v>0.34522411963514793</v>
      </c>
      <c r="U60" s="48"/>
      <c r="V60" s="48"/>
      <c r="W60" s="48"/>
      <c r="X60" s="48"/>
      <c r="Y60" s="48"/>
      <c r="Z60" s="48"/>
      <c r="AA60" s="48"/>
    </row>
    <row r="61" spans="1:27" ht="7.15" customHeight="1">
      <c r="B61" s="61"/>
      <c r="C61" s="63"/>
      <c r="D61" s="63"/>
      <c r="E61" s="61"/>
      <c r="F61" s="61"/>
      <c r="G61" s="63"/>
      <c r="H61" s="61"/>
      <c r="I61" s="63"/>
      <c r="J61" s="63"/>
      <c r="K61" s="61"/>
      <c r="L61" s="63"/>
      <c r="M61" s="63"/>
      <c r="N61" s="61"/>
      <c r="O61" s="63"/>
      <c r="P61" s="63"/>
      <c r="Q61" s="63"/>
      <c r="R61" s="63"/>
      <c r="S61" s="63"/>
      <c r="T61" s="63"/>
      <c r="U61" s="48"/>
      <c r="V61" s="48"/>
      <c r="W61" s="48"/>
      <c r="X61" s="48"/>
      <c r="Y61" s="48"/>
      <c r="Z61" s="48"/>
      <c r="AA61" s="48"/>
    </row>
    <row r="62" spans="1:27">
      <c r="A62" t="s">
        <v>209</v>
      </c>
      <c r="B62" s="61"/>
      <c r="C62" s="63"/>
      <c r="D62" s="63"/>
      <c r="E62" s="61"/>
      <c r="F62" s="61"/>
      <c r="G62" s="63"/>
      <c r="H62" s="61"/>
      <c r="I62" s="63"/>
      <c r="J62" s="63"/>
      <c r="K62" s="61"/>
      <c r="L62" s="63"/>
      <c r="M62" s="63"/>
      <c r="N62" s="61"/>
      <c r="O62" s="63"/>
      <c r="P62" s="63"/>
      <c r="Q62" s="63"/>
      <c r="R62" s="63"/>
      <c r="S62" s="63"/>
      <c r="T62" s="63"/>
      <c r="U62" s="48"/>
      <c r="V62" s="48"/>
      <c r="W62" s="48"/>
      <c r="X62" s="48"/>
      <c r="Y62" s="48"/>
      <c r="Z62" s="48"/>
      <c r="AA62" s="48"/>
    </row>
    <row r="63" spans="1:27">
      <c r="A63" t="s">
        <v>233</v>
      </c>
      <c r="B63" s="63">
        <f>+'CBNARÉSULT         '!B15/'CBNARÉSULT         '!B13</f>
        <v>0.86749031007751942</v>
      </c>
      <c r="C63" s="63">
        <v>0.91662635517741797</v>
      </c>
      <c r="D63" s="63"/>
      <c r="E63" s="61">
        <v>0</v>
      </c>
      <c r="F63" s="63">
        <v>0.95262547622991556</v>
      </c>
      <c r="G63" s="63"/>
      <c r="H63" s="61">
        <v>0</v>
      </c>
      <c r="I63" s="63">
        <v>0.93655422446406056</v>
      </c>
      <c r="J63" s="63"/>
      <c r="K63" s="61">
        <v>0</v>
      </c>
      <c r="L63" s="62">
        <v>0.83931590217513807</v>
      </c>
      <c r="M63" s="63"/>
      <c r="N63" s="320">
        <f>+'sysratfinclédéc. 14'!K50</f>
        <v>0.86749031007751942</v>
      </c>
      <c r="O63" s="320">
        <f>+'sysratfinclédéc. 14'!K51</f>
        <v>0.91662635517741797</v>
      </c>
      <c r="P63" s="63"/>
      <c r="Q63" s="63">
        <v>0.91190000000000004</v>
      </c>
      <c r="R63" s="63">
        <v>0.92859999999999998</v>
      </c>
      <c r="S63" s="63">
        <v>0.92069999999999996</v>
      </c>
      <c r="T63" s="63">
        <v>0.9655977550714393</v>
      </c>
      <c r="U63" s="48"/>
      <c r="V63" s="48"/>
      <c r="W63" s="48"/>
      <c r="X63" s="48"/>
      <c r="Y63" s="48"/>
      <c r="Z63" s="48"/>
      <c r="AA63" s="48"/>
    </row>
    <row r="64" spans="1:27" ht="7.15" customHeight="1">
      <c r="B64" s="61"/>
      <c r="C64" s="63"/>
      <c r="D64" s="63"/>
      <c r="E64" s="61"/>
      <c r="F64" s="61"/>
      <c r="G64" s="63"/>
      <c r="H64" s="61"/>
      <c r="I64" s="63"/>
      <c r="J64" s="63"/>
      <c r="K64" s="61"/>
      <c r="L64" s="63"/>
      <c r="M64" s="63"/>
      <c r="N64" s="61"/>
      <c r="O64" s="63"/>
      <c r="P64" s="63"/>
      <c r="Q64" s="62"/>
      <c r="R64" s="62"/>
      <c r="S64" s="62"/>
      <c r="T64" s="62"/>
      <c r="U64" s="48"/>
      <c r="V64" s="48"/>
      <c r="W64" s="48"/>
      <c r="X64" s="48"/>
      <c r="Y64" s="48"/>
      <c r="Z64" s="48"/>
      <c r="AA64" s="48"/>
    </row>
    <row r="65" spans="1:20">
      <c r="A65" t="s">
        <v>234</v>
      </c>
      <c r="B65" s="63">
        <f>+('CBNARÉSULT         '!B10/((cbnavar!B61+cbnavar!J61)/2)*4)</f>
        <v>8.301721033661362E-2</v>
      </c>
      <c r="C65" s="60">
        <v>9.0808962257240181E-2</v>
      </c>
      <c r="D65" s="60"/>
      <c r="E65" s="61">
        <v>0</v>
      </c>
      <c r="F65" s="60">
        <v>8.7878750989104637E-2</v>
      </c>
      <c r="G65" s="60"/>
      <c r="H65" s="61">
        <v>0</v>
      </c>
      <c r="I65" s="63">
        <v>0.10406981271489854</v>
      </c>
      <c r="J65" s="60"/>
      <c r="K65" s="61">
        <v>0</v>
      </c>
      <c r="L65" s="62">
        <v>9.5334399448635324E-2</v>
      </c>
      <c r="M65" s="60"/>
      <c r="N65" s="320">
        <f>+'sysratfinclédéc. 14'!K56</f>
        <v>8.301721033661362E-2</v>
      </c>
      <c r="O65" s="320">
        <f>+'sysratfinclédéc. 14'!K57</f>
        <v>9.0800000000000006E-2</v>
      </c>
      <c r="P65" s="60"/>
      <c r="Q65" s="60">
        <v>0.1018</v>
      </c>
      <c r="R65" s="60">
        <v>8.6999999999999994E-2</v>
      </c>
      <c r="S65" s="60">
        <v>8.0399999999999999E-2</v>
      </c>
      <c r="T65" s="60">
        <v>8.5716089441728857E-2</v>
      </c>
    </row>
    <row r="66" spans="1:20" ht="7.15" customHeight="1">
      <c r="B66" s="17"/>
      <c r="C66" s="60"/>
      <c r="D66" s="60"/>
      <c r="E66" s="54"/>
      <c r="F66" s="54"/>
      <c r="G66" s="60"/>
      <c r="H66" s="54"/>
      <c r="I66" s="60"/>
      <c r="J66" s="60"/>
      <c r="K66" s="54"/>
      <c r="L66" s="60"/>
      <c r="M66" s="60"/>
      <c r="N66" s="54"/>
      <c r="O66" s="60"/>
      <c r="P66" s="60"/>
      <c r="Q66" s="60"/>
      <c r="R66" s="60"/>
      <c r="S66" s="60"/>
      <c r="T66" s="60"/>
    </row>
    <row r="67" spans="1:20" ht="15.75" customHeight="1">
      <c r="A67" t="s">
        <v>630</v>
      </c>
      <c r="B67" s="63">
        <f>+('CBNARÉSULT         '!B10/((cbnavar!B61-cbnavar!B63+cbnavar!J61-cbnavar!J63)/2)*4)</f>
        <v>8.3030919392808059E-2</v>
      </c>
      <c r="C67" s="984">
        <v>9.1661956278837428E-2</v>
      </c>
      <c r="D67" s="60"/>
      <c r="E67" s="54">
        <v>0</v>
      </c>
      <c r="F67" s="60">
        <v>8.7878750989104637E-2</v>
      </c>
      <c r="G67" s="60"/>
      <c r="H67" s="54">
        <v>0</v>
      </c>
      <c r="I67" s="60">
        <v>0.10406981271489854</v>
      </c>
      <c r="J67" s="60"/>
      <c r="K67" s="54">
        <v>0</v>
      </c>
      <c r="L67" s="60">
        <v>9.5351889775765947E-2</v>
      </c>
      <c r="M67" s="60"/>
      <c r="N67" s="320">
        <f>+'sysratfinclédéc. 14'!K62</f>
        <v>8.3030919392808059E-2</v>
      </c>
      <c r="O67" s="320">
        <f>+'sysratfinclédéc. 14'!K63</f>
        <v>9.1700000000000004E-2</v>
      </c>
      <c r="P67" s="60"/>
      <c r="Q67" s="60">
        <v>0.10290000000000001</v>
      </c>
      <c r="R67" s="60">
        <v>8.7800000000000003E-2</v>
      </c>
      <c r="S67" s="60">
        <v>8.0399999999999999E-2</v>
      </c>
      <c r="T67" s="60">
        <v>8.5834817591183971E-2</v>
      </c>
    </row>
    <row r="68" spans="1:20" ht="7.15" customHeight="1">
      <c r="B68" s="17"/>
      <c r="C68" s="60"/>
      <c r="D68" s="60"/>
      <c r="E68" s="54"/>
      <c r="F68" s="54"/>
      <c r="G68" s="60"/>
      <c r="H68" s="54"/>
      <c r="I68" s="60"/>
      <c r="J68" s="60"/>
      <c r="K68" s="54"/>
      <c r="L68" s="60"/>
      <c r="M68" s="60"/>
      <c r="N68" s="54"/>
      <c r="O68" s="60"/>
      <c r="P68" s="60"/>
      <c r="Q68" s="60"/>
      <c r="R68" s="60"/>
      <c r="S68" s="60"/>
      <c r="T68" s="60"/>
    </row>
    <row r="69" spans="1:20">
      <c r="A69" t="s">
        <v>235</v>
      </c>
      <c r="B69" s="63">
        <f>+('CBNARÉSULT         '!B14/((cbnavar!J30+cbnavar!B30)/2)*4)</f>
        <v>4.3213999755884356E-3</v>
      </c>
      <c r="C69" s="60">
        <v>2.7664450048672435E-3</v>
      </c>
      <c r="D69" s="60"/>
      <c r="E69" s="61">
        <v>0</v>
      </c>
      <c r="F69" s="60">
        <v>1.5911492785004994E-3</v>
      </c>
      <c r="G69" s="60"/>
      <c r="H69" s="61">
        <v>0</v>
      </c>
      <c r="I69" s="60">
        <v>2.0790231087938157E-3</v>
      </c>
      <c r="J69" s="60"/>
      <c r="K69" s="61">
        <v>0</v>
      </c>
      <c r="L69" s="62">
        <v>4.3517430006939093E-3</v>
      </c>
      <c r="M69" s="60"/>
      <c r="N69" s="320">
        <f>+'sysratfinclédéc. 14'!K68</f>
        <v>4.3213999755884356E-3</v>
      </c>
      <c r="O69" s="320">
        <f>+'sysratfinclédéc. 14'!K69</f>
        <v>2.8E-3</v>
      </c>
      <c r="P69" s="60"/>
      <c r="Q69" s="60">
        <v>2.5999999999999999E-3</v>
      </c>
      <c r="R69" s="60">
        <v>2.2000000000000001E-3</v>
      </c>
      <c r="S69" s="60">
        <v>2.5000000000000001E-3</v>
      </c>
      <c r="T69" s="60">
        <v>1.19841653804873E-3</v>
      </c>
    </row>
    <row r="70" spans="1:20" ht="6" customHeight="1">
      <c r="B70" s="17"/>
      <c r="C70" s="60"/>
      <c r="D70" s="60"/>
      <c r="E70" s="54"/>
      <c r="F70" s="54"/>
      <c r="G70" s="60"/>
      <c r="H70" s="54"/>
      <c r="I70" s="60"/>
      <c r="J70" s="60"/>
      <c r="K70" s="54"/>
      <c r="L70" s="60"/>
      <c r="M70" s="60"/>
      <c r="N70" s="54"/>
      <c r="O70" s="60"/>
      <c r="P70" s="60"/>
      <c r="Q70" s="60"/>
      <c r="R70" s="60"/>
      <c r="S70" s="60"/>
      <c r="T70" s="60"/>
    </row>
    <row r="71" spans="1:20">
      <c r="A71" t="s">
        <v>212</v>
      </c>
      <c r="B71" s="17"/>
      <c r="C71" s="60"/>
      <c r="D71" s="60"/>
      <c r="E71" s="54"/>
      <c r="F71" s="54"/>
      <c r="G71" s="60"/>
      <c r="H71" s="54"/>
      <c r="I71" s="60"/>
      <c r="J71" s="60"/>
      <c r="K71" s="54"/>
      <c r="L71" s="60"/>
      <c r="M71" s="60"/>
      <c r="N71" s="54"/>
      <c r="O71" s="60"/>
      <c r="P71" s="60"/>
      <c r="Q71" s="60"/>
      <c r="R71" s="60"/>
      <c r="S71" s="60"/>
      <c r="T71" s="60"/>
    </row>
    <row r="72" spans="1:20">
      <c r="A72" t="s">
        <v>236</v>
      </c>
      <c r="B72" s="63">
        <f>+'CBNARÉSULT         '!B35/'CBNARÉSULT         '!B23</f>
        <v>0.67262340706020218</v>
      </c>
      <c r="C72" s="60">
        <v>0.82700997634217477</v>
      </c>
      <c r="D72" s="60"/>
      <c r="E72" s="61">
        <v>0</v>
      </c>
      <c r="F72" s="63">
        <v>0.4939800359542057</v>
      </c>
      <c r="G72" s="60"/>
      <c r="H72" s="61">
        <v>0</v>
      </c>
      <c r="I72" s="63">
        <v>0.31315363087347181</v>
      </c>
      <c r="J72" s="60"/>
      <c r="K72" s="61">
        <v>0</v>
      </c>
      <c r="L72" s="62">
        <v>0.86856808731808732</v>
      </c>
      <c r="M72" s="60"/>
      <c r="N72" s="320">
        <f>+'sysratfinclédéc. 14'!K76</f>
        <v>0.67262340706020218</v>
      </c>
      <c r="O72" s="320">
        <f>+'sysratfinclédéc. 14'!K77</f>
        <v>0.82700997634217477</v>
      </c>
      <c r="P72" s="60"/>
      <c r="Q72" s="60">
        <v>0.55420000000000003</v>
      </c>
      <c r="R72" s="60">
        <v>0.9304</v>
      </c>
      <c r="S72" s="60">
        <v>0.81159999999999999</v>
      </c>
      <c r="T72" s="60">
        <v>0.77959881152516608</v>
      </c>
    </row>
    <row r="73" spans="1:20">
      <c r="A73" t="s">
        <v>385</v>
      </c>
      <c r="B73" s="17"/>
      <c r="C73" s="17"/>
      <c r="D73" s="17"/>
      <c r="E73" s="54"/>
      <c r="F73" s="54"/>
      <c r="G73" s="17"/>
      <c r="H73" s="54"/>
      <c r="I73" s="54"/>
      <c r="J73" s="17"/>
      <c r="K73" s="54"/>
      <c r="L73" s="54"/>
      <c r="M73" s="17"/>
      <c r="N73" s="54"/>
      <c r="O73" s="17"/>
      <c r="P73" s="17"/>
      <c r="Q73" s="17"/>
      <c r="R73" s="17"/>
      <c r="S73" s="17"/>
      <c r="T73" s="17"/>
    </row>
    <row r="74" spans="1:20">
      <c r="B74" s="17"/>
      <c r="C74" s="17"/>
      <c r="D74" s="17"/>
      <c r="E74" s="54"/>
      <c r="F74" s="54"/>
      <c r="G74" s="17"/>
      <c r="H74" s="54"/>
      <c r="I74" s="54"/>
      <c r="J74" s="17"/>
      <c r="K74" s="54"/>
      <c r="L74" s="54"/>
      <c r="M74" s="17"/>
      <c r="N74" s="54"/>
      <c r="O74" s="17"/>
      <c r="P74" s="17"/>
      <c r="Q74" s="17"/>
      <c r="R74" s="17"/>
      <c r="S74" s="17"/>
      <c r="T74" s="17"/>
    </row>
    <row r="75" spans="1:20">
      <c r="A75" t="s">
        <v>238</v>
      </c>
      <c r="B75" s="1311">
        <f>+('CBNARÉSULT         '!B23/((employés!Z138+employés!Z136)/2)*4)</f>
        <v>10923.2</v>
      </c>
      <c r="C75" s="54">
        <v>8409.3684210526317</v>
      </c>
      <c r="D75" s="17"/>
      <c r="E75" s="54">
        <f>+('CBNARÉSULT         '!D23/((employés!Z130+employés!Z132)/2)*4)</f>
        <v>0</v>
      </c>
      <c r="F75" s="54">
        <v>8672</v>
      </c>
      <c r="G75" s="17"/>
      <c r="H75" s="54">
        <v>0</v>
      </c>
      <c r="I75" s="54">
        <v>18858.333333333332</v>
      </c>
      <c r="J75" s="17"/>
      <c r="K75" s="54">
        <f>+('CBNARÉSULT         '!H23/((employés!Z134+employés!Z136)/2)*4)</f>
        <v>0</v>
      </c>
      <c r="L75" s="321">
        <v>9328.484848484848</v>
      </c>
      <c r="M75" s="17"/>
      <c r="N75" s="663">
        <f>+'sysratfinclédéc. 14'!K82</f>
        <v>10923.2</v>
      </c>
      <c r="O75" s="663">
        <f>+'sysratfinclédéc. 14'!K83</f>
        <v>8409.3700000000008</v>
      </c>
      <c r="P75" s="17"/>
      <c r="Q75" s="414">
        <v>11746.46</v>
      </c>
      <c r="R75" s="414">
        <v>6957.97</v>
      </c>
      <c r="S75" s="414">
        <v>6927.4</v>
      </c>
      <c r="T75" s="414">
        <v>7175.7142857142853</v>
      </c>
    </row>
    <row r="76" spans="1:20" ht="16.5" thickBot="1">
      <c r="B76" s="25"/>
      <c r="C76" s="25"/>
      <c r="D76" s="25"/>
      <c r="E76" s="25"/>
      <c r="F76" s="25"/>
      <c r="G76" s="25"/>
      <c r="H76" s="25"/>
      <c r="I76" s="25"/>
      <c r="J76" s="25"/>
      <c r="K76" s="25"/>
      <c r="L76" s="25"/>
      <c r="M76" s="25"/>
      <c r="N76" s="25"/>
      <c r="O76" s="25"/>
      <c r="P76" s="25"/>
      <c r="Q76" s="25"/>
      <c r="R76" s="25"/>
      <c r="S76" s="25"/>
      <c r="T76" s="25"/>
    </row>
  </sheetData>
  <phoneticPr fontId="0" type="noConversion"/>
  <pageMargins left="0.2" right="0.2" top="0.54" bottom="0.48" header="0.36" footer="0.27"/>
  <pageSetup scale="44" orientation="landscape" r:id="rId1"/>
  <headerFooter alignWithMargins="0">
    <oddFooter>&amp;R&amp;16&amp;P</oddFooter>
  </headerFooter>
</worksheet>
</file>

<file path=xl/worksheets/sheet91.xml><?xml version="1.0" encoding="utf-8"?>
<worksheet xmlns="http://schemas.openxmlformats.org/spreadsheetml/2006/main" xmlns:r="http://schemas.openxmlformats.org/officeDocument/2006/relationships">
  <sheetPr>
    <pageSetUpPr fitToPage="1"/>
  </sheetPr>
  <dimension ref="A1:U171"/>
  <sheetViews>
    <sheetView topLeftCell="A6" workbookViewId="0">
      <pane xSplit="1" ySplit="2" topLeftCell="B8" activePane="bottomRight" state="frozen"/>
      <selection activeCell="N58" sqref="N58"/>
      <selection pane="topRight" activeCell="N58" sqref="N58"/>
      <selection pane="bottomLeft" activeCell="N58" sqref="N58"/>
      <selection pane="bottomRight" activeCell="I17" sqref="I17"/>
    </sheetView>
  </sheetViews>
  <sheetFormatPr baseColWidth="10" defaultColWidth="9" defaultRowHeight="15.75"/>
  <cols>
    <col min="1" max="1" width="33.25" customWidth="1"/>
    <col min="2" max="2" width="17" style="20" customWidth="1"/>
    <col min="3" max="3" width="9.75" style="21" customWidth="1"/>
    <col min="4" max="4" width="15.75" style="20" customWidth="1"/>
    <col min="5" max="5" width="9.75" style="21" customWidth="1"/>
    <col min="6" max="6" width="15.75" style="20" customWidth="1"/>
    <col min="7" max="7" width="9.75" style="21" customWidth="1"/>
    <col min="8" max="8" width="16.375" style="20" customWidth="1"/>
    <col min="9" max="9" width="12.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11" t="s">
        <v>404</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s="11" customFormat="1" ht="16.5" thickBot="1">
      <c r="B6" s="346" t="s">
        <v>0</v>
      </c>
      <c r="C6" s="345"/>
      <c r="D6" s="346"/>
      <c r="E6" s="345"/>
      <c r="F6" s="346"/>
      <c r="G6" s="345"/>
      <c r="H6" s="346"/>
      <c r="I6" s="402" t="str">
        <f>+capitalbkvar!I6</f>
        <v>Var. déc. 14</v>
      </c>
      <c r="J6" s="118" t="s">
        <v>195</v>
      </c>
      <c r="K6" s="207"/>
      <c r="L6" s="118"/>
      <c r="M6" s="207"/>
      <c r="N6" s="118"/>
      <c r="O6" s="207"/>
      <c r="P6" s="118"/>
      <c r="Q6" s="13"/>
      <c r="R6" s="13"/>
    </row>
    <row r="7" spans="1:21" s="11" customFormat="1" ht="16.5" thickBot="1">
      <c r="B7" s="200" t="str">
        <f>+capitalbkvar!B7</f>
        <v>Déc. 14</v>
      </c>
      <c r="C7" s="201" t="s">
        <v>196</v>
      </c>
      <c r="D7" s="200" t="str">
        <f>+capitalbkvar!D7</f>
        <v>Mars 15</v>
      </c>
      <c r="E7" s="201" t="s">
        <v>196</v>
      </c>
      <c r="F7" s="200" t="str">
        <f>+capitalbkvar!F7</f>
        <v>Juin 15</v>
      </c>
      <c r="G7" s="201" t="s">
        <v>196</v>
      </c>
      <c r="H7" s="200" t="str">
        <f>+capitalbkvar!H7</f>
        <v>Sept. 15</v>
      </c>
      <c r="I7" s="376" t="str">
        <f>+capitalbkvar!I7</f>
        <v>/sept. 14</v>
      </c>
      <c r="J7" s="1020" t="str">
        <f>+capitalbkvar!J7</f>
        <v>2014</v>
      </c>
      <c r="K7" s="204" t="s">
        <v>196</v>
      </c>
      <c r="L7" s="1020" t="str">
        <f>+capitalbkvar!L7</f>
        <v>2013</v>
      </c>
      <c r="M7" s="204" t="s">
        <v>196</v>
      </c>
      <c r="N7" s="1020" t="str">
        <f>+capitalbkvar!N7</f>
        <v>2012</v>
      </c>
      <c r="O7" s="204" t="s">
        <v>196</v>
      </c>
      <c r="P7" s="1020" t="str">
        <f>+capitalbkvar!P7</f>
        <v>2011</v>
      </c>
      <c r="Q7" s="2"/>
      <c r="R7" s="2"/>
      <c r="S7" s="3"/>
      <c r="T7" s="3"/>
      <c r="U7" s="3"/>
    </row>
    <row r="8" spans="1:21">
      <c r="A8" s="86" t="s">
        <v>244</v>
      </c>
      <c r="B8" s="120"/>
      <c r="C8" s="119"/>
      <c r="D8" s="120"/>
      <c r="E8" s="119"/>
      <c r="F8" s="120"/>
      <c r="G8" s="119"/>
      <c r="H8" s="120"/>
      <c r="I8" s="341"/>
      <c r="J8" s="197"/>
      <c r="K8" s="119"/>
      <c r="L8" s="197"/>
      <c r="M8" s="119"/>
      <c r="N8" s="197"/>
      <c r="O8" s="119"/>
      <c r="P8" s="197"/>
      <c r="Q8" s="22"/>
      <c r="R8" s="22"/>
      <c r="S8" s="17"/>
      <c r="T8" s="17"/>
      <c r="U8" s="17"/>
    </row>
    <row r="9" spans="1:21">
      <c r="A9" s="10" t="s">
        <v>255</v>
      </c>
      <c r="B9" t="s">
        <v>0</v>
      </c>
    </row>
    <row r="10" spans="1:21">
      <c r="A10" s="10" t="s">
        <v>256</v>
      </c>
      <c r="B10" s="20">
        <v>90291</v>
      </c>
      <c r="C10" s="49">
        <v>0</v>
      </c>
      <c r="D10" s="20">
        <v>0</v>
      </c>
      <c r="E10" s="49">
        <v>0</v>
      </c>
      <c r="F10" s="20">
        <v>0</v>
      </c>
      <c r="G10" s="49">
        <v>0</v>
      </c>
      <c r="H10" s="20">
        <v>0</v>
      </c>
      <c r="I10" s="52">
        <f>+(B10-J10)/ABS(J10)</f>
        <v>0.26973702714104908</v>
      </c>
      <c r="J10" s="20">
        <v>71110</v>
      </c>
      <c r="K10" s="52">
        <f>+(J10-L10)/ABS(L10)</f>
        <v>0.51413848905544668</v>
      </c>
      <c r="L10" s="20">
        <v>46964</v>
      </c>
      <c r="M10" s="52">
        <f>+(L10-N10)/ABS(N10)</f>
        <v>0.11304924870834716</v>
      </c>
      <c r="N10" s="20">
        <v>42194</v>
      </c>
      <c r="O10" s="52">
        <f>+(N10-P10)/ABS(P10)</f>
        <v>9.0002583311805731E-2</v>
      </c>
      <c r="P10" s="20">
        <v>38710</v>
      </c>
    </row>
    <row r="11" spans="1:21">
      <c r="A11" s="10" t="s">
        <v>257</v>
      </c>
      <c r="B11" s="20">
        <v>3209832</v>
      </c>
      <c r="C11" s="49">
        <v>0</v>
      </c>
      <c r="D11" s="20">
        <v>0</v>
      </c>
      <c r="E11" s="49">
        <v>0</v>
      </c>
      <c r="F11" s="20">
        <v>0</v>
      </c>
      <c r="G11" s="49">
        <v>0</v>
      </c>
      <c r="H11" s="20">
        <v>0</v>
      </c>
      <c r="I11" s="52">
        <f>+(B11-J11)/ABS(J11)</f>
        <v>-9.4261294743647014E-2</v>
      </c>
      <c r="J11" s="20">
        <v>3543883</v>
      </c>
      <c r="K11" s="52">
        <f>+(J11-L11)/ABS(L11)</f>
        <v>0.17619123164297834</v>
      </c>
      <c r="L11" s="20">
        <v>3013016</v>
      </c>
      <c r="M11" s="52">
        <f>+(L11-N11)/ABS(N11)</f>
        <v>0.18785703528543504</v>
      </c>
      <c r="N11" s="20">
        <v>2536514</v>
      </c>
      <c r="O11" s="52">
        <f>+(N11-P11)/ABS(P11)</f>
        <v>0.31927261228058407</v>
      </c>
      <c r="P11" s="20">
        <v>1922661</v>
      </c>
    </row>
    <row r="12" spans="1:21">
      <c r="A12" s="10" t="s">
        <v>258</v>
      </c>
      <c r="B12" s="20">
        <v>-135142</v>
      </c>
      <c r="C12" s="49">
        <v>0</v>
      </c>
      <c r="D12" s="20">
        <v>0</v>
      </c>
      <c r="E12" s="49">
        <v>0</v>
      </c>
      <c r="F12" s="20">
        <v>0</v>
      </c>
      <c r="G12" s="49">
        <v>0</v>
      </c>
      <c r="H12" s="20">
        <v>0</v>
      </c>
      <c r="I12" s="52">
        <f>+(B12-J12)/ABS(J12)</f>
        <v>-1.0965339303100197</v>
      </c>
      <c r="J12" s="20">
        <v>1399943</v>
      </c>
      <c r="K12" s="52">
        <f>+(J12-L12)/ABS(L12)</f>
        <v>3.3716387755165771</v>
      </c>
      <c r="L12" s="20">
        <v>320233</v>
      </c>
      <c r="M12" s="52">
        <f>+(L12-N12)/ABS(N12)</f>
        <v>-0.19048040365636629</v>
      </c>
      <c r="N12" s="20">
        <v>395584</v>
      </c>
      <c r="O12" s="52">
        <f>+(N12-P12)/ABS(P12)</f>
        <v>-0.44836433969078704</v>
      </c>
      <c r="P12" s="20">
        <v>717111</v>
      </c>
    </row>
    <row r="13" spans="1:21">
      <c r="A13" s="10" t="s">
        <v>259</v>
      </c>
      <c r="B13" s="20">
        <v>0</v>
      </c>
      <c r="C13" s="49">
        <v>0</v>
      </c>
      <c r="D13" s="20">
        <v>0</v>
      </c>
      <c r="E13" s="49">
        <v>0</v>
      </c>
      <c r="F13" s="20">
        <v>0</v>
      </c>
      <c r="G13" s="49">
        <v>0</v>
      </c>
      <c r="H13" s="20">
        <v>0</v>
      </c>
      <c r="I13" s="49">
        <v>0</v>
      </c>
      <c r="J13" s="20">
        <v>0</v>
      </c>
      <c r="K13" s="49">
        <v>0</v>
      </c>
      <c r="L13" s="20">
        <v>0</v>
      </c>
      <c r="M13" s="49">
        <v>0</v>
      </c>
      <c r="N13" s="20">
        <v>0</v>
      </c>
      <c r="O13" s="49">
        <v>0</v>
      </c>
      <c r="P13" s="20">
        <v>0</v>
      </c>
    </row>
    <row r="14" spans="1:21">
      <c r="A14" s="10" t="s">
        <v>260</v>
      </c>
      <c r="B14" s="199">
        <v>115398</v>
      </c>
      <c r="C14" s="49">
        <v>0</v>
      </c>
      <c r="D14" s="199">
        <v>0</v>
      </c>
      <c r="E14" s="49">
        <v>0</v>
      </c>
      <c r="F14" s="199">
        <v>0</v>
      </c>
      <c r="G14" s="49">
        <v>0</v>
      </c>
      <c r="H14" s="199">
        <v>0</v>
      </c>
      <c r="I14" s="52">
        <f>+(B14-J14)/ABS(J14)</f>
        <v>0.15832371392722711</v>
      </c>
      <c r="J14" s="199">
        <v>99625</v>
      </c>
      <c r="K14" s="52">
        <f>+(J14-L14)/ABS(L14)</f>
        <v>-0.54529064884799361</v>
      </c>
      <c r="L14" s="199">
        <f>216849+2247</f>
        <v>219096</v>
      </c>
      <c r="M14" s="52">
        <f>+(L14-N14)/ABS(N14)</f>
        <v>-0.10884420148379539</v>
      </c>
      <c r="N14" s="199">
        <v>245856</v>
      </c>
      <c r="O14" s="52">
        <f>+(N14-P14)/ABS(P14)</f>
        <v>0.95272588638963018</v>
      </c>
      <c r="P14" s="199">
        <v>125904</v>
      </c>
    </row>
    <row r="15" spans="1:21" ht="15.6" customHeight="1">
      <c r="A15" s="10"/>
      <c r="B15" s="20">
        <f>SUM(B10:B14)</f>
        <v>3280379</v>
      </c>
      <c r="C15" s="49">
        <v>0</v>
      </c>
      <c r="D15" s="20">
        <f>SUM(D10:D14)</f>
        <v>0</v>
      </c>
      <c r="E15" s="49">
        <v>0</v>
      </c>
      <c r="F15" s="20">
        <f>SUM(F10:F14)</f>
        <v>0</v>
      </c>
      <c r="G15" s="49">
        <v>0</v>
      </c>
      <c r="H15" s="20">
        <f>SUM(H10:H14)</f>
        <v>0</v>
      </c>
      <c r="I15" s="52">
        <f>+(B15-J15)/ABS(J15)</f>
        <v>-0.35861963519449663</v>
      </c>
      <c r="J15" s="20">
        <f>SUM(J10:J14)</f>
        <v>5114561</v>
      </c>
      <c r="K15" s="52">
        <f>+(J15-L15)/ABS(L15)</f>
        <v>0.42098413889999442</v>
      </c>
      <c r="L15" s="20">
        <f>SUM(L10:L14)</f>
        <v>3599309</v>
      </c>
      <c r="M15" s="52">
        <f>+(L15-N15)/ABS(N15)</f>
        <v>0.11774645140533914</v>
      </c>
      <c r="N15" s="20">
        <f>SUM(N10:N14)</f>
        <v>3220148</v>
      </c>
      <c r="O15" s="52">
        <f>+(N15-P15)/ABS(P15)</f>
        <v>0.14825419895834596</v>
      </c>
      <c r="P15" s="20">
        <f>SUM(P10:P14)</f>
        <v>2804386</v>
      </c>
    </row>
    <row r="16" spans="1:21" ht="7.9" customHeight="1">
      <c r="A16" s="10"/>
      <c r="C16" s="49" t="s">
        <v>0</v>
      </c>
      <c r="E16" s="49" t="s">
        <v>0</v>
      </c>
      <c r="G16" s="49" t="s">
        <v>0</v>
      </c>
      <c r="I16" s="52" t="s">
        <v>0</v>
      </c>
      <c r="K16" s="52" t="s">
        <v>0</v>
      </c>
      <c r="M16" s="52" t="s">
        <v>0</v>
      </c>
      <c r="O16" s="52" t="s">
        <v>0</v>
      </c>
    </row>
    <row r="17" spans="1:16" ht="15.6" customHeight="1">
      <c r="A17" s="10" t="s">
        <v>261</v>
      </c>
      <c r="B17" s="20">
        <v>796833</v>
      </c>
      <c r="C17" s="49">
        <v>0</v>
      </c>
      <c r="D17" s="20">
        <v>0</v>
      </c>
      <c r="E17" s="49">
        <v>0</v>
      </c>
      <c r="F17" s="20">
        <v>0</v>
      </c>
      <c r="G17" s="49">
        <v>0</v>
      </c>
      <c r="H17" s="20">
        <v>0</v>
      </c>
      <c r="I17" s="52">
        <f>+(B17-J17)/ABS(J17)</f>
        <v>15.077174505175231</v>
      </c>
      <c r="J17" s="20">
        <v>49563</v>
      </c>
      <c r="K17" s="49">
        <v>0</v>
      </c>
      <c r="L17" s="20">
        <v>0</v>
      </c>
      <c r="M17" s="49">
        <v>0</v>
      </c>
      <c r="N17" s="20">
        <v>399899</v>
      </c>
      <c r="O17" s="52">
        <f>+(N17-P17)/ABS(P17)</f>
        <v>3.8914579652914894E-2</v>
      </c>
      <c r="P17" s="20">
        <v>384920</v>
      </c>
    </row>
    <row r="18" spans="1:16" ht="15.6"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row>
    <row r="19" spans="1:16">
      <c r="A19" s="10" t="s">
        <v>262</v>
      </c>
      <c r="B19" s="20">
        <v>0</v>
      </c>
      <c r="C19" s="49">
        <v>0</v>
      </c>
      <c r="D19" s="20">
        <v>0</v>
      </c>
      <c r="E19" s="49">
        <v>0</v>
      </c>
      <c r="F19" s="20">
        <v>0</v>
      </c>
      <c r="G19" s="49">
        <v>0</v>
      </c>
      <c r="H19" s="20">
        <v>0</v>
      </c>
      <c r="I19" s="49">
        <v>0</v>
      </c>
      <c r="J19" s="20">
        <v>0</v>
      </c>
      <c r="K19" s="88">
        <v>0</v>
      </c>
      <c r="L19" s="20">
        <v>0</v>
      </c>
      <c r="M19" s="88">
        <v>0</v>
      </c>
      <c r="N19" s="20">
        <v>0</v>
      </c>
      <c r="O19" s="88">
        <v>0</v>
      </c>
      <c r="P19" s="20">
        <v>0</v>
      </c>
    </row>
    <row r="20" spans="1:16">
      <c r="A20" s="10" t="s">
        <v>263</v>
      </c>
      <c r="B20" s="20">
        <v>1798882</v>
      </c>
      <c r="C20" s="49">
        <v>0</v>
      </c>
      <c r="D20" s="20">
        <v>0</v>
      </c>
      <c r="E20" s="49">
        <v>0</v>
      </c>
      <c r="F20" s="20">
        <v>0</v>
      </c>
      <c r="G20" s="49">
        <v>0</v>
      </c>
      <c r="H20" s="20">
        <v>0</v>
      </c>
      <c r="I20" s="52">
        <f>+(B20-J20)/ABS(J20)</f>
        <v>0.24294844776717545</v>
      </c>
      <c r="J20" s="20">
        <v>1447270</v>
      </c>
      <c r="K20" s="52">
        <f>+(J20-L20)/ABS(L20)</f>
        <v>0.10429480620456698</v>
      </c>
      <c r="L20" s="20">
        <v>1310583</v>
      </c>
      <c r="M20" s="52">
        <f>+(L20-N20)/ABS(N20)</f>
        <v>-0.17301740244842018</v>
      </c>
      <c r="N20" s="20">
        <v>1584777</v>
      </c>
      <c r="O20" s="52">
        <f>+(N20-P20)/ABS(P20)</f>
        <v>-9.9512475069747891E-2</v>
      </c>
      <c r="P20" s="20">
        <v>1759910</v>
      </c>
    </row>
    <row r="21" spans="1:16">
      <c r="A21" s="10" t="s">
        <v>264</v>
      </c>
      <c r="B21" s="20">
        <v>356354</v>
      </c>
      <c r="C21" s="49">
        <v>0</v>
      </c>
      <c r="D21" s="20">
        <v>0</v>
      </c>
      <c r="E21" s="49">
        <v>0</v>
      </c>
      <c r="F21" s="20">
        <v>0</v>
      </c>
      <c r="G21" s="49">
        <v>0</v>
      </c>
      <c r="H21" s="20">
        <v>0</v>
      </c>
      <c r="I21" s="52">
        <f>+(B21-J21)/ABS(J21)</f>
        <v>-1.1607620812172885E-2</v>
      </c>
      <c r="J21" s="20">
        <v>360539</v>
      </c>
      <c r="K21" s="52">
        <f>+(J21-L21)/ABS(L21)</f>
        <v>-3.363290599779676E-2</v>
      </c>
      <c r="L21" s="20">
        <v>373087</v>
      </c>
      <c r="M21" s="52">
        <f>+(L21-N21)/ABS(N21)</f>
        <v>0.50555472605697171</v>
      </c>
      <c r="N21" s="20">
        <v>247807</v>
      </c>
      <c r="O21" s="52">
        <f>+(N21-P21)/ABS(P21)</f>
        <v>2.7089083126290898</v>
      </c>
      <c r="P21" s="20">
        <v>66814</v>
      </c>
    </row>
    <row r="22" spans="1:16" ht="16.5" thickBot="1">
      <c r="A22" s="10" t="s">
        <v>265</v>
      </c>
      <c r="B22" s="97">
        <v>127680</v>
      </c>
      <c r="C22" s="49">
        <v>0</v>
      </c>
      <c r="D22" s="97">
        <v>0</v>
      </c>
      <c r="E22" s="49">
        <v>0</v>
      </c>
      <c r="F22" s="97">
        <v>0</v>
      </c>
      <c r="G22" s="49">
        <v>0</v>
      </c>
      <c r="H22" s="97">
        <v>0</v>
      </c>
      <c r="I22" s="52">
        <f>+(B22-J22)/ABS(J22)</f>
        <v>8.2382462148827593E-2</v>
      </c>
      <c r="J22" s="97">
        <v>117962</v>
      </c>
      <c r="K22" s="52">
        <f>+(J22-L22)/ABS(L22)</f>
        <v>1.185331332555253</v>
      </c>
      <c r="L22" s="97">
        <v>53979</v>
      </c>
      <c r="M22" s="52">
        <f>+(L22-N22)/ABS(N22)</f>
        <v>-0.56221056131842106</v>
      </c>
      <c r="N22" s="97">
        <v>123299</v>
      </c>
      <c r="O22" s="52">
        <f>+(N22-P22)/ABS(P22)</f>
        <v>7.9704370517614295E-2</v>
      </c>
      <c r="P22" s="97">
        <v>114197</v>
      </c>
    </row>
    <row r="23" spans="1:16">
      <c r="A23" s="10" t="s">
        <v>54</v>
      </c>
      <c r="B23" s="13">
        <f>SUM(B15:B22)</f>
        <v>6360128</v>
      </c>
      <c r="C23" s="49">
        <v>0</v>
      </c>
      <c r="D23" s="13">
        <f>SUM(D15:D22)</f>
        <v>0</v>
      </c>
      <c r="E23" s="49">
        <v>0</v>
      </c>
      <c r="F23" s="13">
        <f>SUM(F15:F22)</f>
        <v>0</v>
      </c>
      <c r="G23" s="49">
        <v>0</v>
      </c>
      <c r="H23" s="13">
        <f>SUM(H15:H22)</f>
        <v>0</v>
      </c>
      <c r="I23" s="52">
        <f>+(B23-J23)/ABS(J23)</f>
        <v>-0.10293057936683124</v>
      </c>
      <c r="J23" s="13">
        <f>SUM(J15:J22)</f>
        <v>7089895</v>
      </c>
      <c r="K23" s="52">
        <f>+(J23-L23)/ABS(L23)</f>
        <v>0.32845246299483716</v>
      </c>
      <c r="L23" s="13">
        <f>SUM(L15:L22)</f>
        <v>5336958</v>
      </c>
      <c r="M23" s="52">
        <f>+(L23-N23)/ABS(N23)</f>
        <v>-4.2857783365286152E-2</v>
      </c>
      <c r="N23" s="13">
        <f>SUM(N15:N22)</f>
        <v>5575930</v>
      </c>
      <c r="O23" s="52">
        <f>+(N23-P23)/ABS(P23)</f>
        <v>8.6877832111522557E-2</v>
      </c>
      <c r="P23" s="13">
        <f>SUM(P15:P22)</f>
        <v>5130227</v>
      </c>
    </row>
    <row r="24" spans="1:16" ht="7.9" customHeight="1">
      <c r="A24" s="10"/>
      <c r="C24" s="49" t="s">
        <v>0</v>
      </c>
      <c r="E24" s="49" t="s">
        <v>0</v>
      </c>
      <c r="G24" s="49" t="s">
        <v>0</v>
      </c>
      <c r="I24" s="52" t="s">
        <v>0</v>
      </c>
      <c r="K24" s="52" t="s">
        <v>0</v>
      </c>
      <c r="M24" s="52" t="s">
        <v>0</v>
      </c>
      <c r="O24" s="52" t="s">
        <v>0</v>
      </c>
    </row>
    <row r="25" spans="1:16">
      <c r="A25" s="86" t="s">
        <v>266</v>
      </c>
      <c r="C25" s="49" t="s">
        <v>0</v>
      </c>
      <c r="E25" s="49" t="s">
        <v>0</v>
      </c>
      <c r="F25" s="12" t="s">
        <v>0</v>
      </c>
      <c r="G25" s="49" t="s">
        <v>0</v>
      </c>
      <c r="I25" s="52" t="s">
        <v>0</v>
      </c>
      <c r="K25" s="52" t="s">
        <v>0</v>
      </c>
      <c r="M25" s="52" t="s">
        <v>0</v>
      </c>
      <c r="O25" s="52" t="s">
        <v>0</v>
      </c>
    </row>
    <row r="26" spans="1:16">
      <c r="A26" s="10" t="s">
        <v>267</v>
      </c>
      <c r="C26" s="49" t="s">
        <v>0</v>
      </c>
      <c r="E26" s="49" t="s">
        <v>0</v>
      </c>
      <c r="G26" s="49" t="s">
        <v>0</v>
      </c>
      <c r="I26" s="52" t="s">
        <v>0</v>
      </c>
      <c r="K26" s="52" t="s">
        <v>0</v>
      </c>
      <c r="M26" s="52" t="s">
        <v>0</v>
      </c>
      <c r="O26" s="52" t="s">
        <v>0</v>
      </c>
    </row>
    <row r="27" spans="1:16">
      <c r="A27" s="10" t="s">
        <v>268</v>
      </c>
      <c r="B27" s="20">
        <v>3912349</v>
      </c>
      <c r="C27" s="49">
        <v>0</v>
      </c>
      <c r="D27" s="20">
        <v>0</v>
      </c>
      <c r="E27" s="49">
        <v>0</v>
      </c>
      <c r="F27" s="20">
        <v>0</v>
      </c>
      <c r="G27" s="49">
        <v>0</v>
      </c>
      <c r="H27" s="20">
        <v>0</v>
      </c>
      <c r="I27" s="52">
        <f>+(B27-J27)/ABS(J27)</f>
        <v>-0.18759553258931863</v>
      </c>
      <c r="J27" s="20">
        <v>4815765</v>
      </c>
      <c r="K27" s="52">
        <f>+(J27-L27)/ABS(L27)</f>
        <v>0.46363423892016453</v>
      </c>
      <c r="L27" s="20">
        <v>3290279</v>
      </c>
      <c r="M27" s="52">
        <f>+(L27-N27)/ABS(N27)</f>
        <v>4.9343673647984296E-2</v>
      </c>
      <c r="N27" s="20">
        <v>3135559</v>
      </c>
      <c r="O27" s="52">
        <f>+(N27-P27)/ABS(P27)</f>
        <v>4.9884918304384893E-2</v>
      </c>
      <c r="P27" s="20">
        <v>2986574</v>
      </c>
    </row>
    <row r="28" spans="1:16">
      <c r="A28" s="10" t="s">
        <v>269</v>
      </c>
      <c r="B28" s="20">
        <v>294638</v>
      </c>
      <c r="C28" s="49">
        <v>0</v>
      </c>
      <c r="D28" s="20">
        <v>0</v>
      </c>
      <c r="E28" s="49">
        <v>0</v>
      </c>
      <c r="F28" s="20">
        <v>0</v>
      </c>
      <c r="G28" s="49">
        <v>0</v>
      </c>
      <c r="H28" s="20">
        <v>0</v>
      </c>
      <c r="I28" s="52">
        <f>+(B28-J28)/ABS(J28)</f>
        <v>1.0712999331080733E-2</v>
      </c>
      <c r="J28" s="20">
        <v>291515</v>
      </c>
      <c r="K28" s="52">
        <f>+(J28-L28)/ABS(L28)</f>
        <v>-5.7281358738535966E-2</v>
      </c>
      <c r="L28" s="20">
        <v>309228</v>
      </c>
      <c r="M28" s="52">
        <f>+(L28-N28)/ABS(N28)</f>
        <v>-0.28014526154061037</v>
      </c>
      <c r="N28" s="20">
        <v>429570</v>
      </c>
      <c r="O28" s="52">
        <f>+(N28-P28)/ABS(P28)</f>
        <v>0.26051233897708265</v>
      </c>
      <c r="P28" s="20">
        <v>340790</v>
      </c>
    </row>
    <row r="29" spans="1:16">
      <c r="A29" s="10" t="s">
        <v>270</v>
      </c>
      <c r="B29" s="199">
        <v>381091</v>
      </c>
      <c r="C29" s="49">
        <v>0</v>
      </c>
      <c r="D29" s="199">
        <v>0</v>
      </c>
      <c r="E29" s="49">
        <v>0</v>
      </c>
      <c r="F29" s="199">
        <v>0</v>
      </c>
      <c r="G29" s="49">
        <v>0</v>
      </c>
      <c r="H29" s="199">
        <v>0</v>
      </c>
      <c r="I29" s="52">
        <f>+(B29-J29)/ABS(J29)</f>
        <v>-0.11577762825123553</v>
      </c>
      <c r="J29" s="199">
        <v>430990</v>
      </c>
      <c r="K29" s="52">
        <f>+(J29-L29)/ABS(L29)</f>
        <v>-0.2729048714816889</v>
      </c>
      <c r="L29" s="199">
        <v>592756</v>
      </c>
      <c r="M29" s="52">
        <f>+(L29-N29)/ABS(N29)</f>
        <v>-0.49400840308875826</v>
      </c>
      <c r="N29" s="199">
        <v>1171474</v>
      </c>
      <c r="O29" s="52">
        <f>+(N29-P29)/ABS(P29)</f>
        <v>0.44757774029520614</v>
      </c>
      <c r="P29" s="199">
        <v>809265</v>
      </c>
    </row>
    <row r="30" spans="1:16">
      <c r="A30" s="10"/>
      <c r="B30" s="20">
        <f>SUM(B27:B29)</f>
        <v>4588078</v>
      </c>
      <c r="C30" s="49">
        <v>0</v>
      </c>
      <c r="D30" s="20">
        <f>SUM(D27:D29)</f>
        <v>0</v>
      </c>
      <c r="E30" s="49">
        <v>0</v>
      </c>
      <c r="F30" s="20">
        <f>SUM(F27:F29)</f>
        <v>0</v>
      </c>
      <c r="G30" s="49">
        <v>0</v>
      </c>
      <c r="H30" s="20">
        <f>SUM(H27:H29)</f>
        <v>0</v>
      </c>
      <c r="I30" s="52">
        <f>+(B30-J30)/ABS(J30)</f>
        <v>-0.17156837785084511</v>
      </c>
      <c r="J30" s="20">
        <f>SUM(J27:J29)</f>
        <v>5538270</v>
      </c>
      <c r="K30" s="52">
        <f>+(J30-L30)/ABS(L30)</f>
        <v>0.32106931268386552</v>
      </c>
      <c r="L30" s="20">
        <f>SUM(L27:L29)</f>
        <v>4192263</v>
      </c>
      <c r="M30" s="52">
        <f>+(L30-N30)/ABS(N30)</f>
        <v>-0.11492202323057263</v>
      </c>
      <c r="N30" s="20">
        <f>SUM(N27:N29)</f>
        <v>4736603</v>
      </c>
      <c r="O30" s="52">
        <f>+(N30-P30)/ABS(P30)</f>
        <v>0.14503935450822397</v>
      </c>
      <c r="P30" s="20">
        <f>SUM(P27:P29)</f>
        <v>4136629</v>
      </c>
    </row>
    <row r="31" spans="1:16" ht="7.9" customHeight="1">
      <c r="A31" s="10"/>
      <c r="C31" s="49" t="s">
        <v>0</v>
      </c>
      <c r="E31" s="49" t="s">
        <v>0</v>
      </c>
      <c r="G31" s="49" t="s">
        <v>0</v>
      </c>
      <c r="I31" s="52" t="s">
        <v>0</v>
      </c>
      <c r="K31" s="52" t="s">
        <v>0</v>
      </c>
      <c r="M31" s="52" t="s">
        <v>0</v>
      </c>
      <c r="O31" s="52" t="s">
        <v>0</v>
      </c>
    </row>
    <row r="32" spans="1:16">
      <c r="A32" s="10" t="s">
        <v>271</v>
      </c>
      <c r="C32" s="49" t="s">
        <v>0</v>
      </c>
      <c r="E32" s="49" t="s">
        <v>0</v>
      </c>
      <c r="G32" s="49" t="s">
        <v>0</v>
      </c>
      <c r="I32" s="52" t="s">
        <v>0</v>
      </c>
      <c r="K32" s="52" t="s">
        <v>0</v>
      </c>
      <c r="M32" s="52" t="s">
        <v>0</v>
      </c>
      <c r="O32" s="52" t="s">
        <v>0</v>
      </c>
    </row>
    <row r="33" spans="1:21">
      <c r="A33" s="10" t="s">
        <v>272</v>
      </c>
      <c r="B33" s="20">
        <v>300000</v>
      </c>
      <c r="C33" s="49">
        <v>0</v>
      </c>
      <c r="D33" s="20">
        <v>0</v>
      </c>
      <c r="E33" s="49">
        <v>0</v>
      </c>
      <c r="F33" s="20">
        <v>0</v>
      </c>
      <c r="G33" s="49">
        <v>0</v>
      </c>
      <c r="H33" s="20">
        <v>0</v>
      </c>
      <c r="I33" s="52">
        <f>+(B33-J33)/ABS(J33)</f>
        <v>0</v>
      </c>
      <c r="J33" s="20">
        <v>300000</v>
      </c>
      <c r="K33" s="52">
        <f>+(J33-L33)/ABS(L33)</f>
        <v>0.5</v>
      </c>
      <c r="L33" s="20">
        <v>200000</v>
      </c>
      <c r="M33" s="52">
        <f>+(L33-N33)/ABS(N33)</f>
        <v>0</v>
      </c>
      <c r="N33" s="20">
        <v>200000</v>
      </c>
      <c r="O33" s="52">
        <f>+(N33-P33)/ABS(P33)</f>
        <v>-0.375</v>
      </c>
      <c r="P33" s="20">
        <v>320000</v>
      </c>
    </row>
    <row r="34" spans="1:21">
      <c r="A34" s="10" t="s">
        <v>273</v>
      </c>
      <c r="B34" s="20">
        <v>140243</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199">
        <v>706720</v>
      </c>
      <c r="C35" s="49">
        <v>0</v>
      </c>
      <c r="D35" s="199">
        <v>0</v>
      </c>
      <c r="E35" s="49">
        <v>0</v>
      </c>
      <c r="F35" s="199">
        <v>0</v>
      </c>
      <c r="G35" s="49">
        <v>0</v>
      </c>
      <c r="H35" s="199">
        <v>0</v>
      </c>
      <c r="I35" s="52">
        <f>+(B35-J35)/ABS(J35)</f>
        <v>6.4958040303610687E-2</v>
      </c>
      <c r="J35" s="199">
        <v>663613</v>
      </c>
      <c r="K35" s="52">
        <f>+(J35-L35)/ABS(L35)</f>
        <v>8.9325931227388231E-2</v>
      </c>
      <c r="L35" s="199">
        <f>809196-200000</f>
        <v>609196</v>
      </c>
      <c r="M35" s="52">
        <f>+(L35-N35)/ABS(N35)</f>
        <v>1.6268865239664005</v>
      </c>
      <c r="N35" s="199">
        <v>231908</v>
      </c>
      <c r="O35" s="52">
        <f>+(N35-P35)/ABS(P35)</f>
        <v>-0.34839732062578671</v>
      </c>
      <c r="P35" s="199">
        <v>355904</v>
      </c>
      <c r="Q35" s="14"/>
      <c r="R35" s="14"/>
      <c r="S35" s="15"/>
      <c r="T35" s="15"/>
      <c r="U35" s="15"/>
    </row>
    <row r="36" spans="1:21">
      <c r="A36" s="10"/>
      <c r="B36" s="20">
        <f>SUM(B33:B35)</f>
        <v>1146963</v>
      </c>
      <c r="C36" s="49">
        <v>0</v>
      </c>
      <c r="D36" s="20">
        <f>SUM(D33:D35)</f>
        <v>0</v>
      </c>
      <c r="E36" s="49">
        <v>0</v>
      </c>
      <c r="F36" s="20">
        <f>SUM(F33:F35)</f>
        <v>0</v>
      </c>
      <c r="G36" s="49">
        <v>0</v>
      </c>
      <c r="H36" s="20">
        <f>SUM(H33:H35)</f>
        <v>0</v>
      </c>
      <c r="I36" s="52">
        <f>+(B36-J36)/ABS(J36)</f>
        <v>0.19027348115892997</v>
      </c>
      <c r="J36" s="20">
        <f>SUM(J33:J35)</f>
        <v>963613</v>
      </c>
      <c r="K36" s="52">
        <f>+(J36-L36)/ABS(L36)</f>
        <v>0.19082768575227757</v>
      </c>
      <c r="L36" s="20">
        <f>SUM(L33:L35)</f>
        <v>809196</v>
      </c>
      <c r="M36" s="52">
        <f>+(L36-N36)/ABS(N36)</f>
        <v>0.87353788306769031</v>
      </c>
      <c r="N36" s="20">
        <f>SUM(N33:N35)</f>
        <v>431908</v>
      </c>
      <c r="O36" s="52">
        <f>+(N36-P36)/ABS(P36)</f>
        <v>-0.360992093551747</v>
      </c>
      <c r="P36" s="20">
        <f>SUM(P33:P35)</f>
        <v>675904</v>
      </c>
    </row>
    <row r="37" spans="1:21" ht="7.15" customHeight="1">
      <c r="A37" s="10"/>
      <c r="C37" s="49" t="s">
        <v>0</v>
      </c>
      <c r="E37" s="49" t="s">
        <v>0</v>
      </c>
      <c r="G37" s="49" t="s">
        <v>0</v>
      </c>
      <c r="I37" s="52" t="s">
        <v>0</v>
      </c>
      <c r="K37" s="52" t="s">
        <v>0</v>
      </c>
      <c r="M37" s="52" t="s">
        <v>0</v>
      </c>
      <c r="O37" s="52" t="s">
        <v>0</v>
      </c>
    </row>
    <row r="38" spans="1:21">
      <c r="A38" s="10" t="s">
        <v>275</v>
      </c>
      <c r="C38" s="49" t="s">
        <v>0</v>
      </c>
      <c r="E38" s="49" t="s">
        <v>0</v>
      </c>
      <c r="G38" s="49" t="s">
        <v>0</v>
      </c>
      <c r="I38" s="52" t="s">
        <v>0</v>
      </c>
      <c r="K38" s="52" t="s">
        <v>0</v>
      </c>
      <c r="M38" s="52" t="s">
        <v>0</v>
      </c>
      <c r="O38" s="52" t="s">
        <v>0</v>
      </c>
    </row>
    <row r="39" spans="1:21">
      <c r="A39" s="10" t="s">
        <v>272</v>
      </c>
      <c r="B39" s="20">
        <v>0</v>
      </c>
      <c r="C39" s="49">
        <v>0</v>
      </c>
      <c r="D39" s="20">
        <v>0</v>
      </c>
      <c r="E39" s="49">
        <v>0</v>
      </c>
      <c r="F39" s="20">
        <v>0</v>
      </c>
      <c r="G39" s="49">
        <v>0</v>
      </c>
      <c r="H39" s="20">
        <v>0</v>
      </c>
      <c r="I39" s="49">
        <v>0</v>
      </c>
      <c r="J39" s="20">
        <v>0</v>
      </c>
      <c r="K39" s="49">
        <v>0</v>
      </c>
      <c r="L39" s="20">
        <v>0</v>
      </c>
      <c r="M39" s="49">
        <v>0</v>
      </c>
      <c r="N39" s="20">
        <v>0</v>
      </c>
      <c r="O39" s="49">
        <v>0</v>
      </c>
      <c r="P39" s="20">
        <v>0</v>
      </c>
    </row>
    <row r="40" spans="1:21">
      <c r="A40" s="10" t="s">
        <v>276</v>
      </c>
      <c r="B40" s="20">
        <v>0</v>
      </c>
      <c r="C40" s="49">
        <v>0</v>
      </c>
      <c r="D40" s="20">
        <v>0</v>
      </c>
      <c r="E40" s="49">
        <v>0</v>
      </c>
      <c r="F40" s="20">
        <v>0</v>
      </c>
      <c r="G40" s="49">
        <v>0</v>
      </c>
      <c r="H40" s="20">
        <v>0</v>
      </c>
      <c r="I40" s="49">
        <v>0</v>
      </c>
      <c r="J40" s="20">
        <v>0</v>
      </c>
      <c r="K40" s="49">
        <v>0</v>
      </c>
      <c r="L40" s="20">
        <v>0</v>
      </c>
      <c r="M40" s="49">
        <v>0</v>
      </c>
      <c r="N40" s="20">
        <v>0</v>
      </c>
      <c r="O40" s="49">
        <v>0</v>
      </c>
      <c r="P40" s="20">
        <v>0</v>
      </c>
    </row>
    <row r="41" spans="1:21">
      <c r="A41" s="10" t="s">
        <v>274</v>
      </c>
      <c r="B41" s="199">
        <v>125367</v>
      </c>
      <c r="C41" s="49">
        <v>0</v>
      </c>
      <c r="D41" s="199">
        <v>0</v>
      </c>
      <c r="E41" s="49">
        <v>0</v>
      </c>
      <c r="F41" s="199">
        <v>0</v>
      </c>
      <c r="G41" s="49">
        <v>0</v>
      </c>
      <c r="H41" s="199">
        <v>0</v>
      </c>
      <c r="I41" s="52">
        <f>+(B41-J41)/ABS(J41)</f>
        <v>8.6613968485100626E-2</v>
      </c>
      <c r="J41" s="199">
        <v>115374</v>
      </c>
      <c r="K41" s="52">
        <f>+(J41-L41)/ABS(L41)</f>
        <v>1.0587427062329366</v>
      </c>
      <c r="L41" s="199">
        <v>56041</v>
      </c>
      <c r="M41" s="52">
        <f>+(L41-N41)/ABS(N41)</f>
        <v>-0.30149569986289421</v>
      </c>
      <c r="N41" s="199">
        <v>80230</v>
      </c>
      <c r="O41" s="52">
        <f>+(N41-P41)/ABS(P41)</f>
        <v>9.1570023395637842E-3</v>
      </c>
      <c r="P41" s="199">
        <v>79502</v>
      </c>
    </row>
    <row r="42" spans="1:21">
      <c r="A42" s="10"/>
      <c r="B42" s="20">
        <f>SUM(B39:B41)</f>
        <v>125367</v>
      </c>
      <c r="C42" s="49">
        <v>0</v>
      </c>
      <c r="D42" s="20">
        <f>SUM(D39:D41)</f>
        <v>0</v>
      </c>
      <c r="E42" s="49">
        <v>0</v>
      </c>
      <c r="F42" s="20">
        <f>SUM(F39:F41)</f>
        <v>0</v>
      </c>
      <c r="G42" s="49">
        <v>0</v>
      </c>
      <c r="H42" s="20">
        <f>SUM(H39:H41)</f>
        <v>0</v>
      </c>
      <c r="I42" s="52">
        <f>+(B42-J42)/ABS(J42)</f>
        <v>8.6613968485100626E-2</v>
      </c>
      <c r="J42" s="20">
        <f>SUM(J39:J41)</f>
        <v>115374</v>
      </c>
      <c r="K42" s="52">
        <f>+(J42-L42)/ABS(L42)</f>
        <v>1.0587427062329366</v>
      </c>
      <c r="L42" s="20">
        <f>SUM(L39:L41)</f>
        <v>56041</v>
      </c>
      <c r="M42" s="52">
        <f>+(L42-N42)/ABS(N42)</f>
        <v>-0.30149569986289421</v>
      </c>
      <c r="N42" s="20">
        <f>SUM(N39:N41)</f>
        <v>80230</v>
      </c>
      <c r="O42" s="52">
        <f>+(N42-P42)/ABS(P42)</f>
        <v>9.1570023395637842E-3</v>
      </c>
      <c r="P42" s="20">
        <f>SUM(P39:P41)</f>
        <v>79502</v>
      </c>
    </row>
    <row r="43" spans="1:21" ht="8.4499999999999993" customHeight="1">
      <c r="A43" s="10"/>
      <c r="C43" s="49" t="s">
        <v>0</v>
      </c>
      <c r="E43" s="49" t="s">
        <v>0</v>
      </c>
      <c r="G43" s="49" t="s">
        <v>0</v>
      </c>
      <c r="I43" s="52" t="s">
        <v>0</v>
      </c>
      <c r="K43" s="52" t="s">
        <v>0</v>
      </c>
      <c r="M43" s="52" t="s">
        <v>0</v>
      </c>
      <c r="O43" s="52" t="s">
        <v>0</v>
      </c>
    </row>
    <row r="44" spans="1:21" ht="18">
      <c r="A44" s="10" t="s">
        <v>277</v>
      </c>
      <c r="B44" s="199">
        <v>109545</v>
      </c>
      <c r="C44" s="49">
        <v>0</v>
      </c>
      <c r="D44" s="199">
        <v>0</v>
      </c>
      <c r="E44" s="49">
        <v>0</v>
      </c>
      <c r="F44" s="199">
        <v>0</v>
      </c>
      <c r="G44" s="49">
        <v>0</v>
      </c>
      <c r="H44" s="199">
        <v>0</v>
      </c>
      <c r="I44" s="52">
        <f>+(B44-J44)/ABS(J44)</f>
        <v>6.2203044700862992E-2</v>
      </c>
      <c r="J44" s="199">
        <v>103130</v>
      </c>
      <c r="K44" s="52">
        <f>+(J44-L44)/ABS(L44)</f>
        <v>1.4764077320206508</v>
      </c>
      <c r="L44" s="199">
        <v>41645</v>
      </c>
      <c r="M44" s="52">
        <f>+(L44-N44)/ABS(N44)</f>
        <v>-0.55792278377546367</v>
      </c>
      <c r="N44" s="199">
        <v>94203</v>
      </c>
      <c r="O44" s="52">
        <f>+(N44-P44)/ABS(P44)</f>
        <v>3.0620499331637272</v>
      </c>
      <c r="P44" s="199">
        <v>23191</v>
      </c>
      <c r="Q44" s="14"/>
      <c r="R44" s="14"/>
    </row>
    <row r="45" spans="1:21">
      <c r="A45" s="10"/>
      <c r="B45" s="20">
        <f>+B30+B36+B42+B44</f>
        <v>5969953</v>
      </c>
      <c r="C45" s="49">
        <v>0</v>
      </c>
      <c r="D45" s="20">
        <f>+D30+D36+D42+D44</f>
        <v>0</v>
      </c>
      <c r="E45" s="49">
        <v>0</v>
      </c>
      <c r="F45" s="20">
        <f>+F30+F36+F42+F44</f>
        <v>0</v>
      </c>
      <c r="G45" s="49">
        <v>0</v>
      </c>
      <c r="H45" s="20">
        <f>+H30+H36+H42+H44</f>
        <v>0</v>
      </c>
      <c r="I45" s="52">
        <f>+(B45-J45)/ABS(J45)</f>
        <v>-0.11166529546587124</v>
      </c>
      <c r="J45" s="20">
        <f>+J30+J36+J42+J44</f>
        <v>6720387</v>
      </c>
      <c r="K45" s="52">
        <f>+(J45-L45)/ABS(L45)</f>
        <v>0.31794389059342304</v>
      </c>
      <c r="L45" s="20">
        <f>+L30+L36+L42+L44</f>
        <v>5099145</v>
      </c>
      <c r="M45" s="52">
        <f>+(L45-N45)/ABS(N45)</f>
        <v>-4.5630087083076296E-2</v>
      </c>
      <c r="N45" s="20">
        <f>+N30+N36+N42+N44</f>
        <v>5342944</v>
      </c>
      <c r="O45" s="52">
        <f>+(N45-P45)/ABS(P45)</f>
        <v>8.7018989564264182E-2</v>
      </c>
      <c r="P45" s="20">
        <f>+P30+P36+P42+P44</f>
        <v>4915226</v>
      </c>
    </row>
    <row r="46" spans="1:21" ht="8.4499999999999993" customHeight="1">
      <c r="A46" s="10"/>
      <c r="C46" s="49" t="s">
        <v>0</v>
      </c>
      <c r="E46" s="49" t="s">
        <v>0</v>
      </c>
      <c r="G46" s="49" t="s">
        <v>0</v>
      </c>
      <c r="I46" s="52" t="s">
        <v>0</v>
      </c>
      <c r="K46" s="52" t="s">
        <v>0</v>
      </c>
      <c r="M46" s="52" t="s">
        <v>0</v>
      </c>
      <c r="O46" s="52" t="s">
        <v>0</v>
      </c>
    </row>
    <row r="47" spans="1:21">
      <c r="A47" s="86" t="s">
        <v>278</v>
      </c>
      <c r="C47" s="49" t="s">
        <v>0</v>
      </c>
      <c r="E47" s="49" t="s">
        <v>0</v>
      </c>
      <c r="G47" s="49" t="s">
        <v>0</v>
      </c>
      <c r="I47" s="52" t="s">
        <v>0</v>
      </c>
      <c r="K47" s="52" t="s">
        <v>0</v>
      </c>
      <c r="M47" s="52" t="s">
        <v>0</v>
      </c>
      <c r="O47" s="52" t="s">
        <v>0</v>
      </c>
    </row>
    <row r="48" spans="1:21">
      <c r="A48" s="10" t="s">
        <v>279</v>
      </c>
      <c r="B48" s="20">
        <v>103837</v>
      </c>
      <c r="C48" s="49">
        <v>0</v>
      </c>
      <c r="D48" s="20">
        <v>0</v>
      </c>
      <c r="E48" s="49">
        <v>0</v>
      </c>
      <c r="F48" s="20">
        <v>0</v>
      </c>
      <c r="G48" s="49">
        <v>0</v>
      </c>
      <c r="H48" s="20">
        <v>0</v>
      </c>
      <c r="I48" s="52">
        <f>+(B48-J48)/ABS(J48)</f>
        <v>0</v>
      </c>
      <c r="J48" s="20">
        <v>103837</v>
      </c>
      <c r="K48" s="52">
        <f>+(J48-L48)/ABS(L48)</f>
        <v>0</v>
      </c>
      <c r="L48" s="20">
        <v>103837</v>
      </c>
      <c r="M48" s="52">
        <f>+(L48-N48)/ABS(N48)</f>
        <v>0</v>
      </c>
      <c r="N48" s="20">
        <v>103837</v>
      </c>
      <c r="O48" s="52">
        <f>+(N48-P48)/ABS(P48)</f>
        <v>0</v>
      </c>
      <c r="P48" s="20">
        <v>103837</v>
      </c>
    </row>
    <row r="49" spans="1:21">
      <c r="A49" s="10" t="s">
        <v>280</v>
      </c>
      <c r="B49" s="20">
        <v>70114</v>
      </c>
      <c r="C49" s="49">
        <v>0</v>
      </c>
      <c r="D49" s="20">
        <v>0</v>
      </c>
      <c r="E49" s="49">
        <v>0</v>
      </c>
      <c r="F49" s="20">
        <v>0</v>
      </c>
      <c r="G49" s="49">
        <v>0</v>
      </c>
      <c r="H49" s="20">
        <v>0</v>
      </c>
      <c r="I49" s="52">
        <f>+(B49-J49)/ABS(J49)</f>
        <v>0</v>
      </c>
      <c r="J49" s="20">
        <v>70114</v>
      </c>
      <c r="K49" s="52">
        <f>+(J49-L49)/ABS(L49)</f>
        <v>-0.12008835008722062</v>
      </c>
      <c r="L49" s="20">
        <v>79683</v>
      </c>
      <c r="M49" s="52">
        <f>+(L49-N49)/ABS(N49)</f>
        <v>0</v>
      </c>
      <c r="N49" s="20">
        <v>79683</v>
      </c>
      <c r="O49" s="52">
        <f>+(N49-P49)/ABS(P49)</f>
        <v>0.12951832846653247</v>
      </c>
      <c r="P49" s="20">
        <v>70546</v>
      </c>
    </row>
    <row r="50" spans="1:21">
      <c r="A50" s="10" t="s">
        <v>290</v>
      </c>
      <c r="B50" s="20">
        <v>0</v>
      </c>
      <c r="C50" s="49">
        <v>0</v>
      </c>
      <c r="D50" s="20">
        <v>0</v>
      </c>
      <c r="E50" s="49">
        <v>0</v>
      </c>
      <c r="F50" s="20">
        <v>0</v>
      </c>
      <c r="G50" s="49">
        <v>0</v>
      </c>
      <c r="H50" s="20">
        <v>0</v>
      </c>
      <c r="I50" s="49">
        <v>0</v>
      </c>
      <c r="J50" s="20">
        <v>0</v>
      </c>
      <c r="K50" s="49">
        <v>0</v>
      </c>
      <c r="L50" s="20">
        <v>0</v>
      </c>
      <c r="M50" s="49">
        <v>0</v>
      </c>
      <c r="N50" s="20">
        <v>0</v>
      </c>
      <c r="O50" s="49">
        <v>0</v>
      </c>
      <c r="P50" s="20">
        <v>0</v>
      </c>
    </row>
    <row r="51" spans="1:21" ht="18">
      <c r="A51" s="10" t="s">
        <v>282</v>
      </c>
      <c r="B51" s="224">
        <v>216224</v>
      </c>
      <c r="C51" s="49">
        <v>0</v>
      </c>
      <c r="D51" s="199">
        <v>0</v>
      </c>
      <c r="E51" s="49">
        <v>0</v>
      </c>
      <c r="F51" s="199">
        <v>0</v>
      </c>
      <c r="G51" s="49">
        <v>0</v>
      </c>
      <c r="H51" s="199">
        <v>0</v>
      </c>
      <c r="I51" s="52">
        <f>+(B51-J51)/ABS(J51)</f>
        <v>0.10568274211610937</v>
      </c>
      <c r="J51" s="199">
        <v>195557</v>
      </c>
      <c r="K51" s="52">
        <f>+(J51-L51)/ABS(L51)</f>
        <v>2.6018823789438787</v>
      </c>
      <c r="L51" s="199">
        <v>54293</v>
      </c>
      <c r="M51" s="52">
        <f>+(L51-N51)/ABS(N51)</f>
        <v>9.7582177657380822E-2</v>
      </c>
      <c r="N51" s="199">
        <v>49466</v>
      </c>
      <c r="O51" s="52">
        <f>+(N51-P51)/ABS(P51)</f>
        <v>0.21783445762962234</v>
      </c>
      <c r="P51" s="199">
        <v>40618</v>
      </c>
      <c r="Q51" s="14"/>
      <c r="R51" s="14"/>
      <c r="S51" s="15"/>
      <c r="T51" s="15"/>
      <c r="U51" s="15"/>
    </row>
    <row r="52" spans="1:21" ht="16.5" thickBot="1">
      <c r="A52" s="10" t="s">
        <v>54</v>
      </c>
      <c r="B52" s="79">
        <f>SUM(B48:B51)</f>
        <v>390175</v>
      </c>
      <c r="C52" s="49">
        <v>0</v>
      </c>
      <c r="D52" s="79">
        <f>SUM(D48:D51)</f>
        <v>0</v>
      </c>
      <c r="E52" s="49">
        <v>0</v>
      </c>
      <c r="F52" s="79">
        <f>SUM(F48:F51)</f>
        <v>0</v>
      </c>
      <c r="G52" s="49">
        <v>0</v>
      </c>
      <c r="H52" s="79">
        <f>SUM(H48:H51)</f>
        <v>0</v>
      </c>
      <c r="I52" s="52">
        <f>+(B52-J52)/ABS(J52)</f>
        <v>5.593113004319257E-2</v>
      </c>
      <c r="J52" s="79">
        <f>SUM(J48:J51)</f>
        <v>369508</v>
      </c>
      <c r="K52" s="52">
        <f>+(J52-L52)/ABS(L52)</f>
        <v>0.55377544541299251</v>
      </c>
      <c r="L52" s="79">
        <f>SUM(L48:L51)</f>
        <v>237813</v>
      </c>
      <c r="M52" s="52">
        <f>+(L52-N52)/ABS(N52)</f>
        <v>2.0717983054775825E-2</v>
      </c>
      <c r="N52" s="79">
        <f>SUM(N48:N51)</f>
        <v>232986</v>
      </c>
      <c r="O52" s="52">
        <f>+(N52-P52)/ABS(P52)</f>
        <v>8.3650773717331553E-2</v>
      </c>
      <c r="P52" s="79">
        <f>SUM(P48:P51)</f>
        <v>215001</v>
      </c>
    </row>
    <row r="53" spans="1:21">
      <c r="A53" s="10" t="s">
        <v>0</v>
      </c>
      <c r="B53" s="13">
        <f>+B30+B36+B42+B44+B52</f>
        <v>6360128</v>
      </c>
      <c r="C53" s="49">
        <v>0</v>
      </c>
      <c r="D53" s="13">
        <f>+D30+D36+D42+D44+D52</f>
        <v>0</v>
      </c>
      <c r="E53" s="49">
        <v>0</v>
      </c>
      <c r="F53" s="13">
        <f>+F30+F36+F42+F44+F52</f>
        <v>0</v>
      </c>
      <c r="G53" s="49">
        <v>0</v>
      </c>
      <c r="H53" s="13">
        <f>+H30+H36+H42+H44+H52</f>
        <v>0</v>
      </c>
      <c r="I53" s="52">
        <f>+(B53-J53)/ABS(J53)</f>
        <v>-0.10293057936683124</v>
      </c>
      <c r="J53" s="13">
        <f>+J30+J36+J42+J44+J52</f>
        <v>7089895</v>
      </c>
      <c r="K53" s="52">
        <f>+(J53-L53)/ABS(L53)</f>
        <v>0.32845246299483716</v>
      </c>
      <c r="L53" s="13">
        <f>+L30+L36+L42+L44+L52</f>
        <v>5336958</v>
      </c>
      <c r="M53" s="52">
        <f>+(L53-N53)/ABS(N53)</f>
        <v>-4.2857783365286152E-2</v>
      </c>
      <c r="N53" s="13">
        <f>+N30+N36+N42+N44+N52</f>
        <v>5575930</v>
      </c>
      <c r="O53" s="52">
        <f>+(N53-P53)/ABS(P53)</f>
        <v>8.6877832111522557E-2</v>
      </c>
      <c r="P53" s="13">
        <f>+P30+P36+P42+P44+P52</f>
        <v>5130227</v>
      </c>
    </row>
    <row r="54" spans="1:21">
      <c r="C54" s="48"/>
      <c r="E54" s="48"/>
      <c r="G54" s="48"/>
      <c r="I54" s="88"/>
    </row>
    <row r="55" spans="1:21">
      <c r="C55" s="48"/>
      <c r="E55" s="48"/>
      <c r="G55" s="48"/>
      <c r="I55" s="46"/>
    </row>
    <row r="56" spans="1:21">
      <c r="A56" s="166" t="s">
        <v>283</v>
      </c>
      <c r="C56" s="48"/>
      <c r="E56" s="48"/>
      <c r="G56" s="48"/>
      <c r="I56" s="46"/>
    </row>
    <row r="57" spans="1:21">
      <c r="A57" t="s">
        <v>284</v>
      </c>
      <c r="B57" s="12">
        <v>0</v>
      </c>
      <c r="C57" s="48"/>
      <c r="D57" s="24">
        <v>0</v>
      </c>
      <c r="E57" s="48"/>
      <c r="F57" s="24">
        <v>0</v>
      </c>
      <c r="G57" s="48"/>
      <c r="H57" s="24">
        <v>0</v>
      </c>
      <c r="I57" s="46" t="s">
        <v>0</v>
      </c>
      <c r="J57" s="24">
        <v>0</v>
      </c>
      <c r="K57" s="48"/>
      <c r="L57" s="24">
        <v>0</v>
      </c>
      <c r="M57" s="48"/>
      <c r="N57" s="24">
        <v>0</v>
      </c>
      <c r="O57" s="48"/>
      <c r="P57" s="24">
        <v>0</v>
      </c>
    </row>
    <row r="58" spans="1:21">
      <c r="A58" t="s">
        <v>285</v>
      </c>
      <c r="B58" s="24">
        <v>94408.908490000002</v>
      </c>
      <c r="C58" s="48"/>
      <c r="D58" s="24">
        <v>0</v>
      </c>
      <c r="E58" s="48"/>
      <c r="F58" s="24">
        <v>0</v>
      </c>
      <c r="G58" s="48"/>
      <c r="H58" s="24">
        <v>0</v>
      </c>
      <c r="I58" s="46"/>
      <c r="J58" s="24">
        <v>68176</v>
      </c>
      <c r="K58" s="48"/>
      <c r="L58" s="24">
        <v>34241</v>
      </c>
      <c r="M58" s="48"/>
      <c r="N58" s="24">
        <v>66592</v>
      </c>
      <c r="O58" s="48"/>
      <c r="P58" s="24">
        <v>28682</v>
      </c>
    </row>
    <row r="59" spans="1:21">
      <c r="A59" t="s">
        <v>274</v>
      </c>
      <c r="B59" s="24">
        <v>6014002.3522700006</v>
      </c>
      <c r="C59" s="48"/>
      <c r="D59" s="24">
        <v>0</v>
      </c>
      <c r="E59" s="48"/>
      <c r="F59" s="24">
        <v>0</v>
      </c>
      <c r="G59" s="48"/>
      <c r="H59" s="24">
        <v>0</v>
      </c>
      <c r="I59" s="46"/>
      <c r="J59" s="24">
        <v>5921460</v>
      </c>
      <c r="K59" s="48"/>
      <c r="L59" s="24">
        <f>2994613-34241</f>
        <v>2960372</v>
      </c>
      <c r="M59" s="48"/>
      <c r="N59" s="24">
        <v>2729812</v>
      </c>
      <c r="O59" s="48"/>
      <c r="P59" s="24">
        <v>1397646</v>
      </c>
    </row>
    <row r="60" spans="1:21">
      <c r="B60" s="24"/>
      <c r="C60" s="48"/>
      <c r="D60" s="24" t="s">
        <v>0</v>
      </c>
      <c r="E60" s="48"/>
      <c r="F60" s="24" t="s">
        <v>0</v>
      </c>
      <c r="G60" s="48"/>
      <c r="H60" s="24" t="s">
        <v>0</v>
      </c>
      <c r="I60" s="46"/>
      <c r="J60" s="24" t="s">
        <v>0</v>
      </c>
      <c r="K60" s="48"/>
      <c r="L60" s="24" t="s">
        <v>0</v>
      </c>
      <c r="M60" s="48"/>
      <c r="N60" s="24" t="s">
        <v>0</v>
      </c>
      <c r="O60" s="48"/>
      <c r="P60" s="24"/>
    </row>
    <row r="61" spans="1:21">
      <c r="A61" t="s">
        <v>286</v>
      </c>
      <c r="B61" s="20">
        <v>1798983</v>
      </c>
      <c r="C61" s="49">
        <v>0</v>
      </c>
      <c r="D61" s="20">
        <v>0</v>
      </c>
      <c r="E61" s="49">
        <v>0</v>
      </c>
      <c r="F61" s="20">
        <v>0</v>
      </c>
      <c r="G61" s="49">
        <v>0</v>
      </c>
      <c r="H61" s="20">
        <v>0</v>
      </c>
      <c r="I61" s="52">
        <f>+(B61-J61)/ABS(J61)</f>
        <v>0.24292376570078347</v>
      </c>
      <c r="J61" s="20">
        <v>1447380</v>
      </c>
      <c r="K61" s="52">
        <f>+(J61-L61)/ABS(L61)</f>
        <v>8.2790397041100069E-2</v>
      </c>
      <c r="L61" s="20">
        <v>1336713</v>
      </c>
      <c r="M61" s="52">
        <f>+(L61-N61)/ABS(N61)</f>
        <v>-0.17349918012311755</v>
      </c>
      <c r="N61" s="20">
        <v>1617316</v>
      </c>
      <c r="O61" s="52">
        <f>+(N61-P61)/ABS(P61)</f>
        <v>-0.10102464278686829</v>
      </c>
      <c r="P61" s="20">
        <v>1799066</v>
      </c>
    </row>
    <row r="62" spans="1:21">
      <c r="A62" t="s">
        <v>225</v>
      </c>
      <c r="B62" s="20">
        <v>101</v>
      </c>
      <c r="C62" s="49">
        <v>0</v>
      </c>
      <c r="D62" s="20">
        <v>0</v>
      </c>
      <c r="E62" s="49">
        <v>0</v>
      </c>
      <c r="F62" s="20">
        <v>0</v>
      </c>
      <c r="G62" s="49">
        <v>0</v>
      </c>
      <c r="H62" s="20">
        <v>0</v>
      </c>
      <c r="I62" s="52">
        <f>+(B62-J62)/ABS(J62)</f>
        <v>-7.3394495412844041E-2</v>
      </c>
      <c r="J62" s="20">
        <v>109</v>
      </c>
      <c r="K62" s="52">
        <f>+(J62-L62)/ABS(L62)</f>
        <v>-0.99582854955989286</v>
      </c>
      <c r="L62" s="20">
        <v>26130</v>
      </c>
      <c r="M62" s="52">
        <f>+(L62-N62)/ABS(N62)</f>
        <v>-0.19696364362764682</v>
      </c>
      <c r="N62" s="20">
        <v>32539</v>
      </c>
      <c r="O62" s="52">
        <f>+(N62-P62)/ABS(P62)</f>
        <v>-0.16899070385126161</v>
      </c>
      <c r="P62" s="20">
        <v>39156</v>
      </c>
    </row>
    <row r="63" spans="1:21">
      <c r="A63" t="s">
        <v>287</v>
      </c>
      <c r="B63" s="20">
        <v>25</v>
      </c>
      <c r="C63" s="49">
        <v>0</v>
      </c>
      <c r="D63" s="20">
        <v>0</v>
      </c>
      <c r="E63" s="49">
        <v>0</v>
      </c>
      <c r="F63" s="20">
        <v>0</v>
      </c>
      <c r="G63" s="49">
        <v>0</v>
      </c>
      <c r="H63" s="20">
        <v>0</v>
      </c>
      <c r="I63" s="52">
        <f>+(B63-J63)/ABS(J63)</f>
        <v>-0.95107632093933459</v>
      </c>
      <c r="J63" s="20">
        <v>511</v>
      </c>
      <c r="K63" s="49">
        <v>0</v>
      </c>
      <c r="L63" s="20">
        <v>28583</v>
      </c>
      <c r="M63" s="49">
        <v>0</v>
      </c>
      <c r="N63" s="12">
        <v>0</v>
      </c>
      <c r="O63" s="49">
        <v>0</v>
      </c>
      <c r="P63" s="12">
        <v>0</v>
      </c>
    </row>
    <row r="65" spans="2:16">
      <c r="H65" s="12" t="s">
        <v>0</v>
      </c>
    </row>
    <row r="68" spans="2:16">
      <c r="B68"/>
      <c r="C68"/>
      <c r="D68"/>
      <c r="E68"/>
      <c r="F68"/>
      <c r="G68"/>
      <c r="H68"/>
      <c r="I68"/>
      <c r="J68"/>
      <c r="K68"/>
      <c r="L68"/>
      <c r="M68"/>
      <c r="N68"/>
      <c r="O68"/>
      <c r="P68"/>
    </row>
    <row r="69" spans="2:16">
      <c r="B69"/>
      <c r="C69"/>
      <c r="D69"/>
      <c r="E69"/>
      <c r="F69"/>
      <c r="G69"/>
      <c r="H69"/>
      <c r="I69"/>
      <c r="J69"/>
      <c r="K69"/>
      <c r="L69"/>
      <c r="M69"/>
      <c r="N69"/>
      <c r="O69"/>
      <c r="P69"/>
    </row>
    <row r="70" spans="2:16">
      <c r="B70"/>
      <c r="C70"/>
      <c r="D70"/>
      <c r="E70"/>
      <c r="F70"/>
      <c r="G70"/>
      <c r="H70"/>
      <c r="I70"/>
      <c r="J70"/>
      <c r="K70"/>
      <c r="L70"/>
      <c r="M70"/>
      <c r="N70"/>
      <c r="O70"/>
      <c r="P70"/>
    </row>
    <row r="71" spans="2:16">
      <c r="B71"/>
      <c r="C71"/>
      <c r="D71"/>
      <c r="E71"/>
      <c r="F71"/>
      <c r="G71"/>
      <c r="H71"/>
      <c r="I71"/>
      <c r="J71"/>
      <c r="K71"/>
      <c r="L71"/>
      <c r="M71"/>
      <c r="N71"/>
      <c r="O71"/>
      <c r="P71"/>
    </row>
    <row r="72" spans="2:16">
      <c r="B72"/>
      <c r="C72"/>
      <c r="D72"/>
      <c r="E72"/>
      <c r="F72"/>
      <c r="G72"/>
      <c r="H72"/>
      <c r="I72"/>
      <c r="J72"/>
      <c r="K72"/>
      <c r="L72"/>
      <c r="M72"/>
      <c r="N72"/>
      <c r="O72"/>
      <c r="P72"/>
    </row>
    <row r="73" spans="2:16">
      <c r="B73"/>
      <c r="C73"/>
      <c r="D73"/>
      <c r="E73"/>
      <c r="F73"/>
      <c r="G73"/>
      <c r="H73"/>
      <c r="I73"/>
      <c r="J73"/>
      <c r="K73"/>
      <c r="L73"/>
      <c r="M73"/>
      <c r="N73"/>
      <c r="O73"/>
      <c r="P73"/>
    </row>
    <row r="74" spans="2:16">
      <c r="B74"/>
      <c r="C74"/>
      <c r="D74"/>
      <c r="E74"/>
      <c r="F74"/>
      <c r="G74"/>
      <c r="H74"/>
      <c r="I74"/>
      <c r="J74"/>
      <c r="K74"/>
      <c r="L74"/>
      <c r="M74"/>
      <c r="N74"/>
      <c r="O74"/>
      <c r="P74"/>
    </row>
    <row r="75" spans="2:16">
      <c r="B75"/>
      <c r="C75"/>
      <c r="D75"/>
      <c r="E75"/>
      <c r="F75"/>
      <c r="G75"/>
      <c r="H75"/>
      <c r="I75"/>
      <c r="J75"/>
      <c r="K75"/>
      <c r="L75"/>
      <c r="M75"/>
      <c r="N75"/>
      <c r="O75"/>
      <c r="P75"/>
    </row>
    <row r="76" spans="2:16">
      <c r="B76"/>
      <c r="C76"/>
      <c r="D76"/>
      <c r="E76"/>
      <c r="F76"/>
      <c r="G76"/>
      <c r="H76"/>
      <c r="I76"/>
      <c r="J76"/>
      <c r="K76"/>
      <c r="L76"/>
      <c r="M76"/>
      <c r="N76"/>
      <c r="O76"/>
      <c r="P76"/>
    </row>
    <row r="77" spans="2:16">
      <c r="B77"/>
      <c r="C77"/>
      <c r="D77"/>
      <c r="E77"/>
      <c r="F77"/>
      <c r="G77"/>
      <c r="H77"/>
      <c r="I77"/>
      <c r="J77"/>
      <c r="K77"/>
      <c r="L77"/>
      <c r="M77"/>
      <c r="N77"/>
      <c r="O77"/>
      <c r="P77"/>
    </row>
    <row r="78" spans="2:16">
      <c r="B78"/>
      <c r="C78"/>
      <c r="D78"/>
      <c r="E78"/>
      <c r="F78"/>
      <c r="G78"/>
      <c r="H78"/>
      <c r="I78"/>
      <c r="J78"/>
      <c r="K78"/>
      <c r="L78"/>
      <c r="M78"/>
      <c r="N78"/>
      <c r="O78"/>
      <c r="P78"/>
    </row>
    <row r="79" spans="2:16">
      <c r="B79"/>
      <c r="C79"/>
      <c r="D79"/>
      <c r="E79"/>
      <c r="F79"/>
      <c r="G79"/>
      <c r="H79"/>
      <c r="I79"/>
      <c r="J79"/>
      <c r="K79"/>
      <c r="L79"/>
      <c r="M79"/>
      <c r="N79"/>
      <c r="O79"/>
      <c r="P79"/>
    </row>
    <row r="80" spans="2:16">
      <c r="B80"/>
      <c r="C80"/>
      <c r="D80"/>
      <c r="E80"/>
      <c r="F80"/>
      <c r="G80"/>
      <c r="H80"/>
      <c r="I80"/>
      <c r="J80"/>
      <c r="K80"/>
      <c r="L80"/>
      <c r="M80"/>
      <c r="N80"/>
      <c r="O80"/>
      <c r="P80"/>
    </row>
    <row r="81" spans="2:16">
      <c r="B81"/>
      <c r="C81"/>
      <c r="D81"/>
      <c r="E81"/>
      <c r="F81"/>
      <c r="G81"/>
      <c r="H81"/>
      <c r="I81"/>
      <c r="J81"/>
      <c r="K81"/>
      <c r="L81"/>
      <c r="M81"/>
      <c r="N81"/>
      <c r="O81"/>
      <c r="P81"/>
    </row>
    <row r="82" spans="2:16">
      <c r="B82"/>
      <c r="C82"/>
      <c r="D82"/>
      <c r="E82"/>
      <c r="F82"/>
      <c r="G82"/>
      <c r="H82"/>
      <c r="I82"/>
      <c r="J82"/>
      <c r="K82"/>
      <c r="L82"/>
      <c r="M82"/>
      <c r="N82"/>
      <c r="O82"/>
      <c r="P82"/>
    </row>
    <row r="83" spans="2:16">
      <c r="B83"/>
      <c r="C83"/>
      <c r="D83"/>
      <c r="E83"/>
      <c r="F83"/>
      <c r="G83"/>
      <c r="H83"/>
      <c r="I83"/>
      <c r="J83"/>
      <c r="K83"/>
      <c r="L83"/>
      <c r="M83"/>
      <c r="N83"/>
      <c r="O83"/>
      <c r="P83"/>
    </row>
    <row r="84" spans="2:16">
      <c r="B84"/>
      <c r="C84"/>
      <c r="D84"/>
      <c r="E84"/>
      <c r="F84"/>
      <c r="G84"/>
      <c r="H84"/>
      <c r="I84"/>
      <c r="J84"/>
      <c r="K84"/>
      <c r="L84"/>
      <c r="M84"/>
      <c r="N84"/>
      <c r="O84"/>
      <c r="P84"/>
    </row>
    <row r="85" spans="2:16">
      <c r="B85"/>
      <c r="C85"/>
      <c r="D85"/>
      <c r="E85"/>
      <c r="F85"/>
      <c r="G85"/>
      <c r="H85"/>
      <c r="I85"/>
      <c r="J85"/>
      <c r="K85"/>
      <c r="L85"/>
      <c r="M85"/>
      <c r="N85"/>
      <c r="O85"/>
      <c r="P85"/>
    </row>
    <row r="86" spans="2:16">
      <c r="B86"/>
      <c r="C86"/>
      <c r="D86"/>
      <c r="E86"/>
      <c r="F86"/>
      <c r="G86"/>
      <c r="H86"/>
      <c r="I86"/>
      <c r="J86"/>
      <c r="K86"/>
      <c r="L86"/>
      <c r="M86"/>
      <c r="N86"/>
      <c r="O86"/>
      <c r="P86"/>
    </row>
    <row r="87" spans="2:16">
      <c r="B87"/>
      <c r="C87"/>
      <c r="D87"/>
      <c r="E87"/>
      <c r="F87"/>
      <c r="G87"/>
      <c r="H87"/>
      <c r="I87"/>
      <c r="J87"/>
      <c r="K87"/>
      <c r="L87"/>
      <c r="M87"/>
      <c r="N87"/>
      <c r="O87"/>
      <c r="P87"/>
    </row>
    <row r="88" spans="2:16">
      <c r="B88"/>
      <c r="C88"/>
      <c r="D88"/>
      <c r="E88"/>
      <c r="F88"/>
      <c r="G88"/>
      <c r="H88"/>
      <c r="I88"/>
      <c r="J88"/>
      <c r="K88"/>
      <c r="L88"/>
      <c r="M88"/>
      <c r="N88"/>
      <c r="O88"/>
      <c r="P88"/>
    </row>
    <row r="89" spans="2:16">
      <c r="B89"/>
      <c r="C89"/>
      <c r="D89"/>
      <c r="E89"/>
      <c r="F89"/>
      <c r="G89"/>
      <c r="H89"/>
      <c r="I89"/>
      <c r="J89"/>
      <c r="K89"/>
      <c r="L89"/>
      <c r="M89"/>
      <c r="N89"/>
      <c r="O89"/>
      <c r="P89"/>
    </row>
    <row r="90" spans="2:16">
      <c r="B90"/>
      <c r="C90"/>
      <c r="D90"/>
      <c r="E90"/>
      <c r="F90"/>
      <c r="G90"/>
      <c r="H90"/>
      <c r="I90"/>
      <c r="J90"/>
      <c r="K90"/>
      <c r="L90"/>
      <c r="M90"/>
      <c r="N90"/>
      <c r="O90"/>
      <c r="P90"/>
    </row>
    <row r="91" spans="2:16">
      <c r="B91"/>
      <c r="C91"/>
      <c r="D91"/>
      <c r="E91"/>
      <c r="F91"/>
      <c r="G91"/>
      <c r="H91"/>
      <c r="I91"/>
      <c r="J91"/>
      <c r="K91"/>
      <c r="L91"/>
      <c r="M91"/>
      <c r="N91"/>
      <c r="O91"/>
      <c r="P91"/>
    </row>
    <row r="92" spans="2:16">
      <c r="B92"/>
      <c r="C92"/>
      <c r="D92"/>
      <c r="E92"/>
      <c r="F92"/>
      <c r="G92"/>
      <c r="H92"/>
      <c r="I92"/>
      <c r="J92"/>
      <c r="K92"/>
      <c r="L92"/>
      <c r="M92"/>
      <c r="N92"/>
      <c r="O92"/>
      <c r="P92"/>
    </row>
    <row r="93" spans="2:16">
      <c r="B93"/>
      <c r="C93"/>
      <c r="D93"/>
      <c r="E93"/>
      <c r="F93"/>
      <c r="G93"/>
      <c r="H93"/>
      <c r="I93"/>
      <c r="J93"/>
      <c r="K93"/>
      <c r="L93"/>
      <c r="M93"/>
      <c r="N93"/>
      <c r="O93"/>
      <c r="P93"/>
    </row>
    <row r="94" spans="2:16">
      <c r="B94"/>
      <c r="C94"/>
      <c r="D94"/>
      <c r="E94"/>
      <c r="F94"/>
      <c r="G94"/>
      <c r="H94"/>
      <c r="I94"/>
      <c r="J94"/>
      <c r="K94"/>
      <c r="L94"/>
      <c r="M94"/>
      <c r="N94"/>
      <c r="O94"/>
      <c r="P94"/>
    </row>
    <row r="95" spans="2:16">
      <c r="B95"/>
      <c r="C95"/>
      <c r="D95"/>
      <c r="E95"/>
      <c r="F95"/>
      <c r="G95"/>
      <c r="H95"/>
      <c r="I95"/>
      <c r="J95"/>
      <c r="K95"/>
      <c r="L95"/>
      <c r="M95"/>
      <c r="N95"/>
      <c r="O95"/>
      <c r="P95"/>
    </row>
    <row r="96" spans="2:16">
      <c r="B96"/>
      <c r="C96"/>
      <c r="D96"/>
      <c r="E96"/>
      <c r="F96"/>
      <c r="G96"/>
      <c r="H96"/>
      <c r="I96"/>
      <c r="J96"/>
      <c r="K96"/>
      <c r="L96"/>
      <c r="M96"/>
      <c r="N96"/>
      <c r="O96"/>
      <c r="P96"/>
    </row>
    <row r="97" spans="2:19">
      <c r="B97"/>
      <c r="C97"/>
      <c r="D97"/>
      <c r="E97"/>
      <c r="F97"/>
      <c r="G97"/>
      <c r="H97"/>
      <c r="I97"/>
      <c r="J97"/>
      <c r="K97"/>
      <c r="L97"/>
      <c r="M97"/>
      <c r="N97"/>
      <c r="O97"/>
      <c r="P97"/>
    </row>
    <row r="98" spans="2:19">
      <c r="B98"/>
      <c r="C98"/>
      <c r="D98"/>
      <c r="E98"/>
      <c r="F98"/>
      <c r="G98"/>
      <c r="H98"/>
      <c r="I98"/>
      <c r="J98"/>
      <c r="K98"/>
      <c r="L98"/>
      <c r="M98"/>
      <c r="N98"/>
      <c r="O98"/>
      <c r="P98"/>
    </row>
    <row r="99" spans="2:19">
      <c r="B99"/>
      <c r="C99"/>
      <c r="D99"/>
      <c r="E99"/>
      <c r="F99"/>
      <c r="G99"/>
      <c r="H99"/>
      <c r="I99"/>
      <c r="J99"/>
      <c r="K99"/>
      <c r="L99"/>
      <c r="M99"/>
      <c r="N99"/>
      <c r="O99"/>
      <c r="P99"/>
    </row>
    <row r="100" spans="2:19">
      <c r="B100"/>
      <c r="C100"/>
      <c r="D100"/>
      <c r="E100"/>
      <c r="F100"/>
      <c r="G100"/>
      <c r="H100"/>
      <c r="I100"/>
      <c r="J100"/>
      <c r="K100"/>
      <c r="L100"/>
      <c r="M100"/>
      <c r="N100"/>
      <c r="O100"/>
      <c r="P100"/>
    </row>
    <row r="101" spans="2:19">
      <c r="B101"/>
      <c r="C101"/>
      <c r="D101"/>
      <c r="E101"/>
      <c r="F101"/>
      <c r="G101"/>
      <c r="H101"/>
      <c r="I101"/>
      <c r="J101"/>
      <c r="K101"/>
      <c r="L101"/>
      <c r="M101"/>
      <c r="N101"/>
      <c r="O101"/>
      <c r="P101"/>
    </row>
    <row r="102" spans="2:19">
      <c r="B102"/>
      <c r="C102"/>
      <c r="D102"/>
      <c r="E102"/>
      <c r="F102"/>
      <c r="G102"/>
      <c r="H102"/>
      <c r="I102"/>
      <c r="J102"/>
      <c r="K102"/>
      <c r="L102"/>
      <c r="M102"/>
      <c r="N102"/>
      <c r="O102"/>
      <c r="P102"/>
    </row>
    <row r="103" spans="2:19">
      <c r="B103"/>
      <c r="C103"/>
      <c r="D103"/>
      <c r="E103"/>
      <c r="F103"/>
      <c r="G103"/>
      <c r="H103"/>
      <c r="I103"/>
      <c r="J103"/>
      <c r="K103"/>
      <c r="L103"/>
      <c r="M103"/>
      <c r="N103"/>
      <c r="O103"/>
      <c r="P103"/>
    </row>
    <row r="104" spans="2:19">
      <c r="B104"/>
      <c r="C104"/>
      <c r="D104"/>
      <c r="E104"/>
      <c r="F104"/>
      <c r="G104"/>
      <c r="H104"/>
      <c r="I104"/>
      <c r="J104"/>
      <c r="K104"/>
      <c r="L104"/>
      <c r="M104"/>
      <c r="N104"/>
      <c r="O104"/>
      <c r="P104"/>
      <c r="Q104" s="24" t="s">
        <v>0</v>
      </c>
      <c r="R104" s="24" t="s">
        <v>0</v>
      </c>
      <c r="S104" t="s">
        <v>0</v>
      </c>
    </row>
    <row r="105" spans="2:19">
      <c r="B105"/>
      <c r="C105"/>
      <c r="D105"/>
      <c r="E105"/>
      <c r="F105"/>
      <c r="G105"/>
      <c r="H105"/>
      <c r="I105"/>
      <c r="J105"/>
      <c r="K105"/>
      <c r="L105"/>
      <c r="M105"/>
      <c r="N105"/>
      <c r="O105"/>
      <c r="P105"/>
    </row>
    <row r="106" spans="2:19">
      <c r="B106"/>
      <c r="C106"/>
      <c r="D106"/>
      <c r="E106"/>
      <c r="F106"/>
      <c r="G106"/>
      <c r="H106"/>
      <c r="I106"/>
      <c r="J106"/>
      <c r="K106"/>
      <c r="L106"/>
      <c r="M106"/>
      <c r="N106"/>
      <c r="O106"/>
      <c r="P106"/>
    </row>
    <row r="107" spans="2:19">
      <c r="B107"/>
      <c r="C107"/>
      <c r="D107"/>
      <c r="E107"/>
      <c r="F107"/>
      <c r="G107"/>
      <c r="H107"/>
      <c r="I107"/>
      <c r="J107"/>
      <c r="K107"/>
      <c r="L107"/>
      <c r="M107"/>
      <c r="N107"/>
      <c r="O107"/>
      <c r="P107"/>
    </row>
    <row r="108" spans="2:19">
      <c r="B108"/>
      <c r="C108"/>
      <c r="D108"/>
      <c r="E108"/>
      <c r="F108"/>
      <c r="G108"/>
      <c r="H108"/>
      <c r="I108"/>
      <c r="J108"/>
      <c r="K108"/>
      <c r="L108"/>
      <c r="M108"/>
      <c r="N108"/>
      <c r="O108"/>
      <c r="P108"/>
    </row>
    <row r="109" spans="2:19">
      <c r="B109"/>
      <c r="C109"/>
      <c r="D109"/>
      <c r="E109"/>
      <c r="F109"/>
      <c r="G109"/>
      <c r="H109"/>
      <c r="I109"/>
      <c r="J109"/>
      <c r="K109"/>
      <c r="L109"/>
      <c r="M109"/>
      <c r="N109"/>
      <c r="O109"/>
      <c r="P109"/>
    </row>
    <row r="110" spans="2:19">
      <c r="B110"/>
      <c r="C110"/>
      <c r="D110"/>
      <c r="E110"/>
      <c r="F110"/>
      <c r="G110"/>
      <c r="H110"/>
      <c r="I110"/>
      <c r="J110"/>
      <c r="K110"/>
      <c r="L110"/>
      <c r="M110"/>
      <c r="N110"/>
      <c r="O110"/>
      <c r="P110"/>
    </row>
    <row r="111" spans="2:19">
      <c r="B111"/>
      <c r="C111"/>
      <c r="D111"/>
      <c r="E111"/>
      <c r="F111"/>
      <c r="G111"/>
      <c r="H111"/>
      <c r="I111"/>
      <c r="J111"/>
      <c r="K111"/>
      <c r="L111"/>
      <c r="M111"/>
      <c r="N111"/>
      <c r="O111"/>
      <c r="P111"/>
    </row>
    <row r="112" spans="2:19">
      <c r="B112"/>
      <c r="C112"/>
      <c r="D112"/>
      <c r="E112"/>
      <c r="F112"/>
      <c r="G112"/>
      <c r="H112"/>
      <c r="I112"/>
      <c r="J112"/>
      <c r="K112"/>
      <c r="L112"/>
      <c r="M112"/>
      <c r="N112"/>
      <c r="O112"/>
      <c r="P112"/>
    </row>
    <row r="113" spans="2:16">
      <c r="B113"/>
      <c r="C113"/>
      <c r="D113"/>
      <c r="E113"/>
      <c r="F113"/>
      <c r="G113"/>
      <c r="H113"/>
      <c r="I113"/>
      <c r="J113"/>
      <c r="K113"/>
      <c r="L113"/>
      <c r="M113"/>
      <c r="N113"/>
      <c r="O113"/>
      <c r="P113"/>
    </row>
    <row r="114" spans="2:16">
      <c r="B114"/>
      <c r="C114"/>
      <c r="D114"/>
      <c r="E114"/>
      <c r="F114"/>
      <c r="G114"/>
      <c r="H114"/>
      <c r="I114"/>
      <c r="J114"/>
      <c r="K114"/>
      <c r="L114"/>
      <c r="M114"/>
      <c r="N114"/>
      <c r="O114"/>
      <c r="P114"/>
    </row>
    <row r="115" spans="2:16">
      <c r="B115"/>
      <c r="C115"/>
      <c r="D115"/>
      <c r="E115"/>
      <c r="F115"/>
      <c r="G115"/>
      <c r="H115"/>
      <c r="I115"/>
      <c r="J115"/>
      <c r="K115"/>
      <c r="L115"/>
      <c r="M115"/>
      <c r="N115"/>
      <c r="O115"/>
      <c r="P115"/>
    </row>
    <row r="116" spans="2:16">
      <c r="B116"/>
      <c r="C116"/>
      <c r="D116"/>
      <c r="E116"/>
      <c r="F116"/>
      <c r="G116"/>
      <c r="H116"/>
      <c r="I116"/>
      <c r="J116"/>
      <c r="K116"/>
      <c r="L116"/>
      <c r="M116"/>
      <c r="N116"/>
      <c r="O116"/>
      <c r="P116"/>
    </row>
    <row r="117" spans="2:16">
      <c r="B117"/>
      <c r="C117"/>
      <c r="D117"/>
      <c r="E117"/>
      <c r="F117"/>
      <c r="G117"/>
      <c r="H117"/>
      <c r="I117"/>
      <c r="J117"/>
      <c r="K117"/>
      <c r="L117"/>
      <c r="M117"/>
      <c r="N117"/>
      <c r="O117"/>
      <c r="P117"/>
    </row>
    <row r="118" spans="2:16">
      <c r="B118"/>
      <c r="C118"/>
      <c r="D118"/>
      <c r="E118"/>
      <c r="F118"/>
      <c r="G118"/>
      <c r="H118"/>
      <c r="I118"/>
      <c r="J118"/>
      <c r="K118"/>
      <c r="L118"/>
      <c r="M118"/>
      <c r="N118"/>
      <c r="O118"/>
      <c r="P118"/>
    </row>
    <row r="119" spans="2:16">
      <c r="B119"/>
      <c r="C119"/>
      <c r="D119"/>
      <c r="E119"/>
      <c r="F119"/>
      <c r="G119"/>
      <c r="H119"/>
      <c r="I119"/>
      <c r="J119"/>
      <c r="K119"/>
      <c r="L119"/>
      <c r="M119"/>
      <c r="N119"/>
      <c r="O119"/>
      <c r="P119"/>
    </row>
    <row r="120" spans="2:16">
      <c r="B120"/>
      <c r="C120"/>
      <c r="D120"/>
      <c r="E120"/>
      <c r="F120"/>
      <c r="G120"/>
      <c r="H120"/>
      <c r="I120"/>
      <c r="J120"/>
      <c r="K120"/>
      <c r="L120"/>
      <c r="M120"/>
      <c r="N120"/>
      <c r="O120"/>
      <c r="P120"/>
    </row>
    <row r="121" spans="2:16">
      <c r="B121"/>
      <c r="C121"/>
      <c r="D121"/>
      <c r="E121"/>
      <c r="F121"/>
      <c r="G121"/>
      <c r="H121"/>
      <c r="I121"/>
      <c r="J121"/>
      <c r="K121"/>
      <c r="L121"/>
      <c r="M121"/>
      <c r="N121"/>
      <c r="O121"/>
      <c r="P121"/>
    </row>
    <row r="122" spans="2:16">
      <c r="B122"/>
      <c r="C122"/>
      <c r="D122"/>
      <c r="E122"/>
      <c r="F122"/>
      <c r="G122"/>
      <c r="H122"/>
      <c r="I122"/>
      <c r="J122"/>
      <c r="K122"/>
      <c r="L122"/>
      <c r="M122"/>
      <c r="N122"/>
      <c r="O122"/>
      <c r="P122"/>
    </row>
    <row r="123" spans="2:16">
      <c r="B123"/>
      <c r="C123"/>
      <c r="D123"/>
      <c r="E123"/>
      <c r="F123"/>
      <c r="G123"/>
      <c r="H123"/>
      <c r="I123"/>
      <c r="J123"/>
      <c r="K123"/>
      <c r="L123"/>
      <c r="M123"/>
      <c r="N123"/>
      <c r="O123"/>
      <c r="P123"/>
    </row>
    <row r="124" spans="2:16">
      <c r="B124"/>
      <c r="C124"/>
      <c r="D124"/>
      <c r="E124"/>
      <c r="F124"/>
      <c r="G124"/>
      <c r="H124"/>
      <c r="I124"/>
      <c r="J124"/>
      <c r="K124"/>
      <c r="L124"/>
      <c r="M124"/>
      <c r="N124"/>
      <c r="O124"/>
      <c r="P124"/>
    </row>
    <row r="125" spans="2:16">
      <c r="B125"/>
      <c r="C125"/>
      <c r="D125"/>
      <c r="E125"/>
      <c r="F125"/>
      <c r="G125"/>
      <c r="H125"/>
      <c r="I125"/>
      <c r="J125"/>
      <c r="K125"/>
      <c r="L125"/>
      <c r="M125"/>
      <c r="N125"/>
      <c r="O125"/>
      <c r="P125"/>
    </row>
    <row r="126" spans="2:16">
      <c r="B126"/>
      <c r="C126"/>
      <c r="D126"/>
      <c r="E126"/>
      <c r="F126"/>
      <c r="G126"/>
      <c r="H126"/>
      <c r="I126"/>
      <c r="J126"/>
      <c r="K126"/>
      <c r="L126"/>
      <c r="M126"/>
      <c r="N126"/>
      <c r="O126"/>
      <c r="P126"/>
    </row>
    <row r="127" spans="2:16">
      <c r="B127"/>
      <c r="C127"/>
      <c r="D127"/>
      <c r="E127"/>
      <c r="F127"/>
      <c r="G127"/>
      <c r="H127"/>
      <c r="I127"/>
      <c r="J127"/>
      <c r="K127"/>
      <c r="L127"/>
      <c r="M127"/>
      <c r="N127"/>
      <c r="O127"/>
      <c r="P127"/>
    </row>
    <row r="128" spans="2:16">
      <c r="B128"/>
      <c r="C128"/>
      <c r="D128"/>
      <c r="E128"/>
      <c r="F128"/>
      <c r="G128"/>
      <c r="H128"/>
      <c r="I128"/>
      <c r="J128"/>
      <c r="K128"/>
      <c r="L128"/>
      <c r="M128"/>
      <c r="N128"/>
      <c r="O128"/>
      <c r="P128"/>
    </row>
    <row r="129" spans="2:16">
      <c r="B129"/>
      <c r="C129"/>
      <c r="D129"/>
      <c r="E129"/>
      <c r="F129"/>
      <c r="G129"/>
      <c r="H129"/>
      <c r="I129"/>
      <c r="J129"/>
      <c r="K129"/>
      <c r="L129"/>
      <c r="M129"/>
      <c r="N129"/>
      <c r="O129"/>
      <c r="P129"/>
    </row>
    <row r="130" spans="2:16">
      <c r="B130"/>
      <c r="C130"/>
      <c r="D130"/>
      <c r="E130"/>
      <c r="F130"/>
      <c r="G130"/>
      <c r="H130"/>
      <c r="I130"/>
      <c r="J130"/>
      <c r="K130"/>
      <c r="L130"/>
      <c r="M130"/>
      <c r="N130"/>
      <c r="O130"/>
      <c r="P130"/>
    </row>
    <row r="131" spans="2:16">
      <c r="B131"/>
      <c r="C131"/>
      <c r="D131"/>
      <c r="E131"/>
      <c r="F131"/>
      <c r="G131"/>
      <c r="H131"/>
      <c r="I131"/>
      <c r="J131"/>
      <c r="K131"/>
      <c r="L131"/>
      <c r="M131"/>
      <c r="N131"/>
      <c r="O131"/>
      <c r="P131"/>
    </row>
    <row r="132" spans="2:16">
      <c r="B132"/>
      <c r="C132"/>
      <c r="D132"/>
      <c r="E132"/>
      <c r="F132"/>
      <c r="G132"/>
      <c r="H132"/>
      <c r="I132"/>
      <c r="J132"/>
      <c r="K132"/>
      <c r="L132"/>
      <c r="M132"/>
      <c r="N132"/>
      <c r="O132"/>
      <c r="P132"/>
    </row>
    <row r="133" spans="2:16">
      <c r="B133"/>
      <c r="C133"/>
      <c r="D133"/>
      <c r="E133"/>
      <c r="F133"/>
      <c r="G133"/>
      <c r="H133"/>
      <c r="I133"/>
      <c r="J133"/>
      <c r="K133"/>
      <c r="L133"/>
      <c r="M133"/>
      <c r="N133"/>
      <c r="O133"/>
      <c r="P133"/>
    </row>
    <row r="134" spans="2:16">
      <c r="B134"/>
      <c r="C134"/>
      <c r="D134"/>
      <c r="E134"/>
      <c r="F134"/>
      <c r="G134"/>
      <c r="H134"/>
      <c r="I134"/>
      <c r="J134"/>
      <c r="K134"/>
      <c r="L134"/>
      <c r="M134"/>
      <c r="N134"/>
      <c r="O134"/>
      <c r="P134"/>
    </row>
    <row r="135" spans="2:16">
      <c r="B135"/>
      <c r="C135"/>
      <c r="D135"/>
      <c r="E135"/>
      <c r="F135"/>
      <c r="G135"/>
      <c r="H135"/>
      <c r="I135"/>
      <c r="J135"/>
      <c r="K135"/>
      <c r="L135"/>
      <c r="M135"/>
      <c r="N135"/>
      <c r="O135"/>
      <c r="P135"/>
    </row>
    <row r="136" spans="2:16">
      <c r="B136"/>
      <c r="C136"/>
      <c r="D136"/>
      <c r="E136"/>
      <c r="F136"/>
      <c r="G136"/>
      <c r="H136"/>
      <c r="I136"/>
      <c r="J136"/>
      <c r="K136"/>
      <c r="L136"/>
      <c r="M136"/>
      <c r="N136"/>
      <c r="O136"/>
      <c r="P136"/>
    </row>
    <row r="137" spans="2:16">
      <c r="B137"/>
      <c r="C137"/>
      <c r="D137"/>
      <c r="E137"/>
      <c r="F137"/>
      <c r="G137"/>
      <c r="H137"/>
      <c r="I137"/>
      <c r="J137"/>
      <c r="K137"/>
      <c r="L137"/>
      <c r="M137"/>
      <c r="N137"/>
      <c r="O137"/>
      <c r="P137"/>
    </row>
    <row r="138" spans="2:16">
      <c r="B138"/>
      <c r="C138"/>
      <c r="D138"/>
      <c r="E138"/>
      <c r="F138"/>
      <c r="G138"/>
      <c r="H138"/>
      <c r="I138"/>
      <c r="J138"/>
      <c r="K138"/>
      <c r="L138"/>
      <c r="M138"/>
      <c r="N138"/>
      <c r="O138"/>
      <c r="P138"/>
    </row>
    <row r="139" spans="2:16">
      <c r="B139"/>
      <c r="C139"/>
      <c r="D139"/>
      <c r="E139"/>
      <c r="F139"/>
      <c r="G139"/>
      <c r="H139"/>
      <c r="I139"/>
      <c r="J139"/>
      <c r="K139"/>
      <c r="L139"/>
      <c r="M139"/>
      <c r="N139"/>
      <c r="O139"/>
      <c r="P139"/>
    </row>
    <row r="140" spans="2:16">
      <c r="B140"/>
      <c r="C140"/>
      <c r="D140"/>
      <c r="E140"/>
      <c r="F140"/>
      <c r="G140"/>
      <c r="H140"/>
      <c r="I140"/>
      <c r="J140"/>
      <c r="K140"/>
      <c r="L140"/>
      <c r="M140"/>
      <c r="N140"/>
      <c r="O140"/>
      <c r="P140"/>
    </row>
    <row r="141" spans="2:16">
      <c r="B141"/>
      <c r="C141"/>
      <c r="D141"/>
      <c r="E141"/>
      <c r="F141"/>
      <c r="G141"/>
      <c r="H141"/>
      <c r="I141"/>
      <c r="J141"/>
      <c r="K141"/>
      <c r="L141"/>
      <c r="M141"/>
      <c r="N141"/>
      <c r="O141"/>
      <c r="P141"/>
    </row>
    <row r="142" spans="2:16">
      <c r="B142"/>
      <c r="C142"/>
      <c r="D142"/>
      <c r="E142"/>
      <c r="F142"/>
      <c r="G142"/>
      <c r="H142"/>
      <c r="I142"/>
      <c r="J142"/>
      <c r="K142"/>
      <c r="L142"/>
      <c r="M142"/>
      <c r="N142"/>
      <c r="O142"/>
      <c r="P142"/>
    </row>
    <row r="143" spans="2:16">
      <c r="B143"/>
      <c r="C143"/>
      <c r="D143"/>
      <c r="E143"/>
      <c r="F143"/>
      <c r="G143"/>
      <c r="H143"/>
      <c r="I143"/>
      <c r="J143"/>
      <c r="K143"/>
      <c r="L143"/>
      <c r="M143"/>
      <c r="N143"/>
      <c r="O143"/>
      <c r="P143"/>
    </row>
    <row r="144" spans="2:16">
      <c r="B144"/>
      <c r="C144"/>
      <c r="D144"/>
      <c r="E144"/>
      <c r="F144"/>
      <c r="G144"/>
      <c r="H144"/>
      <c r="I144"/>
      <c r="J144"/>
      <c r="K144"/>
      <c r="L144"/>
      <c r="M144"/>
      <c r="N144"/>
      <c r="O144"/>
      <c r="P144"/>
    </row>
    <row r="145" spans="2:16">
      <c r="B145"/>
      <c r="C145"/>
      <c r="D145"/>
      <c r="E145"/>
      <c r="F145"/>
      <c r="G145"/>
      <c r="H145"/>
      <c r="I145"/>
      <c r="J145"/>
      <c r="K145"/>
      <c r="L145"/>
      <c r="M145"/>
      <c r="N145"/>
      <c r="O145"/>
      <c r="P145"/>
    </row>
    <row r="146" spans="2:16">
      <c r="B146"/>
      <c r="C146"/>
      <c r="D146"/>
      <c r="E146"/>
      <c r="F146"/>
      <c r="G146"/>
      <c r="H146"/>
      <c r="I146"/>
      <c r="J146"/>
      <c r="K146"/>
      <c r="L146"/>
      <c r="M146"/>
      <c r="N146"/>
      <c r="O146"/>
      <c r="P146"/>
    </row>
    <row r="147" spans="2:16">
      <c r="B147"/>
      <c r="C147"/>
      <c r="D147"/>
      <c r="E147"/>
      <c r="F147"/>
      <c r="G147"/>
      <c r="H147"/>
      <c r="I147"/>
      <c r="J147"/>
      <c r="K147"/>
      <c r="L147"/>
      <c r="M147"/>
      <c r="N147"/>
      <c r="O147"/>
      <c r="P147"/>
    </row>
    <row r="148" spans="2:16">
      <c r="B148"/>
      <c r="C148"/>
      <c r="D148"/>
      <c r="E148"/>
      <c r="F148"/>
      <c r="G148"/>
      <c r="H148"/>
      <c r="I148"/>
      <c r="J148"/>
      <c r="K148"/>
      <c r="L148"/>
      <c r="M148"/>
      <c r="N148"/>
      <c r="O148"/>
      <c r="P148"/>
    </row>
    <row r="149" spans="2:16">
      <c r="B149"/>
      <c r="C149"/>
      <c r="D149"/>
      <c r="E149"/>
      <c r="F149"/>
      <c r="G149"/>
      <c r="H149"/>
      <c r="I149"/>
      <c r="J149"/>
      <c r="K149"/>
      <c r="L149"/>
      <c r="M149"/>
      <c r="N149"/>
      <c r="O149"/>
      <c r="P149"/>
    </row>
    <row r="150" spans="2:16">
      <c r="B150"/>
      <c r="C150"/>
      <c r="D150"/>
      <c r="E150"/>
      <c r="F150"/>
      <c r="G150"/>
      <c r="H150"/>
      <c r="I150"/>
      <c r="J150"/>
      <c r="K150"/>
      <c r="L150"/>
      <c r="M150"/>
      <c r="N150"/>
      <c r="O150"/>
      <c r="P150"/>
    </row>
    <row r="151" spans="2:16">
      <c r="B151"/>
      <c r="C151"/>
      <c r="D151"/>
      <c r="E151"/>
      <c r="F151"/>
      <c r="G151"/>
      <c r="H151"/>
      <c r="I151"/>
      <c r="J151"/>
      <c r="K151"/>
      <c r="L151"/>
      <c r="M151"/>
      <c r="N151"/>
      <c r="O151"/>
      <c r="P151"/>
    </row>
    <row r="152" spans="2:16">
      <c r="B152"/>
      <c r="C152"/>
      <c r="D152"/>
      <c r="E152"/>
      <c r="F152"/>
      <c r="G152"/>
      <c r="H152"/>
      <c r="I152"/>
      <c r="J152"/>
      <c r="K152"/>
      <c r="L152"/>
      <c r="M152"/>
      <c r="N152"/>
      <c r="O152"/>
      <c r="P152"/>
    </row>
    <row r="153" spans="2:16">
      <c r="B153"/>
      <c r="C153"/>
      <c r="D153"/>
      <c r="E153"/>
      <c r="F153"/>
      <c r="G153"/>
      <c r="H153"/>
      <c r="I153"/>
      <c r="J153"/>
      <c r="K153"/>
      <c r="L153"/>
      <c r="M153"/>
      <c r="N153"/>
      <c r="O153"/>
      <c r="P153"/>
    </row>
    <row r="154" spans="2:16">
      <c r="B154"/>
      <c r="C154"/>
      <c r="D154"/>
      <c r="E154"/>
      <c r="F154"/>
      <c r="G154"/>
      <c r="H154"/>
      <c r="I154"/>
      <c r="J154"/>
      <c r="K154"/>
      <c r="L154"/>
      <c r="M154"/>
      <c r="N154"/>
      <c r="O154"/>
      <c r="P154"/>
    </row>
    <row r="155" spans="2:16">
      <c r="B155"/>
      <c r="C155"/>
      <c r="D155"/>
      <c r="E155"/>
      <c r="F155"/>
      <c r="G155"/>
      <c r="H155"/>
      <c r="I155"/>
      <c r="J155"/>
      <c r="K155"/>
      <c r="L155"/>
      <c r="M155"/>
      <c r="N155"/>
      <c r="O155"/>
      <c r="P155"/>
    </row>
    <row r="156" spans="2:16">
      <c r="B156"/>
      <c r="C156"/>
      <c r="D156"/>
      <c r="E156"/>
      <c r="F156"/>
      <c r="G156"/>
      <c r="H156"/>
      <c r="I156"/>
      <c r="J156"/>
      <c r="K156"/>
      <c r="L156"/>
      <c r="M156"/>
      <c r="N156"/>
      <c r="O156"/>
      <c r="P156"/>
    </row>
    <row r="157" spans="2:16">
      <c r="B157"/>
      <c r="C157"/>
      <c r="D157"/>
      <c r="E157"/>
      <c r="F157"/>
      <c r="G157"/>
      <c r="H157"/>
      <c r="I157"/>
      <c r="J157"/>
      <c r="K157"/>
      <c r="L157"/>
      <c r="M157"/>
      <c r="N157"/>
      <c r="O157"/>
      <c r="P157"/>
    </row>
    <row r="158" spans="2:16">
      <c r="B158"/>
      <c r="C158"/>
      <c r="D158"/>
      <c r="E158"/>
      <c r="F158"/>
      <c r="G158"/>
      <c r="H158"/>
      <c r="I158"/>
      <c r="J158"/>
      <c r="K158"/>
      <c r="L158"/>
      <c r="M158"/>
      <c r="N158"/>
      <c r="O158"/>
      <c r="P158"/>
    </row>
    <row r="159" spans="2:16">
      <c r="B159"/>
      <c r="C159"/>
      <c r="D159"/>
      <c r="E159"/>
      <c r="F159"/>
      <c r="G159"/>
      <c r="H159"/>
      <c r="I159"/>
      <c r="J159"/>
      <c r="K159"/>
      <c r="L159"/>
      <c r="M159"/>
      <c r="N159"/>
      <c r="O159"/>
      <c r="P159"/>
    </row>
    <row r="160" spans="2:16">
      <c r="B160"/>
      <c r="C160"/>
      <c r="D160"/>
      <c r="E160"/>
      <c r="F160"/>
      <c r="G160"/>
      <c r="H160"/>
      <c r="I160"/>
      <c r="J160"/>
      <c r="K160"/>
      <c r="L160"/>
      <c r="M160"/>
      <c r="N160"/>
      <c r="O160"/>
      <c r="P160"/>
    </row>
    <row r="161" spans="2:16">
      <c r="B161"/>
      <c r="C161"/>
      <c r="D161"/>
      <c r="E161"/>
      <c r="F161"/>
      <c r="G161"/>
      <c r="H161"/>
      <c r="I161"/>
      <c r="J161"/>
      <c r="K161"/>
      <c r="L161"/>
      <c r="M161"/>
      <c r="N161"/>
      <c r="O161"/>
      <c r="P161"/>
    </row>
    <row r="162" spans="2:16">
      <c r="B162"/>
      <c r="C162"/>
      <c r="D162"/>
      <c r="E162"/>
      <c r="F162"/>
      <c r="G162"/>
      <c r="H162"/>
      <c r="I162"/>
      <c r="J162"/>
      <c r="K162"/>
      <c r="L162"/>
      <c r="M162"/>
      <c r="N162"/>
      <c r="O162"/>
      <c r="P162"/>
    </row>
    <row r="163" spans="2:16">
      <c r="B163"/>
      <c r="C163"/>
      <c r="D163"/>
      <c r="E163"/>
      <c r="F163"/>
      <c r="G163"/>
      <c r="H163"/>
      <c r="I163"/>
      <c r="J163"/>
      <c r="K163"/>
      <c r="L163"/>
      <c r="M163"/>
      <c r="N163"/>
      <c r="O163"/>
      <c r="P163"/>
    </row>
    <row r="164" spans="2:16">
      <c r="B164"/>
      <c r="C164"/>
      <c r="D164"/>
      <c r="E164"/>
      <c r="F164"/>
      <c r="G164"/>
      <c r="H164"/>
      <c r="I164"/>
      <c r="J164"/>
      <c r="K164"/>
      <c r="L164"/>
      <c r="M164"/>
      <c r="N164"/>
      <c r="O164"/>
      <c r="P164"/>
    </row>
    <row r="165" spans="2:16">
      <c r="B165"/>
      <c r="C165"/>
      <c r="D165"/>
      <c r="E165"/>
      <c r="F165"/>
      <c r="G165"/>
      <c r="H165"/>
      <c r="I165"/>
      <c r="J165"/>
      <c r="K165"/>
      <c r="L165"/>
      <c r="M165"/>
      <c r="N165"/>
      <c r="O165"/>
      <c r="P165"/>
    </row>
    <row r="166" spans="2:16">
      <c r="B166"/>
      <c r="C166"/>
      <c r="D166"/>
      <c r="E166"/>
      <c r="F166"/>
      <c r="G166"/>
      <c r="H166"/>
      <c r="I166"/>
      <c r="J166"/>
      <c r="K166"/>
      <c r="L166"/>
      <c r="M166"/>
      <c r="N166"/>
      <c r="O166"/>
      <c r="P166"/>
    </row>
    <row r="167" spans="2:16">
      <c r="B167"/>
      <c r="C167"/>
      <c r="D167"/>
      <c r="E167"/>
      <c r="F167"/>
      <c r="G167"/>
      <c r="H167"/>
      <c r="I167"/>
      <c r="J167"/>
      <c r="K167"/>
      <c r="L167"/>
      <c r="M167"/>
      <c r="N167"/>
      <c r="O167"/>
      <c r="P167"/>
    </row>
    <row r="168" spans="2:16">
      <c r="B168"/>
      <c r="C168"/>
      <c r="D168"/>
      <c r="E168"/>
      <c r="F168"/>
      <c r="G168"/>
      <c r="H168"/>
      <c r="I168"/>
      <c r="J168"/>
      <c r="K168"/>
      <c r="L168"/>
      <c r="M168"/>
      <c r="N168"/>
      <c r="O168"/>
      <c r="P168"/>
    </row>
    <row r="169" spans="2:16">
      <c r="B169"/>
      <c r="C169"/>
      <c r="D169"/>
      <c r="E169"/>
      <c r="F169"/>
      <c r="G169"/>
      <c r="H169"/>
      <c r="I169"/>
      <c r="J169"/>
      <c r="K169"/>
      <c r="L169"/>
      <c r="M169"/>
      <c r="N169"/>
      <c r="O169"/>
      <c r="P169"/>
    </row>
    <row r="170" spans="2:16">
      <c r="B170"/>
      <c r="C170"/>
      <c r="D170"/>
      <c r="E170"/>
      <c r="F170"/>
      <c r="G170"/>
      <c r="H170"/>
      <c r="I170"/>
      <c r="J170"/>
      <c r="K170"/>
      <c r="L170"/>
      <c r="M170"/>
      <c r="N170"/>
      <c r="O170"/>
      <c r="P170"/>
    </row>
    <row r="171" spans="2:16">
      <c r="B171"/>
      <c r="C171"/>
      <c r="D171"/>
      <c r="E171"/>
      <c r="F171"/>
      <c r="G171"/>
      <c r="H171"/>
      <c r="I171"/>
      <c r="J171"/>
      <c r="K171"/>
      <c r="L171"/>
      <c r="M171"/>
      <c r="N171"/>
      <c r="O171"/>
      <c r="P171"/>
    </row>
  </sheetData>
  <phoneticPr fontId="0" type="noConversion"/>
  <pageMargins left="0.24" right="0.2" top="0.52" bottom="0.55000000000000004" header="0.32" footer="0.25"/>
  <pageSetup scale="54" orientation="landscape" r:id="rId1"/>
  <headerFooter alignWithMargins="0">
    <oddFooter>&amp;R&amp;P</oddFooter>
  </headerFooter>
</worksheet>
</file>

<file path=xl/worksheets/sheet92.xml><?xml version="1.0" encoding="utf-8"?>
<worksheet xmlns="http://schemas.openxmlformats.org/spreadsheetml/2006/main" xmlns:r="http://schemas.openxmlformats.org/officeDocument/2006/relationships">
  <sheetPr>
    <pageSetUpPr fitToPage="1"/>
  </sheetPr>
  <dimension ref="A1:U156"/>
  <sheetViews>
    <sheetView workbookViewId="0">
      <selection activeCell="D9" sqref="D9"/>
    </sheetView>
  </sheetViews>
  <sheetFormatPr baseColWidth="10" defaultColWidth="9" defaultRowHeight="15.75"/>
  <cols>
    <col min="1" max="1" width="33.25" customWidth="1"/>
    <col min="2" max="2" width="18.12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9.75" style="21" customWidth="1"/>
    <col min="18" max="18" width="15.75" style="20" customWidth="1"/>
    <col min="19" max="21" width="15.75" customWidth="1"/>
  </cols>
  <sheetData>
    <row r="1" spans="1:21">
      <c r="A1" s="111" t="s">
        <v>404</v>
      </c>
      <c r="B1" s="42"/>
      <c r="C1" s="43"/>
      <c r="D1" s="42"/>
      <c r="E1" s="43"/>
      <c r="F1" s="42"/>
      <c r="G1" s="43"/>
      <c r="H1" s="42"/>
      <c r="I1" s="43"/>
      <c r="J1" s="42"/>
      <c r="K1" s="43"/>
      <c r="L1" s="42"/>
      <c r="M1" s="43"/>
      <c r="N1" s="42"/>
      <c r="O1" s="43"/>
      <c r="P1" s="42"/>
      <c r="Q1" s="43"/>
    </row>
    <row r="2" spans="1:21">
      <c r="A2" s="111" t="s">
        <v>291</v>
      </c>
      <c r="B2" s="42"/>
      <c r="C2" s="43"/>
      <c r="D2" s="42"/>
      <c r="E2" s="43"/>
      <c r="F2" s="42"/>
      <c r="G2" s="43"/>
      <c r="H2" s="42"/>
      <c r="I2" s="43"/>
      <c r="J2" s="42"/>
      <c r="K2" s="43"/>
      <c r="L2" s="42"/>
      <c r="M2" s="43"/>
      <c r="N2" s="42"/>
      <c r="O2" s="43"/>
      <c r="P2" s="42"/>
      <c r="Q2" s="43"/>
    </row>
    <row r="3" spans="1:21">
      <c r="A3" s="111" t="s">
        <v>387</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5" spans="1:21">
      <c r="A5" s="111"/>
      <c r="B5" s="42"/>
      <c r="C5" s="43"/>
      <c r="D5" s="42"/>
      <c r="E5" s="43"/>
      <c r="F5" s="42"/>
      <c r="G5" s="43"/>
      <c r="H5" s="42"/>
      <c r="I5" s="43"/>
      <c r="J5" s="42"/>
      <c r="K5" s="43"/>
      <c r="L5" s="42"/>
      <c r="M5" s="43"/>
      <c r="N5" s="42"/>
      <c r="O5" s="43"/>
      <c r="P5" s="42"/>
      <c r="Q5" s="43"/>
    </row>
    <row r="6" spans="1:21" ht="16.5" thickBot="1">
      <c r="B6" s="215" t="s">
        <v>0</v>
      </c>
      <c r="C6" s="193"/>
      <c r="D6" s="194"/>
      <c r="E6" s="193"/>
      <c r="F6" s="194"/>
      <c r="G6" s="193"/>
      <c r="H6" s="194"/>
      <c r="J6" s="118" t="s">
        <v>195</v>
      </c>
      <c r="K6" s="43"/>
      <c r="L6" s="42"/>
      <c r="M6" s="43"/>
      <c r="N6" s="42"/>
      <c r="O6" s="43"/>
      <c r="P6" s="42"/>
      <c r="Q6" s="43"/>
    </row>
    <row r="7" spans="1:21" s="11" customFormat="1" ht="16.5" thickBot="1">
      <c r="B7" s="200" t="str">
        <f>+'capitalbkcomp '!B7</f>
        <v>Déc. 14</v>
      </c>
      <c r="C7" s="201" t="s">
        <v>289</v>
      </c>
      <c r="D7" s="200" t="str">
        <f>+'capitalbkcomp '!D7</f>
        <v>Mars 15</v>
      </c>
      <c r="E7" s="201" t="s">
        <v>289</v>
      </c>
      <c r="F7" s="200" t="str">
        <f>+'capitalbkcomp '!F7</f>
        <v>Juin 15</v>
      </c>
      <c r="G7" s="201" t="s">
        <v>289</v>
      </c>
      <c r="H7" s="200" t="str">
        <f>+'capitalbkcomp '!H7</f>
        <v>Sept. 15</v>
      </c>
      <c r="I7" s="201" t="s">
        <v>289</v>
      </c>
      <c r="J7" s="205" t="str">
        <f>+'capitalbkcomp '!J7</f>
        <v>2014</v>
      </c>
      <c r="K7" s="204" t="s">
        <v>289</v>
      </c>
      <c r="L7" s="205" t="str">
        <f>+'capitalbkcomp '!L7</f>
        <v>2013</v>
      </c>
      <c r="M7" s="204" t="s">
        <v>289</v>
      </c>
      <c r="N7" s="205" t="str">
        <f>+'capitalbkcomp '!N7</f>
        <v>2012</v>
      </c>
      <c r="O7" s="204" t="s">
        <v>289</v>
      </c>
      <c r="P7" s="205" t="str">
        <f>+'capitalbkcomp '!P7</f>
        <v>2011</v>
      </c>
      <c r="Q7" s="204" t="s">
        <v>289</v>
      </c>
      <c r="R7" s="2"/>
      <c r="S7" s="3"/>
      <c r="T7" s="3"/>
      <c r="U7" s="3"/>
    </row>
    <row r="8" spans="1:21">
      <c r="A8" s="86" t="s">
        <v>244</v>
      </c>
      <c r="B8" s="120"/>
      <c r="C8" s="119"/>
      <c r="D8" s="120"/>
      <c r="E8" s="119"/>
      <c r="F8" s="120"/>
      <c r="G8" s="119"/>
      <c r="H8" s="120"/>
      <c r="I8" s="119"/>
      <c r="J8" s="197"/>
      <c r="K8" s="119"/>
      <c r="L8" s="197"/>
      <c r="M8" s="119"/>
      <c r="N8" s="197"/>
      <c r="O8" s="119"/>
      <c r="P8" s="197"/>
      <c r="Q8" s="119"/>
      <c r="R8" s="22"/>
      <c r="S8" s="17"/>
      <c r="T8" s="17"/>
      <c r="U8" s="17"/>
    </row>
    <row r="9" spans="1:21">
      <c r="A9" s="10" t="s">
        <v>255</v>
      </c>
      <c r="B9"/>
    </row>
    <row r="10" spans="1:21">
      <c r="A10" s="10" t="s">
        <v>256</v>
      </c>
      <c r="B10" s="20">
        <f>+cbnavar!B10</f>
        <v>90291</v>
      </c>
      <c r="C10" s="52">
        <f t="shared" ref="C10:C15" si="0">+B10/$B$23</f>
        <v>1.4196412399247311E-2</v>
      </c>
      <c r="D10" s="20">
        <f>+cbnavar!D10</f>
        <v>0</v>
      </c>
      <c r="E10" s="49">
        <v>0</v>
      </c>
      <c r="F10" s="20">
        <f>+cbnavar!F10</f>
        <v>0</v>
      </c>
      <c r="G10" s="49">
        <v>0</v>
      </c>
      <c r="H10" s="20">
        <f>+cbnavar!H10</f>
        <v>0</v>
      </c>
      <c r="I10" s="49">
        <v>0</v>
      </c>
      <c r="J10" s="20">
        <f>+cbnavar!J10</f>
        <v>71110</v>
      </c>
      <c r="K10" s="52">
        <f t="shared" ref="K10:K15" si="1">+J10/$J$23</f>
        <v>1.0029767718703874E-2</v>
      </c>
      <c r="L10" s="20">
        <f>+cbnavar!L10</f>
        <v>46964</v>
      </c>
      <c r="M10" s="52">
        <f t="shared" ref="M10:M15" si="2">+L10/$L$23</f>
        <v>8.7997694566830011E-3</v>
      </c>
      <c r="N10" s="20">
        <f>+cbnavar!N10</f>
        <v>42194</v>
      </c>
      <c r="O10" s="52">
        <f t="shared" ref="O10:O15" si="3">+N10/$N$23</f>
        <v>7.5671681674626479E-3</v>
      </c>
      <c r="P10" s="20">
        <f>+cbnavar!P10</f>
        <v>38710</v>
      </c>
      <c r="Q10" s="23">
        <f>+P10/$P$23</f>
        <v>7.545475083266296E-3</v>
      </c>
    </row>
    <row r="11" spans="1:21">
      <c r="A11" s="10" t="s">
        <v>257</v>
      </c>
      <c r="B11" s="20">
        <f>+cbnavar!B11</f>
        <v>3209832</v>
      </c>
      <c r="C11" s="52">
        <f t="shared" si="0"/>
        <v>0.50468040894774446</v>
      </c>
      <c r="D11" s="20">
        <f>+cbnavar!D11</f>
        <v>0</v>
      </c>
      <c r="E11" s="49">
        <v>0</v>
      </c>
      <c r="F11" s="20">
        <f>+cbnavar!F11</f>
        <v>0</v>
      </c>
      <c r="G11" s="49">
        <v>0</v>
      </c>
      <c r="H11" s="20">
        <f>+cbnavar!H11</f>
        <v>0</v>
      </c>
      <c r="I11" s="49">
        <v>0</v>
      </c>
      <c r="J11" s="20">
        <f>+cbnavar!J11</f>
        <v>3543883</v>
      </c>
      <c r="K11" s="52">
        <f t="shared" si="1"/>
        <v>0.49984985673271609</v>
      </c>
      <c r="L11" s="20">
        <f>+cbnavar!L11</f>
        <v>3013016</v>
      </c>
      <c r="M11" s="52">
        <f t="shared" si="2"/>
        <v>0.56455681307591332</v>
      </c>
      <c r="N11" s="20">
        <f>+cbnavar!N11</f>
        <v>2536514</v>
      </c>
      <c r="O11" s="52">
        <f t="shared" si="3"/>
        <v>0.45490420432107292</v>
      </c>
      <c r="P11" s="20">
        <f>+cbnavar!P11</f>
        <v>1922661</v>
      </c>
      <c r="Q11" s="23">
        <f t="shared" ref="Q11:Q28" si="4">+P11/$P$23</f>
        <v>0.37477113585812089</v>
      </c>
    </row>
    <row r="12" spans="1:21">
      <c r="A12" s="10" t="s">
        <v>258</v>
      </c>
      <c r="B12" s="20">
        <f>+cbnavar!B12</f>
        <v>-135142</v>
      </c>
      <c r="C12" s="52">
        <f t="shared" si="0"/>
        <v>-2.1248314499330831E-2</v>
      </c>
      <c r="D12" s="20">
        <f>+cbnavar!D12</f>
        <v>0</v>
      </c>
      <c r="E12" s="49">
        <v>0</v>
      </c>
      <c r="F12" s="20">
        <f>+cbnavar!F12</f>
        <v>0</v>
      </c>
      <c r="G12" s="49">
        <v>0</v>
      </c>
      <c r="H12" s="20">
        <f>+cbnavar!H12</f>
        <v>0</v>
      </c>
      <c r="I12" s="49">
        <v>0</v>
      </c>
      <c r="J12" s="20">
        <f>+cbnavar!J12</f>
        <v>1399943</v>
      </c>
      <c r="K12" s="52">
        <f t="shared" si="1"/>
        <v>0.19745609772782249</v>
      </c>
      <c r="L12" s="20">
        <f>+cbnavar!L12</f>
        <v>320233</v>
      </c>
      <c r="M12" s="52">
        <f t="shared" si="2"/>
        <v>6.0002908023634435E-2</v>
      </c>
      <c r="N12" s="20">
        <f>+cbnavar!N12</f>
        <v>395584</v>
      </c>
      <c r="O12" s="52">
        <f t="shared" si="3"/>
        <v>7.0944936539734174E-2</v>
      </c>
      <c r="P12" s="20">
        <f>+cbnavar!P12</f>
        <v>717111</v>
      </c>
      <c r="Q12" s="23">
        <f t="shared" si="4"/>
        <v>0.13978153403348428</v>
      </c>
    </row>
    <row r="13" spans="1:21">
      <c r="A13" s="10" t="s">
        <v>259</v>
      </c>
      <c r="B13" s="20">
        <f>+cbnavar!B13</f>
        <v>0</v>
      </c>
      <c r="C13" s="52">
        <f t="shared" si="0"/>
        <v>0</v>
      </c>
      <c r="D13" s="20">
        <f>+cbnavar!D13</f>
        <v>0</v>
      </c>
      <c r="E13" s="49">
        <v>0</v>
      </c>
      <c r="F13" s="20">
        <f>+cbnavar!F13</f>
        <v>0</v>
      </c>
      <c r="G13" s="49">
        <v>0</v>
      </c>
      <c r="H13" s="20">
        <f>+cbnavar!H13</f>
        <v>0</v>
      </c>
      <c r="I13" s="49">
        <v>0</v>
      </c>
      <c r="J13" s="20">
        <f>+cbnavar!J13</f>
        <v>0</v>
      </c>
      <c r="K13" s="52">
        <f t="shared" si="1"/>
        <v>0</v>
      </c>
      <c r="L13" s="20">
        <f>+cbnavar!L13</f>
        <v>0</v>
      </c>
      <c r="M13" s="52">
        <f t="shared" si="2"/>
        <v>0</v>
      </c>
      <c r="N13" s="20">
        <f>+cbnavar!N13</f>
        <v>0</v>
      </c>
      <c r="O13" s="52">
        <f t="shared" si="3"/>
        <v>0</v>
      </c>
      <c r="P13" s="20">
        <f>+cbnavar!P13</f>
        <v>0</v>
      </c>
      <c r="Q13" s="23">
        <f t="shared" si="4"/>
        <v>0</v>
      </c>
    </row>
    <row r="14" spans="1:21">
      <c r="A14" s="10" t="s">
        <v>260</v>
      </c>
      <c r="B14" s="199">
        <f>+cbnavar!B14</f>
        <v>115398</v>
      </c>
      <c r="C14" s="294">
        <f t="shared" si="0"/>
        <v>1.8143974460891353E-2</v>
      </c>
      <c r="D14" s="199">
        <f>+cbnavar!D14</f>
        <v>0</v>
      </c>
      <c r="E14" s="1524">
        <v>0</v>
      </c>
      <c r="F14" s="199">
        <f>+cbnavar!F14</f>
        <v>0</v>
      </c>
      <c r="G14" s="1524">
        <v>0</v>
      </c>
      <c r="H14" s="217">
        <f>+cbnavar!H14</f>
        <v>0</v>
      </c>
      <c r="I14" s="1524">
        <v>0</v>
      </c>
      <c r="J14" s="199">
        <f>+cbnavar!J14</f>
        <v>99625</v>
      </c>
      <c r="K14" s="294">
        <f t="shared" si="1"/>
        <v>1.4051689058864765E-2</v>
      </c>
      <c r="L14" s="199">
        <f>+cbnavar!L14</f>
        <v>219096</v>
      </c>
      <c r="M14" s="294">
        <f t="shared" si="2"/>
        <v>4.1052599626978513E-2</v>
      </c>
      <c r="N14" s="199">
        <f>+cbnavar!N14</f>
        <v>245856</v>
      </c>
      <c r="O14" s="294">
        <f t="shared" si="3"/>
        <v>4.4092375621645176E-2</v>
      </c>
      <c r="P14" s="199">
        <f>+cbnavar!P14</f>
        <v>125904</v>
      </c>
      <c r="Q14" s="342">
        <f t="shared" si="4"/>
        <v>2.4541604104457757E-2</v>
      </c>
    </row>
    <row r="15" spans="1:21" ht="15.6" customHeight="1">
      <c r="A15" s="10"/>
      <c r="B15" s="20">
        <f>SUM(B10:B14)</f>
        <v>3280379</v>
      </c>
      <c r="C15" s="52">
        <f t="shared" si="0"/>
        <v>0.51577248130855224</v>
      </c>
      <c r="D15" s="20">
        <f>SUM(D10:D14)</f>
        <v>0</v>
      </c>
      <c r="E15" s="49">
        <v>0</v>
      </c>
      <c r="F15" s="20">
        <f>SUM(F10:F14)</f>
        <v>0</v>
      </c>
      <c r="G15" s="49">
        <v>0</v>
      </c>
      <c r="H15" s="20">
        <f>SUM(H10:H14)</f>
        <v>0</v>
      </c>
      <c r="I15" s="49">
        <v>0</v>
      </c>
      <c r="J15" s="20">
        <f>SUM(J10:J14)</f>
        <v>5114561</v>
      </c>
      <c r="K15" s="52">
        <f t="shared" si="1"/>
        <v>0.72138741123810723</v>
      </c>
      <c r="L15" s="20">
        <f>SUM(L10:L14)</f>
        <v>3599309</v>
      </c>
      <c r="M15" s="52">
        <f t="shared" si="2"/>
        <v>0.67441209018320925</v>
      </c>
      <c r="N15" s="20">
        <f>SUM(N10:N14)</f>
        <v>3220148</v>
      </c>
      <c r="O15" s="52">
        <f t="shared" si="3"/>
        <v>0.57750868464991489</v>
      </c>
      <c r="P15" s="20">
        <f>SUM(P10:P14)</f>
        <v>2804386</v>
      </c>
      <c r="Q15" s="23">
        <f t="shared" si="4"/>
        <v>0.54663974907932922</v>
      </c>
    </row>
    <row r="16" spans="1:21" ht="7.9" customHeight="1">
      <c r="A16" s="10"/>
      <c r="C16" s="52" t="s">
        <v>0</v>
      </c>
      <c r="E16" s="49" t="s">
        <v>0</v>
      </c>
      <c r="G16" s="49" t="s">
        <v>0</v>
      </c>
      <c r="I16" s="49" t="s">
        <v>0</v>
      </c>
      <c r="K16" s="52" t="s">
        <v>0</v>
      </c>
      <c r="M16" s="52" t="s">
        <v>0</v>
      </c>
      <c r="O16" s="52" t="s">
        <v>0</v>
      </c>
      <c r="Q16" s="23" t="s">
        <v>0</v>
      </c>
    </row>
    <row r="17" spans="1:17" ht="15" customHeight="1">
      <c r="A17" s="10" t="s">
        <v>261</v>
      </c>
      <c r="B17" s="20">
        <f>+cbnavar!B17</f>
        <v>796833</v>
      </c>
      <c r="C17" s="52">
        <f t="shared" ref="C17:C23" si="5">+B17/$B$23</f>
        <v>0.12528568607424254</v>
      </c>
      <c r="D17" s="20">
        <f>+cbnavar!D17</f>
        <v>0</v>
      </c>
      <c r="E17" s="49">
        <v>0</v>
      </c>
      <c r="F17" s="20">
        <f>+cbnavar!F17</f>
        <v>0</v>
      </c>
      <c r="G17" s="49">
        <v>0</v>
      </c>
      <c r="H17" s="20">
        <f>+cbnavar!H17</f>
        <v>0</v>
      </c>
      <c r="I17" s="49">
        <v>0</v>
      </c>
      <c r="J17" s="20">
        <f>+cbnavar!J17</f>
        <v>49563</v>
      </c>
      <c r="K17" s="52">
        <f t="shared" ref="K17:K23" si="6">+J17/$J$23</f>
        <v>6.9906535992423019E-3</v>
      </c>
      <c r="L17" s="20">
        <f>+cbnavar!L17</f>
        <v>0</v>
      </c>
      <c r="M17" s="52">
        <f t="shared" ref="M17:M23" si="7">+L17/$L$23</f>
        <v>0</v>
      </c>
      <c r="N17" s="20">
        <f>+cbnavar!N17</f>
        <v>399899</v>
      </c>
      <c r="O17" s="52">
        <f t="shared" ref="O17:O23" si="8">+N17/$N$23</f>
        <v>7.1718798478460091E-2</v>
      </c>
      <c r="P17" s="20">
        <f>+cbnavar!P17</f>
        <v>384920</v>
      </c>
      <c r="Q17" s="23">
        <f t="shared" si="4"/>
        <v>7.5029818368660878E-2</v>
      </c>
    </row>
    <row r="18" spans="1:17" ht="15" customHeight="1">
      <c r="A18" s="10" t="s">
        <v>909</v>
      </c>
      <c r="B18" s="20">
        <f>+cbnavar!B18</f>
        <v>0</v>
      </c>
      <c r="C18" s="52">
        <v>0</v>
      </c>
      <c r="D18" s="20">
        <v>0</v>
      </c>
      <c r="E18" s="49">
        <v>0</v>
      </c>
      <c r="F18" s="20">
        <v>0</v>
      </c>
      <c r="G18" s="49">
        <v>0</v>
      </c>
      <c r="H18" s="20">
        <v>0</v>
      </c>
      <c r="I18" s="49">
        <v>0</v>
      </c>
      <c r="J18" s="20">
        <v>0</v>
      </c>
      <c r="K18" s="52">
        <v>0</v>
      </c>
      <c r="L18" s="20">
        <v>0</v>
      </c>
      <c r="M18" s="52">
        <v>0</v>
      </c>
      <c r="N18" s="20">
        <v>0</v>
      </c>
      <c r="O18" s="52">
        <v>0</v>
      </c>
      <c r="P18" s="20">
        <v>0</v>
      </c>
      <c r="Q18" s="23">
        <v>0</v>
      </c>
    </row>
    <row r="19" spans="1:17">
      <c r="A19" s="10" t="s">
        <v>262</v>
      </c>
      <c r="B19" s="20">
        <f>+cbnavar!B19</f>
        <v>0</v>
      </c>
      <c r="C19" s="52">
        <f t="shared" si="5"/>
        <v>0</v>
      </c>
      <c r="D19" s="20">
        <f>+cbnavar!D19</f>
        <v>0</v>
      </c>
      <c r="E19" s="49">
        <v>0</v>
      </c>
      <c r="F19" s="20">
        <f>+cbnavar!F19</f>
        <v>0</v>
      </c>
      <c r="G19" s="49">
        <v>0</v>
      </c>
      <c r="H19" s="20">
        <f>+cbnavar!H19</f>
        <v>0</v>
      </c>
      <c r="I19" s="49">
        <v>0</v>
      </c>
      <c r="J19" s="20">
        <f>+cbnavar!J19</f>
        <v>0</v>
      </c>
      <c r="K19" s="52">
        <f t="shared" si="6"/>
        <v>0</v>
      </c>
      <c r="L19" s="20">
        <f>+cbnavar!L19</f>
        <v>0</v>
      </c>
      <c r="M19" s="52">
        <f t="shared" si="7"/>
        <v>0</v>
      </c>
      <c r="N19" s="20">
        <f>+cbnavar!N19</f>
        <v>0</v>
      </c>
      <c r="O19" s="52">
        <f t="shared" si="8"/>
        <v>0</v>
      </c>
      <c r="P19" s="20">
        <f>+cbnavar!P19</f>
        <v>0</v>
      </c>
      <c r="Q19" s="23">
        <f t="shared" si="4"/>
        <v>0</v>
      </c>
    </row>
    <row r="20" spans="1:17">
      <c r="A20" s="10" t="s">
        <v>263</v>
      </c>
      <c r="B20" s="20">
        <f>+cbnavar!B20</f>
        <v>1798882</v>
      </c>
      <c r="C20" s="52">
        <f t="shared" si="5"/>
        <v>0.28283738943618747</v>
      </c>
      <c r="D20" s="20">
        <f>+cbnavar!D20</f>
        <v>0</v>
      </c>
      <c r="E20" s="49">
        <v>0</v>
      </c>
      <c r="F20" s="20">
        <f>+cbnavar!F20</f>
        <v>0</v>
      </c>
      <c r="G20" s="49">
        <v>0</v>
      </c>
      <c r="H20" s="20">
        <f>+cbnavar!H20</f>
        <v>0</v>
      </c>
      <c r="I20" s="49">
        <v>0</v>
      </c>
      <c r="J20" s="20">
        <f>+cbnavar!J20</f>
        <v>1447270</v>
      </c>
      <c r="K20" s="52">
        <f t="shared" si="6"/>
        <v>0.20413137289057173</v>
      </c>
      <c r="L20" s="20">
        <f>+cbnavar!L20</f>
        <v>1310583</v>
      </c>
      <c r="M20" s="52">
        <f t="shared" si="7"/>
        <v>0.24556741874303675</v>
      </c>
      <c r="N20" s="20">
        <f>+cbnavar!N20</f>
        <v>1584777</v>
      </c>
      <c r="O20" s="52">
        <f t="shared" si="8"/>
        <v>0.28421752066471423</v>
      </c>
      <c r="P20" s="20">
        <f>+cbnavar!P20</f>
        <v>1759910</v>
      </c>
      <c r="Q20" s="23">
        <f t="shared" si="4"/>
        <v>0.34304719849628484</v>
      </c>
    </row>
    <row r="21" spans="1:17">
      <c r="A21" s="10" t="s">
        <v>264</v>
      </c>
      <c r="B21" s="20">
        <f>+cbnavar!B21</f>
        <v>356354</v>
      </c>
      <c r="C21" s="52">
        <f t="shared" si="5"/>
        <v>5.6029375509423711E-2</v>
      </c>
      <c r="D21" s="20">
        <f>+cbnavar!D21</f>
        <v>0</v>
      </c>
      <c r="E21" s="49">
        <v>0</v>
      </c>
      <c r="F21" s="20">
        <f>+cbnavar!F21</f>
        <v>0</v>
      </c>
      <c r="G21" s="49">
        <v>0</v>
      </c>
      <c r="H21" s="20">
        <f>+cbnavar!H21</f>
        <v>0</v>
      </c>
      <c r="I21" s="49">
        <v>0</v>
      </c>
      <c r="J21" s="20">
        <f>+cbnavar!J21</f>
        <v>360539</v>
      </c>
      <c r="K21" s="52">
        <f t="shared" si="6"/>
        <v>5.0852516151508591E-2</v>
      </c>
      <c r="L21" s="20">
        <f>+cbnavar!L21</f>
        <v>373087</v>
      </c>
      <c r="M21" s="52">
        <f t="shared" si="7"/>
        <v>6.9906302429211545E-2</v>
      </c>
      <c r="N21" s="20">
        <f>+cbnavar!N21</f>
        <v>247807</v>
      </c>
      <c r="O21" s="52">
        <f t="shared" si="8"/>
        <v>4.4442272410162971E-2</v>
      </c>
      <c r="P21" s="20">
        <f>+cbnavar!P21</f>
        <v>66814</v>
      </c>
      <c r="Q21" s="23">
        <f t="shared" si="4"/>
        <v>1.3023595252217884E-2</v>
      </c>
    </row>
    <row r="22" spans="1:17" ht="16.5" thickBot="1">
      <c r="A22" s="10" t="s">
        <v>265</v>
      </c>
      <c r="B22" s="97">
        <f>+cbnavar!B22</f>
        <v>127680</v>
      </c>
      <c r="C22" s="295">
        <f t="shared" si="5"/>
        <v>2.0075067671594032E-2</v>
      </c>
      <c r="D22" s="97">
        <f>+cbnavar!D22</f>
        <v>0</v>
      </c>
      <c r="E22" s="209">
        <v>0</v>
      </c>
      <c r="F22" s="97">
        <f>+cbnavar!F22</f>
        <v>0</v>
      </c>
      <c r="G22" s="209">
        <v>0</v>
      </c>
      <c r="H22" s="79">
        <f>+cbnavar!H22</f>
        <v>0</v>
      </c>
      <c r="I22" s="209">
        <v>0</v>
      </c>
      <c r="J22" s="97">
        <f>+cbnavar!J22</f>
        <v>117962</v>
      </c>
      <c r="K22" s="295">
        <f t="shared" si="6"/>
        <v>1.6638046120570193E-2</v>
      </c>
      <c r="L22" s="97">
        <f>+cbnavar!L22</f>
        <v>53979</v>
      </c>
      <c r="M22" s="295">
        <f t="shared" si="7"/>
        <v>1.0114188644542452E-2</v>
      </c>
      <c r="N22" s="97">
        <f>+cbnavar!N22</f>
        <v>123299</v>
      </c>
      <c r="O22" s="295">
        <f t="shared" si="8"/>
        <v>2.2112723796747807E-2</v>
      </c>
      <c r="P22" s="97">
        <f>+cbnavar!P22</f>
        <v>114197</v>
      </c>
      <c r="Q22" s="366">
        <f t="shared" si="4"/>
        <v>2.2259638803507134E-2</v>
      </c>
    </row>
    <row r="23" spans="1:17">
      <c r="A23" s="10" t="s">
        <v>54</v>
      </c>
      <c r="B23" s="13">
        <f>SUM(B15:B22)</f>
        <v>6360128</v>
      </c>
      <c r="C23" s="109">
        <f t="shared" si="5"/>
        <v>1</v>
      </c>
      <c r="D23" s="13">
        <f>SUM(D15:D22)</f>
        <v>0</v>
      </c>
      <c r="E23" s="47">
        <v>0</v>
      </c>
      <c r="F23" s="13">
        <f>SUM(F15:F22)</f>
        <v>0</v>
      </c>
      <c r="G23" s="47">
        <v>0</v>
      </c>
      <c r="H23" s="13">
        <f>SUM(H15:H22)</f>
        <v>0</v>
      </c>
      <c r="I23" s="47">
        <v>0</v>
      </c>
      <c r="J23" s="13">
        <f>SUM(J15:J22)</f>
        <v>7089895</v>
      </c>
      <c r="K23" s="52">
        <f t="shared" si="6"/>
        <v>1</v>
      </c>
      <c r="L23" s="13">
        <f>SUM(L15:L22)</f>
        <v>5336958</v>
      </c>
      <c r="M23" s="52">
        <f t="shared" si="7"/>
        <v>1</v>
      </c>
      <c r="N23" s="13">
        <f>SUM(N15:N22)</f>
        <v>5575930</v>
      </c>
      <c r="O23" s="52">
        <f t="shared" si="8"/>
        <v>1</v>
      </c>
      <c r="P23" s="13">
        <f>SUM(P15:P22)</f>
        <v>5130227</v>
      </c>
      <c r="Q23" s="23">
        <f t="shared" si="4"/>
        <v>1</v>
      </c>
    </row>
    <row r="24" spans="1:17" ht="7.9" customHeight="1">
      <c r="A24" s="10"/>
      <c r="C24" s="52" t="s">
        <v>0</v>
      </c>
      <c r="E24" s="49" t="s">
        <v>0</v>
      </c>
      <c r="G24" s="49" t="s">
        <v>0</v>
      </c>
      <c r="I24" s="49" t="s">
        <v>0</v>
      </c>
      <c r="K24" s="52" t="s">
        <v>0</v>
      </c>
      <c r="M24" s="52" t="s">
        <v>0</v>
      </c>
      <c r="O24" s="52" t="s">
        <v>0</v>
      </c>
      <c r="Q24" s="23" t="s">
        <v>0</v>
      </c>
    </row>
    <row r="25" spans="1:17">
      <c r="A25" s="86" t="s">
        <v>266</v>
      </c>
      <c r="C25" s="52" t="s">
        <v>0</v>
      </c>
      <c r="E25" s="49" t="s">
        <v>0</v>
      </c>
      <c r="G25" s="49" t="s">
        <v>0</v>
      </c>
      <c r="I25" s="49" t="s">
        <v>0</v>
      </c>
      <c r="K25" s="52" t="s">
        <v>0</v>
      </c>
      <c r="M25" s="52" t="s">
        <v>0</v>
      </c>
      <c r="O25" s="52" t="s">
        <v>0</v>
      </c>
      <c r="Q25" s="23" t="s">
        <v>0</v>
      </c>
    </row>
    <row r="26" spans="1:17">
      <c r="A26" s="10" t="s">
        <v>267</v>
      </c>
      <c r="C26" s="52" t="s">
        <v>0</v>
      </c>
      <c r="E26" s="49" t="s">
        <v>0</v>
      </c>
      <c r="G26" s="49" t="s">
        <v>0</v>
      </c>
      <c r="I26" s="49" t="s">
        <v>0</v>
      </c>
      <c r="K26" s="52" t="s">
        <v>0</v>
      </c>
      <c r="M26" s="52" t="s">
        <v>0</v>
      </c>
      <c r="O26" s="52" t="s">
        <v>0</v>
      </c>
      <c r="Q26" s="23" t="s">
        <v>0</v>
      </c>
    </row>
    <row r="27" spans="1:17">
      <c r="A27" s="10" t="s">
        <v>268</v>
      </c>
      <c r="B27" s="20">
        <f>+cbnavar!B27</f>
        <v>3912349</v>
      </c>
      <c r="C27" s="52">
        <f>+B27/$B$23</f>
        <v>0.61513683372410111</v>
      </c>
      <c r="D27" s="20">
        <f>+cbnavar!D27</f>
        <v>0</v>
      </c>
      <c r="E27" s="49">
        <v>0</v>
      </c>
      <c r="F27" s="20">
        <f>+cbnavar!F27</f>
        <v>0</v>
      </c>
      <c r="G27" s="49">
        <v>0</v>
      </c>
      <c r="H27" s="20">
        <f>+cbnavar!H27</f>
        <v>0</v>
      </c>
      <c r="I27" s="49">
        <v>0</v>
      </c>
      <c r="J27" s="20">
        <f>+cbnavar!J27</f>
        <v>4815765</v>
      </c>
      <c r="K27" s="52">
        <f>+J27/$J$23</f>
        <v>0.67924348668069134</v>
      </c>
      <c r="L27" s="20">
        <f>+cbnavar!L27</f>
        <v>3290279</v>
      </c>
      <c r="M27" s="52">
        <f>+L27/$L$23</f>
        <v>0.61650831803435591</v>
      </c>
      <c r="N27" s="20">
        <f>+cbnavar!N27</f>
        <v>3135559</v>
      </c>
      <c r="O27" s="52">
        <f>+N27/$N$23</f>
        <v>0.5623383005166851</v>
      </c>
      <c r="P27" s="20">
        <f>+cbnavar!P27</f>
        <v>2986574</v>
      </c>
      <c r="Q27" s="23">
        <f t="shared" si="4"/>
        <v>0.58215240768098564</v>
      </c>
    </row>
    <row r="28" spans="1:17">
      <c r="A28" s="10" t="s">
        <v>269</v>
      </c>
      <c r="B28" s="20">
        <f>+cbnavar!B28</f>
        <v>294638</v>
      </c>
      <c r="C28" s="52">
        <f>+B28/$B$23</f>
        <v>4.6325797216659789E-2</v>
      </c>
      <c r="D28" s="20">
        <f>+cbnavar!D28</f>
        <v>0</v>
      </c>
      <c r="E28" s="49">
        <v>0</v>
      </c>
      <c r="F28" s="20">
        <f>+cbnavar!F28</f>
        <v>0</v>
      </c>
      <c r="G28" s="49">
        <v>0</v>
      </c>
      <c r="H28" s="20">
        <f>+cbnavar!H28</f>
        <v>0</v>
      </c>
      <c r="I28" s="49">
        <v>0</v>
      </c>
      <c r="J28" s="20">
        <f>+cbnavar!J28</f>
        <v>291515</v>
      </c>
      <c r="K28" s="52">
        <f>+J28/$J$23</f>
        <v>4.1116969997440016E-2</v>
      </c>
      <c r="L28" s="20">
        <f>+cbnavar!L28</f>
        <v>309228</v>
      </c>
      <c r="M28" s="52">
        <f>+L28/$L$23</f>
        <v>5.7940871934911237E-2</v>
      </c>
      <c r="N28" s="20">
        <f>+cbnavar!N28</f>
        <v>429570</v>
      </c>
      <c r="O28" s="52">
        <f>+N28/$N$23</f>
        <v>7.7040063271956422E-2</v>
      </c>
      <c r="P28" s="20">
        <f>+cbnavar!P28</f>
        <v>340790</v>
      </c>
      <c r="Q28" s="23">
        <f t="shared" si="4"/>
        <v>6.6427859819848126E-2</v>
      </c>
    </row>
    <row r="29" spans="1:17">
      <c r="A29" s="10" t="s">
        <v>270</v>
      </c>
      <c r="B29" s="199">
        <f>+cbnavar!B29</f>
        <v>381091</v>
      </c>
      <c r="C29" s="294">
        <f>+B29/$B$23</f>
        <v>5.9918762641255022E-2</v>
      </c>
      <c r="D29" s="199">
        <f>+cbnavar!D29</f>
        <v>0</v>
      </c>
      <c r="E29" s="1524">
        <v>0</v>
      </c>
      <c r="F29" s="199">
        <f>+cbnavar!F29</f>
        <v>0</v>
      </c>
      <c r="G29" s="1524">
        <v>0</v>
      </c>
      <c r="H29" s="217">
        <f>+cbnavar!H29</f>
        <v>0</v>
      </c>
      <c r="I29" s="1524">
        <v>0</v>
      </c>
      <c r="J29" s="199">
        <f>+cbnavar!J29</f>
        <v>430990</v>
      </c>
      <c r="K29" s="294">
        <f>+J29/$J$23</f>
        <v>6.078933467985069E-2</v>
      </c>
      <c r="L29" s="199">
        <f>+cbnavar!L29</f>
        <v>592756</v>
      </c>
      <c r="M29" s="294">
        <f>+L29/$L$23</f>
        <v>0.11106626658856975</v>
      </c>
      <c r="N29" s="199">
        <f>+cbnavar!N29</f>
        <v>1171474</v>
      </c>
      <c r="O29" s="294">
        <f>+N29/$N$23</f>
        <v>0.21009481826350043</v>
      </c>
      <c r="P29" s="199">
        <f>+cbnavar!P29</f>
        <v>809265</v>
      </c>
      <c r="Q29" s="342">
        <f t="shared" ref="Q29:Q45" si="9">+P29/$P$23</f>
        <v>0.1577444818718548</v>
      </c>
    </row>
    <row r="30" spans="1:17">
      <c r="A30" s="10"/>
      <c r="B30" s="20">
        <f>SUM(B27:B29)</f>
        <v>4588078</v>
      </c>
      <c r="C30" s="52">
        <f>+B30/$B$23</f>
        <v>0.72138139358201592</v>
      </c>
      <c r="D30" s="20">
        <f>SUM(D27:D29)</f>
        <v>0</v>
      </c>
      <c r="E30" s="49">
        <v>0</v>
      </c>
      <c r="F30" s="20">
        <f>SUM(F27:F29)</f>
        <v>0</v>
      </c>
      <c r="G30" s="49">
        <v>0</v>
      </c>
      <c r="H30" s="20">
        <f>SUM(H27:H29)</f>
        <v>0</v>
      </c>
      <c r="I30" s="49">
        <v>0</v>
      </c>
      <c r="J30" s="20">
        <f>SUM(J27:J29)</f>
        <v>5538270</v>
      </c>
      <c r="K30" s="52">
        <f>+J30/$J$23</f>
        <v>0.78114979135798202</v>
      </c>
      <c r="L30" s="20">
        <f>SUM(L27:L29)</f>
        <v>4192263</v>
      </c>
      <c r="M30" s="52">
        <f>+L30/$L$23</f>
        <v>0.78551545655783683</v>
      </c>
      <c r="N30" s="20">
        <f>SUM(N27:N29)</f>
        <v>4736603</v>
      </c>
      <c r="O30" s="52">
        <f>+N30/$N$23</f>
        <v>0.84947318205214195</v>
      </c>
      <c r="P30" s="20">
        <f>SUM(P27:P29)</f>
        <v>4136629</v>
      </c>
      <c r="Q30" s="23">
        <f t="shared" si="9"/>
        <v>0.80632474937268861</v>
      </c>
    </row>
    <row r="31" spans="1:17" ht="7.9" customHeight="1">
      <c r="A31" s="10"/>
      <c r="C31" s="52" t="s">
        <v>0</v>
      </c>
      <c r="E31" s="49" t="s">
        <v>0</v>
      </c>
      <c r="G31" s="49" t="s">
        <v>0</v>
      </c>
      <c r="I31" s="49" t="s">
        <v>0</v>
      </c>
      <c r="K31" s="52" t="s">
        <v>0</v>
      </c>
      <c r="M31" s="52" t="s">
        <v>0</v>
      </c>
      <c r="O31" s="52" t="s">
        <v>0</v>
      </c>
      <c r="Q31" s="23" t="s">
        <v>0</v>
      </c>
    </row>
    <row r="32" spans="1:17">
      <c r="A32" s="10" t="s">
        <v>271</v>
      </c>
      <c r="C32" s="52" t="s">
        <v>0</v>
      </c>
      <c r="E32" s="49" t="s">
        <v>0</v>
      </c>
      <c r="G32" s="49" t="s">
        <v>0</v>
      </c>
      <c r="I32" s="49" t="s">
        <v>0</v>
      </c>
      <c r="K32" s="52" t="s">
        <v>0</v>
      </c>
      <c r="M32" s="52" t="s">
        <v>0</v>
      </c>
      <c r="O32" s="52" t="s">
        <v>0</v>
      </c>
      <c r="Q32" s="23" t="s">
        <v>0</v>
      </c>
    </row>
    <row r="33" spans="1:21">
      <c r="A33" s="10" t="s">
        <v>272</v>
      </c>
      <c r="B33" s="20">
        <f>+cbnavar!B33</f>
        <v>300000</v>
      </c>
      <c r="C33" s="52">
        <f>+B33/$B$23</f>
        <v>4.7168862010324324E-2</v>
      </c>
      <c r="D33" s="20">
        <f>+cbnavar!D33</f>
        <v>0</v>
      </c>
      <c r="E33" s="49">
        <v>0</v>
      </c>
      <c r="F33" s="20">
        <f>+cbnavar!F33</f>
        <v>0</v>
      </c>
      <c r="G33" s="49">
        <v>0</v>
      </c>
      <c r="H33" s="20">
        <f>+cbnavar!H33</f>
        <v>0</v>
      </c>
      <c r="I33" s="49">
        <v>0</v>
      </c>
      <c r="J33" s="20">
        <f>+cbnavar!J33</f>
        <v>300000</v>
      </c>
      <c r="K33" s="52">
        <f>+J33/$J$23</f>
        <v>4.231374371552752E-2</v>
      </c>
      <c r="L33" s="20">
        <f>+cbnavar!L33</f>
        <v>200000</v>
      </c>
      <c r="M33" s="52">
        <f>+L33/$L$23</f>
        <v>3.7474531371616562E-2</v>
      </c>
      <c r="N33" s="20">
        <f>+cbnavar!N33</f>
        <v>200000</v>
      </c>
      <c r="O33" s="52">
        <f>+N33/$N$23</f>
        <v>3.5868456024376202E-2</v>
      </c>
      <c r="P33" s="20">
        <f>+cbnavar!P33</f>
        <v>320000</v>
      </c>
      <c r="Q33" s="23">
        <f t="shared" si="9"/>
        <v>6.2375407559938381E-2</v>
      </c>
    </row>
    <row r="34" spans="1:21">
      <c r="A34" s="10" t="s">
        <v>273</v>
      </c>
      <c r="B34" s="20">
        <f>+cbnavar!B34</f>
        <v>140243</v>
      </c>
      <c r="C34" s="52">
        <f>+B34/$B$23</f>
        <v>2.205034238304638E-2</v>
      </c>
      <c r="D34" s="20">
        <f>+cbnavar!D34</f>
        <v>0</v>
      </c>
      <c r="E34" s="49">
        <v>0</v>
      </c>
      <c r="F34" s="20">
        <f>+cbnavar!F34</f>
        <v>0</v>
      </c>
      <c r="G34" s="49">
        <v>0</v>
      </c>
      <c r="H34" s="20">
        <f>+cbnavar!H34</f>
        <v>0</v>
      </c>
      <c r="I34" s="49">
        <v>0</v>
      </c>
      <c r="J34" s="20">
        <f>+cbnavar!J34</f>
        <v>0</v>
      </c>
      <c r="K34" s="52">
        <f>+J34/$J$23</f>
        <v>0</v>
      </c>
      <c r="L34" s="20">
        <f>+cbnavar!L34</f>
        <v>0</v>
      </c>
      <c r="M34" s="52">
        <f>+L34/$L$23</f>
        <v>0</v>
      </c>
      <c r="N34" s="20">
        <f>+cbnavar!N34</f>
        <v>0</v>
      </c>
      <c r="O34" s="52">
        <f>+N34/$N$23</f>
        <v>0</v>
      </c>
      <c r="P34" s="20">
        <f>+cbnavar!P34</f>
        <v>0</v>
      </c>
      <c r="Q34" s="23">
        <f t="shared" si="9"/>
        <v>0</v>
      </c>
    </row>
    <row r="35" spans="1:21" ht="18">
      <c r="A35" s="10" t="s">
        <v>274</v>
      </c>
      <c r="B35" s="199">
        <f>+cbnavar!B35</f>
        <v>706720</v>
      </c>
      <c r="C35" s="294">
        <f>+B35/$B$23</f>
        <v>0.11111726053312135</v>
      </c>
      <c r="D35" s="199">
        <f>+cbnavar!D35</f>
        <v>0</v>
      </c>
      <c r="E35" s="1524">
        <v>0</v>
      </c>
      <c r="F35" s="199">
        <f>+cbnavar!F35</f>
        <v>0</v>
      </c>
      <c r="G35" s="1524">
        <v>0</v>
      </c>
      <c r="H35" s="217">
        <f>+cbnavar!H35</f>
        <v>0</v>
      </c>
      <c r="I35" s="1524">
        <v>0</v>
      </c>
      <c r="J35" s="199">
        <f>+cbnavar!J35</f>
        <v>663613</v>
      </c>
      <c r="K35" s="294">
        <f>+J35/$J$23</f>
        <v>9.3599834694307882E-2</v>
      </c>
      <c r="L35" s="199">
        <f>+cbnavar!L35</f>
        <v>609196</v>
      </c>
      <c r="M35" s="294">
        <f>+L35/$L$23</f>
        <v>0.11414667306731663</v>
      </c>
      <c r="N35" s="199">
        <f>+cbnavar!N35</f>
        <v>231908</v>
      </c>
      <c r="O35" s="294">
        <f>+N35/$N$23</f>
        <v>4.1590909498505184E-2</v>
      </c>
      <c r="P35" s="199">
        <f>+cbnavar!P35</f>
        <v>355904</v>
      </c>
      <c r="Q35" s="342">
        <f t="shared" si="9"/>
        <v>6.9373928288163467E-2</v>
      </c>
      <c r="R35" s="14"/>
      <c r="S35" s="15"/>
      <c r="T35" s="15"/>
      <c r="U35" s="15"/>
    </row>
    <row r="36" spans="1:21">
      <c r="A36" s="10"/>
      <c r="B36" s="20">
        <f>SUM(B33:B35)</f>
        <v>1146963</v>
      </c>
      <c r="C36" s="52">
        <f>+B36/$B$23</f>
        <v>0.18033646492649205</v>
      </c>
      <c r="D36" s="20">
        <f>SUM(D33:D35)</f>
        <v>0</v>
      </c>
      <c r="E36" s="49">
        <v>0</v>
      </c>
      <c r="F36" s="20">
        <f>SUM(F33:F35)</f>
        <v>0</v>
      </c>
      <c r="G36" s="49">
        <v>0</v>
      </c>
      <c r="H36" s="20">
        <f>SUM(H33:H35)</f>
        <v>0</v>
      </c>
      <c r="I36" s="49">
        <v>0</v>
      </c>
      <c r="J36" s="20">
        <f>SUM(J33:J35)</f>
        <v>963613</v>
      </c>
      <c r="K36" s="52">
        <f>+J36/$J$23</f>
        <v>0.13591357840983539</v>
      </c>
      <c r="L36" s="20">
        <f>SUM(L33:L35)</f>
        <v>809196</v>
      </c>
      <c r="M36" s="52">
        <f>+L36/$L$23</f>
        <v>0.15162120443893318</v>
      </c>
      <c r="N36" s="20">
        <f>SUM(N33:N35)</f>
        <v>431908</v>
      </c>
      <c r="O36" s="52">
        <f>+N36/$N$23</f>
        <v>7.7459365522881379E-2</v>
      </c>
      <c r="P36" s="20">
        <f>SUM(P33:P35)</f>
        <v>675904</v>
      </c>
      <c r="Q36" s="23">
        <f t="shared" si="9"/>
        <v>0.13174933584810186</v>
      </c>
    </row>
    <row r="37" spans="1:21" ht="7.15" customHeight="1">
      <c r="A37" s="10"/>
      <c r="C37" s="52" t="s">
        <v>0</v>
      </c>
      <c r="E37" s="49" t="s">
        <v>0</v>
      </c>
      <c r="G37" s="49" t="s">
        <v>0</v>
      </c>
      <c r="I37" s="49" t="s">
        <v>0</v>
      </c>
      <c r="K37" s="52" t="s">
        <v>0</v>
      </c>
      <c r="M37" s="52" t="s">
        <v>0</v>
      </c>
      <c r="O37" s="52" t="s">
        <v>0</v>
      </c>
      <c r="Q37" s="23" t="s">
        <v>0</v>
      </c>
    </row>
    <row r="38" spans="1:21">
      <c r="A38" s="10" t="s">
        <v>275</v>
      </c>
      <c r="C38" s="52" t="s">
        <v>0</v>
      </c>
      <c r="E38" s="49" t="s">
        <v>0</v>
      </c>
      <c r="G38" s="49" t="s">
        <v>0</v>
      </c>
      <c r="I38" s="49" t="s">
        <v>0</v>
      </c>
      <c r="K38" s="52" t="s">
        <v>0</v>
      </c>
      <c r="M38" s="52" t="s">
        <v>0</v>
      </c>
      <c r="O38" s="52" t="s">
        <v>0</v>
      </c>
      <c r="Q38" s="23" t="s">
        <v>0</v>
      </c>
    </row>
    <row r="39" spans="1:21">
      <c r="A39" s="10" t="s">
        <v>272</v>
      </c>
      <c r="B39" s="20">
        <f>+cbnavar!B39</f>
        <v>0</v>
      </c>
      <c r="C39" s="52">
        <f>+B39/$B$23</f>
        <v>0</v>
      </c>
      <c r="D39" s="20">
        <f>+cbnavar!D39</f>
        <v>0</v>
      </c>
      <c r="E39" s="49">
        <v>0</v>
      </c>
      <c r="F39" s="20">
        <f>+cbnavar!F39</f>
        <v>0</v>
      </c>
      <c r="G39" s="49">
        <v>0</v>
      </c>
      <c r="H39" s="20">
        <f>+cbnavar!H39</f>
        <v>0</v>
      </c>
      <c r="I39" s="49">
        <v>0</v>
      </c>
      <c r="J39" s="20">
        <f>+cbnavar!J39</f>
        <v>0</v>
      </c>
      <c r="K39" s="52">
        <f>+J39/$J$23</f>
        <v>0</v>
      </c>
      <c r="L39" s="20">
        <f>+cbnavar!L39</f>
        <v>0</v>
      </c>
      <c r="M39" s="52">
        <f>+L39/$L$23</f>
        <v>0</v>
      </c>
      <c r="N39" s="20">
        <f>+cbnavar!N39</f>
        <v>0</v>
      </c>
      <c r="O39" s="52">
        <f>+N39/$N$23</f>
        <v>0</v>
      </c>
      <c r="P39" s="20">
        <f>+cbnavar!P39</f>
        <v>0</v>
      </c>
      <c r="Q39" s="23">
        <f t="shared" si="9"/>
        <v>0</v>
      </c>
    </row>
    <row r="40" spans="1:21">
      <c r="A40" s="10" t="s">
        <v>276</v>
      </c>
      <c r="B40" s="20">
        <f>+cbnavar!B40</f>
        <v>0</v>
      </c>
      <c r="C40" s="52">
        <f>+B40/$B$23</f>
        <v>0</v>
      </c>
      <c r="D40" s="20">
        <f>+cbnavar!D40</f>
        <v>0</v>
      </c>
      <c r="E40" s="49">
        <v>0</v>
      </c>
      <c r="F40" s="20">
        <f>+cbnavar!F40</f>
        <v>0</v>
      </c>
      <c r="G40" s="49">
        <v>0</v>
      </c>
      <c r="H40" s="20">
        <f>+cbnavar!H40</f>
        <v>0</v>
      </c>
      <c r="I40" s="49">
        <v>0</v>
      </c>
      <c r="J40" s="20">
        <f>+cbnavar!J40</f>
        <v>0</v>
      </c>
      <c r="K40" s="52">
        <f>+J40/$J$23</f>
        <v>0</v>
      </c>
      <c r="L40" s="20">
        <f>+cbnavar!L40</f>
        <v>0</v>
      </c>
      <c r="M40" s="52">
        <f>+L40/$L$23</f>
        <v>0</v>
      </c>
      <c r="N40" s="20">
        <f>+cbnavar!N40</f>
        <v>0</v>
      </c>
      <c r="O40" s="52">
        <f>+N40/$N$23</f>
        <v>0</v>
      </c>
      <c r="P40" s="20">
        <f>+cbnavar!P40</f>
        <v>0</v>
      </c>
      <c r="Q40" s="23">
        <f t="shared" si="9"/>
        <v>0</v>
      </c>
    </row>
    <row r="41" spans="1:21">
      <c r="A41" s="10" t="s">
        <v>274</v>
      </c>
      <c r="B41" s="199">
        <f>+cbnavar!B41</f>
        <v>125367</v>
      </c>
      <c r="C41" s="294">
        <f>+B41/$B$23</f>
        <v>1.971139574549443E-2</v>
      </c>
      <c r="D41" s="199">
        <f>+cbnavar!D41</f>
        <v>0</v>
      </c>
      <c r="E41" s="1524">
        <v>0</v>
      </c>
      <c r="F41" s="199">
        <f>+cbnavar!F41</f>
        <v>0</v>
      </c>
      <c r="G41" s="1524">
        <v>0</v>
      </c>
      <c r="H41" s="217">
        <f>+cbnavar!H41</f>
        <v>0</v>
      </c>
      <c r="I41" s="1524">
        <v>0</v>
      </c>
      <c r="J41" s="199">
        <f>+cbnavar!J41</f>
        <v>115374</v>
      </c>
      <c r="K41" s="294">
        <f>+J41/$J$23</f>
        <v>1.6273019558117573E-2</v>
      </c>
      <c r="L41" s="199">
        <f>+cbnavar!L41</f>
        <v>56041</v>
      </c>
      <c r="M41" s="294">
        <f>+L41/$L$23</f>
        <v>1.050055106298382E-2</v>
      </c>
      <c r="N41" s="199">
        <f>+cbnavar!N41</f>
        <v>80230</v>
      </c>
      <c r="O41" s="294">
        <f>+N41/$N$23</f>
        <v>1.4388631134178514E-2</v>
      </c>
      <c r="P41" s="199">
        <f>+cbnavar!P41</f>
        <v>79502</v>
      </c>
      <c r="Q41" s="342">
        <f t="shared" si="9"/>
        <v>1.5496780161969441E-2</v>
      </c>
    </row>
    <row r="42" spans="1:21">
      <c r="A42" s="10"/>
      <c r="B42" s="20">
        <f>SUM(B39:B41)</f>
        <v>125367</v>
      </c>
      <c r="C42" s="52">
        <f>+B42/$B$23</f>
        <v>1.971139574549443E-2</v>
      </c>
      <c r="D42" s="20">
        <f>SUM(D39:D41)</f>
        <v>0</v>
      </c>
      <c r="E42" s="49">
        <v>0</v>
      </c>
      <c r="F42" s="20">
        <f>SUM(F39:F41)</f>
        <v>0</v>
      </c>
      <c r="G42" s="49">
        <v>0</v>
      </c>
      <c r="H42" s="20">
        <f>SUM(H39:H41)</f>
        <v>0</v>
      </c>
      <c r="I42" s="49">
        <v>0</v>
      </c>
      <c r="J42" s="20">
        <f>SUM(J39:J41)</f>
        <v>115374</v>
      </c>
      <c r="K42" s="52">
        <f>+J42/$J$23</f>
        <v>1.6273019558117573E-2</v>
      </c>
      <c r="L42" s="20">
        <f>SUM(L39:L41)</f>
        <v>56041</v>
      </c>
      <c r="M42" s="52">
        <f>+L42/$L$23</f>
        <v>1.050055106298382E-2</v>
      </c>
      <c r="N42" s="20">
        <f>SUM(N39:N41)</f>
        <v>80230</v>
      </c>
      <c r="O42" s="52">
        <f>+N42/$N$23</f>
        <v>1.4388631134178514E-2</v>
      </c>
      <c r="P42" s="20">
        <f>SUM(P39:P41)</f>
        <v>79502</v>
      </c>
      <c r="Q42" s="23">
        <f t="shared" si="9"/>
        <v>1.5496780161969441E-2</v>
      </c>
    </row>
    <row r="43" spans="1:21" ht="8.4499999999999993" customHeight="1">
      <c r="A43" s="10"/>
      <c r="C43" s="52" t="s">
        <v>0</v>
      </c>
      <c r="E43" s="49" t="s">
        <v>0</v>
      </c>
      <c r="G43" s="49" t="s">
        <v>0</v>
      </c>
      <c r="I43" s="49" t="s">
        <v>0</v>
      </c>
      <c r="K43" s="52" t="s">
        <v>0</v>
      </c>
      <c r="M43" s="52" t="s">
        <v>0</v>
      </c>
      <c r="O43" s="52" t="s">
        <v>0</v>
      </c>
      <c r="Q43" s="23" t="s">
        <v>0</v>
      </c>
    </row>
    <row r="44" spans="1:21" ht="18">
      <c r="A44" s="10" t="s">
        <v>277</v>
      </c>
      <c r="B44" s="199">
        <f>+cbnavar!B44</f>
        <v>109545</v>
      </c>
      <c r="C44" s="294">
        <f>+B44/$B$23</f>
        <v>1.7223709963069926E-2</v>
      </c>
      <c r="D44" s="199">
        <f>+cbnavar!D44</f>
        <v>0</v>
      </c>
      <c r="E44" s="1524">
        <v>0</v>
      </c>
      <c r="F44" s="199">
        <f>+cbnavar!F44</f>
        <v>0</v>
      </c>
      <c r="G44" s="1524">
        <v>0</v>
      </c>
      <c r="H44" s="217">
        <f>+cbnavar!H44</f>
        <v>0</v>
      </c>
      <c r="I44" s="1524">
        <v>0</v>
      </c>
      <c r="J44" s="199">
        <f>+cbnavar!J44</f>
        <v>103130</v>
      </c>
      <c r="K44" s="294">
        <f>+J44/$J$23</f>
        <v>1.4546054631274511E-2</v>
      </c>
      <c r="L44" s="199">
        <f>+cbnavar!L44</f>
        <v>41645</v>
      </c>
      <c r="M44" s="294">
        <f>+L44/$L$23</f>
        <v>7.803134294854859E-3</v>
      </c>
      <c r="N44" s="199">
        <f>+cbnavar!N44</f>
        <v>94203</v>
      </c>
      <c r="O44" s="294">
        <f>+N44/$N$23</f>
        <v>1.6894580814321557E-2</v>
      </c>
      <c r="P44" s="199">
        <f>+cbnavar!P44</f>
        <v>23191</v>
      </c>
      <c r="Q44" s="342">
        <f t="shared" si="9"/>
        <v>4.5204627397579097E-3</v>
      </c>
      <c r="R44" s="14"/>
    </row>
    <row r="45" spans="1:21">
      <c r="A45" s="10"/>
      <c r="B45" s="20">
        <f>+B30+B36+B42+B44</f>
        <v>5969953</v>
      </c>
      <c r="C45" s="52">
        <f>+B45/$B$23</f>
        <v>0.93865296421707234</v>
      </c>
      <c r="D45" s="20">
        <f>+D30+D36+D42+D44</f>
        <v>0</v>
      </c>
      <c r="E45" s="49">
        <v>0</v>
      </c>
      <c r="F45" s="20">
        <f>+F30+F36+F42+F44</f>
        <v>0</v>
      </c>
      <c r="G45" s="49">
        <v>0</v>
      </c>
      <c r="H45" s="20">
        <f>+H30+H36+H42+H44</f>
        <v>0</v>
      </c>
      <c r="I45" s="49">
        <v>0</v>
      </c>
      <c r="J45" s="20">
        <f>+J30+J36+J42+J44</f>
        <v>6720387</v>
      </c>
      <c r="K45" s="52">
        <f>+J45/$J$23</f>
        <v>0.94788244395720955</v>
      </c>
      <c r="L45" s="20">
        <f>+L30+L36+L42+L44</f>
        <v>5099145</v>
      </c>
      <c r="M45" s="52">
        <f>+L45/$L$23</f>
        <v>0.95544034635460873</v>
      </c>
      <c r="N45" s="20">
        <f>+N30+N36+N42+N44</f>
        <v>5342944</v>
      </c>
      <c r="O45" s="52">
        <f>+N45/$N$23</f>
        <v>0.95821575952352345</v>
      </c>
      <c r="P45" s="20">
        <f>+P30+P36+P42+P44</f>
        <v>4915226</v>
      </c>
      <c r="Q45" s="23">
        <f t="shared" si="9"/>
        <v>0.95809132812251774</v>
      </c>
    </row>
    <row r="46" spans="1:21" ht="8.4499999999999993" customHeight="1">
      <c r="A46" s="10"/>
      <c r="C46" s="52" t="s">
        <v>0</v>
      </c>
      <c r="E46" s="49" t="s">
        <v>0</v>
      </c>
      <c r="G46" s="49" t="s">
        <v>0</v>
      </c>
      <c r="I46" s="49" t="s">
        <v>0</v>
      </c>
      <c r="K46" s="52" t="s">
        <v>0</v>
      </c>
      <c r="M46" s="52" t="s">
        <v>0</v>
      </c>
      <c r="O46" s="52" t="s">
        <v>0</v>
      </c>
      <c r="Q46" s="23" t="s">
        <v>0</v>
      </c>
    </row>
    <row r="47" spans="1:21">
      <c r="A47" s="86" t="s">
        <v>278</v>
      </c>
      <c r="C47" s="52" t="s">
        <v>0</v>
      </c>
      <c r="E47" s="49" t="s">
        <v>0</v>
      </c>
      <c r="G47" s="49" t="s">
        <v>0</v>
      </c>
      <c r="I47" s="49" t="s">
        <v>0</v>
      </c>
      <c r="K47" s="52" t="s">
        <v>0</v>
      </c>
      <c r="M47" s="52" t="s">
        <v>0</v>
      </c>
      <c r="O47" s="52" t="s">
        <v>0</v>
      </c>
      <c r="Q47" s="23" t="s">
        <v>0</v>
      </c>
    </row>
    <row r="48" spans="1:21">
      <c r="A48" s="10" t="s">
        <v>279</v>
      </c>
      <c r="B48" s="20">
        <f>+cbnavar!B48</f>
        <v>103837</v>
      </c>
      <c r="C48" s="52">
        <f t="shared" ref="C48:C53" si="10">+B48/$B$23</f>
        <v>1.6326243748553487E-2</v>
      </c>
      <c r="D48" s="20">
        <f>+cbnavar!D48</f>
        <v>0</v>
      </c>
      <c r="E48" s="49">
        <v>0</v>
      </c>
      <c r="F48" s="20">
        <f>+cbnavar!F48</f>
        <v>0</v>
      </c>
      <c r="G48" s="49">
        <v>0</v>
      </c>
      <c r="H48" s="20">
        <f>+cbnavar!H48</f>
        <v>0</v>
      </c>
      <c r="I48" s="49">
        <v>0</v>
      </c>
      <c r="J48" s="20">
        <f>+cbnavar!J48</f>
        <v>103837</v>
      </c>
      <c r="K48" s="52">
        <f t="shared" ref="K48:K53" si="11">+J48/$J$23</f>
        <v>1.4645774020630772E-2</v>
      </c>
      <c r="L48" s="20">
        <f>+cbnavar!L48</f>
        <v>103837</v>
      </c>
      <c r="M48" s="52">
        <f t="shared" ref="M48:M53" si="12">+L48/$L$23</f>
        <v>1.9456214570172745E-2</v>
      </c>
      <c r="N48" s="20">
        <f>+cbnavar!N48</f>
        <v>103837</v>
      </c>
      <c r="O48" s="52">
        <f t="shared" ref="O48:O53" si="13">+N48/$N$23</f>
        <v>1.862236434101576E-2</v>
      </c>
      <c r="P48" s="20">
        <f>+cbnavar!P48</f>
        <v>103837</v>
      </c>
      <c r="Q48" s="23">
        <f t="shared" ref="Q48:Q53" si="14">+P48/$P$23</f>
        <v>2.024023498375413E-2</v>
      </c>
    </row>
    <row r="49" spans="1:21">
      <c r="A49" s="10" t="s">
        <v>280</v>
      </c>
      <c r="B49" s="20">
        <f>+cbnavar!B49</f>
        <v>70114</v>
      </c>
      <c r="C49" s="52">
        <f t="shared" si="10"/>
        <v>1.1023991969972932E-2</v>
      </c>
      <c r="D49" s="20">
        <f>+cbnavar!D49</f>
        <v>0</v>
      </c>
      <c r="E49" s="49">
        <v>0</v>
      </c>
      <c r="F49" s="20">
        <f>+cbnavar!F49</f>
        <v>0</v>
      </c>
      <c r="G49" s="49">
        <v>0</v>
      </c>
      <c r="H49" s="20">
        <f>+cbnavar!H49</f>
        <v>0</v>
      </c>
      <c r="I49" s="49">
        <v>0</v>
      </c>
      <c r="J49" s="20">
        <f>+cbnavar!J49</f>
        <v>70114</v>
      </c>
      <c r="K49" s="52">
        <f t="shared" si="11"/>
        <v>9.8892860895683221E-3</v>
      </c>
      <c r="L49" s="20">
        <f>+cbnavar!L49</f>
        <v>79683</v>
      </c>
      <c r="M49" s="52">
        <f t="shared" si="12"/>
        <v>1.4930415416422614E-2</v>
      </c>
      <c r="N49" s="20">
        <f>+cbnavar!N49</f>
        <v>79683</v>
      </c>
      <c r="O49" s="52">
        <f t="shared" si="13"/>
        <v>1.4290530906951844E-2</v>
      </c>
      <c r="P49" s="20">
        <f>+cbnavar!P49</f>
        <v>70546</v>
      </c>
      <c r="Q49" s="23">
        <f t="shared" si="14"/>
        <v>1.3751048442885666E-2</v>
      </c>
    </row>
    <row r="50" spans="1:21">
      <c r="A50" s="10" t="s">
        <v>290</v>
      </c>
      <c r="B50" s="20">
        <f>+cbnavar!B50</f>
        <v>0</v>
      </c>
      <c r="C50" s="52">
        <f t="shared" si="10"/>
        <v>0</v>
      </c>
      <c r="D50" s="20">
        <f>+cbnavar!D50</f>
        <v>0</v>
      </c>
      <c r="E50" s="49">
        <v>0</v>
      </c>
      <c r="F50" s="20">
        <f>+cbnavar!F50</f>
        <v>0</v>
      </c>
      <c r="G50" s="49">
        <v>0</v>
      </c>
      <c r="H50" s="20">
        <f>+cbnavar!H50</f>
        <v>0</v>
      </c>
      <c r="I50" s="49">
        <v>0</v>
      </c>
      <c r="J50" s="20">
        <f>+cbnavar!J50</f>
        <v>0</v>
      </c>
      <c r="K50" s="238">
        <f t="shared" si="11"/>
        <v>0</v>
      </c>
      <c r="L50" s="20">
        <f>+cbnavar!L50</f>
        <v>0</v>
      </c>
      <c r="M50" s="52">
        <f t="shared" si="12"/>
        <v>0</v>
      </c>
      <c r="N50" s="20">
        <f>+cbnavar!N50</f>
        <v>0</v>
      </c>
      <c r="O50" s="52">
        <f t="shared" si="13"/>
        <v>0</v>
      </c>
      <c r="P50" s="20">
        <v>0</v>
      </c>
      <c r="Q50" s="23">
        <f t="shared" si="14"/>
        <v>0</v>
      </c>
    </row>
    <row r="51" spans="1:21" ht="18">
      <c r="A51" s="10" t="s">
        <v>282</v>
      </c>
      <c r="B51" s="199">
        <f>+cbnavar!B51</f>
        <v>216224</v>
      </c>
      <c r="C51" s="294">
        <f t="shared" si="10"/>
        <v>3.3996800064401221E-2</v>
      </c>
      <c r="D51" s="199">
        <f>+cbnavar!D51</f>
        <v>0</v>
      </c>
      <c r="E51" s="49">
        <v>0</v>
      </c>
      <c r="F51" s="199">
        <f>+cbnavar!F51</f>
        <v>0</v>
      </c>
      <c r="G51" s="49">
        <v>0</v>
      </c>
      <c r="H51" s="217">
        <f>+cbnavar!H51</f>
        <v>0</v>
      </c>
      <c r="I51" s="49">
        <v>0</v>
      </c>
      <c r="J51" s="199">
        <f>+cbnavar!J51</f>
        <v>195557</v>
      </c>
      <c r="K51" s="294">
        <f t="shared" si="11"/>
        <v>2.7582495932591385E-2</v>
      </c>
      <c r="L51" s="199">
        <f>+cbnavar!L51</f>
        <v>54293</v>
      </c>
      <c r="M51" s="294">
        <f t="shared" si="12"/>
        <v>1.0173023658795891E-2</v>
      </c>
      <c r="N51" s="199">
        <f>+cbnavar!N51</f>
        <v>49466</v>
      </c>
      <c r="O51" s="294">
        <f t="shared" si="13"/>
        <v>8.8713452285089662E-3</v>
      </c>
      <c r="P51" s="199">
        <f>+cbnavar!P51</f>
        <v>40618</v>
      </c>
      <c r="Q51" s="342">
        <f t="shared" si="14"/>
        <v>7.9173884508424285E-3</v>
      </c>
      <c r="R51" s="14"/>
      <c r="S51" s="15"/>
      <c r="T51" s="15"/>
      <c r="U51" s="15"/>
    </row>
    <row r="52" spans="1:21" ht="16.5" thickBot="1">
      <c r="A52" s="10" t="s">
        <v>54</v>
      </c>
      <c r="B52" s="79">
        <f>SUM(B48:B51)</f>
        <v>390175</v>
      </c>
      <c r="C52" s="208">
        <f t="shared" si="10"/>
        <v>6.1347035782927641E-2</v>
      </c>
      <c r="D52" s="79">
        <f>SUM(D48:D51)</f>
        <v>0</v>
      </c>
      <c r="E52" s="1525">
        <v>0</v>
      </c>
      <c r="F52" s="79">
        <f>SUM(F48:F51)</f>
        <v>0</v>
      </c>
      <c r="G52" s="1525">
        <v>0</v>
      </c>
      <c r="H52" s="79">
        <f>SUM(H48:H51)</f>
        <v>0</v>
      </c>
      <c r="I52" s="1525">
        <v>0</v>
      </c>
      <c r="J52" s="79">
        <f>SUM(J48:J51)</f>
        <v>369508</v>
      </c>
      <c r="K52" s="208">
        <f t="shared" si="11"/>
        <v>5.2117556042790482E-2</v>
      </c>
      <c r="L52" s="79">
        <f>SUM(L48:L51)</f>
        <v>237813</v>
      </c>
      <c r="M52" s="208">
        <f t="shared" si="12"/>
        <v>4.4559653645391252E-2</v>
      </c>
      <c r="N52" s="79">
        <f>SUM(N48:N51)</f>
        <v>232986</v>
      </c>
      <c r="O52" s="208">
        <f t="shared" si="13"/>
        <v>4.1784240476476567E-2</v>
      </c>
      <c r="P52" s="79">
        <f>SUM(P48:P51)</f>
        <v>215001</v>
      </c>
      <c r="Q52" s="343">
        <f t="shared" si="14"/>
        <v>4.1908671877482227E-2</v>
      </c>
    </row>
    <row r="53" spans="1:21">
      <c r="A53" s="10" t="s">
        <v>0</v>
      </c>
      <c r="B53" s="13">
        <f>+B30+B36+B42+B44+B52</f>
        <v>6360128</v>
      </c>
      <c r="C53" s="109">
        <f t="shared" si="10"/>
        <v>1</v>
      </c>
      <c r="D53" s="13">
        <f>+D30+D36+D42+D44+D52</f>
        <v>0</v>
      </c>
      <c r="E53" s="47">
        <v>0</v>
      </c>
      <c r="F53" s="13">
        <f>+F30+F36+F42+F44+F52</f>
        <v>0</v>
      </c>
      <c r="G53" s="47">
        <v>0</v>
      </c>
      <c r="H53" s="13">
        <f>+H30+H36+H42+H44+H52</f>
        <v>0</v>
      </c>
      <c r="I53" s="47">
        <v>0</v>
      </c>
      <c r="J53" s="13">
        <f>+J30+J36+J42+J44+J52</f>
        <v>7089895</v>
      </c>
      <c r="K53" s="52">
        <f t="shared" si="11"/>
        <v>1</v>
      </c>
      <c r="L53" s="13">
        <f>+L30+L36+L42+L44+L52</f>
        <v>5336958</v>
      </c>
      <c r="M53" s="52">
        <f t="shared" si="12"/>
        <v>1</v>
      </c>
      <c r="N53" s="13">
        <f>+N30+N36+N42+N44+N52</f>
        <v>5575930</v>
      </c>
      <c r="O53" s="52">
        <f t="shared" si="13"/>
        <v>1</v>
      </c>
      <c r="P53" s="13">
        <f>+P30+P36+P42+P44+P52</f>
        <v>5130227</v>
      </c>
      <c r="Q53" s="23">
        <f t="shared" si="14"/>
        <v>1</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sheetData>
  <phoneticPr fontId="0" type="noConversion"/>
  <pageMargins left="0.2" right="0.2" top="0.54" bottom="0.53" header="0.32" footer="0.28999999999999998"/>
  <pageSetup scale="52" orientation="landscape" r:id="rId1"/>
  <headerFooter alignWithMargins="0">
    <oddFooter>&amp;R&amp;P</oddFooter>
  </headerFooter>
</worksheet>
</file>

<file path=xl/worksheets/sheet93.xml><?xml version="1.0" encoding="utf-8"?>
<worksheet xmlns="http://schemas.openxmlformats.org/spreadsheetml/2006/main" xmlns:r="http://schemas.openxmlformats.org/officeDocument/2006/relationships">
  <sheetPr>
    <pageSetUpPr fitToPage="1"/>
  </sheetPr>
  <dimension ref="A1:O172"/>
  <sheetViews>
    <sheetView topLeftCell="A6" workbookViewId="0">
      <pane xSplit="1" ySplit="3" topLeftCell="B9" activePane="bottomRight" state="frozen"/>
      <selection activeCell="N58" sqref="N58"/>
      <selection pane="topRight" activeCell="N58" sqref="N58"/>
      <selection pane="bottomLeft" activeCell="N58" sqref="N58"/>
      <selection pane="bottomRight" activeCell="B9" sqref="B9"/>
    </sheetView>
  </sheetViews>
  <sheetFormatPr baseColWidth="10" defaultColWidth="9" defaultRowHeight="15.75"/>
  <cols>
    <col min="1" max="1" width="33.25" customWidth="1"/>
    <col min="2" max="2" width="17.75" style="20" customWidth="1"/>
    <col min="3" max="3" width="15.75" style="21" customWidth="1"/>
    <col min="4" max="4" width="15.75" style="20" customWidth="1"/>
    <col min="5" max="5" width="14.5" style="21" customWidth="1"/>
    <col min="6" max="6" width="10" style="20" customWidth="1"/>
    <col min="7" max="7" width="8.25" style="21" customWidth="1"/>
    <col min="8" max="8" width="18.125" style="20" customWidth="1"/>
    <col min="9" max="9" width="15.75" style="20" customWidth="1"/>
    <col min="10" max="10" width="15.75" style="21" customWidth="1"/>
    <col min="11" max="11" width="14.5" style="20" customWidth="1"/>
    <col min="12" max="12" width="15.75" style="20" customWidth="1"/>
    <col min="13" max="15" width="15.75" customWidth="1"/>
  </cols>
  <sheetData>
    <row r="1" spans="1:15">
      <c r="A1" s="111" t="s">
        <v>404</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c r="K5" s="42"/>
    </row>
    <row r="6" spans="1:15">
      <c r="B6" s="215" t="s">
        <v>0</v>
      </c>
      <c r="C6" s="193"/>
      <c r="D6" s="194"/>
    </row>
    <row r="7" spans="1:15" ht="16.5" thickBot="1">
      <c r="B7" s="367" t="str">
        <f>+'capitalbkgdes&amp;$'!B7</f>
        <v>Décembre 14</v>
      </c>
      <c r="C7" s="43"/>
      <c r="D7" s="42"/>
      <c r="E7" s="43"/>
      <c r="H7" s="367" t="str">
        <f>+'capitalbkgdes&amp;$'!H7</f>
        <v>Septembre 14</v>
      </c>
      <c r="I7" s="193"/>
      <c r="J7" s="194"/>
      <c r="K7" s="194"/>
    </row>
    <row r="8" spans="1:15" ht="16.5" thickTop="1">
      <c r="A8" s="86" t="s">
        <v>244</v>
      </c>
      <c r="B8" s="348" t="s">
        <v>297</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t="s">
        <v>0</v>
      </c>
      <c r="C9" s="122"/>
      <c r="D9" s="322"/>
      <c r="E9" s="328" t="s">
        <v>0</v>
      </c>
      <c r="H9" s="128"/>
      <c r="I9" s="81"/>
      <c r="J9" s="326" t="s">
        <v>0</v>
      </c>
      <c r="K9" s="328" t="s">
        <v>0</v>
      </c>
    </row>
    <row r="10" spans="1:15">
      <c r="A10" s="10" t="s">
        <v>256</v>
      </c>
      <c r="B10" s="124">
        <v>29033</v>
      </c>
      <c r="C10" s="91">
        <v>61258</v>
      </c>
      <c r="D10" s="323">
        <f t="shared" ref="D10:D15" si="0">SUM(B10:C10)</f>
        <v>90291</v>
      </c>
      <c r="E10" s="329">
        <f>+B10/D10</f>
        <v>0.321549213099866</v>
      </c>
      <c r="F10" s="87" t="s">
        <v>0</v>
      </c>
      <c r="G10" s="98" t="s">
        <v>0</v>
      </c>
      <c r="H10" s="124">
        <v>42525</v>
      </c>
      <c r="I10" s="91">
        <v>28585</v>
      </c>
      <c r="J10" s="323">
        <f t="shared" ref="J10:J15" si="1">SUM(H10:I10)</f>
        <v>71110</v>
      </c>
      <c r="K10" s="329">
        <f>+H10/J10</f>
        <v>0.59801715651807064</v>
      </c>
    </row>
    <row r="11" spans="1:15">
      <c r="A11" s="10" t="s">
        <v>257</v>
      </c>
      <c r="B11" s="124">
        <v>1283094</v>
      </c>
      <c r="C11" s="91">
        <v>1926738</v>
      </c>
      <c r="D11" s="323">
        <f t="shared" si="0"/>
        <v>3209832</v>
      </c>
      <c r="E11" s="329">
        <f>+B11/D11</f>
        <v>0.39973867791211504</v>
      </c>
      <c r="F11" s="87" t="s">
        <v>0</v>
      </c>
      <c r="G11" s="98" t="s">
        <v>0</v>
      </c>
      <c r="H11" s="124">
        <v>1219473</v>
      </c>
      <c r="I11" s="91">
        <v>2324410</v>
      </c>
      <c r="J11" s="323">
        <f t="shared" si="1"/>
        <v>3543883</v>
      </c>
      <c r="K11" s="329">
        <f>+H11/J11</f>
        <v>0.34410645046690314</v>
      </c>
    </row>
    <row r="12" spans="1:15">
      <c r="A12" s="10" t="s">
        <v>258</v>
      </c>
      <c r="B12" s="124">
        <v>-135142</v>
      </c>
      <c r="C12" s="91">
        <v>0</v>
      </c>
      <c r="D12" s="323">
        <f t="shared" si="0"/>
        <v>-135142</v>
      </c>
      <c r="E12" s="329">
        <f>+B12/D12</f>
        <v>1</v>
      </c>
      <c r="F12" s="87" t="s">
        <v>0</v>
      </c>
      <c r="G12" s="98" t="s">
        <v>0</v>
      </c>
      <c r="H12" s="124">
        <v>1399943</v>
      </c>
      <c r="I12" s="91">
        <v>0</v>
      </c>
      <c r="J12" s="323">
        <f t="shared" si="1"/>
        <v>1399943</v>
      </c>
      <c r="K12" s="329">
        <f>+H12/J12</f>
        <v>1</v>
      </c>
    </row>
    <row r="13" spans="1:15">
      <c r="A13" s="10" t="s">
        <v>259</v>
      </c>
      <c r="B13" s="124">
        <v>0</v>
      </c>
      <c r="C13" s="91">
        <v>0</v>
      </c>
      <c r="D13" s="323">
        <f t="shared" si="0"/>
        <v>0</v>
      </c>
      <c r="E13" s="129">
        <v>0</v>
      </c>
      <c r="F13" s="87" t="s">
        <v>0</v>
      </c>
      <c r="G13" s="98" t="s">
        <v>0</v>
      </c>
      <c r="H13" s="124">
        <v>0</v>
      </c>
      <c r="I13" s="91">
        <v>0</v>
      </c>
      <c r="J13" s="323">
        <f t="shared" si="1"/>
        <v>0</v>
      </c>
      <c r="K13" s="129">
        <v>0</v>
      </c>
    </row>
    <row r="14" spans="1:15">
      <c r="A14" s="10" t="s">
        <v>260</v>
      </c>
      <c r="B14" s="685">
        <v>13288</v>
      </c>
      <c r="C14" s="224">
        <v>102110</v>
      </c>
      <c r="D14" s="684">
        <f t="shared" si="0"/>
        <v>115398</v>
      </c>
      <c r="E14" s="329">
        <f>+B14/D14</f>
        <v>0.11514930934678244</v>
      </c>
      <c r="F14" s="87" t="s">
        <v>0</v>
      </c>
      <c r="G14" s="98" t="s">
        <v>0</v>
      </c>
      <c r="H14" s="685">
        <v>37258</v>
      </c>
      <c r="I14" s="224">
        <v>62367</v>
      </c>
      <c r="J14" s="684">
        <f t="shared" si="1"/>
        <v>99625</v>
      </c>
      <c r="K14" s="329">
        <f>+H14/J14</f>
        <v>0.37398243412797993</v>
      </c>
    </row>
    <row r="15" spans="1:15" ht="15.6" customHeight="1">
      <c r="A15" s="10"/>
      <c r="B15" s="664">
        <f>SUM(B10:B14)</f>
        <v>1190273</v>
      </c>
      <c r="C15" s="91">
        <f>SUM(C10:C14)</f>
        <v>2090106</v>
      </c>
      <c r="D15" s="323">
        <f t="shared" si="0"/>
        <v>3280379</v>
      </c>
      <c r="E15" s="329">
        <f>+B15/D15</f>
        <v>0.36284618332211005</v>
      </c>
      <c r="F15" s="87" t="s">
        <v>0</v>
      </c>
      <c r="G15" s="98" t="s">
        <v>0</v>
      </c>
      <c r="H15" s="664">
        <f>SUM(H10:H14)</f>
        <v>2699199</v>
      </c>
      <c r="I15" s="91">
        <f>SUM(I10:I14)</f>
        <v>2415362</v>
      </c>
      <c r="J15" s="323">
        <f t="shared" si="1"/>
        <v>5114561</v>
      </c>
      <c r="K15" s="329">
        <f>+H15/J15</f>
        <v>0.52774793379138507</v>
      </c>
    </row>
    <row r="16" spans="1:15" ht="7.9" customHeight="1">
      <c r="A16" s="10"/>
      <c r="B16" s="124"/>
      <c r="C16" s="92" t="s">
        <v>0</v>
      </c>
      <c r="D16" s="323"/>
      <c r="E16" s="329" t="s">
        <v>0</v>
      </c>
      <c r="F16" s="87"/>
      <c r="G16" s="98" t="s">
        <v>0</v>
      </c>
      <c r="H16" s="124"/>
      <c r="I16" s="92" t="s">
        <v>0</v>
      </c>
      <c r="J16" s="323" t="s">
        <v>0</v>
      </c>
      <c r="K16" s="329" t="s">
        <v>0</v>
      </c>
    </row>
    <row r="17" spans="1:11" ht="15.6" customHeight="1">
      <c r="A17" s="10" t="s">
        <v>261</v>
      </c>
      <c r="B17" s="124">
        <v>0</v>
      </c>
      <c r="C17" s="91">
        <v>796833</v>
      </c>
      <c r="D17" s="323">
        <f t="shared" ref="D17:D23" si="2">SUM(B17:C17)</f>
        <v>796833</v>
      </c>
      <c r="E17" s="129">
        <v>0</v>
      </c>
      <c r="F17"/>
      <c r="G17"/>
      <c r="H17" s="124">
        <v>0</v>
      </c>
      <c r="I17" s="91">
        <v>49563</v>
      </c>
      <c r="J17" s="323">
        <f t="shared" ref="J17:J23" si="3">SUM(H17:I17)</f>
        <v>49563</v>
      </c>
      <c r="K17" s="129">
        <v>0</v>
      </c>
    </row>
    <row r="18" spans="1:11" ht="15.6" customHeight="1">
      <c r="A18" s="10" t="s">
        <v>909</v>
      </c>
      <c r="B18" s="124">
        <v>0</v>
      </c>
      <c r="C18" s="91">
        <v>0</v>
      </c>
      <c r="D18" s="323">
        <v>0</v>
      </c>
      <c r="E18" s="129">
        <v>0</v>
      </c>
      <c r="F18"/>
      <c r="G18"/>
      <c r="H18" s="124">
        <v>0</v>
      </c>
      <c r="I18" s="91">
        <v>0</v>
      </c>
      <c r="J18" s="323">
        <f t="shared" si="3"/>
        <v>0</v>
      </c>
      <c r="K18" s="129">
        <v>0</v>
      </c>
    </row>
    <row r="19" spans="1:11">
      <c r="A19" s="10" t="s">
        <v>262</v>
      </c>
      <c r="B19" s="124">
        <v>0</v>
      </c>
      <c r="C19" s="91">
        <v>0</v>
      </c>
      <c r="D19" s="323">
        <f t="shared" si="2"/>
        <v>0</v>
      </c>
      <c r="E19" s="129">
        <v>0</v>
      </c>
      <c r="F19"/>
      <c r="G19"/>
      <c r="H19" s="124">
        <v>0</v>
      </c>
      <c r="I19" s="91">
        <v>0</v>
      </c>
      <c r="J19" s="323">
        <f t="shared" si="3"/>
        <v>0</v>
      </c>
      <c r="K19" s="129">
        <v>0</v>
      </c>
    </row>
    <row r="20" spans="1:11">
      <c r="A20" s="10" t="s">
        <v>298</v>
      </c>
      <c r="B20" s="124">
        <v>1370542</v>
      </c>
      <c r="C20" s="91">
        <v>428340</v>
      </c>
      <c r="D20" s="323">
        <f t="shared" si="2"/>
        <v>1798882</v>
      </c>
      <c r="E20" s="329">
        <f>+B20/D20</f>
        <v>0.76188543773299189</v>
      </c>
      <c r="F20"/>
      <c r="G20"/>
      <c r="H20" s="124">
        <v>995974</v>
      </c>
      <c r="I20" s="91">
        <v>451296</v>
      </c>
      <c r="J20" s="323">
        <f t="shared" si="3"/>
        <v>1447270</v>
      </c>
      <c r="K20" s="329">
        <f>+H20/J20</f>
        <v>0.68817428676059067</v>
      </c>
    </row>
    <row r="21" spans="1:11">
      <c r="A21" s="10" t="s">
        <v>264</v>
      </c>
      <c r="B21" s="124">
        <v>0</v>
      </c>
      <c r="C21" s="91">
        <v>356354</v>
      </c>
      <c r="D21" s="323">
        <f t="shared" si="2"/>
        <v>356354</v>
      </c>
      <c r="E21" s="129">
        <v>0</v>
      </c>
      <c r="F21"/>
      <c r="G21"/>
      <c r="H21" s="124">
        <v>0</v>
      </c>
      <c r="I21" s="91">
        <v>360539</v>
      </c>
      <c r="J21" s="323">
        <f t="shared" si="3"/>
        <v>360539</v>
      </c>
      <c r="K21" s="129">
        <v>0</v>
      </c>
    </row>
    <row r="22" spans="1:11">
      <c r="A22" s="10" t="s">
        <v>265</v>
      </c>
      <c r="B22" s="685">
        <v>107936</v>
      </c>
      <c r="C22" s="224">
        <v>19744</v>
      </c>
      <c r="D22" s="684">
        <f t="shared" si="2"/>
        <v>127680</v>
      </c>
      <c r="E22" s="329">
        <f>+B22/D22</f>
        <v>0.84536340852130321</v>
      </c>
      <c r="F22"/>
      <c r="G22"/>
      <c r="H22" s="685">
        <v>104861</v>
      </c>
      <c r="I22" s="224">
        <v>13101</v>
      </c>
      <c r="J22" s="684">
        <f t="shared" si="3"/>
        <v>117962</v>
      </c>
      <c r="K22" s="329">
        <f>+H22/J22</f>
        <v>0.88893881080347914</v>
      </c>
    </row>
    <row r="23" spans="1:11">
      <c r="A23" s="10" t="s">
        <v>54</v>
      </c>
      <c r="B23" s="665">
        <f>SUM(B15:B22)</f>
        <v>2668751</v>
      </c>
      <c r="C23" s="94">
        <f>SUM(C15:C22)</f>
        <v>3691377</v>
      </c>
      <c r="D23" s="324">
        <f t="shared" si="2"/>
        <v>6360128</v>
      </c>
      <c r="E23" s="369">
        <f>+B23/D23</f>
        <v>0.41960649219638346</v>
      </c>
      <c r="F23"/>
      <c r="G23"/>
      <c r="H23" s="665">
        <f>SUM(H15:H22)</f>
        <v>3800034</v>
      </c>
      <c r="I23" s="94">
        <f>SUM(I15:I22)</f>
        <v>3289861</v>
      </c>
      <c r="J23" s="324">
        <f t="shared" si="3"/>
        <v>7089895</v>
      </c>
      <c r="K23" s="369">
        <f>+H23/J23</f>
        <v>0.53597888262096971</v>
      </c>
    </row>
    <row r="24" spans="1:11" ht="7.9" customHeight="1">
      <c r="A24" s="10"/>
      <c r="B24" s="124"/>
      <c r="C24" s="92" t="s">
        <v>0</v>
      </c>
      <c r="D24" s="323"/>
      <c r="E24" s="329" t="s">
        <v>0</v>
      </c>
      <c r="F24"/>
      <c r="G24"/>
      <c r="H24" s="124"/>
      <c r="I24" s="92" t="s">
        <v>0</v>
      </c>
      <c r="J24" s="323" t="s">
        <v>0</v>
      </c>
      <c r="K24" s="329" t="s">
        <v>0</v>
      </c>
    </row>
    <row r="25" spans="1:11">
      <c r="A25" s="86" t="s">
        <v>266</v>
      </c>
      <c r="B25" s="124"/>
      <c r="C25" s="92" t="s">
        <v>0</v>
      </c>
      <c r="D25" s="323"/>
      <c r="E25" s="329" t="s">
        <v>0</v>
      </c>
      <c r="F25"/>
      <c r="G25"/>
      <c r="H25" s="124"/>
      <c r="I25" s="92" t="s">
        <v>0</v>
      </c>
      <c r="J25" s="323" t="s">
        <v>0</v>
      </c>
      <c r="K25" s="329" t="s">
        <v>0</v>
      </c>
    </row>
    <row r="26" spans="1:11">
      <c r="A26" s="10" t="s">
        <v>267</v>
      </c>
      <c r="B26" s="124"/>
      <c r="C26" s="92" t="s">
        <v>0</v>
      </c>
      <c r="D26" s="323"/>
      <c r="E26" s="329" t="s">
        <v>0</v>
      </c>
      <c r="F26"/>
      <c r="G26"/>
      <c r="H26" s="124"/>
      <c r="I26" s="92" t="s">
        <v>0</v>
      </c>
      <c r="J26" s="323" t="s">
        <v>0</v>
      </c>
      <c r="K26" s="329" t="s">
        <v>0</v>
      </c>
    </row>
    <row r="27" spans="1:11">
      <c r="A27" s="10" t="s">
        <v>268</v>
      </c>
      <c r="B27" s="124">
        <v>1580652</v>
      </c>
      <c r="C27" s="91">
        <v>2331697</v>
      </c>
      <c r="D27" s="323">
        <f>SUM(B27:C27)</f>
        <v>3912349</v>
      </c>
      <c r="E27" s="329">
        <f>+B27/D27</f>
        <v>0.40401610388030312</v>
      </c>
      <c r="F27"/>
      <c r="G27"/>
      <c r="H27" s="124">
        <v>2853523</v>
      </c>
      <c r="I27" s="91">
        <v>1962242</v>
      </c>
      <c r="J27" s="323">
        <f>SUM(H27:I27)</f>
        <v>4815765</v>
      </c>
      <c r="K27" s="329">
        <f>+H27/J27</f>
        <v>0.59253784185897773</v>
      </c>
    </row>
    <row r="28" spans="1:11">
      <c r="A28" s="10" t="s">
        <v>269</v>
      </c>
      <c r="B28" s="124">
        <v>282609</v>
      </c>
      <c r="C28" s="91">
        <v>12029</v>
      </c>
      <c r="D28" s="323">
        <f>SUM(B28:C28)</f>
        <v>294638</v>
      </c>
      <c r="E28" s="329">
        <f>+B28/D28</f>
        <v>0.95917363001377964</v>
      </c>
      <c r="F28"/>
      <c r="G28"/>
      <c r="H28" s="124">
        <v>268065</v>
      </c>
      <c r="I28" s="91">
        <v>23450</v>
      </c>
      <c r="J28" s="323">
        <f>SUM(H28:I28)</f>
        <v>291515</v>
      </c>
      <c r="K28" s="329">
        <f>+H28/J28</f>
        <v>0.91955817024852926</v>
      </c>
    </row>
    <row r="29" spans="1:11">
      <c r="A29" s="10" t="s">
        <v>270</v>
      </c>
      <c r="B29" s="685">
        <v>229350</v>
      </c>
      <c r="C29" s="224">
        <v>151741</v>
      </c>
      <c r="D29" s="684">
        <f>SUM(B29:C29)</f>
        <v>381091</v>
      </c>
      <c r="E29" s="329">
        <f>+B29/D29</f>
        <v>0.60182476101508564</v>
      </c>
      <c r="F29"/>
      <c r="G29"/>
      <c r="H29" s="685">
        <v>268662</v>
      </c>
      <c r="I29" s="224">
        <v>162328</v>
      </c>
      <c r="J29" s="684">
        <f>SUM(H29:I29)</f>
        <v>430990</v>
      </c>
      <c r="K29" s="329">
        <f>+H29/J29</f>
        <v>0.62336017076962347</v>
      </c>
    </row>
    <row r="30" spans="1:11">
      <c r="A30" s="10"/>
      <c r="B30" s="124">
        <f>SUM(B27:B29)</f>
        <v>2092611</v>
      </c>
      <c r="C30" s="91">
        <f>SUM(C27:C29)</f>
        <v>2495467</v>
      </c>
      <c r="D30" s="323">
        <f>SUM(B30:C30)</f>
        <v>4588078</v>
      </c>
      <c r="E30" s="329">
        <f>+B30/D30</f>
        <v>0.45609752057397457</v>
      </c>
      <c r="F30"/>
      <c r="G30"/>
      <c r="H30" s="124">
        <f>SUM(H27:H29)</f>
        <v>3390250</v>
      </c>
      <c r="I30" s="91">
        <f>SUM(I27:I29)</f>
        <v>2148020</v>
      </c>
      <c r="J30" s="323">
        <f>SUM(H30:I30)</f>
        <v>5538270</v>
      </c>
      <c r="K30" s="329">
        <f>+H30/J30</f>
        <v>0.61214964239735514</v>
      </c>
    </row>
    <row r="31" spans="1:11" ht="7.9" customHeight="1">
      <c r="A31" s="10"/>
      <c r="B31" s="124"/>
      <c r="C31" s="92" t="s">
        <v>0</v>
      </c>
      <c r="D31" s="323"/>
      <c r="E31" s="329" t="s">
        <v>0</v>
      </c>
      <c r="F31"/>
      <c r="G31"/>
      <c r="H31" s="124"/>
      <c r="I31" s="92" t="s">
        <v>0</v>
      </c>
      <c r="J31" s="323" t="s">
        <v>0</v>
      </c>
      <c r="K31" s="329" t="s">
        <v>0</v>
      </c>
    </row>
    <row r="32" spans="1:11">
      <c r="A32" s="10" t="s">
        <v>271</v>
      </c>
      <c r="B32" s="124"/>
      <c r="C32" s="92" t="s">
        <v>0</v>
      </c>
      <c r="D32" s="323"/>
      <c r="E32" s="329" t="s">
        <v>0</v>
      </c>
      <c r="F32"/>
      <c r="G32"/>
      <c r="H32" s="124"/>
      <c r="I32" s="92" t="s">
        <v>0</v>
      </c>
      <c r="J32" s="323" t="s">
        <v>0</v>
      </c>
      <c r="K32" s="329" t="s">
        <v>0</v>
      </c>
    </row>
    <row r="33" spans="1:15">
      <c r="A33" s="10" t="s">
        <v>272</v>
      </c>
      <c r="B33" s="124">
        <v>0</v>
      </c>
      <c r="C33" s="91">
        <v>300000</v>
      </c>
      <c r="D33" s="323">
        <f>SUM(B33:C33)</f>
        <v>300000</v>
      </c>
      <c r="E33" s="129">
        <v>0</v>
      </c>
      <c r="F33"/>
      <c r="G33"/>
      <c r="H33" s="124">
        <v>0</v>
      </c>
      <c r="I33" s="91">
        <v>300000</v>
      </c>
      <c r="J33" s="323">
        <f>SUM(H33:I33)</f>
        <v>300000</v>
      </c>
      <c r="K33" s="129">
        <v>0</v>
      </c>
    </row>
    <row r="34" spans="1:15">
      <c r="A34" s="10" t="s">
        <v>273</v>
      </c>
      <c r="B34" s="124">
        <v>140243</v>
      </c>
      <c r="C34" s="91">
        <v>0</v>
      </c>
      <c r="D34" s="323">
        <f>SUM(B34:C34)</f>
        <v>140243</v>
      </c>
      <c r="E34" s="129">
        <v>0</v>
      </c>
      <c r="F34"/>
      <c r="G34"/>
      <c r="H34" s="124">
        <v>0</v>
      </c>
      <c r="I34" s="91">
        <v>0</v>
      </c>
      <c r="J34" s="323">
        <f>SUM(H34:I34)</f>
        <v>0</v>
      </c>
      <c r="K34" s="129">
        <v>0</v>
      </c>
    </row>
    <row r="35" spans="1:15" ht="18">
      <c r="A35" s="10" t="s">
        <v>274</v>
      </c>
      <c r="B35" s="685">
        <v>308011</v>
      </c>
      <c r="C35" s="224">
        <v>398709</v>
      </c>
      <c r="D35" s="684">
        <f>SUM(B35:C35)</f>
        <v>706720</v>
      </c>
      <c r="E35" s="329">
        <f>+B35/D35</f>
        <v>0.43583172968077882</v>
      </c>
      <c r="F35"/>
      <c r="G35"/>
      <c r="H35" s="685">
        <v>292008</v>
      </c>
      <c r="I35" s="224">
        <v>371605</v>
      </c>
      <c r="J35" s="684">
        <f>SUM(H35:I35)</f>
        <v>663613</v>
      </c>
      <c r="K35" s="329">
        <f>+H35/J35</f>
        <v>0.44002754617525575</v>
      </c>
      <c r="L35" s="14"/>
      <c r="M35" s="15"/>
      <c r="N35" s="15"/>
      <c r="O35" s="15"/>
    </row>
    <row r="36" spans="1:15">
      <c r="A36" s="10"/>
      <c r="B36" s="124">
        <f>SUM(B33:B35)</f>
        <v>448254</v>
      </c>
      <c r="C36" s="91">
        <f>SUM(C33:C35)</f>
        <v>698709</v>
      </c>
      <c r="D36" s="323">
        <f>SUM(B36:C36)</f>
        <v>1146963</v>
      </c>
      <c r="E36" s="329">
        <f>+B36/D36</f>
        <v>0.39081818681160596</v>
      </c>
      <c r="F36"/>
      <c r="G36"/>
      <c r="H36" s="124">
        <f>SUM(H33:H35)</f>
        <v>292008</v>
      </c>
      <c r="I36" s="91">
        <f>SUM(I33:I35)</f>
        <v>671605</v>
      </c>
      <c r="J36" s="323">
        <f>SUM(H36:I36)</f>
        <v>963613</v>
      </c>
      <c r="K36" s="329">
        <f>+H36/J36</f>
        <v>0.30303451696894917</v>
      </c>
    </row>
    <row r="37" spans="1:15" ht="7.15" customHeight="1">
      <c r="A37" s="10"/>
      <c r="B37" s="124"/>
      <c r="C37" s="92" t="s">
        <v>0</v>
      </c>
      <c r="D37" s="323"/>
      <c r="E37" s="329" t="s">
        <v>54</v>
      </c>
      <c r="F37"/>
      <c r="G37"/>
      <c r="H37" s="124"/>
      <c r="I37" s="92" t="s">
        <v>0</v>
      </c>
      <c r="J37" s="323" t="s">
        <v>0</v>
      </c>
      <c r="K37" s="329" t="s">
        <v>54</v>
      </c>
    </row>
    <row r="38" spans="1:15">
      <c r="A38" s="10" t="s">
        <v>275</v>
      </c>
      <c r="B38" s="124"/>
      <c r="C38" s="92" t="s">
        <v>0</v>
      </c>
      <c r="D38" s="323"/>
      <c r="E38" s="329" t="s">
        <v>0</v>
      </c>
      <c r="F38"/>
      <c r="G38"/>
      <c r="H38" s="124"/>
      <c r="I38" s="92" t="s">
        <v>0</v>
      </c>
      <c r="J38" s="323" t="s">
        <v>0</v>
      </c>
      <c r="K38" s="329" t="s">
        <v>0</v>
      </c>
    </row>
    <row r="39" spans="1:15">
      <c r="A39" s="10" t="s">
        <v>272</v>
      </c>
      <c r="B39" s="124">
        <v>0</v>
      </c>
      <c r="C39" s="91">
        <v>0</v>
      </c>
      <c r="D39" s="323">
        <f>SUM(B39:C39)</f>
        <v>0</v>
      </c>
      <c r="E39" s="129">
        <v>0</v>
      </c>
      <c r="F39"/>
      <c r="G39"/>
      <c r="H39" s="124">
        <v>0</v>
      </c>
      <c r="I39" s="91">
        <v>0</v>
      </c>
      <c r="J39" s="323">
        <f>SUM(H39:I39)</f>
        <v>0</v>
      </c>
      <c r="K39" s="129">
        <v>0</v>
      </c>
    </row>
    <row r="40" spans="1:15">
      <c r="A40" s="10" t="s">
        <v>276</v>
      </c>
      <c r="B40" s="124">
        <v>0</v>
      </c>
      <c r="C40" s="91">
        <v>0</v>
      </c>
      <c r="D40" s="323">
        <f>SUM(B40:C40)</f>
        <v>0</v>
      </c>
      <c r="E40" s="129">
        <v>0</v>
      </c>
      <c r="F40"/>
      <c r="G40"/>
      <c r="H40" s="124">
        <v>0</v>
      </c>
      <c r="I40" s="91">
        <v>0</v>
      </c>
      <c r="J40" s="323">
        <f>SUM(H40:I40)</f>
        <v>0</v>
      </c>
      <c r="K40" s="129">
        <v>0</v>
      </c>
    </row>
    <row r="41" spans="1:15">
      <c r="A41" s="10" t="s">
        <v>274</v>
      </c>
      <c r="B41" s="685">
        <v>21123</v>
      </c>
      <c r="C41" s="224">
        <v>104244</v>
      </c>
      <c r="D41" s="684">
        <f>SUM(B41:C41)</f>
        <v>125367</v>
      </c>
      <c r="E41" s="329">
        <f>+B41/D41</f>
        <v>0.16848931537007347</v>
      </c>
      <c r="F41"/>
      <c r="G41"/>
      <c r="H41" s="685">
        <v>18188</v>
      </c>
      <c r="I41" s="224">
        <v>97186</v>
      </c>
      <c r="J41" s="684">
        <f>SUM(H41:I41)</f>
        <v>115374</v>
      </c>
      <c r="K41" s="329">
        <f>+H41/J41</f>
        <v>0.15764383656629744</v>
      </c>
    </row>
    <row r="42" spans="1:15">
      <c r="A42" s="10"/>
      <c r="B42" s="124">
        <f>SUM(B39:B41)</f>
        <v>21123</v>
      </c>
      <c r="C42" s="91">
        <f>SUM(C39:C41)</f>
        <v>104244</v>
      </c>
      <c r="D42" s="323">
        <f>SUM(B42:C42)</f>
        <v>125367</v>
      </c>
      <c r="E42" s="329">
        <f>+B42/D42</f>
        <v>0.16848931537007347</v>
      </c>
      <c r="F42"/>
      <c r="G42"/>
      <c r="H42" s="124">
        <f>SUM(H39:H41)</f>
        <v>18188</v>
      </c>
      <c r="I42" s="91">
        <f>SUM(I39:I41)</f>
        <v>97186</v>
      </c>
      <c r="J42" s="323">
        <f>SUM(H42:I42)</f>
        <v>115374</v>
      </c>
      <c r="K42" s="329">
        <f>+H42/J42</f>
        <v>0.15764383656629744</v>
      </c>
    </row>
    <row r="43" spans="1:15" ht="8.4499999999999993" customHeight="1">
      <c r="A43" s="10"/>
      <c r="B43" s="124"/>
      <c r="C43" s="92" t="s">
        <v>0</v>
      </c>
      <c r="D43" s="323"/>
      <c r="E43" s="329" t="s">
        <v>0</v>
      </c>
      <c r="F43"/>
      <c r="G43"/>
      <c r="H43" s="124"/>
      <c r="I43" s="92" t="s">
        <v>0</v>
      </c>
      <c r="J43" s="323" t="s">
        <v>0</v>
      </c>
      <c r="K43" s="329" t="s">
        <v>0</v>
      </c>
    </row>
    <row r="44" spans="1:15" ht="18">
      <c r="A44" s="10" t="s">
        <v>277</v>
      </c>
      <c r="B44" s="685">
        <v>109545</v>
      </c>
      <c r="C44" s="224">
        <v>0</v>
      </c>
      <c r="D44" s="684">
        <f>SUM(B44:C44)</f>
        <v>109545</v>
      </c>
      <c r="E44" s="329">
        <f>+B44/D44</f>
        <v>1</v>
      </c>
      <c r="F44"/>
      <c r="G44"/>
      <c r="H44" s="685">
        <v>103130</v>
      </c>
      <c r="I44" s="224">
        <v>0</v>
      </c>
      <c r="J44" s="684">
        <f>SUM(H44:I44)</f>
        <v>103130</v>
      </c>
      <c r="K44" s="329">
        <f>+H44/J44</f>
        <v>1</v>
      </c>
      <c r="L44" s="14"/>
    </row>
    <row r="45" spans="1:15">
      <c r="A45" s="10"/>
      <c r="B45" s="124">
        <f>+B30+B36+B41+B44</f>
        <v>2671533</v>
      </c>
      <c r="C45" s="91">
        <f>+C30+C36+C41+C44</f>
        <v>3298420</v>
      </c>
      <c r="D45" s="323">
        <f>+D30+D36+D42+D44</f>
        <v>5969953</v>
      </c>
      <c r="E45" s="329">
        <f>+B45/D45</f>
        <v>0.44749648782829615</v>
      </c>
      <c r="F45"/>
      <c r="G45"/>
      <c r="H45" s="124">
        <f>+H30+H36+H41+H44</f>
        <v>3803576</v>
      </c>
      <c r="I45" s="91">
        <f>+I30+I36+I41+I44</f>
        <v>2916811</v>
      </c>
      <c r="J45" s="323">
        <f>+J30+J36+J42+J44</f>
        <v>6720387</v>
      </c>
      <c r="K45" s="329">
        <f>+H45/J45</f>
        <v>0.5659757391947815</v>
      </c>
    </row>
    <row r="46" spans="1:15" ht="8.4499999999999993" customHeight="1">
      <c r="A46" s="10"/>
      <c r="B46" s="124"/>
      <c r="C46" s="92" t="s">
        <v>0</v>
      </c>
      <c r="D46" s="323"/>
      <c r="E46" s="329" t="s">
        <v>0</v>
      </c>
      <c r="F46"/>
      <c r="G46"/>
      <c r="H46" s="124"/>
      <c r="I46" s="92" t="s">
        <v>0</v>
      </c>
      <c r="J46" s="323" t="s">
        <v>0</v>
      </c>
      <c r="K46" s="329" t="s">
        <v>0</v>
      </c>
    </row>
    <row r="47" spans="1:15">
      <c r="A47" s="86" t="s">
        <v>278</v>
      </c>
      <c r="B47" s="124"/>
      <c r="C47" s="92" t="s">
        <v>0</v>
      </c>
      <c r="D47" s="323"/>
      <c r="E47" s="329" t="s">
        <v>0</v>
      </c>
      <c r="F47"/>
      <c r="G47"/>
      <c r="H47" s="124"/>
      <c r="I47" s="92" t="s">
        <v>0</v>
      </c>
      <c r="J47" s="323" t="s">
        <v>0</v>
      </c>
      <c r="K47" s="329" t="s">
        <v>0</v>
      </c>
    </row>
    <row r="48" spans="1:15">
      <c r="A48" s="10" t="s">
        <v>279</v>
      </c>
      <c r="B48" s="124">
        <v>0</v>
      </c>
      <c r="C48" s="91">
        <f>+cbnavar!B48</f>
        <v>103837</v>
      </c>
      <c r="D48" s="323">
        <f>SUM(B48:C48)</f>
        <v>103837</v>
      </c>
      <c r="E48" s="129">
        <f>+B48/D48</f>
        <v>0</v>
      </c>
      <c r="F48"/>
      <c r="G48"/>
      <c r="H48" s="124">
        <v>0</v>
      </c>
      <c r="I48" s="91">
        <v>103837</v>
      </c>
      <c r="J48" s="323">
        <f>SUM(H48:I48)</f>
        <v>103837</v>
      </c>
      <c r="K48" s="129">
        <f>+H48/J48</f>
        <v>0</v>
      </c>
    </row>
    <row r="49" spans="1:15">
      <c r="A49" s="10" t="s">
        <v>280</v>
      </c>
      <c r="B49" s="124">
        <v>0</v>
      </c>
      <c r="C49" s="91">
        <f>+cbnavar!B49</f>
        <v>70114</v>
      </c>
      <c r="D49" s="323">
        <f>SUM(B49:C49)</f>
        <v>70114</v>
      </c>
      <c r="E49" s="129">
        <v>0</v>
      </c>
      <c r="F49"/>
      <c r="G49"/>
      <c r="H49" s="124">
        <v>0</v>
      </c>
      <c r="I49" s="91">
        <v>70114</v>
      </c>
      <c r="J49" s="323">
        <f>SUM(H49:I49)</f>
        <v>70114</v>
      </c>
      <c r="K49" s="129">
        <v>0</v>
      </c>
    </row>
    <row r="50" spans="1:15">
      <c r="A50" s="10" t="s">
        <v>290</v>
      </c>
      <c r="B50" s="124">
        <v>0</v>
      </c>
      <c r="C50" s="91">
        <f>+cbnavar!B50</f>
        <v>0</v>
      </c>
      <c r="D50" s="323">
        <f>SUM(B50:C50)</f>
        <v>0</v>
      </c>
      <c r="E50" s="129">
        <v>0</v>
      </c>
      <c r="F50"/>
      <c r="G50"/>
      <c r="H50" s="124">
        <v>0</v>
      </c>
      <c r="I50" s="92">
        <v>0</v>
      </c>
      <c r="J50" s="323">
        <f>SUM(H50:I50)</f>
        <v>0</v>
      </c>
      <c r="K50" s="129">
        <v>0</v>
      </c>
    </row>
    <row r="51" spans="1:15" ht="18">
      <c r="A51" s="10" t="s">
        <v>282</v>
      </c>
      <c r="B51" s="685">
        <v>0</v>
      </c>
      <c r="C51" s="199">
        <f>+cbnavar!B51</f>
        <v>216224</v>
      </c>
      <c r="D51" s="512">
        <f>SUM(B51:C51)</f>
        <v>216224</v>
      </c>
      <c r="E51" s="129">
        <v>0</v>
      </c>
      <c r="F51"/>
      <c r="G51"/>
      <c r="H51" s="685">
        <v>0</v>
      </c>
      <c r="I51" s="224">
        <v>195557</v>
      </c>
      <c r="J51" s="684">
        <f>SUM(H51:I51)</f>
        <v>195557</v>
      </c>
      <c r="K51" s="129">
        <v>0</v>
      </c>
      <c r="L51" s="14"/>
      <c r="M51" s="15"/>
      <c r="N51" s="15"/>
      <c r="O51" s="15"/>
    </row>
    <row r="52" spans="1:15">
      <c r="A52" s="10" t="s">
        <v>54</v>
      </c>
      <c r="B52" s="124">
        <f>SUM(B48:B51)</f>
        <v>0</v>
      </c>
      <c r="C52" s="91">
        <f>SUM(C48:C51)</f>
        <v>390175</v>
      </c>
      <c r="D52" s="323">
        <f>SUM(B52:C52)</f>
        <v>390175</v>
      </c>
      <c r="E52" s="129">
        <v>0</v>
      </c>
      <c r="F52"/>
      <c r="G52"/>
      <c r="H52" s="124">
        <f>SUM(H48:H51)</f>
        <v>0</v>
      </c>
      <c r="I52" s="91">
        <f>SUM(I48:I51)</f>
        <v>369508</v>
      </c>
      <c r="J52" s="323">
        <f>SUM(H52:I52)</f>
        <v>369508</v>
      </c>
      <c r="K52" s="129">
        <v>0</v>
      </c>
    </row>
    <row r="53" spans="1:15">
      <c r="A53" s="10" t="s">
        <v>0</v>
      </c>
      <c r="B53" s="124"/>
      <c r="C53" s="92" t="s">
        <v>0</v>
      </c>
      <c r="D53" s="323"/>
      <c r="E53" s="329" t="s">
        <v>0</v>
      </c>
      <c r="F53"/>
      <c r="G53"/>
      <c r="H53" s="124"/>
      <c r="I53" s="92" t="s">
        <v>0</v>
      </c>
      <c r="J53" s="323" t="s">
        <v>0</v>
      </c>
      <c r="K53" s="329" t="s">
        <v>0</v>
      </c>
    </row>
    <row r="54" spans="1:15" ht="16.5" thickBot="1">
      <c r="A54" s="10" t="s">
        <v>0</v>
      </c>
      <c r="B54" s="126">
        <f>+B30+B36+B42+B44+B52</f>
        <v>2671533</v>
      </c>
      <c r="C54" s="127">
        <f>+C30+C36+C42+C44+C52</f>
        <v>3688595</v>
      </c>
      <c r="D54" s="325">
        <f>SUM(B54:C54)</f>
        <v>6360128</v>
      </c>
      <c r="E54" s="368">
        <f>+B54/D54</f>
        <v>0.42004390477675924</v>
      </c>
      <c r="F54"/>
      <c r="G54"/>
      <c r="H54" s="126">
        <f>+H30+H36+H42+H44+H52</f>
        <v>3803576</v>
      </c>
      <c r="I54" s="127">
        <f>+I30+I36+I42+I44+I52</f>
        <v>3286319</v>
      </c>
      <c r="J54" s="325">
        <f>SUM(H54:I54)</f>
        <v>7089895</v>
      </c>
      <c r="K54" s="368">
        <f>+H54/J54</f>
        <v>0.5364784668884377</v>
      </c>
    </row>
    <row r="55" spans="1:15" ht="16.5" thickTop="1">
      <c r="A55" s="10"/>
      <c r="B55" s="94"/>
      <c r="C55" s="94"/>
      <c r="D55" s="339"/>
      <c r="E55" s="237"/>
      <c r="F55"/>
      <c r="G55"/>
      <c r="H55" s="94"/>
      <c r="I55" s="94"/>
      <c r="J55" s="339"/>
      <c r="K55" s="230"/>
    </row>
    <row r="56" spans="1:15">
      <c r="A56" s="10"/>
      <c r="B56" s="90" t="str">
        <f>+'capitalbkgdes&amp;$'!B56</f>
        <v xml:space="preserve">* converties au taux de 46,7477 Gdes </v>
      </c>
      <c r="C56"/>
      <c r="D56" s="90"/>
      <c r="E56" s="98" t="s">
        <v>0</v>
      </c>
      <c r="F56"/>
      <c r="G56"/>
      <c r="H56" s="90" t="str">
        <f>+'capitalbkgdes&amp;$'!H56</f>
        <v xml:space="preserve">* converties au taux de 45,5577 Gdes </v>
      </c>
      <c r="I56"/>
      <c r="J56" s="88" t="s">
        <v>0</v>
      </c>
    </row>
    <row r="57" spans="1:15">
      <c r="C57" s="48"/>
      <c r="E57" s="112" t="s">
        <v>0</v>
      </c>
      <c r="F57"/>
      <c r="G57"/>
      <c r="H57"/>
      <c r="J57" s="48"/>
    </row>
    <row r="58" spans="1:15">
      <c r="B58"/>
      <c r="C58"/>
      <c r="D58"/>
      <c r="E58" s="112" t="s">
        <v>0</v>
      </c>
      <c r="F58"/>
      <c r="G58"/>
      <c r="H58"/>
      <c r="J58" s="48"/>
    </row>
    <row r="59" spans="1:15">
      <c r="B59"/>
      <c r="C59"/>
      <c r="D59"/>
      <c r="E59" s="112" t="s">
        <v>0</v>
      </c>
      <c r="F59"/>
      <c r="G59"/>
      <c r="H59"/>
      <c r="I59"/>
      <c r="J59"/>
    </row>
    <row r="60" spans="1:15">
      <c r="B60"/>
      <c r="C60"/>
      <c r="D60"/>
      <c r="E60" s="112" t="s">
        <v>0</v>
      </c>
      <c r="F60"/>
      <c r="G60"/>
      <c r="H60"/>
      <c r="I60"/>
      <c r="J60"/>
    </row>
    <row r="61" spans="1:15">
      <c r="B61"/>
      <c r="C61"/>
      <c r="D61"/>
      <c r="E61" s="112" t="s">
        <v>0</v>
      </c>
      <c r="F61"/>
      <c r="G61"/>
      <c r="H61"/>
      <c r="I61"/>
      <c r="J61"/>
    </row>
    <row r="62" spans="1:15">
      <c r="B62"/>
      <c r="C62"/>
      <c r="D62"/>
      <c r="E62" s="112" t="s">
        <v>0</v>
      </c>
      <c r="F62"/>
      <c r="G62"/>
      <c r="H62"/>
      <c r="I62"/>
      <c r="J62"/>
    </row>
    <row r="63" spans="1:15">
      <c r="B63"/>
      <c r="C63"/>
      <c r="D63"/>
      <c r="E63" s="112" t="s">
        <v>0</v>
      </c>
      <c r="F63"/>
      <c r="G63"/>
      <c r="H63"/>
      <c r="I63"/>
      <c r="J63"/>
    </row>
    <row r="64" spans="1:15">
      <c r="B64"/>
      <c r="C64"/>
      <c r="D64"/>
      <c r="E64" s="112" t="s">
        <v>0</v>
      </c>
      <c r="F64"/>
      <c r="G64"/>
      <c r="H64"/>
      <c r="I64"/>
      <c r="J64"/>
    </row>
    <row r="65" spans="2:12">
      <c r="B65"/>
      <c r="C65"/>
      <c r="D65"/>
      <c r="E65" s="112" t="s">
        <v>0</v>
      </c>
      <c r="F65"/>
      <c r="G65"/>
      <c r="H65"/>
      <c r="I65"/>
      <c r="J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7" right="0.28999999999999998" top="0.66" bottom="0.62" header="0.5" footer="0.22"/>
  <pageSetup scale="63" orientation="landscape" r:id="rId1"/>
  <headerFooter alignWithMargins="0">
    <oddFooter>&amp;R&amp;P</oddFooter>
  </headerFooter>
</worksheet>
</file>

<file path=xl/worksheets/sheet94.xml><?xml version="1.0" encoding="utf-8"?>
<worksheet xmlns="http://schemas.openxmlformats.org/spreadsheetml/2006/main" xmlns:r="http://schemas.openxmlformats.org/officeDocument/2006/relationships">
  <sheetPr>
    <pageSetUpPr fitToPage="1"/>
  </sheetPr>
  <dimension ref="A1:V122"/>
  <sheetViews>
    <sheetView workbookViewId="0">
      <selection activeCell="B8" sqref="B8"/>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8.75" style="33" customWidth="1"/>
    <col min="12" max="12" width="15.75" style="33" customWidth="1"/>
    <col min="13" max="13" width="9" style="33"/>
    <col min="14" max="14" width="15.75" style="33" customWidth="1"/>
    <col min="15" max="15" width="9" style="33"/>
    <col min="16" max="16" width="15.75" style="33" customWidth="1"/>
    <col min="17" max="17" width="9" style="33"/>
    <col min="18" max="18" width="15.75" style="33" customWidth="1"/>
    <col min="19" max="19" width="9" style="33"/>
    <col min="20" max="20" width="16.75" style="33" customWidth="1"/>
    <col min="21" max="21" width="13.25" style="33" customWidth="1"/>
  </cols>
  <sheetData>
    <row r="1" spans="1:22">
      <c r="A1" s="111" t="s">
        <v>404</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5" spans="1:22">
      <c r="A5" s="111"/>
      <c r="B5" s="45"/>
      <c r="C5" s="45"/>
      <c r="D5" s="45"/>
      <c r="E5" s="45"/>
      <c r="F5" s="45"/>
      <c r="G5" s="45"/>
      <c r="H5" s="45"/>
      <c r="I5" s="45"/>
      <c r="J5" s="45"/>
      <c r="K5" s="45"/>
      <c r="L5" s="45"/>
      <c r="M5" s="45"/>
      <c r="N5" s="45"/>
      <c r="O5" s="45"/>
      <c r="P5" s="45"/>
      <c r="Q5" s="45"/>
      <c r="R5" s="45"/>
      <c r="S5" s="45"/>
      <c r="T5" s="45"/>
    </row>
    <row r="6" spans="1:22" s="11" customFormat="1" ht="16.5" thickBot="1">
      <c r="B6" s="1022">
        <f>+'CAPITALBKRÉSULT      '!B6</f>
        <v>2015</v>
      </c>
      <c r="C6" s="345"/>
      <c r="D6" s="346"/>
      <c r="E6" s="345"/>
      <c r="F6" s="346"/>
      <c r="G6" s="345"/>
      <c r="H6" s="346"/>
      <c r="I6" s="347"/>
      <c r="J6" s="332" t="str">
        <f>+'CAPITALBKRÉSULT      '!J6</f>
        <v>2014</v>
      </c>
      <c r="K6" s="345"/>
      <c r="L6" s="346"/>
      <c r="M6" s="345"/>
      <c r="N6" s="346"/>
      <c r="O6" s="345"/>
      <c r="P6" s="346"/>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35" t="s">
        <v>0</v>
      </c>
      <c r="E9" s="35" t="s">
        <v>0</v>
      </c>
      <c r="F9" s="35" t="s">
        <v>0</v>
      </c>
      <c r="G9" s="35" t="s">
        <v>0</v>
      </c>
      <c r="H9" s="35" t="s">
        <v>0</v>
      </c>
      <c r="I9" s="35" t="s">
        <v>0</v>
      </c>
      <c r="J9" s="24" t="s">
        <v>0</v>
      </c>
      <c r="K9" s="52" t="s">
        <v>0</v>
      </c>
      <c r="L9" s="24" t="s">
        <v>0</v>
      </c>
      <c r="M9" s="52" t="s">
        <v>0</v>
      </c>
      <c r="N9" s="24" t="s">
        <v>0</v>
      </c>
      <c r="O9" s="52" t="s">
        <v>0</v>
      </c>
      <c r="P9" s="24" t="s">
        <v>0</v>
      </c>
      <c r="R9" s="35" t="s">
        <v>0</v>
      </c>
      <c r="S9" s="35" t="s">
        <v>0</v>
      </c>
      <c r="T9" s="35" t="s">
        <v>0</v>
      </c>
    </row>
    <row r="10" spans="1:22">
      <c r="A10" t="s">
        <v>302</v>
      </c>
      <c r="B10" s="20">
        <f>+B50</f>
        <v>33688</v>
      </c>
      <c r="C10" s="48">
        <v>0</v>
      </c>
      <c r="D10" s="20">
        <f>+F50</f>
        <v>0</v>
      </c>
      <c r="E10" s="48">
        <v>0</v>
      </c>
      <c r="F10" s="20">
        <f>+J50</f>
        <v>0</v>
      </c>
      <c r="G10" s="48">
        <v>0</v>
      </c>
      <c r="H10" s="20">
        <f>+N50</f>
        <v>0</v>
      </c>
      <c r="J10" s="87">
        <f>+D50</f>
        <v>34865</v>
      </c>
      <c r="K10" s="51">
        <f t="shared" ref="K10:K15" si="0">+(-J10+L10)/ABS(J10)</f>
        <v>3.5250250968019502E-2</v>
      </c>
      <c r="L10" s="87">
        <f>+H50</f>
        <v>36094</v>
      </c>
      <c r="M10" s="51">
        <f t="shared" ref="M10:M15" si="1">+(-L10+N10)/ABS(L10)</f>
        <v>4.1391921094918821E-2</v>
      </c>
      <c r="N10" s="20">
        <f>+L50</f>
        <v>37588</v>
      </c>
      <c r="O10" s="51">
        <f t="shared" ref="O10:O15" si="2">+(-N10+P10)/ABS(N10)</f>
        <v>-0.11679259338086623</v>
      </c>
      <c r="P10" s="87">
        <f>+P50</f>
        <v>33198</v>
      </c>
    </row>
    <row r="11" spans="1:22">
      <c r="A11" t="s">
        <v>322</v>
      </c>
      <c r="B11" s="20">
        <f>+B51</f>
        <v>7508</v>
      </c>
      <c r="C11" s="48">
        <v>0</v>
      </c>
      <c r="D11" s="20">
        <f>+F51</f>
        <v>0</v>
      </c>
      <c r="E11" s="48">
        <v>0</v>
      </c>
      <c r="F11" s="20">
        <f>+J51</f>
        <v>0</v>
      </c>
      <c r="G11" s="48">
        <v>0</v>
      </c>
      <c r="H11" s="20">
        <f>+N51</f>
        <v>0</v>
      </c>
      <c r="J11" s="87">
        <f>+D51</f>
        <v>117</v>
      </c>
      <c r="K11" s="51">
        <f t="shared" si="0"/>
        <v>-0.70085470085470081</v>
      </c>
      <c r="L11" s="87">
        <f>+H51</f>
        <v>35</v>
      </c>
      <c r="M11" s="51">
        <f t="shared" si="1"/>
        <v>8.5142857142857142</v>
      </c>
      <c r="N11" s="20">
        <f>+L51</f>
        <v>333</v>
      </c>
      <c r="O11" s="51">
        <f t="shared" si="2"/>
        <v>5.3093093093093096</v>
      </c>
      <c r="P11" s="87">
        <f>+P51</f>
        <v>2101</v>
      </c>
    </row>
    <row r="12" spans="1:22">
      <c r="A12" t="s">
        <v>304</v>
      </c>
      <c r="B12" s="217">
        <f>+B52</f>
        <v>84</v>
      </c>
      <c r="C12" s="48">
        <v>0</v>
      </c>
      <c r="D12" s="217">
        <f>+F52</f>
        <v>0</v>
      </c>
      <c r="E12" s="48">
        <v>0</v>
      </c>
      <c r="F12" s="217">
        <f>+J52</f>
        <v>0</v>
      </c>
      <c r="G12" s="48">
        <v>0</v>
      </c>
      <c r="H12" s="217">
        <f>+N52</f>
        <v>0</v>
      </c>
      <c r="J12" s="199">
        <f>+D52</f>
        <v>161</v>
      </c>
      <c r="K12" s="51">
        <f t="shared" si="0"/>
        <v>-0.42236024844720499</v>
      </c>
      <c r="L12" s="199">
        <f>+H52</f>
        <v>93</v>
      </c>
      <c r="M12" s="51">
        <f t="shared" si="1"/>
        <v>0.5376344086021505</v>
      </c>
      <c r="N12" s="199">
        <f>+L52</f>
        <v>143</v>
      </c>
      <c r="O12" s="51">
        <f t="shared" si="2"/>
        <v>0.34965034965034963</v>
      </c>
      <c r="P12" s="199">
        <f>+P52</f>
        <v>193</v>
      </c>
    </row>
    <row r="13" spans="1:22">
      <c r="B13" s="20">
        <f>SUM(B10:B12)</f>
        <v>41280</v>
      </c>
      <c r="C13" s="48">
        <v>0</v>
      </c>
      <c r="D13" s="20">
        <f>SUM(D10:D12)</f>
        <v>0</v>
      </c>
      <c r="E13" s="48">
        <v>0</v>
      </c>
      <c r="F13" s="20">
        <f>SUM(F10:F12)</f>
        <v>0</v>
      </c>
      <c r="G13" s="48">
        <v>0</v>
      </c>
      <c r="H13" s="20">
        <f>SUM(H10:H12)</f>
        <v>0</v>
      </c>
      <c r="J13" s="20">
        <f>SUM(J10:J12)</f>
        <v>35143</v>
      </c>
      <c r="K13" s="51">
        <f t="shared" si="0"/>
        <v>3.0703127223060067E-2</v>
      </c>
      <c r="L13" s="20">
        <f>SUM(L10:L12)</f>
        <v>36222</v>
      </c>
      <c r="M13" s="51">
        <f t="shared" si="1"/>
        <v>5.0853072718237538E-2</v>
      </c>
      <c r="N13" s="20">
        <f>SUM(N10:N12)</f>
        <v>38064</v>
      </c>
      <c r="O13" s="51">
        <f t="shared" si="2"/>
        <v>-6.7570407734342156E-2</v>
      </c>
      <c r="P13" s="20">
        <f>SUM(P10:P12)</f>
        <v>35492</v>
      </c>
    </row>
    <row r="14" spans="1:22">
      <c r="A14" t="s">
        <v>305</v>
      </c>
      <c r="B14" s="217">
        <f>+B54</f>
        <v>5470</v>
      </c>
      <c r="C14" s="48">
        <v>0</v>
      </c>
      <c r="D14" s="217">
        <f>+F54</f>
        <v>0</v>
      </c>
      <c r="E14" s="48">
        <v>0</v>
      </c>
      <c r="F14" s="217">
        <f>+J54</f>
        <v>0</v>
      </c>
      <c r="G14" s="48">
        <v>0</v>
      </c>
      <c r="H14" s="217">
        <f>+N54</f>
        <v>0</v>
      </c>
      <c r="J14" s="217">
        <f>+D54</f>
        <v>2930</v>
      </c>
      <c r="K14" s="51">
        <f t="shared" si="0"/>
        <v>-0.41433447098976112</v>
      </c>
      <c r="L14" s="217">
        <f>+H54</f>
        <v>1716</v>
      </c>
      <c r="M14" s="51">
        <f t="shared" si="1"/>
        <v>0.40734265734265734</v>
      </c>
      <c r="N14" s="217">
        <f>+L54</f>
        <v>2415</v>
      </c>
      <c r="O14" s="51">
        <f t="shared" si="2"/>
        <v>1.3614906832298137</v>
      </c>
      <c r="P14" s="217">
        <f>+P54</f>
        <v>5703</v>
      </c>
    </row>
    <row r="15" spans="1:22">
      <c r="B15" s="20">
        <f>+B13-B14</f>
        <v>35810</v>
      </c>
      <c r="C15" s="48">
        <v>0</v>
      </c>
      <c r="D15" s="20">
        <f>+D13-D14</f>
        <v>0</v>
      </c>
      <c r="E15" s="48">
        <v>0</v>
      </c>
      <c r="F15" s="20">
        <f>+F13-F14</f>
        <v>0</v>
      </c>
      <c r="G15" s="48">
        <v>0</v>
      </c>
      <c r="H15" s="20">
        <f>+H13-H14</f>
        <v>0</v>
      </c>
      <c r="J15" s="20">
        <f>+J13-J14</f>
        <v>32213</v>
      </c>
      <c r="K15" s="51">
        <f t="shared" si="0"/>
        <v>7.1182441871294203E-2</v>
      </c>
      <c r="L15" s="20">
        <f>+L13-L14</f>
        <v>34506</v>
      </c>
      <c r="M15" s="51">
        <f t="shared" si="1"/>
        <v>3.3124673969744389E-2</v>
      </c>
      <c r="N15" s="20">
        <f>+N13-N14</f>
        <v>35649</v>
      </c>
      <c r="O15" s="51">
        <f t="shared" si="2"/>
        <v>-0.16438048753120704</v>
      </c>
      <c r="P15" s="20">
        <f>+P13-P14</f>
        <v>29789</v>
      </c>
    </row>
    <row r="16" spans="1:22" ht="9" customHeight="1">
      <c r="B16" s="20"/>
      <c r="C16" s="49" t="s">
        <v>0</v>
      </c>
      <c r="D16" s="20"/>
      <c r="E16" s="49" t="s">
        <v>0</v>
      </c>
      <c r="G16" s="49" t="s">
        <v>0</v>
      </c>
      <c r="J16" s="20"/>
      <c r="K16" s="51"/>
      <c r="L16" s="20"/>
      <c r="M16" s="51"/>
      <c r="N16" s="20"/>
      <c r="O16" s="51"/>
      <c r="P16" s="20"/>
    </row>
    <row r="17" spans="1:16">
      <c r="A17" t="s">
        <v>306</v>
      </c>
      <c r="B17" s="20"/>
      <c r="C17" s="49" t="s">
        <v>0</v>
      </c>
      <c r="D17" s="20"/>
      <c r="E17" s="49" t="s">
        <v>0</v>
      </c>
      <c r="G17" s="49" t="s">
        <v>0</v>
      </c>
      <c r="J17" s="20"/>
      <c r="K17" s="51"/>
      <c r="L17" s="20"/>
      <c r="M17" s="51"/>
      <c r="N17" s="20"/>
      <c r="O17" s="52" t="s">
        <v>0</v>
      </c>
      <c r="P17" s="20"/>
    </row>
    <row r="18" spans="1:16">
      <c r="A18" t="s">
        <v>307</v>
      </c>
      <c r="B18" s="20">
        <f>+B58</f>
        <v>12705</v>
      </c>
      <c r="C18" s="48">
        <v>0</v>
      </c>
      <c r="D18" s="20">
        <f>+F58</f>
        <v>0</v>
      </c>
      <c r="E18" s="48">
        <v>0</v>
      </c>
      <c r="F18" s="20">
        <f>+J58</f>
        <v>0</v>
      </c>
      <c r="G18" s="48">
        <v>0</v>
      </c>
      <c r="H18" s="20">
        <f>+N58</f>
        <v>0</v>
      </c>
      <c r="J18" s="20">
        <f>+D58</f>
        <v>16148</v>
      </c>
      <c r="K18" s="51">
        <f>+(-J18+L18)/ABS(J18)</f>
        <v>3.0777805300966063E-2</v>
      </c>
      <c r="L18" s="20">
        <f>+H58</f>
        <v>16645</v>
      </c>
      <c r="M18" s="51">
        <f>+(-L18+N18)/ABS(L18)</f>
        <v>0.23484529888855513</v>
      </c>
      <c r="N18" s="20">
        <f>+L58</f>
        <v>20554</v>
      </c>
      <c r="O18" s="51">
        <f>+(-N18+P18)/ABS(N18)</f>
        <v>-0.39875450034056631</v>
      </c>
      <c r="P18" s="20">
        <f>+P58</f>
        <v>12358</v>
      </c>
    </row>
    <row r="19" spans="1:16">
      <c r="A19" t="s">
        <v>308</v>
      </c>
      <c r="B19" s="20">
        <f>+B59</f>
        <v>40214</v>
      </c>
      <c r="C19" s="48">
        <v>0</v>
      </c>
      <c r="D19" s="20">
        <f>+F59</f>
        <v>0</v>
      </c>
      <c r="E19" s="48">
        <v>0</v>
      </c>
      <c r="F19" s="20">
        <f>+J59</f>
        <v>0</v>
      </c>
      <c r="G19" s="48">
        <v>0</v>
      </c>
      <c r="H19" s="20">
        <f>+N59</f>
        <v>0</v>
      </c>
      <c r="J19" s="20">
        <f>+D59</f>
        <v>31494</v>
      </c>
      <c r="K19" s="51">
        <f>+(-J19+L19)/ABS(J19)</f>
        <v>-5.0485806820346731E-3</v>
      </c>
      <c r="L19" s="20">
        <f>+H59</f>
        <v>31335</v>
      </c>
      <c r="M19" s="51">
        <f>+(-L19+N19)/ABS(L19)</f>
        <v>-0.10138822403063667</v>
      </c>
      <c r="N19" s="20">
        <f>+L59</f>
        <v>28158</v>
      </c>
      <c r="O19" s="51">
        <f>+(-N19+P19)/ABS(N19)</f>
        <v>0.23606079977271113</v>
      </c>
      <c r="P19" s="20">
        <f>+P59</f>
        <v>34805</v>
      </c>
    </row>
    <row r="20" spans="1:16">
      <c r="A20" t="s">
        <v>274</v>
      </c>
      <c r="B20" s="217">
        <f>+B60</f>
        <v>22</v>
      </c>
      <c r="C20" s="48">
        <v>0</v>
      </c>
      <c r="D20" s="217">
        <f>+F60</f>
        <v>0</v>
      </c>
      <c r="E20" s="48">
        <v>0</v>
      </c>
      <c r="F20" s="217">
        <f>+J60</f>
        <v>0</v>
      </c>
      <c r="G20" s="48">
        <v>0</v>
      </c>
      <c r="H20" s="217">
        <f>+N60</f>
        <v>0</v>
      </c>
      <c r="J20" s="217">
        <f>+D60</f>
        <v>34</v>
      </c>
      <c r="K20" s="48">
        <v>0</v>
      </c>
      <c r="L20" s="217">
        <f>+H60</f>
        <v>2066</v>
      </c>
      <c r="M20" s="48">
        <v>0</v>
      </c>
      <c r="N20" s="217">
        <f>+L60</f>
        <v>85364</v>
      </c>
      <c r="O20" s="51">
        <f>+(-N20+P20)/ABS(N20)</f>
        <v>-0.99990628367930279</v>
      </c>
      <c r="P20" s="217">
        <f>+P60</f>
        <v>8</v>
      </c>
    </row>
    <row r="21" spans="1:16">
      <c r="B21" s="20">
        <f>SUM(B18:B20)</f>
        <v>52941</v>
      </c>
      <c r="C21" s="48">
        <v>0</v>
      </c>
      <c r="D21" s="20">
        <f>SUM(D18:D20)</f>
        <v>0</v>
      </c>
      <c r="E21" s="48">
        <v>0</v>
      </c>
      <c r="F21" s="20">
        <f>SUM(F18:F20)</f>
        <v>0</v>
      </c>
      <c r="G21" s="48">
        <v>0</v>
      </c>
      <c r="H21" s="20">
        <f>SUM(H18:H20)</f>
        <v>0</v>
      </c>
      <c r="J21" s="20">
        <f>SUM(J18:J20)</f>
        <v>47676</v>
      </c>
      <c r="K21" s="51">
        <f>+(-J21+L21)/ABS(J21)</f>
        <v>4.9710546186760636E-2</v>
      </c>
      <c r="L21" s="20">
        <f>SUM(L18:L20)</f>
        <v>50046</v>
      </c>
      <c r="M21" s="51">
        <f>+(-L21+N21)/ABS(L21)</f>
        <v>1.6790552691523799</v>
      </c>
      <c r="N21" s="20">
        <f>SUM(N18:N20)</f>
        <v>134076</v>
      </c>
      <c r="O21" s="51">
        <f>+(-N21+P21)/ABS(N21)</f>
        <v>-0.64817715325636205</v>
      </c>
      <c r="P21" s="20">
        <f>SUM(P18:P20)</f>
        <v>47171</v>
      </c>
    </row>
    <row r="22" spans="1:16">
      <c r="B22" s="217"/>
      <c r="C22" s="49" t="s">
        <v>0</v>
      </c>
      <c r="D22" s="217"/>
      <c r="E22" s="49" t="s">
        <v>0</v>
      </c>
      <c r="F22" s="334"/>
      <c r="G22" s="49" t="s">
        <v>0</v>
      </c>
      <c r="H22" s="334"/>
      <c r="J22" s="217"/>
      <c r="K22" s="51"/>
      <c r="L22" s="217"/>
      <c r="M22" s="51"/>
      <c r="N22" s="217"/>
      <c r="O22" s="51"/>
      <c r="P22" s="217"/>
    </row>
    <row r="23" spans="1:16">
      <c r="A23" t="s">
        <v>309</v>
      </c>
      <c r="B23" s="20">
        <f>+B15+B21</f>
        <v>88751</v>
      </c>
      <c r="C23" s="48">
        <v>0</v>
      </c>
      <c r="D23" s="20">
        <f>+D15+D21</f>
        <v>0</v>
      </c>
      <c r="E23" s="48">
        <v>0</v>
      </c>
      <c r="F23" s="20">
        <f>+F15+F21</f>
        <v>0</v>
      </c>
      <c r="G23" s="48">
        <v>0</v>
      </c>
      <c r="H23" s="20">
        <f>+H15+H21</f>
        <v>0</v>
      </c>
      <c r="J23" s="20">
        <f>+J15+J21</f>
        <v>79889</v>
      </c>
      <c r="K23" s="51">
        <f>+(-J23+L23)/ABS(J23)</f>
        <v>5.8368486274706158E-2</v>
      </c>
      <c r="L23" s="20">
        <f>+L15+L21</f>
        <v>84552</v>
      </c>
      <c r="M23" s="51">
        <f>+(-L23+N23)/ABS(L23)</f>
        <v>1.007344592676696</v>
      </c>
      <c r="N23" s="20">
        <f>+N15+N21</f>
        <v>169725</v>
      </c>
      <c r="O23" s="51">
        <f>+(-N23+P23)/ABS(N23)</f>
        <v>-0.54656061275592871</v>
      </c>
      <c r="P23" s="20">
        <f>+P15+P21</f>
        <v>76960</v>
      </c>
    </row>
    <row r="24" spans="1:16">
      <c r="B24" s="20"/>
      <c r="C24" s="49" t="s">
        <v>0</v>
      </c>
      <c r="D24" s="20"/>
      <c r="E24" s="49" t="s">
        <v>0</v>
      </c>
      <c r="G24" s="49" t="s">
        <v>0</v>
      </c>
      <c r="J24" s="20"/>
      <c r="K24" s="51"/>
      <c r="L24" s="20"/>
      <c r="M24" s="51"/>
      <c r="N24" s="20"/>
      <c r="O24" s="51"/>
      <c r="P24" s="20"/>
    </row>
    <row r="25" spans="1:16">
      <c r="A25" t="s">
        <v>310</v>
      </c>
      <c r="B25" s="20">
        <f>+B65</f>
        <v>101</v>
      </c>
      <c r="C25" s="48">
        <v>0</v>
      </c>
      <c r="D25" s="20">
        <f>+F65</f>
        <v>0</v>
      </c>
      <c r="E25" s="48">
        <v>0</v>
      </c>
      <c r="F25" s="20">
        <f>+J65</f>
        <v>0</v>
      </c>
      <c r="G25" s="48">
        <v>0</v>
      </c>
      <c r="H25" s="20">
        <f>+N65</f>
        <v>0</v>
      </c>
      <c r="J25" s="20">
        <f>+D65</f>
        <v>-16831</v>
      </c>
      <c r="K25" s="51">
        <f>+(-J25+L25)/ABS(J25)</f>
        <v>3.2413403838155785</v>
      </c>
      <c r="L25" s="20">
        <f>+H65</f>
        <v>37724</v>
      </c>
      <c r="M25" s="51">
        <f>+(-L25+N25)/ABS(L25)</f>
        <v>-1.9425034460820698</v>
      </c>
      <c r="N25" s="20">
        <f>+L65</f>
        <v>-35555</v>
      </c>
      <c r="O25" s="51">
        <f>+(-N25+P25)/ABS(N25)</f>
        <v>0.94206159471241735</v>
      </c>
      <c r="P25" s="20">
        <f>+P65</f>
        <v>-2060</v>
      </c>
    </row>
    <row r="26" spans="1:16">
      <c r="B26" s="20"/>
      <c r="C26" s="49" t="s">
        <v>0</v>
      </c>
      <c r="D26" s="20"/>
      <c r="E26" s="49" t="s">
        <v>0</v>
      </c>
      <c r="G26" s="49" t="s">
        <v>0</v>
      </c>
      <c r="J26" s="20"/>
      <c r="K26" s="51"/>
      <c r="L26" s="20"/>
      <c r="M26" s="51"/>
      <c r="N26" s="20"/>
      <c r="O26" s="51"/>
      <c r="P26" s="20"/>
    </row>
    <row r="27" spans="1:16">
      <c r="A27" t="s">
        <v>311</v>
      </c>
      <c r="B27" s="217"/>
      <c r="C27" s="49" t="s">
        <v>0</v>
      </c>
      <c r="D27" s="217"/>
      <c r="E27" s="49" t="s">
        <v>0</v>
      </c>
      <c r="F27" s="334"/>
      <c r="G27" s="49" t="s">
        <v>0</v>
      </c>
      <c r="H27" s="334"/>
      <c r="J27" s="217"/>
      <c r="K27" s="51"/>
      <c r="L27" s="217"/>
      <c r="M27" s="51"/>
      <c r="N27" s="217"/>
      <c r="O27" s="51"/>
      <c r="P27" s="217"/>
    </row>
    <row r="28" spans="1:16">
      <c r="A28" t="s">
        <v>312</v>
      </c>
      <c r="B28" s="20">
        <f>+B23-B25</f>
        <v>88650</v>
      </c>
      <c r="C28" s="48">
        <v>0</v>
      </c>
      <c r="D28" s="20">
        <f>+D23-D25</f>
        <v>0</v>
      </c>
      <c r="E28" s="48">
        <v>0</v>
      </c>
      <c r="F28" s="20">
        <f>+F23-F25</f>
        <v>0</v>
      </c>
      <c r="G28" s="48">
        <v>0</v>
      </c>
      <c r="H28" s="20">
        <f>+H23-H25</f>
        <v>0</v>
      </c>
      <c r="J28" s="20">
        <f>+J23-J25</f>
        <v>96720</v>
      </c>
      <c r="K28" s="51">
        <f>+(-J28+L28)/ABS(J28)</f>
        <v>-0.51583953680727879</v>
      </c>
      <c r="L28" s="20">
        <f>+L23-L25</f>
        <v>46828</v>
      </c>
      <c r="M28" s="51">
        <f>+(-L28+N28)/ABS(L28)</f>
        <v>3.3837020585974202</v>
      </c>
      <c r="N28" s="20">
        <f>+N23-N25</f>
        <v>205280</v>
      </c>
      <c r="O28" s="51">
        <f>+(-N28+P28)/ABS(N28)</f>
        <v>-0.61506235385814501</v>
      </c>
      <c r="P28" s="20">
        <f>+P23-P25</f>
        <v>79020</v>
      </c>
    </row>
    <row r="29" spans="1:16">
      <c r="B29" s="20"/>
      <c r="C29" s="49" t="s">
        <v>0</v>
      </c>
      <c r="D29" s="20"/>
      <c r="E29" s="49" t="s">
        <v>0</v>
      </c>
      <c r="G29" s="49" t="s">
        <v>0</v>
      </c>
      <c r="J29" s="20"/>
      <c r="K29" s="51"/>
      <c r="L29" s="20"/>
      <c r="M29" s="51"/>
      <c r="N29" s="20"/>
      <c r="O29" s="51"/>
      <c r="P29" s="20"/>
    </row>
    <row r="30" spans="1:16">
      <c r="A30" t="s">
        <v>313</v>
      </c>
      <c r="B30" s="20"/>
      <c r="C30" s="49" t="s">
        <v>0</v>
      </c>
      <c r="D30" s="20"/>
      <c r="E30" s="49" t="s">
        <v>0</v>
      </c>
      <c r="G30" s="49" t="s">
        <v>0</v>
      </c>
      <c r="J30" s="20"/>
      <c r="K30" s="51"/>
      <c r="L30" s="20"/>
      <c r="M30" s="51"/>
      <c r="N30" s="20"/>
      <c r="O30" s="51"/>
      <c r="P30" s="20"/>
    </row>
    <row r="31" spans="1:16">
      <c r="A31" t="s">
        <v>314</v>
      </c>
      <c r="B31" s="20">
        <f>+B71</f>
        <v>22095</v>
      </c>
      <c r="C31" s="48">
        <v>0</v>
      </c>
      <c r="D31" s="20">
        <f>+F71</f>
        <v>0</v>
      </c>
      <c r="E31" s="48">
        <v>0</v>
      </c>
      <c r="F31" s="20">
        <f>+J71</f>
        <v>0</v>
      </c>
      <c r="G31" s="48">
        <v>0</v>
      </c>
      <c r="H31" s="20">
        <f>+N71</f>
        <v>0</v>
      </c>
      <c r="J31" s="20">
        <f>+D71</f>
        <v>22623</v>
      </c>
      <c r="K31" s="51">
        <f>+(-J31+L31)/ABS(J31)</f>
        <v>4.2434690359368782E-2</v>
      </c>
      <c r="L31" s="20">
        <f>+H71</f>
        <v>23583</v>
      </c>
      <c r="M31" s="51">
        <f>+(-L31+N31)/ABS(L31)</f>
        <v>-5.8686341856421999E-2</v>
      </c>
      <c r="N31" s="20">
        <f>+L71</f>
        <v>22199</v>
      </c>
      <c r="O31" s="51">
        <f>+(-N31+P31)/ABS(N31)</f>
        <v>0.3160953196089914</v>
      </c>
      <c r="P31" s="20">
        <f>+P71</f>
        <v>29216</v>
      </c>
    </row>
    <row r="32" spans="1:16">
      <c r="A32" t="s">
        <v>315</v>
      </c>
      <c r="B32" s="20">
        <f>+B72</f>
        <v>2683</v>
      </c>
      <c r="C32" s="48">
        <v>0</v>
      </c>
      <c r="D32" s="20">
        <f>+F72</f>
        <v>0</v>
      </c>
      <c r="E32" s="48">
        <v>0</v>
      </c>
      <c r="F32" s="20">
        <f>+J72</f>
        <v>0</v>
      </c>
      <c r="G32" s="48">
        <v>0</v>
      </c>
      <c r="H32" s="20">
        <f>+N72</f>
        <v>0</v>
      </c>
      <c r="J32" s="20">
        <f>+D72</f>
        <v>13874</v>
      </c>
      <c r="K32" s="51">
        <f>+(-J32+L32)/ABS(J32)</f>
        <v>-0.7768487818941906</v>
      </c>
      <c r="L32" s="20">
        <f>+H72</f>
        <v>3096</v>
      </c>
      <c r="M32" s="51">
        <f>+(-L32+N32)/ABS(L32)</f>
        <v>3.9082687338501294E-2</v>
      </c>
      <c r="N32" s="20">
        <f>+L72</f>
        <v>3217</v>
      </c>
      <c r="O32" s="51">
        <f>+(-N32+P32)/ABS(N32)</f>
        <v>-0.10786447000310849</v>
      </c>
      <c r="P32" s="20">
        <f>+P72</f>
        <v>2870</v>
      </c>
    </row>
    <row r="33" spans="1:22">
      <c r="A33" t="s">
        <v>316</v>
      </c>
      <c r="B33" s="20">
        <f>+B73</f>
        <v>5831</v>
      </c>
      <c r="C33" s="48">
        <v>0</v>
      </c>
      <c r="D33" s="20">
        <f>+F73</f>
        <v>0</v>
      </c>
      <c r="E33" s="48">
        <v>0</v>
      </c>
      <c r="F33" s="20">
        <f>+J73</f>
        <v>0</v>
      </c>
      <c r="G33" s="48">
        <v>0</v>
      </c>
      <c r="H33" s="20">
        <f>+N73</f>
        <v>0</v>
      </c>
      <c r="J33" s="20">
        <f>+D73</f>
        <v>5973</v>
      </c>
      <c r="K33" s="51">
        <f>+(-J33+L33)/ABS(J33)</f>
        <v>9.241587142139629E-2</v>
      </c>
      <c r="L33" s="20">
        <f>+H73</f>
        <v>6525</v>
      </c>
      <c r="M33" s="51">
        <f>+(-L33+N33)/ABS(L33)</f>
        <v>-4.3984674329501913E-2</v>
      </c>
      <c r="N33" s="20">
        <f>+L73</f>
        <v>6238</v>
      </c>
      <c r="O33" s="51">
        <f>+(-N33+P33)/ABS(N33)</f>
        <v>-4.5527412632253926E-2</v>
      </c>
      <c r="P33" s="20">
        <f>+P73</f>
        <v>5954</v>
      </c>
    </row>
    <row r="34" spans="1:22">
      <c r="A34" t="s">
        <v>317</v>
      </c>
      <c r="B34" s="217">
        <f>+B74</f>
        <v>29087</v>
      </c>
      <c r="C34" s="48">
        <v>0</v>
      </c>
      <c r="D34" s="217">
        <f>+F74</f>
        <v>0</v>
      </c>
      <c r="E34" s="48">
        <v>0</v>
      </c>
      <c r="F34" s="217">
        <f>+J74</f>
        <v>0</v>
      </c>
      <c r="G34" s="48">
        <v>0</v>
      </c>
      <c r="H34" s="217">
        <f>+N74</f>
        <v>0</v>
      </c>
      <c r="J34" s="217">
        <f>+D74</f>
        <v>23599</v>
      </c>
      <c r="K34" s="51">
        <f>+(-J34+L34)/ABS(J34)</f>
        <v>-0.63714564176448152</v>
      </c>
      <c r="L34" s="217">
        <f>+H74</f>
        <v>8563</v>
      </c>
      <c r="M34" s="51">
        <f>+(-L34+N34)/ABS(L34)</f>
        <v>1.5103351629101951</v>
      </c>
      <c r="N34" s="217">
        <f>+L74</f>
        <v>21496</v>
      </c>
      <c r="O34" s="51">
        <f>+(-N34+P34)/ABS(N34)</f>
        <v>0.34001674730182357</v>
      </c>
      <c r="P34" s="217">
        <f>+P74</f>
        <v>28805</v>
      </c>
    </row>
    <row r="35" spans="1:22">
      <c r="B35" s="20">
        <f>SUM(B31:B34)</f>
        <v>59696</v>
      </c>
      <c r="C35" s="48">
        <v>0</v>
      </c>
      <c r="D35" s="20">
        <f>SUM(D31:D34)</f>
        <v>0</v>
      </c>
      <c r="E35" s="48">
        <v>0</v>
      </c>
      <c r="F35" s="20">
        <f>SUM(F31:F34)</f>
        <v>0</v>
      </c>
      <c r="G35" s="48">
        <v>0</v>
      </c>
      <c r="H35" s="20">
        <f>SUM(H31:H34)</f>
        <v>0</v>
      </c>
      <c r="J35" s="20">
        <f>SUM(J31:J34)</f>
        <v>66069</v>
      </c>
      <c r="K35" s="51">
        <f>+(-J35+L35)/ABS(J35)</f>
        <v>-0.36782757420272744</v>
      </c>
      <c r="L35" s="20">
        <f>SUM(L31:L34)</f>
        <v>41767</v>
      </c>
      <c r="M35" s="51">
        <f>+(-L35+N35)/ABS(L35)</f>
        <v>0.27253573395264202</v>
      </c>
      <c r="N35" s="20">
        <f>SUM(N31:N34)</f>
        <v>53150</v>
      </c>
      <c r="O35" s="51">
        <f>+(-N35+P35)/ABS(N35)</f>
        <v>0.25766698024459078</v>
      </c>
      <c r="P35" s="20">
        <f>SUM(P31:P34)</f>
        <v>66845</v>
      </c>
    </row>
    <row r="36" spans="1:22">
      <c r="B36" s="217"/>
      <c r="C36" s="48"/>
      <c r="D36" s="217"/>
      <c r="E36" s="48"/>
      <c r="F36" s="334"/>
      <c r="G36" s="48"/>
      <c r="H36" s="334"/>
      <c r="J36" s="217"/>
      <c r="K36" s="51"/>
      <c r="L36" s="217"/>
      <c r="M36" s="51"/>
      <c r="N36" s="217"/>
      <c r="O36" s="51"/>
      <c r="P36" s="217"/>
    </row>
    <row r="37" spans="1:22">
      <c r="A37" t="s">
        <v>318</v>
      </c>
      <c r="B37" s="20">
        <f>+B28-B35</f>
        <v>28954</v>
      </c>
      <c r="C37" s="48">
        <v>0</v>
      </c>
      <c r="D37" s="20">
        <f>+D28-D35</f>
        <v>0</v>
      </c>
      <c r="E37" s="48">
        <v>0</v>
      </c>
      <c r="F37" s="20">
        <f>+F28-F35</f>
        <v>0</v>
      </c>
      <c r="G37" s="48">
        <v>0</v>
      </c>
      <c r="H37" s="20">
        <f>+H28-H35</f>
        <v>0</v>
      </c>
      <c r="J37" s="20">
        <f>+J28-J35</f>
        <v>30651</v>
      </c>
      <c r="K37" s="102">
        <f>+(-J37+L37)/ABS(J37)</f>
        <v>-0.8348830380737986</v>
      </c>
      <c r="L37" s="20">
        <f>+L28-L35</f>
        <v>5061</v>
      </c>
      <c r="M37" s="51">
        <f>+(-L37+N37)/ABS(L37)</f>
        <v>29.0592768227623</v>
      </c>
      <c r="N37" s="20">
        <f>+N28-N35</f>
        <v>152130</v>
      </c>
      <c r="O37" s="51">
        <f>+(-N37+P37)/ABS(N37)</f>
        <v>-0.91996976270295139</v>
      </c>
      <c r="P37" s="20">
        <f>+P28-P35</f>
        <v>12175</v>
      </c>
    </row>
    <row r="38" spans="1:22">
      <c r="B38" s="20"/>
      <c r="C38" s="49" t="s">
        <v>0</v>
      </c>
      <c r="D38" s="20"/>
      <c r="E38" s="49" t="s">
        <v>0</v>
      </c>
      <c r="G38" s="49" t="s">
        <v>0</v>
      </c>
      <c r="J38" s="20"/>
      <c r="K38" s="51"/>
      <c r="L38" s="20"/>
      <c r="M38" s="51"/>
      <c r="N38" s="20"/>
      <c r="O38" s="51"/>
      <c r="P38" s="20"/>
    </row>
    <row r="39" spans="1:22">
      <c r="A39" t="s">
        <v>319</v>
      </c>
      <c r="B39" s="20">
        <f>+B79</f>
        <v>9285</v>
      </c>
      <c r="C39" s="48">
        <v>0</v>
      </c>
      <c r="D39" s="20">
        <f>+F79</f>
        <v>0</v>
      </c>
      <c r="E39" s="48">
        <v>0</v>
      </c>
      <c r="F39" s="20">
        <f>+J79</f>
        <v>0</v>
      </c>
      <c r="G39" s="48">
        <v>0</v>
      </c>
      <c r="H39" s="20">
        <f>+N79</f>
        <v>0</v>
      </c>
      <c r="J39" s="20">
        <f>+D79</f>
        <v>8681</v>
      </c>
      <c r="K39" s="102">
        <f>+(-J39+L39)/ABS(J39)</f>
        <v>-0.81926045386476209</v>
      </c>
      <c r="L39" s="20">
        <f>+H79</f>
        <v>1569</v>
      </c>
      <c r="M39" s="102">
        <f>+(-L39+N39)/ABS(L39)</f>
        <v>29.05736137667304</v>
      </c>
      <c r="N39" s="20">
        <f>+L79</f>
        <v>47160</v>
      </c>
      <c r="O39" s="51">
        <f>+(-N39+P39)/ABS(N39)</f>
        <v>-0.91923240033927056</v>
      </c>
      <c r="P39" s="20">
        <f>+P79</f>
        <v>3809</v>
      </c>
    </row>
    <row r="40" spans="1:22" ht="16.5" thickBot="1">
      <c r="B40" s="79"/>
      <c r="C40" s="49" t="s">
        <v>0</v>
      </c>
      <c r="D40" s="79"/>
      <c r="E40" s="49" t="s">
        <v>0</v>
      </c>
      <c r="F40" s="36"/>
      <c r="G40" s="49" t="s">
        <v>0</v>
      </c>
      <c r="H40" s="36"/>
      <c r="J40" s="79"/>
      <c r="K40" s="51"/>
      <c r="L40" s="79"/>
      <c r="M40" s="51"/>
      <c r="N40" s="79"/>
      <c r="O40" s="51"/>
      <c r="P40" s="79"/>
      <c r="R40" s="27" t="s">
        <v>0</v>
      </c>
    </row>
    <row r="41" spans="1:22" s="11" customFormat="1">
      <c r="A41" s="11" t="s">
        <v>326</v>
      </c>
      <c r="B41" s="13">
        <f>+B37-B39</f>
        <v>19669</v>
      </c>
      <c r="C41" s="47">
        <v>0</v>
      </c>
      <c r="D41" s="13">
        <f>+D37-D39</f>
        <v>0</v>
      </c>
      <c r="E41" s="47">
        <v>0</v>
      </c>
      <c r="F41" s="13">
        <f>+F37-F39</f>
        <v>0</v>
      </c>
      <c r="G41" s="47">
        <v>0</v>
      </c>
      <c r="H41" s="13">
        <f>+H37-H39</f>
        <v>0</v>
      </c>
      <c r="I41" s="137"/>
      <c r="J41" s="13">
        <f>+J37-J39</f>
        <v>21970</v>
      </c>
      <c r="K41" s="109">
        <f>+(-J41+L41)/ABS(J41)</f>
        <v>-0.84105598543468363</v>
      </c>
      <c r="L41" s="13">
        <f>+L37-L39</f>
        <v>3492</v>
      </c>
      <c r="M41" s="109">
        <f>+(-L41+N41)/ABS(L41)</f>
        <v>29.060137457044675</v>
      </c>
      <c r="N41" s="13">
        <f>+N37-N39</f>
        <v>104970</v>
      </c>
      <c r="O41" s="109">
        <f>+(-N41+P41)/ABS(N41)</f>
        <v>-0.92030103839192146</v>
      </c>
      <c r="P41" s="13">
        <f>+P37-P39</f>
        <v>8366</v>
      </c>
      <c r="Q41" s="137"/>
      <c r="R41" s="137"/>
      <c r="S41" s="137"/>
      <c r="T41" s="137"/>
      <c r="U41" s="137"/>
    </row>
    <row r="42" spans="1:22" ht="5.45" customHeight="1">
      <c r="C42" s="35"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218" t="str">
        <f>+'CAPITALBKRÉSULT      '!B46</f>
        <v xml:space="preserve"> 2015</v>
      </c>
      <c r="C46" s="137" t="s">
        <v>0</v>
      </c>
      <c r="D46" s="218" t="str">
        <f>+'CAPITALBKRÉSULT      '!D46</f>
        <v xml:space="preserve"> 2014</v>
      </c>
      <c r="E46" s="137"/>
      <c r="F46" s="218" t="str">
        <f>+'CAPITALBKRÉSULT      '!F46</f>
        <v xml:space="preserve"> 2015</v>
      </c>
      <c r="G46" s="137" t="s">
        <v>0</v>
      </c>
      <c r="H46" s="218" t="str">
        <f>+'CAPITALBKRÉSULT      '!H46</f>
        <v xml:space="preserve"> 2014</v>
      </c>
      <c r="I46" s="137"/>
      <c r="J46" s="218" t="str">
        <f>+'CAPITALBKRÉSULT      '!J46</f>
        <v xml:space="preserve"> 2015</v>
      </c>
      <c r="K46" s="137" t="s">
        <v>0</v>
      </c>
      <c r="L46" s="218" t="str">
        <f>+'CAPITALBKRÉSULT      '!L46</f>
        <v xml:space="preserve"> 2014</v>
      </c>
      <c r="M46" s="137"/>
      <c r="N46" s="218" t="str">
        <f>+'CAPITALBKRÉSULT      '!N46</f>
        <v xml:space="preserve"> 2015</v>
      </c>
      <c r="O46" s="137" t="s">
        <v>0</v>
      </c>
      <c r="P46" s="218" t="str">
        <f>+'CAPITALBKRÉSULT      '!P46</f>
        <v xml:space="preserve"> 2014</v>
      </c>
      <c r="Q46" s="137"/>
      <c r="R46" s="1021" t="str">
        <f>+'CAPITALBKRÉSULT      '!R46</f>
        <v xml:space="preserve"> 2014 (oct.-déc. 14)</v>
      </c>
      <c r="S46" s="137"/>
      <c r="T46" s="1021" t="str">
        <f>+'CAPITALBKRÉSULT      '!T46</f>
        <v xml:space="preserve"> 2013 (oct. -déc. 13)</v>
      </c>
      <c r="U46" s="218" t="str">
        <f>+'CAPITALBKRÉSULT      '!U46</f>
        <v>2014</v>
      </c>
    </row>
    <row r="47" spans="1:22" ht="16.5" thickBot="1">
      <c r="B47" s="220" t="s">
        <v>321</v>
      </c>
      <c r="C47" s="221"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1">
      <c r="A49" t="s">
        <v>301</v>
      </c>
      <c r="B49" s="24" t="s">
        <v>0</v>
      </c>
      <c r="C49" s="52" t="s">
        <v>0</v>
      </c>
      <c r="D49"/>
      <c r="E49" s="35" t="s">
        <v>0</v>
      </c>
      <c r="F49" s="35" t="s">
        <v>0</v>
      </c>
      <c r="G49" s="52" t="s">
        <v>0</v>
      </c>
      <c r="H49"/>
      <c r="I49" s="35" t="s">
        <v>0</v>
      </c>
      <c r="J49" s="35" t="s">
        <v>0</v>
      </c>
      <c r="K49" s="52" t="s">
        <v>0</v>
      </c>
      <c r="L49" s="24" t="s">
        <v>0</v>
      </c>
      <c r="M49" s="35" t="s">
        <v>0</v>
      </c>
      <c r="N49" s="35" t="s">
        <v>0</v>
      </c>
      <c r="O49" s="52" t="s">
        <v>0</v>
      </c>
      <c r="P49"/>
      <c r="Q49" s="35" t="s">
        <v>0</v>
      </c>
      <c r="R49" s="24" t="s">
        <v>0</v>
      </c>
      <c r="S49" s="52" t="s">
        <v>0</v>
      </c>
      <c r="T49" s="24" t="s">
        <v>0</v>
      </c>
      <c r="U49" s="24" t="s">
        <v>0</v>
      </c>
    </row>
    <row r="50" spans="1:21">
      <c r="A50" t="s">
        <v>302</v>
      </c>
      <c r="B50" s="20">
        <v>33688</v>
      </c>
      <c r="C50" s="51">
        <f t="shared" ref="C50:C55" si="3">+(B50-D50)/ABS(D50)</f>
        <v>-3.3758783880682632E-2</v>
      </c>
      <c r="D50" s="20">
        <v>34865</v>
      </c>
      <c r="E50" s="35"/>
      <c r="F50" s="20">
        <v>0</v>
      </c>
      <c r="G50" s="48">
        <v>0</v>
      </c>
      <c r="H50" s="20">
        <v>36094</v>
      </c>
      <c r="J50" s="20">
        <v>0</v>
      </c>
      <c r="K50" s="48">
        <v>0</v>
      </c>
      <c r="L50" s="20">
        <v>37588</v>
      </c>
      <c r="M50" s="35"/>
      <c r="N50" s="20">
        <v>0</v>
      </c>
      <c r="O50" s="48">
        <v>0</v>
      </c>
      <c r="P50" s="20">
        <v>33198</v>
      </c>
      <c r="R50" s="20">
        <f>+B50+F50+J50+N50</f>
        <v>33688</v>
      </c>
      <c r="S50" s="51">
        <f t="shared" ref="S50:S55" si="4">+(R50-T50)/ABS(T50)</f>
        <v>-3.3758783880682632E-2</v>
      </c>
      <c r="T50" s="81">
        <f>+D50</f>
        <v>34865</v>
      </c>
      <c r="U50" s="87">
        <f>+D50+H50+L50+P50</f>
        <v>141745</v>
      </c>
    </row>
    <row r="51" spans="1:21">
      <c r="A51" t="s">
        <v>322</v>
      </c>
      <c r="B51" s="20">
        <v>7508</v>
      </c>
      <c r="C51" s="51">
        <f t="shared" si="3"/>
        <v>63.17094017094017</v>
      </c>
      <c r="D51" s="20">
        <v>117</v>
      </c>
      <c r="E51" s="35"/>
      <c r="F51" s="20">
        <v>0</v>
      </c>
      <c r="G51" s="48">
        <v>0</v>
      </c>
      <c r="H51" s="20">
        <v>35</v>
      </c>
      <c r="J51" s="20">
        <v>0</v>
      </c>
      <c r="K51" s="48">
        <v>0</v>
      </c>
      <c r="L51" s="20">
        <v>333</v>
      </c>
      <c r="M51" s="35"/>
      <c r="N51" s="20">
        <v>0</v>
      </c>
      <c r="O51" s="48">
        <v>0</v>
      </c>
      <c r="P51" s="20">
        <v>2101</v>
      </c>
      <c r="R51" s="20">
        <f>+B51+F51+J51+N51</f>
        <v>7508</v>
      </c>
      <c r="S51" s="51">
        <f t="shared" si="4"/>
        <v>63.17094017094017</v>
      </c>
      <c r="T51" s="81">
        <f>+D51</f>
        <v>117</v>
      </c>
      <c r="U51" s="87">
        <f>+D51+H51+L51+P51</f>
        <v>2586</v>
      </c>
    </row>
    <row r="52" spans="1:21">
      <c r="A52" t="s">
        <v>304</v>
      </c>
      <c r="B52" s="199">
        <v>84</v>
      </c>
      <c r="C52" s="51">
        <f t="shared" si="3"/>
        <v>-0.47826086956521741</v>
      </c>
      <c r="D52" s="199">
        <v>161</v>
      </c>
      <c r="E52" s="35"/>
      <c r="F52" s="199">
        <v>0</v>
      </c>
      <c r="G52" s="48">
        <v>0</v>
      </c>
      <c r="H52" s="199">
        <v>93</v>
      </c>
      <c r="J52" s="199">
        <v>0</v>
      </c>
      <c r="K52" s="48">
        <v>0</v>
      </c>
      <c r="L52" s="199">
        <v>143</v>
      </c>
      <c r="M52" s="35"/>
      <c r="N52" s="199">
        <v>0</v>
      </c>
      <c r="O52" s="48">
        <v>0</v>
      </c>
      <c r="P52" s="199">
        <v>193</v>
      </c>
      <c r="R52" s="217">
        <f>+B52+F52+J52+N52</f>
        <v>84</v>
      </c>
      <c r="S52" s="51">
        <f t="shared" si="4"/>
        <v>-0.47826086956521741</v>
      </c>
      <c r="T52" s="217">
        <f>+D52</f>
        <v>161</v>
      </c>
      <c r="U52" s="199">
        <f>+D52+H52+L52+P52</f>
        <v>590</v>
      </c>
    </row>
    <row r="53" spans="1:21">
      <c r="B53" s="20">
        <f>SUM(B50:B52)</f>
        <v>41280</v>
      </c>
      <c r="C53" s="51">
        <f t="shared" si="3"/>
        <v>0.1746293714253194</v>
      </c>
      <c r="D53" s="20">
        <f>SUM(D50:D52)</f>
        <v>35143</v>
      </c>
      <c r="E53" s="35"/>
      <c r="F53" s="20">
        <f>SUM(F50:F52)</f>
        <v>0</v>
      </c>
      <c r="G53" s="48">
        <v>0</v>
      </c>
      <c r="H53" s="20">
        <f>SUM(H50:H52)</f>
        <v>36222</v>
      </c>
      <c r="J53" s="20">
        <f>SUM(J50:J52)</f>
        <v>0</v>
      </c>
      <c r="K53" s="48">
        <v>0</v>
      </c>
      <c r="L53" s="20">
        <f>SUM(L50:L52)</f>
        <v>38064</v>
      </c>
      <c r="M53" s="35"/>
      <c r="N53" s="20">
        <f>SUM(N50:N52)</f>
        <v>0</v>
      </c>
      <c r="O53" s="48">
        <v>0</v>
      </c>
      <c r="P53" s="20">
        <f>SUM(P50:P52)</f>
        <v>35492</v>
      </c>
      <c r="R53" s="20">
        <f>SUM(R50:R52)</f>
        <v>41280</v>
      </c>
      <c r="S53" s="51">
        <f t="shared" si="4"/>
        <v>0.1746293714253194</v>
      </c>
      <c r="T53" s="20">
        <f>SUM(T50:T52)</f>
        <v>35143</v>
      </c>
      <c r="U53" s="20">
        <f>SUM(U50:U52)</f>
        <v>144921</v>
      </c>
    </row>
    <row r="54" spans="1:21">
      <c r="A54" t="s">
        <v>305</v>
      </c>
      <c r="B54" s="217">
        <v>5470</v>
      </c>
      <c r="C54" s="51">
        <f t="shared" si="3"/>
        <v>0.86689419795221845</v>
      </c>
      <c r="D54" s="217">
        <v>2930</v>
      </c>
      <c r="E54" s="35" t="s">
        <v>0</v>
      </c>
      <c r="F54" s="217">
        <v>0</v>
      </c>
      <c r="G54" s="48">
        <v>0</v>
      </c>
      <c r="H54" s="217">
        <v>1716</v>
      </c>
      <c r="J54" s="217">
        <v>0</v>
      </c>
      <c r="K54" s="48">
        <v>0</v>
      </c>
      <c r="L54" s="217">
        <v>2415</v>
      </c>
      <c r="M54" s="35" t="s">
        <v>0</v>
      </c>
      <c r="N54" s="217">
        <v>0</v>
      </c>
      <c r="O54" s="48">
        <v>0</v>
      </c>
      <c r="P54" s="217">
        <v>5703</v>
      </c>
      <c r="R54" s="217">
        <f>+B54+F54+J54+N54</f>
        <v>5470</v>
      </c>
      <c r="S54" s="51">
        <f t="shared" si="4"/>
        <v>0.86689419795221845</v>
      </c>
      <c r="T54" s="217">
        <f>+D54</f>
        <v>2930</v>
      </c>
      <c r="U54" s="199">
        <f>+D54+H54+L54+P54</f>
        <v>12764</v>
      </c>
    </row>
    <row r="55" spans="1:21">
      <c r="B55" s="20">
        <f>+B53-B54</f>
        <v>35810</v>
      </c>
      <c r="C55" s="51">
        <f t="shared" si="3"/>
        <v>0.1116629932015025</v>
      </c>
      <c r="D55" s="20">
        <f>+D53-D54</f>
        <v>32213</v>
      </c>
      <c r="E55" s="35" t="s">
        <v>0</v>
      </c>
      <c r="F55" s="20">
        <f>+F53-F54</f>
        <v>0</v>
      </c>
      <c r="G55" s="48">
        <v>0</v>
      </c>
      <c r="H55" s="20">
        <f>+H53-H54</f>
        <v>34506</v>
      </c>
      <c r="J55" s="20">
        <f>+J53-J54</f>
        <v>0</v>
      </c>
      <c r="K55" s="48">
        <v>0</v>
      </c>
      <c r="L55" s="20">
        <f>+L53-L54</f>
        <v>35649</v>
      </c>
      <c r="M55" s="35" t="s">
        <v>0</v>
      </c>
      <c r="N55" s="20">
        <f>+N53-N54</f>
        <v>0</v>
      </c>
      <c r="O55" s="48">
        <v>0</v>
      </c>
      <c r="P55" s="20">
        <f>+P53-P54</f>
        <v>29789</v>
      </c>
      <c r="R55" s="20">
        <f>+R53-R54</f>
        <v>35810</v>
      </c>
      <c r="S55" s="51">
        <f t="shared" si="4"/>
        <v>0.1116629932015025</v>
      </c>
      <c r="T55" s="20">
        <f>+T53-T54</f>
        <v>32213</v>
      </c>
      <c r="U55" s="20">
        <f>+U53-U54</f>
        <v>132157</v>
      </c>
    </row>
    <row r="56" spans="1:21">
      <c r="B56" s="20"/>
      <c r="C56" s="52" t="s">
        <v>0</v>
      </c>
      <c r="D56" s="20"/>
      <c r="E56" s="35" t="s">
        <v>0</v>
      </c>
      <c r="F56" s="20"/>
      <c r="G56" s="49" t="s">
        <v>0</v>
      </c>
      <c r="H56" s="20"/>
      <c r="J56" s="20"/>
      <c r="K56" s="49" t="s">
        <v>0</v>
      </c>
      <c r="L56" s="20"/>
      <c r="M56" s="35" t="s">
        <v>0</v>
      </c>
      <c r="N56" s="20"/>
      <c r="O56" s="49" t="s">
        <v>0</v>
      </c>
      <c r="P56" s="20"/>
      <c r="R56" s="20"/>
      <c r="S56" s="51"/>
      <c r="T56" s="20"/>
      <c r="U56" s="20"/>
    </row>
    <row r="57" spans="1:21">
      <c r="A57" t="s">
        <v>306</v>
      </c>
      <c r="B57" s="20"/>
      <c r="C57" s="52" t="s">
        <v>0</v>
      </c>
      <c r="D57" s="20"/>
      <c r="E57" s="35" t="s">
        <v>0</v>
      </c>
      <c r="F57" s="20"/>
      <c r="G57" s="49" t="s">
        <v>0</v>
      </c>
      <c r="H57" s="20"/>
      <c r="J57" s="20"/>
      <c r="K57" s="49" t="s">
        <v>0</v>
      </c>
      <c r="L57" s="20"/>
      <c r="M57" s="35" t="s">
        <v>0</v>
      </c>
      <c r="N57" s="20"/>
      <c r="O57" s="49" t="s">
        <v>0</v>
      </c>
      <c r="P57" s="20"/>
      <c r="R57" s="20"/>
      <c r="S57" s="52" t="s">
        <v>0</v>
      </c>
      <c r="T57" s="20"/>
      <c r="U57" s="20"/>
    </row>
    <row r="58" spans="1:21">
      <c r="A58" t="s">
        <v>307</v>
      </c>
      <c r="B58" s="20">
        <v>12705</v>
      </c>
      <c r="C58" s="51">
        <f>+(B58-D58)/ABS(D58)</f>
        <v>-0.21321525885558584</v>
      </c>
      <c r="D58" s="20">
        <v>16148</v>
      </c>
      <c r="E58" s="35" t="s">
        <v>0</v>
      </c>
      <c r="F58" s="20">
        <v>0</v>
      </c>
      <c r="G58" s="48">
        <v>0</v>
      </c>
      <c r="H58" s="20">
        <v>16645</v>
      </c>
      <c r="J58" s="20">
        <v>0</v>
      </c>
      <c r="K58" s="48">
        <v>0</v>
      </c>
      <c r="L58" s="20">
        <v>20554</v>
      </c>
      <c r="M58" s="35" t="s">
        <v>0</v>
      </c>
      <c r="N58" s="20">
        <v>0</v>
      </c>
      <c r="O58" s="48">
        <v>0</v>
      </c>
      <c r="P58" s="20">
        <v>12358</v>
      </c>
      <c r="R58" s="20">
        <f>+B58+F58+J58+N58</f>
        <v>12705</v>
      </c>
      <c r="S58" s="51">
        <f>+(R58-T58)/ABS(T58)</f>
        <v>-0.21321525885558584</v>
      </c>
      <c r="T58" s="81">
        <f>+D58</f>
        <v>16148</v>
      </c>
      <c r="U58" s="87">
        <f>+D58+H58+L58+P58</f>
        <v>65705</v>
      </c>
    </row>
    <row r="59" spans="1:21">
      <c r="A59" t="s">
        <v>308</v>
      </c>
      <c r="B59" s="20">
        <v>40214</v>
      </c>
      <c r="C59" s="51">
        <f>+(B59-D59)/ABS(D59)</f>
        <v>0.27687813551787643</v>
      </c>
      <c r="D59" s="20">
        <v>31494</v>
      </c>
      <c r="E59" s="35" t="s">
        <v>0</v>
      </c>
      <c r="F59" s="20">
        <v>0</v>
      </c>
      <c r="G59" s="48">
        <v>0</v>
      </c>
      <c r="H59" s="20">
        <v>31335</v>
      </c>
      <c r="J59" s="20">
        <v>0</v>
      </c>
      <c r="K59" s="48">
        <v>0</v>
      </c>
      <c r="L59" s="20">
        <v>28158</v>
      </c>
      <c r="M59" s="35" t="s">
        <v>0</v>
      </c>
      <c r="N59" s="20">
        <v>0</v>
      </c>
      <c r="O59" s="48">
        <v>0</v>
      </c>
      <c r="P59" s="20">
        <v>34805</v>
      </c>
      <c r="R59" s="20">
        <f>+B59+F59+J59+N59</f>
        <v>40214</v>
      </c>
      <c r="S59" s="51">
        <f>+(R59-T59)/ABS(T59)</f>
        <v>0.27687813551787643</v>
      </c>
      <c r="T59" s="81">
        <f>+D59</f>
        <v>31494</v>
      </c>
      <c r="U59" s="87">
        <f>+D59+H59+L59+P59</f>
        <v>125792</v>
      </c>
    </row>
    <row r="60" spans="1:21">
      <c r="A60" t="s">
        <v>274</v>
      </c>
      <c r="B60" s="217">
        <v>22</v>
      </c>
      <c r="C60" s="51">
        <f>+(B60-D60)/ABS(D60)</f>
        <v>-0.35294117647058826</v>
      </c>
      <c r="D60" s="217">
        <v>34</v>
      </c>
      <c r="E60" s="35" t="s">
        <v>0</v>
      </c>
      <c r="F60" s="217">
        <v>0</v>
      </c>
      <c r="G60" s="48">
        <v>0</v>
      </c>
      <c r="H60" s="217">
        <v>2066</v>
      </c>
      <c r="J60" s="217">
        <v>0</v>
      </c>
      <c r="K60" s="1533">
        <v>0</v>
      </c>
      <c r="L60" s="217">
        <v>85364</v>
      </c>
      <c r="M60" s="35" t="s">
        <v>0</v>
      </c>
      <c r="N60" s="217">
        <v>0</v>
      </c>
      <c r="O60" s="1533">
        <v>0</v>
      </c>
      <c r="P60" s="217">
        <v>8</v>
      </c>
      <c r="R60" s="217">
        <f>+B60+F60+J60+N60</f>
        <v>22</v>
      </c>
      <c r="S60" s="51">
        <f>+(R60-T60)/ABS(T60)</f>
        <v>-0.35294117647058826</v>
      </c>
      <c r="T60" s="217">
        <f>+D60</f>
        <v>34</v>
      </c>
      <c r="U60" s="199">
        <f>+D60+H60+L60+P60</f>
        <v>87472</v>
      </c>
    </row>
    <row r="61" spans="1:21">
      <c r="B61" s="20">
        <f>SUM(B58:B60)</f>
        <v>52941</v>
      </c>
      <c r="C61" s="51">
        <f>+(B61-D61)/ABS(D61)</f>
        <v>0.11043292222501888</v>
      </c>
      <c r="D61" s="20">
        <f>SUM(D58:D60)</f>
        <v>47676</v>
      </c>
      <c r="E61" s="35" t="s">
        <v>0</v>
      </c>
      <c r="F61" s="20">
        <f>SUM(F58:F60)</f>
        <v>0</v>
      </c>
      <c r="G61" s="48">
        <v>0</v>
      </c>
      <c r="H61" s="20">
        <f>SUM(H58:H60)</f>
        <v>50046</v>
      </c>
      <c r="J61" s="20">
        <f>SUM(J58:J60)</f>
        <v>0</v>
      </c>
      <c r="K61" s="48">
        <v>0</v>
      </c>
      <c r="L61" s="20">
        <f>SUM(L58:L60)</f>
        <v>134076</v>
      </c>
      <c r="M61" s="35" t="s">
        <v>0</v>
      </c>
      <c r="N61" s="20">
        <f>SUM(N58:N60)</f>
        <v>0</v>
      </c>
      <c r="O61" s="48">
        <v>0</v>
      </c>
      <c r="P61" s="20">
        <f>SUM(P58:P60)</f>
        <v>47171</v>
      </c>
      <c r="R61" s="20">
        <f>SUM(R58:R60)</f>
        <v>52941</v>
      </c>
      <c r="S61" s="51">
        <f>+(R61-T61)/ABS(T61)</f>
        <v>0.11043292222501888</v>
      </c>
      <c r="T61" s="20">
        <f>SUM(T58:T60)</f>
        <v>47676</v>
      </c>
      <c r="U61" s="20">
        <f>SUM(U58:U60)</f>
        <v>278969</v>
      </c>
    </row>
    <row r="62" spans="1:21">
      <c r="B62" s="217"/>
      <c r="C62" s="52" t="s">
        <v>0</v>
      </c>
      <c r="D62" s="217"/>
      <c r="E62" s="35" t="s">
        <v>0</v>
      </c>
      <c r="F62" s="217"/>
      <c r="G62" s="49" t="s">
        <v>0</v>
      </c>
      <c r="H62" s="217"/>
      <c r="J62" s="217"/>
      <c r="K62" s="49" t="s">
        <v>0</v>
      </c>
      <c r="L62" s="217"/>
      <c r="M62" s="35" t="s">
        <v>0</v>
      </c>
      <c r="N62" s="217"/>
      <c r="O62" s="49" t="s">
        <v>0</v>
      </c>
      <c r="P62" s="217"/>
      <c r="R62" s="217"/>
      <c r="S62" s="51"/>
      <c r="T62" s="217"/>
      <c r="U62" s="217"/>
    </row>
    <row r="63" spans="1:21">
      <c r="A63" t="s">
        <v>309</v>
      </c>
      <c r="B63" s="20">
        <f>+B55+B61</f>
        <v>88751</v>
      </c>
      <c r="C63" s="51">
        <f>+(B63-D63)/ABS(D63)</f>
        <v>0.11092891386799184</v>
      </c>
      <c r="D63" s="20">
        <f>+D55+D61</f>
        <v>79889</v>
      </c>
      <c r="E63" s="35" t="s">
        <v>0</v>
      </c>
      <c r="F63" s="20">
        <f>+F55+F61</f>
        <v>0</v>
      </c>
      <c r="G63" s="48">
        <v>0</v>
      </c>
      <c r="H63" s="20">
        <f>+H55+H61</f>
        <v>84552</v>
      </c>
      <c r="J63" s="20">
        <f>+J55+J61</f>
        <v>0</v>
      </c>
      <c r="K63" s="48">
        <v>0</v>
      </c>
      <c r="L63" s="20">
        <f>+L55+L61</f>
        <v>169725</v>
      </c>
      <c r="M63" s="35" t="s">
        <v>0</v>
      </c>
      <c r="N63" s="20">
        <f>+N55+N61</f>
        <v>0</v>
      </c>
      <c r="O63" s="48">
        <v>0</v>
      </c>
      <c r="P63" s="20">
        <f>+P55+P61</f>
        <v>76960</v>
      </c>
      <c r="R63" s="20">
        <f>+R55+R61</f>
        <v>88751</v>
      </c>
      <c r="S63" s="51">
        <f>+(R63-T63)/ABS(T63)</f>
        <v>0.11092891386799184</v>
      </c>
      <c r="T63" s="20">
        <f>+T55+T61</f>
        <v>79889</v>
      </c>
      <c r="U63" s="20">
        <f>+U55+U61</f>
        <v>411126</v>
      </c>
    </row>
    <row r="64" spans="1:21">
      <c r="B64" s="20"/>
      <c r="C64" s="52" t="s">
        <v>0</v>
      </c>
      <c r="D64" s="20"/>
      <c r="E64" s="35" t="s">
        <v>0</v>
      </c>
      <c r="F64" s="20"/>
      <c r="G64" s="49" t="s">
        <v>0</v>
      </c>
      <c r="H64" s="20"/>
      <c r="J64" s="20"/>
      <c r="K64" s="49" t="s">
        <v>0</v>
      </c>
      <c r="L64" s="20"/>
      <c r="M64" s="35" t="s">
        <v>0</v>
      </c>
      <c r="N64" s="20"/>
      <c r="O64" s="49" t="s">
        <v>0</v>
      </c>
      <c r="P64" s="20"/>
      <c r="R64" s="20"/>
      <c r="S64" s="51"/>
      <c r="T64" s="20"/>
      <c r="U64" s="20"/>
    </row>
    <row r="65" spans="1:21">
      <c r="A65" t="s">
        <v>310</v>
      </c>
      <c r="B65" s="20">
        <v>101</v>
      </c>
      <c r="C65" s="51">
        <f>+(B65-D65)/ABS(D65)</f>
        <v>1.0060008317984672</v>
      </c>
      <c r="D65" s="20">
        <v>-16831</v>
      </c>
      <c r="E65" s="35" t="s">
        <v>0</v>
      </c>
      <c r="F65" s="20">
        <v>0</v>
      </c>
      <c r="G65" s="48">
        <v>0</v>
      </c>
      <c r="H65" s="20">
        <v>37724</v>
      </c>
      <c r="J65" s="20">
        <v>0</v>
      </c>
      <c r="K65" s="48">
        <v>0</v>
      </c>
      <c r="L65" s="20">
        <v>-35555</v>
      </c>
      <c r="M65" s="35" t="s">
        <v>0</v>
      </c>
      <c r="N65" s="20">
        <v>0</v>
      </c>
      <c r="O65" s="48">
        <v>0</v>
      </c>
      <c r="P65" s="20">
        <v>-2060</v>
      </c>
      <c r="R65" s="20">
        <f>+B65+F65+J65+N65</f>
        <v>101</v>
      </c>
      <c r="S65" s="51">
        <f>+(R65-T65)/ABS(T65)</f>
        <v>1.0060008317984672</v>
      </c>
      <c r="T65" s="81">
        <f>+D65</f>
        <v>-16831</v>
      </c>
      <c r="U65" s="87">
        <f>+D65+H65+L65+P65</f>
        <v>-16722</v>
      </c>
    </row>
    <row r="66" spans="1:21">
      <c r="B66" s="20"/>
      <c r="C66" s="52" t="s">
        <v>0</v>
      </c>
      <c r="D66" s="20"/>
      <c r="E66" s="35" t="s">
        <v>0</v>
      </c>
      <c r="F66" s="20"/>
      <c r="G66" s="49" t="s">
        <v>0</v>
      </c>
      <c r="H66" s="20"/>
      <c r="J66" s="20"/>
      <c r="K66" s="49" t="s">
        <v>0</v>
      </c>
      <c r="L66" s="20"/>
      <c r="M66" s="35" t="s">
        <v>0</v>
      </c>
      <c r="N66" s="20"/>
      <c r="O66" s="49" t="s">
        <v>0</v>
      </c>
      <c r="P66" s="20"/>
      <c r="R66" s="20"/>
      <c r="S66" s="51"/>
      <c r="T66" s="20" t="s">
        <v>0</v>
      </c>
      <c r="U66" s="20"/>
    </row>
    <row r="67" spans="1:21">
      <c r="A67" t="s">
        <v>311</v>
      </c>
      <c r="B67" s="217"/>
      <c r="C67" s="52" t="s">
        <v>0</v>
      </c>
      <c r="D67" s="217"/>
      <c r="E67" s="35" t="s">
        <v>0</v>
      </c>
      <c r="F67" s="217"/>
      <c r="G67" s="49" t="s">
        <v>0</v>
      </c>
      <c r="H67" s="217"/>
      <c r="J67" s="217"/>
      <c r="K67" s="49" t="s">
        <v>0</v>
      </c>
      <c r="L67" s="217"/>
      <c r="M67" s="35" t="s">
        <v>0</v>
      </c>
      <c r="N67" s="217"/>
      <c r="O67" s="49" t="s">
        <v>0</v>
      </c>
      <c r="P67" s="217"/>
      <c r="R67" s="217"/>
      <c r="S67" s="51"/>
      <c r="T67" s="217"/>
      <c r="U67" s="217"/>
    </row>
    <row r="68" spans="1:21">
      <c r="A68" t="s">
        <v>312</v>
      </c>
      <c r="B68" s="20">
        <f>+B63-B65</f>
        <v>88650</v>
      </c>
      <c r="C68" s="51">
        <f>+(B68-D68)/ABS(D68)</f>
        <v>-8.343672456575682E-2</v>
      </c>
      <c r="D68" s="20">
        <f>+D63-D65</f>
        <v>96720</v>
      </c>
      <c r="E68" s="35" t="s">
        <v>0</v>
      </c>
      <c r="F68" s="20">
        <f>+F63-F65</f>
        <v>0</v>
      </c>
      <c r="G68" s="48">
        <v>0</v>
      </c>
      <c r="H68" s="20">
        <f>+H63-H65</f>
        <v>46828</v>
      </c>
      <c r="J68" s="20">
        <f>+J63-J65</f>
        <v>0</v>
      </c>
      <c r="K68" s="48">
        <v>0</v>
      </c>
      <c r="L68" s="20">
        <f>+L63-L65</f>
        <v>205280</v>
      </c>
      <c r="M68" s="35" t="s">
        <v>0</v>
      </c>
      <c r="N68" s="20">
        <f>+N63-N65</f>
        <v>0</v>
      </c>
      <c r="O68" s="48">
        <v>0</v>
      </c>
      <c r="P68" s="20">
        <f>+P63-P65</f>
        <v>79020</v>
      </c>
      <c r="R68" s="20">
        <f>+R63-R65</f>
        <v>88650</v>
      </c>
      <c r="S68" s="51">
        <f>+(R68-T68)/ABS(T68)</f>
        <v>-8.343672456575682E-2</v>
      </c>
      <c r="T68" s="20">
        <f>+T63-T65</f>
        <v>96720</v>
      </c>
      <c r="U68" s="20">
        <f>+U63-U65</f>
        <v>427848</v>
      </c>
    </row>
    <row r="69" spans="1:21">
      <c r="B69" s="20"/>
      <c r="C69" s="52" t="s">
        <v>0</v>
      </c>
      <c r="D69" s="20"/>
      <c r="E69" s="35" t="s">
        <v>0</v>
      </c>
      <c r="F69" s="20"/>
      <c r="G69" s="49" t="s">
        <v>0</v>
      </c>
      <c r="H69" s="20"/>
      <c r="J69" s="20"/>
      <c r="K69" s="49" t="s">
        <v>0</v>
      </c>
      <c r="L69" s="20"/>
      <c r="M69" s="35" t="s">
        <v>0</v>
      </c>
      <c r="N69" s="20"/>
      <c r="O69" s="49" t="s">
        <v>0</v>
      </c>
      <c r="P69" s="20"/>
      <c r="R69" s="20"/>
      <c r="S69" s="51"/>
      <c r="T69" s="20"/>
      <c r="U69" s="20"/>
    </row>
    <row r="70" spans="1:21">
      <c r="A70" t="s">
        <v>313</v>
      </c>
      <c r="B70" s="20"/>
      <c r="C70" s="52" t="s">
        <v>0</v>
      </c>
      <c r="D70" s="20"/>
      <c r="E70" s="35" t="s">
        <v>0</v>
      </c>
      <c r="F70" s="20"/>
      <c r="G70" s="49" t="s">
        <v>0</v>
      </c>
      <c r="H70" s="20"/>
      <c r="J70" s="20"/>
      <c r="K70" s="49" t="s">
        <v>0</v>
      </c>
      <c r="L70" s="20"/>
      <c r="M70" s="35" t="s">
        <v>0</v>
      </c>
      <c r="N70" s="20"/>
      <c r="O70" s="49" t="s">
        <v>0</v>
      </c>
      <c r="P70" s="20"/>
      <c r="R70" s="20"/>
      <c r="S70" s="51"/>
      <c r="T70" s="20"/>
      <c r="U70" s="20"/>
    </row>
    <row r="71" spans="1:21">
      <c r="A71" t="s">
        <v>314</v>
      </c>
      <c r="B71" s="20">
        <v>22095</v>
      </c>
      <c r="C71" s="51">
        <f>+(B71-D71)/ABS(D71)</f>
        <v>-2.333907969765283E-2</v>
      </c>
      <c r="D71" s="20">
        <v>22623</v>
      </c>
      <c r="E71" s="35" t="s">
        <v>0</v>
      </c>
      <c r="F71" s="20">
        <v>0</v>
      </c>
      <c r="G71" s="48">
        <v>0</v>
      </c>
      <c r="H71" s="20">
        <v>23583</v>
      </c>
      <c r="J71" s="20">
        <v>0</v>
      </c>
      <c r="K71" s="48">
        <v>0</v>
      </c>
      <c r="L71" s="20">
        <v>22199</v>
      </c>
      <c r="M71" s="35" t="s">
        <v>0</v>
      </c>
      <c r="N71" s="24">
        <v>0</v>
      </c>
      <c r="O71" s="48">
        <v>0</v>
      </c>
      <c r="P71" s="24">
        <v>29216</v>
      </c>
      <c r="R71" s="20">
        <f>+B71+F71+J71+N71</f>
        <v>22095</v>
      </c>
      <c r="S71" s="51">
        <f>+(R71-T71)/ABS(T71)</f>
        <v>-2.333907969765283E-2</v>
      </c>
      <c r="T71" s="81">
        <f>+D71</f>
        <v>22623</v>
      </c>
      <c r="U71" s="87">
        <f>+D71+H71+L71+P71</f>
        <v>97621</v>
      </c>
    </row>
    <row r="72" spans="1:21">
      <c r="A72" t="s">
        <v>315</v>
      </c>
      <c r="B72" s="20">
        <v>2683</v>
      </c>
      <c r="C72" s="51">
        <f>+(B72-D72)/ABS(D72)</f>
        <v>-0.80661669309499784</v>
      </c>
      <c r="D72" s="20">
        <v>13874</v>
      </c>
      <c r="E72" s="35" t="s">
        <v>0</v>
      </c>
      <c r="F72" s="20">
        <v>0</v>
      </c>
      <c r="G72" s="48">
        <v>0</v>
      </c>
      <c r="H72" s="20">
        <v>3096</v>
      </c>
      <c r="J72" s="20">
        <v>0</v>
      </c>
      <c r="K72" s="48">
        <v>0</v>
      </c>
      <c r="L72" s="20">
        <v>3217</v>
      </c>
      <c r="M72" s="35" t="s">
        <v>0</v>
      </c>
      <c r="N72" s="24">
        <v>0</v>
      </c>
      <c r="O72" s="48">
        <v>0</v>
      </c>
      <c r="P72" s="24">
        <v>2870</v>
      </c>
      <c r="R72" s="20">
        <f>+B72+F72+J72+N72</f>
        <v>2683</v>
      </c>
      <c r="S72" s="51">
        <f>+(R72-T72)/ABS(T72)</f>
        <v>-0.80661669309499784</v>
      </c>
      <c r="T72" s="81">
        <f>+D72</f>
        <v>13874</v>
      </c>
      <c r="U72" s="87">
        <f>+D72+H72+L72+P72</f>
        <v>23057</v>
      </c>
    </row>
    <row r="73" spans="1:21">
      <c r="A73" t="s">
        <v>316</v>
      </c>
      <c r="B73" s="20">
        <v>5831</v>
      </c>
      <c r="C73" s="51">
        <f>+(B73-D73)/ABS(D73)</f>
        <v>-2.3773648083040347E-2</v>
      </c>
      <c r="D73" s="20">
        <v>5973</v>
      </c>
      <c r="E73" s="35" t="s">
        <v>0</v>
      </c>
      <c r="F73" s="20">
        <v>0</v>
      </c>
      <c r="G73" s="48">
        <v>0</v>
      </c>
      <c r="H73" s="20">
        <v>6525</v>
      </c>
      <c r="J73" s="20">
        <v>0</v>
      </c>
      <c r="K73" s="48">
        <v>0</v>
      </c>
      <c r="L73" s="20">
        <v>6238</v>
      </c>
      <c r="M73" s="35" t="s">
        <v>0</v>
      </c>
      <c r="N73" s="24">
        <v>0</v>
      </c>
      <c r="O73" s="48">
        <v>0</v>
      </c>
      <c r="P73" s="24">
        <v>5954</v>
      </c>
      <c r="R73" s="20">
        <f>+B73+F73+J73+N73</f>
        <v>5831</v>
      </c>
      <c r="S73" s="51">
        <f>+(R73-T73)/ABS(T73)</f>
        <v>-2.3773648083040347E-2</v>
      </c>
      <c r="T73" s="81">
        <f>+D73</f>
        <v>5973</v>
      </c>
      <c r="U73" s="87">
        <f>+D73+H73+L73+P73</f>
        <v>24690</v>
      </c>
    </row>
    <row r="74" spans="1:21">
      <c r="A74" t="s">
        <v>317</v>
      </c>
      <c r="B74" s="217">
        <v>29087</v>
      </c>
      <c r="C74" s="51">
        <f>+(B74-D74)/ABS(D74)</f>
        <v>0.23255222678927073</v>
      </c>
      <c r="D74" s="217">
        <v>23599</v>
      </c>
      <c r="E74" s="35" t="s">
        <v>0</v>
      </c>
      <c r="F74" s="217">
        <v>0</v>
      </c>
      <c r="G74" s="48">
        <v>0</v>
      </c>
      <c r="H74" s="217">
        <v>8563</v>
      </c>
      <c r="J74" s="217">
        <v>0</v>
      </c>
      <c r="K74" s="48">
        <v>0</v>
      </c>
      <c r="L74" s="217">
        <v>21496</v>
      </c>
      <c r="M74" s="35" t="s">
        <v>0</v>
      </c>
      <c r="N74" s="224">
        <v>0</v>
      </c>
      <c r="O74" s="48">
        <v>0</v>
      </c>
      <c r="P74" s="224">
        <v>28805</v>
      </c>
      <c r="R74" s="217">
        <f>+B74+F74+J74+N74</f>
        <v>29087</v>
      </c>
      <c r="S74" s="51">
        <f>+(R74-T74)/ABS(T74)</f>
        <v>0.23255222678927073</v>
      </c>
      <c r="T74" s="217">
        <f>+D74</f>
        <v>23599</v>
      </c>
      <c r="U74" s="199">
        <f>+D74+H74+L74+P74</f>
        <v>82463</v>
      </c>
    </row>
    <row r="75" spans="1:21">
      <c r="B75" s="20">
        <f>SUM(B71:B74)</f>
        <v>59696</v>
      </c>
      <c r="C75" s="51">
        <f>+(B75-D75)/ABS(D75)</f>
        <v>-9.6459761764216195E-2</v>
      </c>
      <c r="D75" s="20">
        <f>SUM(D71:D74)</f>
        <v>66069</v>
      </c>
      <c r="E75" s="35" t="s">
        <v>0</v>
      </c>
      <c r="F75" s="20">
        <f>SUM(F71:F74)</f>
        <v>0</v>
      </c>
      <c r="G75" s="48">
        <v>0</v>
      </c>
      <c r="H75" s="20">
        <f>SUM(H71:H74)</f>
        <v>41767</v>
      </c>
      <c r="J75" s="20">
        <f>SUM(J71:J74)</f>
        <v>0</v>
      </c>
      <c r="K75" s="48">
        <v>0</v>
      </c>
      <c r="L75" s="20">
        <f>SUM(L71:L74)</f>
        <v>53150</v>
      </c>
      <c r="M75" s="35" t="s">
        <v>0</v>
      </c>
      <c r="N75" s="20">
        <f>SUM(N71:N74)</f>
        <v>0</v>
      </c>
      <c r="O75" s="48">
        <v>0</v>
      </c>
      <c r="P75" s="20">
        <f>SUM(P71:P74)</f>
        <v>66845</v>
      </c>
      <c r="R75" s="20">
        <f>SUM(R71:R74)</f>
        <v>59696</v>
      </c>
      <c r="S75" s="51">
        <f>+(R75-T75)/ABS(T75)</f>
        <v>-9.6459761764216195E-2</v>
      </c>
      <c r="T75" s="20">
        <f>SUM(T71:T74)</f>
        <v>66069</v>
      </c>
      <c r="U75" s="20">
        <f>SUM(U71:U74)</f>
        <v>227831</v>
      </c>
    </row>
    <row r="76" spans="1:21">
      <c r="B76" s="217"/>
      <c r="C76" s="51"/>
      <c r="D76" s="217"/>
      <c r="E76" s="35"/>
      <c r="F76" s="217"/>
      <c r="G76" s="48"/>
      <c r="H76" s="217"/>
      <c r="J76" s="217"/>
      <c r="K76" s="48"/>
      <c r="L76" s="217"/>
      <c r="M76" s="35"/>
      <c r="N76" s="217"/>
      <c r="O76" s="48"/>
      <c r="P76" s="217"/>
      <c r="R76" s="217"/>
      <c r="S76" s="51"/>
      <c r="T76" s="217"/>
      <c r="U76" s="217"/>
    </row>
    <row r="77" spans="1:21">
      <c r="A77" t="s">
        <v>318</v>
      </c>
      <c r="B77" s="20">
        <f>+B68-B75</f>
        <v>28954</v>
      </c>
      <c r="C77" s="51">
        <f>+(B77-D77)/ABS(D77)</f>
        <v>-5.5365240938305436E-2</v>
      </c>
      <c r="D77" s="20">
        <f>+D68-D75</f>
        <v>30651</v>
      </c>
      <c r="E77" s="35" t="s">
        <v>0</v>
      </c>
      <c r="F77" s="20">
        <f>+F68-F75</f>
        <v>0</v>
      </c>
      <c r="G77" s="48">
        <v>0</v>
      </c>
      <c r="H77" s="20">
        <f>+H68-H75</f>
        <v>5061</v>
      </c>
      <c r="J77" s="20">
        <f>+J68-J75</f>
        <v>0</v>
      </c>
      <c r="K77" s="48">
        <v>0</v>
      </c>
      <c r="L77" s="20">
        <f>+L68-L75</f>
        <v>152130</v>
      </c>
      <c r="M77" s="35" t="s">
        <v>0</v>
      </c>
      <c r="N77" s="20">
        <f>+N68-N75</f>
        <v>0</v>
      </c>
      <c r="O77" s="48">
        <v>0</v>
      </c>
      <c r="P77" s="20">
        <f>+P68-P75</f>
        <v>12175</v>
      </c>
      <c r="R77" s="20">
        <f>+R68-R75</f>
        <v>28954</v>
      </c>
      <c r="S77" s="110">
        <f>+(R77-T77)/ABS(T77)</f>
        <v>-5.5365240938305436E-2</v>
      </c>
      <c r="T77" s="20">
        <f>+T68-T75</f>
        <v>30651</v>
      </c>
      <c r="U77" s="20">
        <f>+U68-U75</f>
        <v>200017</v>
      </c>
    </row>
    <row r="78" spans="1:21">
      <c r="B78" s="20"/>
      <c r="C78" s="51" t="s">
        <v>0</v>
      </c>
      <c r="D78" s="20"/>
      <c r="E78" s="35" t="s">
        <v>0</v>
      </c>
      <c r="F78" s="20"/>
      <c r="G78" s="48" t="s">
        <v>0</v>
      </c>
      <c r="H78" s="20"/>
      <c r="J78" s="20"/>
      <c r="K78" s="48" t="s">
        <v>0</v>
      </c>
      <c r="L78" s="20"/>
      <c r="M78" s="35" t="s">
        <v>0</v>
      </c>
      <c r="N78" s="20"/>
      <c r="O78" s="48" t="s">
        <v>0</v>
      </c>
      <c r="P78" s="20"/>
      <c r="R78" s="20"/>
      <c r="S78" s="51"/>
      <c r="T78" s="20"/>
      <c r="U78" s="20"/>
    </row>
    <row r="79" spans="1:21">
      <c r="A79" t="s">
        <v>319</v>
      </c>
      <c r="B79" s="20">
        <v>9285</v>
      </c>
      <c r="C79" s="51">
        <f>+(B79-D79)/ABS(D79)</f>
        <v>6.9577237645432555E-2</v>
      </c>
      <c r="D79" s="20">
        <v>8681</v>
      </c>
      <c r="E79" s="35" t="s">
        <v>0</v>
      </c>
      <c r="F79" s="20">
        <v>0</v>
      </c>
      <c r="G79" s="48">
        <v>0</v>
      </c>
      <c r="H79" s="20">
        <v>1569</v>
      </c>
      <c r="J79" s="20">
        <v>0</v>
      </c>
      <c r="K79" s="1534">
        <v>0</v>
      </c>
      <c r="L79" s="20">
        <v>47160</v>
      </c>
      <c r="M79" s="35" t="s">
        <v>0</v>
      </c>
      <c r="N79" s="20">
        <v>0</v>
      </c>
      <c r="O79" s="49">
        <v>0</v>
      </c>
      <c r="P79" s="20">
        <v>3809</v>
      </c>
      <c r="R79" s="20">
        <f>+B79+F79+J79+N79</f>
        <v>9285</v>
      </c>
      <c r="S79" s="51">
        <f>+(R79-T79)/ABS(T79)</f>
        <v>6.9577237645432555E-2</v>
      </c>
      <c r="T79" s="81">
        <f>+D79</f>
        <v>8681</v>
      </c>
      <c r="U79" s="87">
        <f>+D79+H79+L79+P79</f>
        <v>61219</v>
      </c>
    </row>
    <row r="80" spans="1:21" ht="16.5" thickBot="1">
      <c r="B80" s="79"/>
      <c r="C80" s="52" t="s">
        <v>0</v>
      </c>
      <c r="D80" s="79"/>
      <c r="E80" s="35" t="s">
        <v>0</v>
      </c>
      <c r="F80" s="79"/>
      <c r="G80" s="49" t="s">
        <v>0</v>
      </c>
      <c r="H80" s="79"/>
      <c r="J80" s="79"/>
      <c r="K80" s="49" t="s">
        <v>0</v>
      </c>
      <c r="L80" s="79"/>
      <c r="M80" s="35" t="s">
        <v>0</v>
      </c>
      <c r="N80" s="79"/>
      <c r="O80" s="49" t="s">
        <v>0</v>
      </c>
      <c r="P80" s="79"/>
      <c r="R80" s="79"/>
      <c r="S80" s="51"/>
      <c r="T80" s="79"/>
      <c r="U80" s="79"/>
    </row>
    <row r="81" spans="1:21" s="11" customFormat="1">
      <c r="A81" s="11" t="s">
        <v>326</v>
      </c>
      <c r="B81" s="13">
        <f>+B77-B79</f>
        <v>19669</v>
      </c>
      <c r="C81" s="109">
        <f>+(B81-D81)/ABS(D81)</f>
        <v>-0.10473372781065089</v>
      </c>
      <c r="D81" s="13">
        <f>+D77-D79</f>
        <v>21970</v>
      </c>
      <c r="E81" s="137" t="s">
        <v>0</v>
      </c>
      <c r="F81" s="13">
        <f>+F77-F79</f>
        <v>0</v>
      </c>
      <c r="G81" s="47">
        <v>0</v>
      </c>
      <c r="H81" s="13">
        <f>+H77-H79</f>
        <v>3492</v>
      </c>
      <c r="I81" s="137"/>
      <c r="J81" s="13">
        <f>+J77-J79</f>
        <v>0</v>
      </c>
      <c r="K81" s="1535">
        <v>0</v>
      </c>
      <c r="L81" s="13">
        <f>+L77-L79</f>
        <v>104970</v>
      </c>
      <c r="M81" s="137" t="s">
        <v>0</v>
      </c>
      <c r="N81" s="13">
        <f>+N77-N79</f>
        <v>0</v>
      </c>
      <c r="O81" s="1535">
        <v>0</v>
      </c>
      <c r="P81" s="13">
        <f>+P77-P79</f>
        <v>8366</v>
      </c>
      <c r="Q81" s="50" t="s">
        <v>0</v>
      </c>
      <c r="R81" s="13">
        <f>+R77-R79</f>
        <v>19669</v>
      </c>
      <c r="S81" s="109">
        <f>+(R81-T81)/ABS(T81)</f>
        <v>-0.10473372781065089</v>
      </c>
      <c r="T81" s="13">
        <f>+T77-T79</f>
        <v>21970</v>
      </c>
      <c r="U81" s="13">
        <f>+U77-U79</f>
        <v>138798</v>
      </c>
    </row>
    <row r="82" spans="1:21">
      <c r="E82" s="35"/>
      <c r="M82" s="35"/>
    </row>
    <row r="83" spans="1:21">
      <c r="E83" s="35"/>
      <c r="F83" s="35" t="s">
        <v>0</v>
      </c>
      <c r="M83" s="35"/>
      <c r="N83" s="35" t="s">
        <v>0</v>
      </c>
    </row>
    <row r="84" spans="1:21">
      <c r="B84"/>
      <c r="C84"/>
      <c r="D84"/>
      <c r="E84"/>
      <c r="F84"/>
      <c r="G84"/>
      <c r="H84"/>
      <c r="M84" s="35" t="s">
        <v>0</v>
      </c>
    </row>
    <row r="85" spans="1:21">
      <c r="B85"/>
      <c r="C85"/>
      <c r="D85"/>
      <c r="E85"/>
      <c r="F85"/>
      <c r="G85"/>
      <c r="H85"/>
      <c r="M85" s="35" t="s">
        <v>0</v>
      </c>
    </row>
    <row r="86" spans="1:21">
      <c r="B86"/>
      <c r="C86"/>
      <c r="D86"/>
      <c r="E86"/>
      <c r="F86"/>
      <c r="G86"/>
      <c r="H86"/>
      <c r="M86" s="35"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19" spans="2:8">
      <c r="B119"/>
      <c r="C119"/>
      <c r="D119"/>
      <c r="E119"/>
      <c r="F119"/>
      <c r="G119"/>
      <c r="H119"/>
    </row>
    <row r="120" spans="2:8">
      <c r="B120"/>
      <c r="C120"/>
      <c r="D120"/>
      <c r="E120"/>
      <c r="F120"/>
      <c r="G120"/>
      <c r="H120"/>
    </row>
    <row r="122" spans="2:8">
      <c r="B122" s="35" t="s">
        <v>0</v>
      </c>
    </row>
  </sheetData>
  <phoneticPr fontId="0" type="noConversion"/>
  <pageMargins left="0.2" right="0.2" top="0.45" bottom="0.39" header="0.31" footer="0.2"/>
  <pageSetup scale="44" orientation="landscape" r:id="rId1"/>
  <headerFooter alignWithMargins="0">
    <oddFooter>&amp;R&amp;16&amp;P</oddFooter>
  </headerFooter>
</worksheet>
</file>

<file path=xl/worksheets/sheet95.xml><?xml version="1.0" encoding="utf-8"?>
<worksheet xmlns="http://schemas.openxmlformats.org/spreadsheetml/2006/main" xmlns:r="http://schemas.openxmlformats.org/officeDocument/2006/relationships">
  <dimension ref="A1:N46"/>
  <sheetViews>
    <sheetView workbookViewId="0">
      <selection activeCell="H33" sqref="H33"/>
    </sheetView>
  </sheetViews>
  <sheetFormatPr baseColWidth="10" defaultColWidth="9" defaultRowHeight="15.75"/>
  <cols>
    <col min="1" max="1" width="50" customWidth="1"/>
    <col min="2" max="2" width="15.75" customWidth="1"/>
    <col min="4" max="4" width="15.75" customWidth="1"/>
    <col min="5" max="5" width="6.125" customWidth="1"/>
    <col min="6" max="6" width="16" customWidth="1"/>
    <col min="8" max="8" width="16" customWidth="1"/>
    <col min="10" max="10" width="15.875" customWidth="1"/>
    <col min="12" max="12" width="16.125" customWidth="1"/>
  </cols>
  <sheetData>
    <row r="1" spans="1:14">
      <c r="A1" s="111" t="s">
        <v>404</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405</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7" spans="1:14">
      <c r="A7" s="39"/>
      <c r="B7" s="39"/>
      <c r="C7" s="39"/>
      <c r="D7" s="39"/>
      <c r="E7" s="39"/>
      <c r="F7" s="39"/>
      <c r="G7" s="39"/>
      <c r="H7" s="39"/>
      <c r="I7" s="39"/>
      <c r="J7" s="39"/>
      <c r="K7" s="39"/>
      <c r="L7" s="39"/>
    </row>
    <row r="9" spans="1:14" ht="16.5" thickBot="1">
      <c r="B9" s="1562" t="str">
        <f>+'CAPITALBKVARAN        '!B8</f>
        <v xml:space="preserve">     CUMUL (Octobre - Décembre )</v>
      </c>
      <c r="C9" s="1562"/>
      <c r="D9" s="1562"/>
      <c r="E9" s="11"/>
      <c r="F9" s="111" t="s">
        <v>214</v>
      </c>
      <c r="G9" s="111"/>
      <c r="H9" s="111"/>
      <c r="I9" s="111"/>
      <c r="J9" s="111"/>
      <c r="K9" s="111"/>
      <c r="L9" s="111"/>
    </row>
    <row r="10" spans="1:14" ht="16.5" thickBot="1">
      <c r="B10" s="223" t="str">
        <f>+'CAPITALBKVARAN        '!B9</f>
        <v xml:space="preserve"> 2015</v>
      </c>
      <c r="C10" s="203" t="s">
        <v>196</v>
      </c>
      <c r="D10" s="223" t="str">
        <f>+'CAPITALBKVARAN        '!D9</f>
        <v xml:space="preserve"> 2014</v>
      </c>
      <c r="E10" s="11"/>
      <c r="F10" s="203" t="str">
        <f>+'CAPITALBKVARAN        '!F9</f>
        <v>2014</v>
      </c>
      <c r="G10" s="203" t="s">
        <v>196</v>
      </c>
      <c r="H10" s="203" t="str">
        <f>+'CAPITALBKVARAN        '!H9</f>
        <v>2013</v>
      </c>
      <c r="I10" s="203" t="s">
        <v>196</v>
      </c>
      <c r="J10" s="203" t="str">
        <f>+'CAPITALBKVARAN        '!J9</f>
        <v>2012</v>
      </c>
      <c r="K10" s="203" t="s">
        <v>196</v>
      </c>
      <c r="L10" s="203" t="str">
        <f>+'CAPITALBKVARAN        '!L9</f>
        <v>2011</v>
      </c>
    </row>
    <row r="11" spans="1:14">
      <c r="A11" t="s">
        <v>300</v>
      </c>
    </row>
    <row r="12" spans="1:14">
      <c r="A12" t="s">
        <v>301</v>
      </c>
      <c r="B12" s="24" t="s">
        <v>0</v>
      </c>
      <c r="C12" s="52" t="s">
        <v>0</v>
      </c>
      <c r="D12" s="24" t="s">
        <v>0</v>
      </c>
      <c r="E12" s="49" t="s">
        <v>0</v>
      </c>
      <c r="F12" s="24" t="s">
        <v>0</v>
      </c>
      <c r="G12" s="52" t="s">
        <v>0</v>
      </c>
      <c r="H12" s="24" t="s">
        <v>0</v>
      </c>
      <c r="J12" s="24" t="s">
        <v>0</v>
      </c>
      <c r="L12" s="24" t="s">
        <v>0</v>
      </c>
      <c r="M12" s="48"/>
      <c r="N12" s="48"/>
    </row>
    <row r="13" spans="1:14">
      <c r="A13" t="s">
        <v>302</v>
      </c>
      <c r="B13" s="20">
        <f>+'CBNARÉSULT         '!R50</f>
        <v>33688</v>
      </c>
      <c r="C13" s="51">
        <f t="shared" ref="C13:C18" si="0">+(B13-D13)/ABS(D13)</f>
        <v>-3.3758783880682632E-2</v>
      </c>
      <c r="D13" s="20">
        <f>+'CBNARÉSULT         '!T50</f>
        <v>34865</v>
      </c>
      <c r="E13" s="49"/>
      <c r="F13" s="81">
        <f>+'CBNARÉSULT         '!U50</f>
        <v>141745</v>
      </c>
      <c r="G13" s="51">
        <f t="shared" ref="G13:G18" si="1">+(F13-H13)/ABS(H13)</f>
        <v>0.10308251426081137</v>
      </c>
      <c r="H13" s="81">
        <v>128499</v>
      </c>
      <c r="I13" s="51">
        <f t="shared" ref="I13:I18" si="2">+(H13-J13)/ABS(J13)</f>
        <v>-6.4516129032258063E-2</v>
      </c>
      <c r="J13" s="81">
        <v>137361</v>
      </c>
      <c r="K13" s="51">
        <f t="shared" ref="K13:K18" si="3">+(J13-L13)/ABS(L13)</f>
        <v>6.6395515004946688E-3</v>
      </c>
      <c r="L13" s="81">
        <v>136455</v>
      </c>
      <c r="M13" s="48"/>
      <c r="N13" s="48"/>
    </row>
    <row r="14" spans="1:14">
      <c r="A14" t="s">
        <v>322</v>
      </c>
      <c r="B14" s="20">
        <f>+'CBNARÉSULT         '!R51</f>
        <v>7508</v>
      </c>
      <c r="C14" s="51">
        <f t="shared" si="0"/>
        <v>63.17094017094017</v>
      </c>
      <c r="D14" s="20">
        <f>+'CBNARÉSULT         '!T51</f>
        <v>117</v>
      </c>
      <c r="E14" s="49"/>
      <c r="F14" s="81">
        <f>+'CBNARÉSULT         '!U51</f>
        <v>2586</v>
      </c>
      <c r="G14" s="51">
        <f t="shared" si="1"/>
        <v>-0.68230958230958227</v>
      </c>
      <c r="H14" s="81">
        <v>8140</v>
      </c>
      <c r="I14" s="51">
        <f t="shared" si="2"/>
        <v>5.1854103343465043</v>
      </c>
      <c r="J14" s="81">
        <v>1316</v>
      </c>
      <c r="K14" s="51">
        <f t="shared" si="3"/>
        <v>2.5720966484801246E-2</v>
      </c>
      <c r="L14" s="81">
        <v>1283</v>
      </c>
      <c r="M14" s="48"/>
      <c r="N14" s="48"/>
    </row>
    <row r="15" spans="1:14">
      <c r="A15" t="s">
        <v>304</v>
      </c>
      <c r="B15" s="199">
        <f>+'CBNARÉSULT         '!R52</f>
        <v>84</v>
      </c>
      <c r="C15" s="51">
        <f t="shared" si="0"/>
        <v>-0.47826086956521741</v>
      </c>
      <c r="D15" s="217">
        <f>+'CBNARÉSULT         '!T52</f>
        <v>161</v>
      </c>
      <c r="E15" s="49"/>
      <c r="F15" s="217">
        <f>+'CBNARÉSULT         '!U52</f>
        <v>590</v>
      </c>
      <c r="G15" s="51">
        <f t="shared" si="1"/>
        <v>-0.28743961352657005</v>
      </c>
      <c r="H15" s="217">
        <v>828</v>
      </c>
      <c r="I15" s="51">
        <f t="shared" si="2"/>
        <v>-0.23545706371191136</v>
      </c>
      <c r="J15" s="217">
        <v>1083</v>
      </c>
      <c r="K15" s="51">
        <f t="shared" si="3"/>
        <v>-0.53137170056252703</v>
      </c>
      <c r="L15" s="217">
        <v>2311</v>
      </c>
      <c r="M15" s="48"/>
      <c r="N15" s="48"/>
    </row>
    <row r="16" spans="1:14">
      <c r="B16" s="20">
        <f>SUM(B13:B15)</f>
        <v>41280</v>
      </c>
      <c r="C16" s="51">
        <f t="shared" si="0"/>
        <v>0.1746293714253194</v>
      </c>
      <c r="D16" s="20">
        <f>SUM(D13:D15)</f>
        <v>35143</v>
      </c>
      <c r="E16" s="49"/>
      <c r="F16" s="20">
        <f>SUM(F13:F15)</f>
        <v>144921</v>
      </c>
      <c r="G16" s="51">
        <f t="shared" si="1"/>
        <v>5.4223922832388867E-2</v>
      </c>
      <c r="H16" s="20">
        <f>SUM(H13:H15)</f>
        <v>137467</v>
      </c>
      <c r="I16" s="51">
        <f t="shared" si="2"/>
        <v>-1.6406697195191756E-2</v>
      </c>
      <c r="J16" s="20">
        <f>SUM(J13:J15)</f>
        <v>139760</v>
      </c>
      <c r="K16" s="51">
        <f t="shared" si="3"/>
        <v>-2.063563467072239E-3</v>
      </c>
      <c r="L16" s="20">
        <f>SUM(L13:L15)</f>
        <v>140049</v>
      </c>
      <c r="M16" s="48"/>
      <c r="N16" s="48"/>
    </row>
    <row r="17" spans="1:14">
      <c r="A17" t="s">
        <v>305</v>
      </c>
      <c r="B17" s="217">
        <f>+'CBNARÉSULT         '!R54</f>
        <v>5470</v>
      </c>
      <c r="C17" s="51">
        <f t="shared" si="0"/>
        <v>0.86689419795221845</v>
      </c>
      <c r="D17" s="217">
        <f>+'CBNARÉSULT         '!T54</f>
        <v>2930</v>
      </c>
      <c r="E17" s="49" t="s">
        <v>0</v>
      </c>
      <c r="F17" s="217">
        <f>+'CBNARÉSULT         '!U54</f>
        <v>12764</v>
      </c>
      <c r="G17" s="51">
        <f t="shared" si="1"/>
        <v>0.30072353001120961</v>
      </c>
      <c r="H17" s="217">
        <v>9813</v>
      </c>
      <c r="I17" s="51">
        <f t="shared" si="2"/>
        <v>-0.11443010558613843</v>
      </c>
      <c r="J17" s="217">
        <v>11081</v>
      </c>
      <c r="K17" s="51">
        <f t="shared" si="3"/>
        <v>1.2999169779991697</v>
      </c>
      <c r="L17" s="217">
        <v>4818</v>
      </c>
      <c r="M17" s="48"/>
      <c r="N17" s="48"/>
    </row>
    <row r="18" spans="1:14">
      <c r="B18" s="24">
        <f>+B16-B17</f>
        <v>35810</v>
      </c>
      <c r="C18" s="51">
        <f t="shared" si="0"/>
        <v>0.1116629932015025</v>
      </c>
      <c r="D18" s="24">
        <f>+D16-D17</f>
        <v>32213</v>
      </c>
      <c r="E18" s="49" t="s">
        <v>0</v>
      </c>
      <c r="F18" s="24">
        <f>+F16-F17</f>
        <v>132157</v>
      </c>
      <c r="G18" s="51">
        <f t="shared" si="1"/>
        <v>3.5275040343428328E-2</v>
      </c>
      <c r="H18" s="24">
        <f>+H16-H17</f>
        <v>127654</v>
      </c>
      <c r="I18" s="51">
        <f t="shared" si="2"/>
        <v>-7.9655577056085298E-3</v>
      </c>
      <c r="J18" s="24">
        <f>+J16-J17</f>
        <v>128679</v>
      </c>
      <c r="K18" s="51">
        <f t="shared" si="3"/>
        <v>-4.8450429265479072E-2</v>
      </c>
      <c r="L18" s="24">
        <f>+L16-L17</f>
        <v>135231</v>
      </c>
      <c r="M18" s="48"/>
      <c r="N18" s="48"/>
    </row>
    <row r="19" spans="1:14">
      <c r="B19" s="20"/>
      <c r="C19" s="51"/>
      <c r="D19" s="20"/>
      <c r="E19" s="49"/>
      <c r="F19" s="20"/>
      <c r="G19" s="51"/>
      <c r="H19" s="20"/>
      <c r="I19" s="51"/>
      <c r="J19" s="20"/>
      <c r="K19" s="51"/>
      <c r="L19" s="20"/>
      <c r="M19" s="48"/>
      <c r="N19" s="48"/>
    </row>
    <row r="20" spans="1:14">
      <c r="A20" t="s">
        <v>306</v>
      </c>
      <c r="B20" s="20"/>
      <c r="C20" s="51"/>
      <c r="D20" s="20"/>
      <c r="E20" s="49" t="s">
        <v>0</v>
      </c>
      <c r="F20" s="20"/>
      <c r="G20" s="51"/>
      <c r="H20" s="20"/>
      <c r="I20" s="51"/>
      <c r="J20" s="20"/>
      <c r="K20" s="51"/>
      <c r="L20" s="20"/>
      <c r="M20" s="48"/>
      <c r="N20" s="48"/>
    </row>
    <row r="21" spans="1:14">
      <c r="A21" t="s">
        <v>307</v>
      </c>
      <c r="B21" s="20">
        <f>+'CBNARÉSULT         '!R58</f>
        <v>12705</v>
      </c>
      <c r="C21" s="51">
        <f t="shared" ref="C21:C26" si="4">+(B21-D21)/ABS(D21)</f>
        <v>-0.21321525885558584</v>
      </c>
      <c r="D21" s="20">
        <f>+'CBNARÉSULT         '!T58</f>
        <v>16148</v>
      </c>
      <c r="E21" s="49" t="s">
        <v>0</v>
      </c>
      <c r="F21" s="81">
        <f>+'CBNARÉSULT         '!U58</f>
        <v>65705</v>
      </c>
      <c r="G21" s="51">
        <f>+(F21-H21)/ABS(H21)</f>
        <v>7.3786566432423595E-2</v>
      </c>
      <c r="H21" s="20">
        <v>61190</v>
      </c>
      <c r="I21" s="51">
        <f>+(H21-J21)/ABS(J21)</f>
        <v>-3.0853052044727422E-2</v>
      </c>
      <c r="J21" s="20">
        <v>63138</v>
      </c>
      <c r="K21" s="51">
        <f>+(J21-L21)/ABS(L21)</f>
        <v>8.4975880905983452E-3</v>
      </c>
      <c r="L21" s="20">
        <v>62606</v>
      </c>
      <c r="M21" s="48"/>
      <c r="N21" s="48"/>
    </row>
    <row r="22" spans="1:14">
      <c r="A22" t="s">
        <v>308</v>
      </c>
      <c r="B22" s="20">
        <f>+'CBNARÉSULT         '!R59</f>
        <v>40214</v>
      </c>
      <c r="C22" s="51">
        <f t="shared" si="4"/>
        <v>0.27687813551787643</v>
      </c>
      <c r="D22" s="20">
        <f>+'CBNARÉSULT         '!T59</f>
        <v>31494</v>
      </c>
      <c r="E22" s="49" t="s">
        <v>0</v>
      </c>
      <c r="F22" s="81">
        <f>+'CBNARÉSULT         '!U59</f>
        <v>125792</v>
      </c>
      <c r="G22" s="51">
        <f>+(F22-H22)/ABS(H22)</f>
        <v>0.75275888975588001</v>
      </c>
      <c r="H22" s="20">
        <v>71768</v>
      </c>
      <c r="I22" s="51">
        <f>+(H22-J22)/ABS(J22)</f>
        <v>-3.9108837981496607E-2</v>
      </c>
      <c r="J22" s="20">
        <v>74689</v>
      </c>
      <c r="K22" s="51">
        <f>+(J22-L22)/ABS(L22)</f>
        <v>-4.4775546745108072E-2</v>
      </c>
      <c r="L22" s="20">
        <v>78190</v>
      </c>
      <c r="M22" s="48"/>
      <c r="N22" s="48"/>
    </row>
    <row r="23" spans="1:14">
      <c r="A23" t="s">
        <v>274</v>
      </c>
      <c r="B23" s="217">
        <f>+'CBNARÉSULT         '!R60</f>
        <v>22</v>
      </c>
      <c r="C23" s="51">
        <f t="shared" si="4"/>
        <v>-0.35294117647058826</v>
      </c>
      <c r="D23" s="217">
        <f>+'CBNARÉSULT         '!T60</f>
        <v>34</v>
      </c>
      <c r="E23" s="49" t="s">
        <v>0</v>
      </c>
      <c r="F23" s="217">
        <f>+'CBNARÉSULT         '!U60</f>
        <v>87472</v>
      </c>
      <c r="G23" s="51">
        <f>+(F23-H23)/ABS(H23)</f>
        <v>279.35897435897436</v>
      </c>
      <c r="H23" s="217">
        <v>312</v>
      </c>
      <c r="I23" s="51">
        <f>+(H23-J23)/ABS(J23)</f>
        <v>0.56783919597989951</v>
      </c>
      <c r="J23" s="217">
        <v>199</v>
      </c>
      <c r="K23" s="51">
        <f>+(J23-L23)/ABS(L23)</f>
        <v>-0.1638655462184874</v>
      </c>
      <c r="L23" s="217">
        <v>238</v>
      </c>
      <c r="M23" s="48"/>
      <c r="N23" s="48"/>
    </row>
    <row r="24" spans="1:14" s="187" customFormat="1">
      <c r="B24" s="24">
        <f>SUM(B21:B23)</f>
        <v>52941</v>
      </c>
      <c r="C24" s="51">
        <f t="shared" si="4"/>
        <v>0.11043292222501888</v>
      </c>
      <c r="D24" s="24">
        <f>SUM(D21:D23)</f>
        <v>47676</v>
      </c>
      <c r="E24" s="49" t="s">
        <v>0</v>
      </c>
      <c r="F24" s="24">
        <f>SUM(F21:F23)</f>
        <v>278969</v>
      </c>
      <c r="G24" s="51">
        <f>+(F24-H24)/ABS(H24)</f>
        <v>1.0932617993546936</v>
      </c>
      <c r="H24" s="24">
        <f>SUM(H21:H23)</f>
        <v>133270</v>
      </c>
      <c r="I24" s="51">
        <f>+(H24-J24)/ABS(J24)</f>
        <v>-3.4457276165360151E-2</v>
      </c>
      <c r="J24" s="24">
        <f>SUM(J21:J23)</f>
        <v>138026</v>
      </c>
      <c r="K24" s="51">
        <f>+(J24-L24)/ABS(L24)</f>
        <v>-2.1328190365443794E-2</v>
      </c>
      <c r="L24" s="24">
        <f>SUM(L21:L23)</f>
        <v>141034</v>
      </c>
      <c r="M24" s="49"/>
      <c r="N24" s="49"/>
    </row>
    <row r="25" spans="1:14">
      <c r="B25" s="217"/>
      <c r="C25" s="50" t="s">
        <v>0</v>
      </c>
      <c r="D25" s="217"/>
      <c r="E25" s="49"/>
      <c r="F25" s="217"/>
      <c r="G25" s="51"/>
      <c r="H25" s="217"/>
      <c r="I25" s="51"/>
      <c r="J25" s="217"/>
      <c r="K25" s="51"/>
      <c r="L25" s="217"/>
      <c r="M25" s="48"/>
      <c r="N25" s="48"/>
    </row>
    <row r="26" spans="1:14" s="187" customFormat="1">
      <c r="A26" s="187" t="s">
        <v>309</v>
      </c>
      <c r="B26" s="24">
        <f>+B18+B24</f>
        <v>88751</v>
      </c>
      <c r="C26" s="51">
        <f t="shared" si="4"/>
        <v>0.11092891386799184</v>
      </c>
      <c r="D26" s="24">
        <f>+D18+D24</f>
        <v>79889</v>
      </c>
      <c r="E26" s="49" t="s">
        <v>0</v>
      </c>
      <c r="F26" s="24">
        <f>+F18+F24</f>
        <v>411126</v>
      </c>
      <c r="G26" s="51">
        <f>+(F26-H26)/ABS(H26)</f>
        <v>0.57565421348745227</v>
      </c>
      <c r="H26" s="24">
        <f>+H18+H24</f>
        <v>260924</v>
      </c>
      <c r="I26" s="51">
        <f>+(H26-J26)/ABS(J26)</f>
        <v>-2.1675634127594157E-2</v>
      </c>
      <c r="J26" s="24">
        <f>+J18+J24</f>
        <v>266705</v>
      </c>
      <c r="K26" s="51">
        <f>+(J26-L26)/ABS(L26)</f>
        <v>-3.4604455866649772E-2</v>
      </c>
      <c r="L26" s="24">
        <f>+L18+L24</f>
        <v>276265</v>
      </c>
      <c r="M26" s="49"/>
      <c r="N26" s="49"/>
    </row>
    <row r="27" spans="1:14">
      <c r="B27" s="20"/>
      <c r="C27" s="51"/>
      <c r="D27" s="20"/>
      <c r="E27" s="49" t="s">
        <v>0</v>
      </c>
      <c r="F27" s="20"/>
      <c r="G27" s="51"/>
      <c r="H27" s="20"/>
      <c r="I27" s="51"/>
      <c r="J27" s="20"/>
      <c r="K27" s="51"/>
      <c r="L27" s="20"/>
      <c r="M27" s="48"/>
      <c r="N27" s="48"/>
    </row>
    <row r="28" spans="1:14">
      <c r="A28" t="s">
        <v>310</v>
      </c>
      <c r="B28" s="20">
        <f>+'CBNARÉSULT         '!R65</f>
        <v>101</v>
      </c>
      <c r="C28" s="51">
        <f>+(B28-D28)/ABS(D28)</f>
        <v>1.0060008317984672</v>
      </c>
      <c r="D28" s="20">
        <f>+'CBNARÉSULT         '!T65</f>
        <v>-16831</v>
      </c>
      <c r="E28" s="49" t="s">
        <v>0</v>
      </c>
      <c r="F28" s="81">
        <f>+'CBNARÉSULT         '!U65</f>
        <v>-16722</v>
      </c>
      <c r="G28" s="51">
        <f>+(F28-H28)/ABS(H28)</f>
        <v>-1.8581986143187066</v>
      </c>
      <c r="H28" s="20">
        <v>19485</v>
      </c>
      <c r="I28" s="51">
        <f>+(H28-J28)/ABS(J28)</f>
        <v>-0.40118012231476075</v>
      </c>
      <c r="J28" s="20">
        <v>32539</v>
      </c>
      <c r="K28" s="51">
        <f>+(J28-L28)/ABS(L28)</f>
        <v>1.7588032274614058</v>
      </c>
      <c r="L28" s="20">
        <v>-42882</v>
      </c>
      <c r="M28" s="48"/>
      <c r="N28" s="48"/>
    </row>
    <row r="29" spans="1:14">
      <c r="B29" s="20"/>
      <c r="C29" s="51"/>
      <c r="D29" s="20"/>
      <c r="E29" s="49" t="s">
        <v>0</v>
      </c>
      <c r="F29" s="20"/>
      <c r="G29" s="51"/>
      <c r="H29" s="20"/>
      <c r="I29" s="51"/>
      <c r="J29" s="20"/>
      <c r="K29" s="51"/>
      <c r="L29" s="20"/>
      <c r="M29" s="48"/>
      <c r="N29" s="48"/>
    </row>
    <row r="30" spans="1:14">
      <c r="A30" t="s">
        <v>311</v>
      </c>
      <c r="B30" s="217"/>
      <c r="C30" s="51"/>
      <c r="D30" s="217"/>
      <c r="E30" s="49" t="s">
        <v>0</v>
      </c>
      <c r="F30" s="217"/>
      <c r="G30" s="51"/>
      <c r="H30" s="217"/>
      <c r="I30" s="51"/>
      <c r="J30" s="217"/>
      <c r="K30" s="51"/>
      <c r="L30" s="217"/>
      <c r="M30" s="48"/>
      <c r="N30" s="48"/>
    </row>
    <row r="31" spans="1:14" s="187" customFormat="1">
      <c r="A31" s="187" t="s">
        <v>312</v>
      </c>
      <c r="B31" s="24">
        <f>+B26-B28</f>
        <v>88650</v>
      </c>
      <c r="C31" s="51">
        <f>+(B31-D31)/ABS(D31)</f>
        <v>-8.343672456575682E-2</v>
      </c>
      <c r="D31" s="24">
        <f>+D26-D28</f>
        <v>96720</v>
      </c>
      <c r="E31" s="49" t="s">
        <v>0</v>
      </c>
      <c r="F31" s="24">
        <f>+F26-F28</f>
        <v>427848</v>
      </c>
      <c r="G31" s="51">
        <f>+(F31-H31)/ABS(H31)</f>
        <v>0.77207493404131067</v>
      </c>
      <c r="H31" s="24">
        <f>+H26-H28</f>
        <v>241439</v>
      </c>
      <c r="I31" s="51">
        <f>+(H31-J31)/ABS(J31)</f>
        <v>3.1059163157759879E-2</v>
      </c>
      <c r="J31" s="24">
        <f>+J26-J28</f>
        <v>234166</v>
      </c>
      <c r="K31" s="51">
        <f>+(J31-L31)/ABS(L31)</f>
        <v>-0.26627541540418681</v>
      </c>
      <c r="L31" s="24">
        <f>+L26-L28</f>
        <v>319147</v>
      </c>
      <c r="M31" s="49"/>
      <c r="N31" s="49"/>
    </row>
    <row r="32" spans="1:14">
      <c r="B32" s="20"/>
      <c r="C32" s="51"/>
      <c r="D32" s="20"/>
      <c r="E32" s="49" t="s">
        <v>0</v>
      </c>
      <c r="F32" s="20"/>
      <c r="G32" s="51"/>
      <c r="H32" s="20"/>
      <c r="I32" s="51"/>
      <c r="J32" s="20"/>
      <c r="K32" s="51"/>
      <c r="L32" s="20"/>
      <c r="M32" s="48"/>
      <c r="N32" s="48"/>
    </row>
    <row r="33" spans="1:14">
      <c r="A33" t="s">
        <v>313</v>
      </c>
      <c r="B33" s="20"/>
      <c r="C33" s="51"/>
      <c r="D33" s="20"/>
      <c r="E33" s="49" t="s">
        <v>0</v>
      </c>
      <c r="F33" s="20"/>
      <c r="G33" s="51"/>
      <c r="H33" s="20"/>
      <c r="I33" s="51"/>
      <c r="J33" s="20"/>
      <c r="K33" s="51"/>
      <c r="L33" s="20"/>
      <c r="M33" s="48"/>
      <c r="N33" s="48"/>
    </row>
    <row r="34" spans="1:14">
      <c r="A34" t="s">
        <v>314</v>
      </c>
      <c r="B34" s="20">
        <f>+'CBNARÉSULT         '!R71</f>
        <v>22095</v>
      </c>
      <c r="C34" s="51">
        <f>+(B34-D34)/ABS(D34)</f>
        <v>-2.333907969765283E-2</v>
      </c>
      <c r="D34" s="20">
        <f>+'CBNARÉSULT         '!T71</f>
        <v>22623</v>
      </c>
      <c r="E34" s="49" t="s">
        <v>0</v>
      </c>
      <c r="F34" s="81">
        <f>+'CBNARÉSULT         '!U71</f>
        <v>97621</v>
      </c>
      <c r="G34" s="51">
        <f>+(F34-H34)/ABS(H34)</f>
        <v>-8.9611116292082446E-2</v>
      </c>
      <c r="H34" s="20">
        <v>107230</v>
      </c>
      <c r="I34" s="51">
        <f>+(H34-J34)/ABS(J34)</f>
        <v>0.10716461368493872</v>
      </c>
      <c r="J34" s="20">
        <v>96851</v>
      </c>
      <c r="K34" s="51">
        <f>+(J34-L34)/ABS(L34)</f>
        <v>-6.7008968566666993E-2</v>
      </c>
      <c r="L34" s="20">
        <v>103807</v>
      </c>
      <c r="M34" s="48"/>
      <c r="N34" s="48"/>
    </row>
    <row r="35" spans="1:14">
      <c r="A35" t="s">
        <v>315</v>
      </c>
      <c r="B35" s="20">
        <f>+'CBNARÉSULT         '!R72</f>
        <v>2683</v>
      </c>
      <c r="C35" s="51">
        <f>+(B35-D35)/ABS(D35)</f>
        <v>-0.80661669309499784</v>
      </c>
      <c r="D35" s="20">
        <f>+'CBNARÉSULT         '!T72</f>
        <v>13874</v>
      </c>
      <c r="E35" s="49" t="s">
        <v>0</v>
      </c>
      <c r="F35" s="81">
        <f>+'CBNARÉSULT         '!U72</f>
        <v>23057</v>
      </c>
      <c r="G35" s="51">
        <f>+(F35-H35)/ABS(H35)</f>
        <v>0.37670169572486267</v>
      </c>
      <c r="H35" s="20">
        <v>16748</v>
      </c>
      <c r="I35" s="51">
        <f>+(H35-J35)/ABS(J35)</f>
        <v>-8.2150490491587652E-2</v>
      </c>
      <c r="J35" s="20">
        <v>18247</v>
      </c>
      <c r="K35" s="51">
        <f>+(J35-L35)/ABS(L35)</f>
        <v>-6.0981885549608893E-2</v>
      </c>
      <c r="L35" s="20">
        <v>19432</v>
      </c>
      <c r="M35" s="48"/>
      <c r="N35" s="48"/>
    </row>
    <row r="36" spans="1:14">
      <c r="A36" t="s">
        <v>316</v>
      </c>
      <c r="B36" s="20">
        <f>+'CBNARÉSULT         '!R73</f>
        <v>5831</v>
      </c>
      <c r="C36" s="51">
        <f>+(B36-D36)/ABS(D36)</f>
        <v>-2.3773648083040347E-2</v>
      </c>
      <c r="D36" s="20">
        <f>+'CBNARÉSULT         '!T73</f>
        <v>5973</v>
      </c>
      <c r="E36" s="49" t="s">
        <v>0</v>
      </c>
      <c r="F36" s="81">
        <f>+'CBNARÉSULT         '!U73</f>
        <v>24690</v>
      </c>
      <c r="G36" s="51">
        <f>+(F36-H36)/ABS(H36)</f>
        <v>0.40972935936964716</v>
      </c>
      <c r="H36" s="20">
        <v>17514</v>
      </c>
      <c r="I36" s="51">
        <f>+(H36-J36)/ABS(J36)</f>
        <v>0.34847551586079456</v>
      </c>
      <c r="J36" s="20">
        <v>12988</v>
      </c>
      <c r="K36" s="51">
        <f>+(J36-L36)/ABS(L36)</f>
        <v>1</v>
      </c>
      <c r="L36" s="20">
        <v>6494</v>
      </c>
      <c r="M36" s="48"/>
      <c r="N36" s="48"/>
    </row>
    <row r="37" spans="1:14">
      <c r="A37" t="s">
        <v>317</v>
      </c>
      <c r="B37" s="217">
        <f>+'CBNARÉSULT         '!R74</f>
        <v>29087</v>
      </c>
      <c r="C37" s="51">
        <f>+(B37-D37)/ABS(D37)</f>
        <v>0.23255222678927073</v>
      </c>
      <c r="D37" s="217">
        <f>+'CBNARÉSULT         '!T74</f>
        <v>23599</v>
      </c>
      <c r="E37" s="49" t="s">
        <v>0</v>
      </c>
      <c r="F37" s="217">
        <f>+'CBNARÉSULT         '!U74</f>
        <v>82463</v>
      </c>
      <c r="G37" s="51">
        <f>+(F37-H37)/ABS(H37)</f>
        <v>-0.18577578546179821</v>
      </c>
      <c r="H37" s="217">
        <v>101278</v>
      </c>
      <c r="I37" s="51">
        <f>+(H37-J37)/ABS(J37)</f>
        <v>0.14604173267550807</v>
      </c>
      <c r="J37" s="217">
        <v>88372</v>
      </c>
      <c r="K37" s="51">
        <f>+(J37-L37)/ABS(L37)</f>
        <v>3.1866452771949473E-2</v>
      </c>
      <c r="L37" s="217">
        <v>85642.865665999998</v>
      </c>
      <c r="M37" s="48"/>
      <c r="N37" s="48"/>
    </row>
    <row r="38" spans="1:14" s="187" customFormat="1">
      <c r="B38" s="24">
        <f>SUM(B34:B37)</f>
        <v>59696</v>
      </c>
      <c r="C38" s="51">
        <f>+(B38-D38)/ABS(D38)</f>
        <v>-9.6459761764216195E-2</v>
      </c>
      <c r="D38" s="24">
        <f>SUM(D34:D37)</f>
        <v>66069</v>
      </c>
      <c r="E38" s="49" t="s">
        <v>0</v>
      </c>
      <c r="F38" s="24">
        <f>SUM(F34:F37)</f>
        <v>227831</v>
      </c>
      <c r="G38" s="51">
        <f>+(F38-H38)/ABS(H38)</f>
        <v>-6.1535609836470731E-2</v>
      </c>
      <c r="H38" s="24">
        <f>SUM(H34:H37)</f>
        <v>242770</v>
      </c>
      <c r="I38" s="51">
        <f>+(H38-J38)/ABS(J38)</f>
        <v>0.12155706880780567</v>
      </c>
      <c r="J38" s="24">
        <f>SUM(J34:J37)</f>
        <v>216458</v>
      </c>
      <c r="K38" s="51">
        <f>+(J38-L38)/ABS(L38)</f>
        <v>5.0243992317976398E-3</v>
      </c>
      <c r="L38" s="24">
        <f>SUM(L34:L37)</f>
        <v>215375.865666</v>
      </c>
      <c r="M38" s="49"/>
      <c r="N38" s="49"/>
    </row>
    <row r="39" spans="1:14">
      <c r="B39" s="225"/>
      <c r="C39" s="109"/>
      <c r="D39" s="225"/>
      <c r="E39" s="47"/>
      <c r="F39" s="225"/>
      <c r="G39" s="109"/>
      <c r="H39" s="225"/>
      <c r="I39" s="109"/>
      <c r="J39" s="225"/>
      <c r="K39" s="109"/>
      <c r="L39" s="225"/>
      <c r="M39" s="48"/>
      <c r="N39" s="48"/>
    </row>
    <row r="40" spans="1:14" s="187" customFormat="1">
      <c r="A40" s="187" t="s">
        <v>318</v>
      </c>
      <c r="B40" s="24">
        <f>+B31-B38</f>
        <v>28954</v>
      </c>
      <c r="C40" s="110">
        <f>+(B40-D40)/ABS(D40)</f>
        <v>-5.5365240938305436E-2</v>
      </c>
      <c r="D40" s="24">
        <f>+D31-D38</f>
        <v>30651</v>
      </c>
      <c r="E40" s="49" t="s">
        <v>0</v>
      </c>
      <c r="F40" s="24">
        <f>+F31-F38</f>
        <v>200017</v>
      </c>
      <c r="G40" s="51">
        <f>+(F40-H40)/ABS(H40)</f>
        <v>151.27573253193088</v>
      </c>
      <c r="H40" s="24">
        <f>+H31-H38</f>
        <v>-1331</v>
      </c>
      <c r="I40" s="51">
        <f>+(H40-J40)/ABS(J40)</f>
        <v>-1.0751637677885701</v>
      </c>
      <c r="J40" s="24">
        <f>+J31-J38</f>
        <v>17708</v>
      </c>
      <c r="K40" s="51">
        <f>+(J40-L40)/ABS(L40)</f>
        <v>-0.82935524301965657</v>
      </c>
      <c r="L40" s="24">
        <f>+L31-L38</f>
        <v>103771.134334</v>
      </c>
      <c r="M40" s="49"/>
      <c r="N40" s="49"/>
    </row>
    <row r="41" spans="1:14">
      <c r="B41" s="20"/>
      <c r="C41" s="51"/>
      <c r="D41" s="20"/>
      <c r="E41" s="49" t="s">
        <v>0</v>
      </c>
      <c r="F41" s="20"/>
      <c r="G41" s="51"/>
      <c r="H41" s="20"/>
      <c r="I41" s="51"/>
      <c r="J41" s="20"/>
      <c r="K41" s="51"/>
      <c r="L41" s="20"/>
      <c r="M41" s="48"/>
      <c r="N41" s="48"/>
    </row>
    <row r="42" spans="1:14">
      <c r="A42" t="s">
        <v>319</v>
      </c>
      <c r="B42" s="20">
        <f>+'CBNARÉSULT         '!R79</f>
        <v>9285</v>
      </c>
      <c r="C42" s="51">
        <f>+(B42-D42)/ABS(D42)</f>
        <v>6.9577237645432555E-2</v>
      </c>
      <c r="D42" s="20">
        <f>+'CBNARÉSULT         '!T79</f>
        <v>8681</v>
      </c>
      <c r="E42" s="49" t="s">
        <v>0</v>
      </c>
      <c r="F42" s="81">
        <f>+'CBNARÉSULT         '!U79</f>
        <v>61219</v>
      </c>
      <c r="G42" s="51">
        <f>+(F42-H42)/ABS(H42)</f>
        <v>492.70161290322579</v>
      </c>
      <c r="H42" s="81">
        <v>124</v>
      </c>
      <c r="I42" s="51">
        <f>+(H42-J42)/ABS(J42)</f>
        <v>-0.97638994668697643</v>
      </c>
      <c r="J42" s="81">
        <v>5252</v>
      </c>
      <c r="K42" s="51">
        <f>+(J42-L42)/ABS(L42)</f>
        <v>-0.82518390307226308</v>
      </c>
      <c r="L42" s="20">
        <v>30043</v>
      </c>
      <c r="M42" s="48"/>
      <c r="N42" s="48"/>
    </row>
    <row r="43" spans="1:14" ht="16.5" thickBot="1">
      <c r="B43" s="79"/>
      <c r="C43" s="51"/>
      <c r="D43" s="79"/>
      <c r="E43" s="49" t="s">
        <v>0</v>
      </c>
      <c r="F43" s="79"/>
      <c r="G43" s="51"/>
      <c r="H43" s="79"/>
      <c r="I43" s="51"/>
      <c r="J43" s="79"/>
      <c r="K43" s="51"/>
      <c r="L43" s="79"/>
      <c r="M43" s="48"/>
      <c r="N43" s="48"/>
    </row>
    <row r="44" spans="1:14">
      <c r="A44" s="11" t="s">
        <v>326</v>
      </c>
      <c r="B44" s="13">
        <f>+B40-B42</f>
        <v>19669</v>
      </c>
      <c r="C44" s="109">
        <f>+(B44-D44)/ABS(D44)</f>
        <v>-0.10473372781065089</v>
      </c>
      <c r="D44" s="13">
        <f>+D40-D42</f>
        <v>21970</v>
      </c>
      <c r="E44" s="47" t="s">
        <v>0</v>
      </c>
      <c r="F44" s="13">
        <f>+F40-F42</f>
        <v>138798</v>
      </c>
      <c r="G44" s="109">
        <f>+(F44-H44)/ABS(H44)</f>
        <v>96.393814432989686</v>
      </c>
      <c r="H44" s="13">
        <f>+H40-H42</f>
        <v>-1455</v>
      </c>
      <c r="I44" s="109">
        <f>+(H44-J44)/ABS(J44)</f>
        <v>-1.116811175337187</v>
      </c>
      <c r="J44" s="13">
        <f>+J40-J42</f>
        <v>12456</v>
      </c>
      <c r="K44" s="109">
        <f>+(J44-L44)/ABS(L44)</f>
        <v>-0.83105499532142824</v>
      </c>
      <c r="L44" s="13">
        <f>+L40-L42</f>
        <v>73728.134334000002</v>
      </c>
      <c r="M44" s="48"/>
      <c r="N44" s="48"/>
    </row>
    <row r="45" spans="1:14">
      <c r="E45" t="s">
        <v>0</v>
      </c>
    </row>
    <row r="46" spans="1:14">
      <c r="E46" t="s">
        <v>0</v>
      </c>
    </row>
  </sheetData>
  <mergeCells count="1">
    <mergeCell ref="B9:D9"/>
  </mergeCells>
  <phoneticPr fontId="0" type="noConversion"/>
  <pageMargins left="0.18" right="0.16" top="0.62" bottom="0.75" header="0.38" footer="0.41"/>
  <pageSetup scale="60" orientation="landscape" r:id="rId1"/>
  <headerFooter alignWithMargins="0">
    <oddFooter xml:space="preserve">&amp;R&amp;P
</oddFooter>
  </headerFooter>
</worksheet>
</file>

<file path=xl/worksheets/sheet96.xml><?xml version="1.0" encoding="utf-8"?>
<worksheet xmlns="http://schemas.openxmlformats.org/spreadsheetml/2006/main" xmlns:r="http://schemas.openxmlformats.org/officeDocument/2006/relationships">
  <sheetPr>
    <pageSetUpPr fitToPage="1"/>
  </sheetPr>
  <dimension ref="A1:AA76"/>
  <sheetViews>
    <sheetView workbookViewId="0">
      <selection activeCell="B7" sqref="B7"/>
    </sheetView>
  </sheetViews>
  <sheetFormatPr baseColWidth="10" defaultColWidth="9" defaultRowHeight="15.75"/>
  <cols>
    <col min="1" max="1" width="34.75" customWidth="1"/>
    <col min="2" max="2" width="14.875" customWidth="1"/>
    <col min="3" max="3" width="12.75" customWidth="1"/>
    <col min="4" max="4" width="13.875" customWidth="1"/>
    <col min="5" max="5" width="14.625" customWidth="1"/>
    <col min="6" max="6" width="14.75" customWidth="1"/>
    <col min="8" max="8" width="14.75" customWidth="1"/>
    <col min="9" max="9" width="12.75" customWidth="1"/>
    <col min="10" max="10" width="13.75" customWidth="1"/>
    <col min="11" max="11" width="13.25" customWidth="1"/>
    <col min="12" max="12" width="14.5" customWidth="1"/>
    <col min="14" max="14" width="14.25" customWidth="1"/>
    <col min="15" max="15" width="13.625" customWidth="1"/>
    <col min="16" max="16" width="15" customWidth="1"/>
    <col min="17" max="17" width="10.625" customWidth="1"/>
    <col min="18" max="18" width="15.875" customWidth="1"/>
    <col min="19" max="19" width="10.875" customWidth="1"/>
    <col min="20" max="20" width="15.875" customWidth="1"/>
  </cols>
  <sheetData>
    <row r="1" spans="1:27">
      <c r="A1" s="111" t="s">
        <v>406</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+cbnainfin!I4</f>
        <v>Var. déc. 14</v>
      </c>
      <c r="J4" s="156" t="s">
        <v>195</v>
      </c>
      <c r="K4" s="157"/>
      <c r="L4" s="157"/>
      <c r="M4" s="157"/>
      <c r="N4" s="157"/>
      <c r="O4" s="157"/>
      <c r="P4" s="157"/>
    </row>
    <row r="5" spans="1:27" ht="16.5" thickBot="1">
      <c r="B5" s="1" t="str">
        <f>+cbnainfin!B5</f>
        <v>Déc. 14</v>
      </c>
      <c r="C5" s="1" t="s">
        <v>196</v>
      </c>
      <c r="D5" s="1" t="str">
        <f>+cbnainfin!D5</f>
        <v>Mars 15</v>
      </c>
      <c r="E5" s="1" t="s">
        <v>196</v>
      </c>
      <c r="F5" s="1" t="str">
        <f>+cbnainfin!F5</f>
        <v>Juin 15</v>
      </c>
      <c r="G5" s="1" t="s">
        <v>196</v>
      </c>
      <c r="H5" s="1" t="str">
        <f>+cbnainfin!H5</f>
        <v>Sept. 15</v>
      </c>
      <c r="I5" s="155" t="str">
        <f>+cbnainfin!I5</f>
        <v>/sept. 14</v>
      </c>
      <c r="J5" s="155" t="str">
        <f>+cbnainfin!J5</f>
        <v>2014</v>
      </c>
      <c r="K5" s="1" t="s">
        <v>196</v>
      </c>
      <c r="L5" s="155" t="str">
        <f>+cbnainfin!L5</f>
        <v>2013</v>
      </c>
      <c r="M5" s="1" t="s">
        <v>196</v>
      </c>
      <c r="N5" s="155" t="str">
        <f>+cbnainfin!N5</f>
        <v>2012</v>
      </c>
      <c r="O5" s="1" t="s">
        <v>196</v>
      </c>
      <c r="P5" s="155" t="str">
        <f>+cbnainfin!P5</f>
        <v>2011</v>
      </c>
    </row>
    <row r="6" spans="1:27">
      <c r="B6" s="3"/>
      <c r="D6" s="3"/>
      <c r="F6" s="3"/>
      <c r="H6" s="3"/>
      <c r="J6" s="53"/>
      <c r="L6" s="53"/>
      <c r="N6" s="53"/>
      <c r="P6" s="53"/>
    </row>
    <row r="7" spans="1:27">
      <c r="A7" s="696" t="s">
        <v>197</v>
      </c>
    </row>
    <row r="8" spans="1:27">
      <c r="A8" s="696" t="s">
        <v>198</v>
      </c>
    </row>
    <row r="9" spans="1:27">
      <c r="A9" s="401"/>
    </row>
    <row r="10" spans="1:27">
      <c r="A10" s="696" t="s">
        <v>18</v>
      </c>
      <c r="G10" s="46"/>
    </row>
    <row r="11" spans="1:27">
      <c r="A11" s="401" t="s">
        <v>199</v>
      </c>
      <c r="B11" s="20">
        <f>+scotiavar!B23</f>
        <v>6133682</v>
      </c>
      <c r="C11" s="48">
        <v>0</v>
      </c>
      <c r="D11" s="20">
        <f>+scotiavar!D23</f>
        <v>0</v>
      </c>
      <c r="E11" s="48">
        <v>0</v>
      </c>
      <c r="F11" s="20">
        <f>+scotiavar!F23</f>
        <v>0</v>
      </c>
      <c r="G11" s="48">
        <v>0</v>
      </c>
      <c r="H11" s="20">
        <f>+scotiavar!H23</f>
        <v>0</v>
      </c>
      <c r="I11" s="51">
        <f>+(B11-J11)/ABS(J11)</f>
        <v>3.866949936379465E-2</v>
      </c>
      <c r="J11" s="20">
        <f>+scotiavar!J23</f>
        <v>5905326</v>
      </c>
      <c r="K11" s="51">
        <f>+(-L11+J11)/ABS(L11)</f>
        <v>1.3123557708226572E-2</v>
      </c>
      <c r="L11" s="20">
        <f>+scotiavar!L23</f>
        <v>5828831</v>
      </c>
      <c r="M11" s="51">
        <f>+(-N11+L11)/ABS(N11)</f>
        <v>0.17759799812637495</v>
      </c>
      <c r="N11" s="20">
        <f>+scotiavar!N23</f>
        <v>4949763</v>
      </c>
      <c r="O11" s="51">
        <f>+(-P11+N11)/ABS(P11)</f>
        <v>7.9762022144252639E-2</v>
      </c>
      <c r="P11" s="20">
        <f>+scotiavar!P23</f>
        <v>4584124</v>
      </c>
      <c r="Q11" s="48"/>
      <c r="R11" s="48"/>
      <c r="S11" s="48"/>
      <c r="T11" s="48"/>
      <c r="U11" s="48"/>
      <c r="V11" s="48"/>
      <c r="W11" s="48"/>
      <c r="X11" s="48"/>
      <c r="Y11" s="48"/>
      <c r="Z11" s="48"/>
      <c r="AA11" s="48"/>
    </row>
    <row r="12" spans="1:27">
      <c r="A12" s="401" t="s">
        <v>200</v>
      </c>
      <c r="B12" s="20">
        <f>+scotiavar!B17</f>
        <v>0</v>
      </c>
      <c r="C12" s="48">
        <v>0</v>
      </c>
      <c r="D12" s="20">
        <f>+scotiavar!D17</f>
        <v>0</v>
      </c>
      <c r="E12" s="48">
        <v>0</v>
      </c>
      <c r="F12" s="20">
        <f>+scotiavar!F17</f>
        <v>0</v>
      </c>
      <c r="G12" s="48">
        <v>0</v>
      </c>
      <c r="H12" s="20">
        <f>+scotiavar!H17</f>
        <v>0</v>
      </c>
      <c r="I12" s="48">
        <v>0</v>
      </c>
      <c r="J12" s="20">
        <f>+scotiavar!J17</f>
        <v>0</v>
      </c>
      <c r="K12" s="48">
        <v>0</v>
      </c>
      <c r="L12" s="20">
        <f>+scotiavar!L17</f>
        <v>0</v>
      </c>
      <c r="M12" s="48">
        <v>0</v>
      </c>
      <c r="N12" s="20">
        <f>+scotiavar!N17</f>
        <v>0</v>
      </c>
      <c r="O12" s="51">
        <f>+(-P12+N12)/ABS(P12)</f>
        <v>-1</v>
      </c>
      <c r="P12" s="20">
        <f>+scotiavar!P17</f>
        <v>150000</v>
      </c>
      <c r="Q12" s="48"/>
      <c r="R12" s="48"/>
      <c r="S12" s="48"/>
      <c r="T12" s="48"/>
      <c r="U12" s="48"/>
      <c r="V12" s="48"/>
      <c r="W12" s="48"/>
      <c r="X12" s="48"/>
      <c r="Y12" s="48"/>
      <c r="Z12" s="48"/>
      <c r="AA12" s="48"/>
    </row>
    <row r="13" spans="1:27">
      <c r="A13" s="401" t="s">
        <v>382</v>
      </c>
      <c r="B13" s="20">
        <f>+scotiavar!B20</f>
        <v>2063611</v>
      </c>
      <c r="C13" s="48">
        <v>0</v>
      </c>
      <c r="D13" s="20">
        <f>+scotiavar!D20</f>
        <v>0</v>
      </c>
      <c r="E13" s="48">
        <v>0</v>
      </c>
      <c r="F13" s="20">
        <f>+scotiavar!F20</f>
        <v>0</v>
      </c>
      <c r="G13" s="48">
        <v>0</v>
      </c>
      <c r="H13" s="20">
        <f>+scotiavar!H20</f>
        <v>0</v>
      </c>
      <c r="I13" s="51">
        <f>+(B13-J13)/ABS(J13)</f>
        <v>-4.2044265526311145E-2</v>
      </c>
      <c r="J13" s="20">
        <f>+scotiavar!J20</f>
        <v>2154182</v>
      </c>
      <c r="K13" s="51">
        <f>+(-L13+J13)/ABS(L13)</f>
        <v>-2.158907942217771E-2</v>
      </c>
      <c r="L13" s="20">
        <f>+scotiavar!L20</f>
        <v>2201715</v>
      </c>
      <c r="M13" s="51">
        <f>+(-N13+L13)/ABS(N13)</f>
        <v>5.5191451938721964E-2</v>
      </c>
      <c r="N13" s="20">
        <f>+scotiavar!N20</f>
        <v>2086555</v>
      </c>
      <c r="O13" s="51">
        <f>+(-P13+N13)/ABS(P13)</f>
        <v>0.14401173753065558</v>
      </c>
      <c r="P13" s="20">
        <f>+scotiavar!P20</f>
        <v>1823893</v>
      </c>
      <c r="Q13" s="48"/>
      <c r="R13" s="48"/>
      <c r="S13" s="48"/>
      <c r="T13" s="48"/>
      <c r="U13" s="48"/>
      <c r="V13" s="48"/>
      <c r="W13" s="48"/>
      <c r="X13" s="48"/>
      <c r="Y13" s="48"/>
      <c r="Z13" s="48"/>
      <c r="AA13" s="48"/>
    </row>
    <row r="14" spans="1:27">
      <c r="A14" s="401" t="s">
        <v>202</v>
      </c>
      <c r="B14" s="20">
        <f>+scotiavar!B30</f>
        <v>5226196</v>
      </c>
      <c r="C14" s="48">
        <v>0</v>
      </c>
      <c r="D14" s="20">
        <f>+scotiavar!D30</f>
        <v>0</v>
      </c>
      <c r="E14" s="48">
        <v>0</v>
      </c>
      <c r="F14" s="20">
        <f>+scotiavar!F30</f>
        <v>0</v>
      </c>
      <c r="G14" s="48">
        <v>0</v>
      </c>
      <c r="H14" s="20">
        <f>+scotiavar!H30</f>
        <v>0</v>
      </c>
      <c r="I14" s="51">
        <f>+(B14-J14)/ABS(J14)</f>
        <v>4.0087024913389037E-2</v>
      </c>
      <c r="J14" s="20">
        <f>+scotiavar!J30</f>
        <v>5024768</v>
      </c>
      <c r="K14" s="51">
        <f>+(-L14+J14)/ABS(L14)</f>
        <v>6.7044038993819138E-2</v>
      </c>
      <c r="L14" s="20">
        <f>+scotiavar!L30</f>
        <v>4709054</v>
      </c>
      <c r="M14" s="51">
        <f>+(-N14+L14)/ABS(N14)</f>
        <v>0.12979488543953652</v>
      </c>
      <c r="N14" s="20">
        <f>+scotiavar!N30</f>
        <v>4168061</v>
      </c>
      <c r="O14" s="51">
        <f>+(-P14+N14)/ABS(P14)</f>
        <v>0.10671961212275699</v>
      </c>
      <c r="P14" s="20">
        <f>+scotiavar!P30</f>
        <v>3766140</v>
      </c>
      <c r="Q14" s="48"/>
      <c r="R14" s="48"/>
      <c r="S14" s="48"/>
      <c r="T14" s="48"/>
      <c r="U14" s="48"/>
      <c r="V14" s="48"/>
      <c r="W14" s="48"/>
      <c r="X14" s="48"/>
      <c r="Y14" s="48"/>
      <c r="Z14" s="48"/>
      <c r="AA14" s="48"/>
    </row>
    <row r="15" spans="1:27">
      <c r="A15" s="401" t="s">
        <v>203</v>
      </c>
      <c r="B15" s="20">
        <f>+scotiavar!B52</f>
        <v>272759</v>
      </c>
      <c r="C15" s="48">
        <v>0</v>
      </c>
      <c r="D15" s="20">
        <f>+scotiavar!D52</f>
        <v>0</v>
      </c>
      <c r="E15" s="48">
        <v>0</v>
      </c>
      <c r="F15" s="20">
        <f>+scotiavar!F52</f>
        <v>0</v>
      </c>
      <c r="G15" s="48">
        <v>0</v>
      </c>
      <c r="H15" s="20">
        <f>+scotiavar!H52</f>
        <v>0</v>
      </c>
      <c r="I15" s="51">
        <f>+(B15-J15)/ABS(J15)</f>
        <v>0.1032422725029729</v>
      </c>
      <c r="J15" s="20">
        <f>+scotiavar!J52</f>
        <v>247234</v>
      </c>
      <c r="K15" s="51">
        <f>+(-L15+J15)/ABS(L15)</f>
        <v>-4.1580089936424251E-2</v>
      </c>
      <c r="L15" s="20">
        <f>+scotiavar!L52</f>
        <v>257960</v>
      </c>
      <c r="M15" s="51">
        <f>+(-N15+L15)/ABS(N15)</f>
        <v>0.2651237610408973</v>
      </c>
      <c r="N15" s="20">
        <f>+scotiavar!N52</f>
        <v>203901</v>
      </c>
      <c r="O15" s="51">
        <f>+(-P15+N15)/ABS(P15)</f>
        <v>-5.4012424435031528E-2</v>
      </c>
      <c r="P15" s="20">
        <f>+scotiavar!P52</f>
        <v>215543</v>
      </c>
      <c r="Q15" s="48"/>
      <c r="R15" s="48"/>
      <c r="S15" s="48"/>
      <c r="T15" s="48"/>
      <c r="U15" s="48"/>
      <c r="V15" s="48"/>
      <c r="W15" s="48"/>
      <c r="X15" s="48"/>
      <c r="Y15" s="48"/>
      <c r="Z15" s="48"/>
      <c r="AA15" s="48"/>
    </row>
    <row r="16" spans="1:27">
      <c r="B16" s="20"/>
      <c r="C16" s="51"/>
      <c r="D16" s="48"/>
      <c r="E16" s="48"/>
      <c r="F16" s="48"/>
      <c r="G16" s="51"/>
      <c r="H16" s="48"/>
      <c r="I16" s="51"/>
      <c r="J16" s="20"/>
      <c r="K16" s="51"/>
      <c r="L16" s="20"/>
      <c r="M16" s="51"/>
      <c r="N16" s="20"/>
      <c r="O16" s="51"/>
      <c r="P16" s="48"/>
      <c r="Q16" s="48"/>
      <c r="R16" s="48"/>
      <c r="S16" s="48"/>
      <c r="T16" s="48"/>
      <c r="U16" s="48"/>
      <c r="V16" s="48"/>
      <c r="W16" s="48"/>
      <c r="X16" s="48"/>
      <c r="Y16" s="48"/>
      <c r="Z16" s="48"/>
      <c r="AA16" s="48"/>
    </row>
    <row r="17" spans="1:27" ht="16.5" thickBot="1">
      <c r="B17" s="79"/>
      <c r="C17" s="319"/>
      <c r="D17" s="168"/>
      <c r="E17" s="319"/>
      <c r="F17" s="168"/>
      <c r="G17" s="319"/>
      <c r="H17" s="168"/>
      <c r="I17" s="319"/>
      <c r="J17" s="79"/>
      <c r="K17" s="319"/>
      <c r="L17" s="79"/>
      <c r="M17" s="319"/>
      <c r="N17" s="79"/>
      <c r="O17" s="319"/>
      <c r="P17" s="168"/>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+cbnainfin!B19</f>
        <v>2015</v>
      </c>
      <c r="C19" s="48"/>
      <c r="D19" s="56" t="str">
        <f>+cbnainfin!D19</f>
        <v>2014</v>
      </c>
      <c r="E19" s="48"/>
      <c r="F19" s="56" t="str">
        <f>+cbnainfin!F19</f>
        <v>2015</v>
      </c>
      <c r="G19" s="48"/>
      <c r="H19" s="56" t="str">
        <f>+cbnainfin!H19</f>
        <v>2014</v>
      </c>
      <c r="I19" s="48"/>
      <c r="J19" s="56" t="str">
        <f>+cbnainfin!J19</f>
        <v>2015</v>
      </c>
      <c r="K19" s="48"/>
      <c r="L19" s="56" t="str">
        <f>+cbnainfin!L19</f>
        <v>2014</v>
      </c>
      <c r="M19" s="48"/>
      <c r="N19" s="56" t="str">
        <f>+cbnainfin!N19</f>
        <v>2015</v>
      </c>
      <c r="O19" s="48"/>
      <c r="P19" s="56" t="str">
        <f>+cbnainfin!P19</f>
        <v>2014</v>
      </c>
      <c r="Q19" s="48"/>
      <c r="R19" s="56" t="str">
        <f>+cbnainfin!R19</f>
        <v>2015</v>
      </c>
      <c r="S19" s="48"/>
      <c r="T19" s="56" t="str">
        <f>+cbnainfin!T19</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292" t="str">
        <f>+cbnainfin!B21</f>
        <v>(oct. - déc. 14)</v>
      </c>
      <c r="C21" s="292"/>
      <c r="D21" s="292" t="str">
        <f>+cbnainfin!D21</f>
        <v>(oct. - déc. 13)</v>
      </c>
      <c r="E21" s="186"/>
      <c r="F21" s="292" t="str">
        <f>+cbnainfin!F21</f>
        <v>(janv. - mars 15)</v>
      </c>
      <c r="G21" s="292"/>
      <c r="H21" s="292" t="str">
        <f>+cbnainfin!H21</f>
        <v>(janv. - mars 14)</v>
      </c>
      <c r="I21" s="186"/>
      <c r="J21" s="292" t="str">
        <f>+cbnainfin!J21</f>
        <v>(avril - juin 15)</v>
      </c>
      <c r="K21" s="292"/>
      <c r="L21" s="292" t="str">
        <f>+cbnainfin!L21</f>
        <v>(avril - juin 14)</v>
      </c>
      <c r="M21" s="186"/>
      <c r="N21" s="292" t="str">
        <f>+cbnainfin!N21</f>
        <v>(juil. - sept. 15)</v>
      </c>
      <c r="O21" s="292"/>
      <c r="P21" s="292" t="str">
        <f>+cbnainfin!P21</f>
        <v>(juil. - sept. 14)</v>
      </c>
      <c r="Q21" s="186"/>
      <c r="R21" s="292" t="str">
        <f>+cbnainfin!R21</f>
        <v>(oct. - déc. 14)</v>
      </c>
      <c r="S21" s="292"/>
      <c r="T21" s="292" t="str">
        <f>+cbnainfin!T21</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+'SCOTIARÉSULT         '!B15</f>
        <v>46892</v>
      </c>
      <c r="C23" s="51">
        <f>+(-D23+B23)/ABS(D23)</f>
        <v>4.8644594449801775E-3</v>
      </c>
      <c r="D23" s="20">
        <f>+'SCOTIARÉSULT         '!D55</f>
        <v>46665</v>
      </c>
      <c r="E23" s="48"/>
      <c r="F23" s="20">
        <f>+'SCOTIARÉSULT         '!D15</f>
        <v>0</v>
      </c>
      <c r="G23" s="48">
        <v>0</v>
      </c>
      <c r="H23" s="20">
        <f>+'SCOTIARÉSULT         '!H55</f>
        <v>47477</v>
      </c>
      <c r="I23" s="48"/>
      <c r="J23" s="20">
        <f>+'SCOTIARÉSULT         '!F15</f>
        <v>0</v>
      </c>
      <c r="K23" s="48">
        <v>0</v>
      </c>
      <c r="L23" s="20">
        <f>+'SCOTIARÉSULT         '!L55</f>
        <v>47277</v>
      </c>
      <c r="M23" s="48"/>
      <c r="N23" s="20">
        <f>+'SCOTIARÉSULT         '!H15</f>
        <v>0</v>
      </c>
      <c r="O23" s="48">
        <v>0</v>
      </c>
      <c r="P23" s="20">
        <f>+'SCOTIARÉSULT         '!P55</f>
        <v>46877</v>
      </c>
      <c r="Q23" s="48"/>
      <c r="R23" s="20">
        <f>+'SCOTIARÉSULT         '!R55</f>
        <v>46892</v>
      </c>
      <c r="S23" s="51">
        <f>+(-T23+R23)/ABS(T23)</f>
        <v>4.8644594449801775E-3</v>
      </c>
      <c r="T23" s="20">
        <f>+'SCOTIARÉSULT         '!T55</f>
        <v>46665</v>
      </c>
      <c r="U23" s="48"/>
      <c r="V23" s="48"/>
      <c r="W23" s="48"/>
      <c r="X23" s="48"/>
      <c r="Y23" s="48"/>
      <c r="Z23" s="48"/>
      <c r="AA23" s="48"/>
    </row>
    <row r="24" spans="1:27">
      <c r="A24" t="s">
        <v>210</v>
      </c>
      <c r="B24" s="20">
        <f>+'SCOTIARÉSULT         '!B21</f>
        <v>26940</v>
      </c>
      <c r="C24" s="51">
        <f>+(-D24+B24)/ABS(D24)</f>
        <v>0.20666487503359313</v>
      </c>
      <c r="D24" s="20">
        <f>+'SCOTIARÉSULT         '!D61</f>
        <v>22326</v>
      </c>
      <c r="E24" s="48"/>
      <c r="F24" s="20">
        <f>+'SCOTIARÉSULT         '!D21</f>
        <v>0</v>
      </c>
      <c r="G24" s="48">
        <v>0</v>
      </c>
      <c r="H24" s="20">
        <f>+'SCOTIARÉSULT         '!H61</f>
        <v>23571</v>
      </c>
      <c r="I24" s="48"/>
      <c r="J24" s="20">
        <f>+'SCOTIARÉSULT         '!F21</f>
        <v>0</v>
      </c>
      <c r="K24" s="48">
        <v>0</v>
      </c>
      <c r="L24" s="20">
        <f>+'SCOTIARÉSULT         '!L61</f>
        <v>24074</v>
      </c>
      <c r="M24" s="48"/>
      <c r="N24" s="20">
        <f>+'SCOTIARÉSULT         '!H21</f>
        <v>0</v>
      </c>
      <c r="O24" s="48">
        <v>0</v>
      </c>
      <c r="P24" s="20">
        <f>+'SCOTIARÉSULT         '!P61</f>
        <v>23377</v>
      </c>
      <c r="Q24" s="48"/>
      <c r="R24" s="20">
        <f>+'SCOTIARÉSULT         '!R61</f>
        <v>26940</v>
      </c>
      <c r="S24" s="51">
        <f>+(-T24+R24)/ABS(T24)</f>
        <v>0.20666487503359313</v>
      </c>
      <c r="T24" s="20">
        <f>+'SCOTIARÉSULT         '!T61</f>
        <v>22326</v>
      </c>
      <c r="U24" s="48"/>
      <c r="V24" s="48"/>
      <c r="W24" s="48"/>
      <c r="X24" s="48"/>
      <c r="Y24" s="48"/>
      <c r="Z24" s="48"/>
      <c r="AA24" s="48"/>
    </row>
    <row r="25" spans="1:27">
      <c r="A25" t="s">
        <v>643</v>
      </c>
      <c r="B25" s="20">
        <f>+'SCOTIARÉSULT         '!B25</f>
        <v>-5602</v>
      </c>
      <c r="C25" s="51">
        <f>+(-D25+B25)/ABS(D25)</f>
        <v>-2.5141768251479855</v>
      </c>
      <c r="D25" s="20">
        <f>+'SCOTIARÉSULT         '!D65</f>
        <v>3699.7</v>
      </c>
      <c r="E25" s="48"/>
      <c r="F25" s="20">
        <f>+'SCOTIARÉSULT         '!D25</f>
        <v>0</v>
      </c>
      <c r="G25" s="48">
        <v>0</v>
      </c>
      <c r="H25" s="20">
        <f>+'SCOTIARÉSULT         '!H65</f>
        <v>-3049.7</v>
      </c>
      <c r="I25" s="48"/>
      <c r="J25" s="20">
        <f>+'SCOTIARÉSULT         '!F25</f>
        <v>0</v>
      </c>
      <c r="K25" s="48">
        <v>0</v>
      </c>
      <c r="L25" s="20">
        <f>+'SCOTIARÉSULT         '!L65</f>
        <v>15907</v>
      </c>
      <c r="M25" s="48"/>
      <c r="N25" s="20">
        <f>+'SCOTIARÉSULT         '!H25</f>
        <v>0</v>
      </c>
      <c r="O25" s="48">
        <v>0</v>
      </c>
      <c r="P25" s="20">
        <f>+'SCOTIARÉSULT         '!P65</f>
        <v>-15914.7</v>
      </c>
      <c r="Q25" s="48"/>
      <c r="R25" s="20">
        <f>+'SCOTIARÉSULT         '!R65</f>
        <v>-5602</v>
      </c>
      <c r="S25" s="51">
        <f>+(-T25+R25)/ABS(T25)</f>
        <v>-2.5141768251479855</v>
      </c>
      <c r="T25" s="20">
        <f>+'SCOTIARÉSULT         '!T65</f>
        <v>3699.7</v>
      </c>
      <c r="U25" s="48"/>
      <c r="V25" s="48"/>
      <c r="W25" s="48"/>
      <c r="X25" s="48"/>
      <c r="Y25" s="48"/>
      <c r="Z25" s="48"/>
      <c r="AA25" s="48"/>
    </row>
    <row r="26" spans="1:27">
      <c r="A26" t="s">
        <v>212</v>
      </c>
      <c r="B26" s="20">
        <f>+'SCOTIARÉSULT         '!B35</f>
        <v>46383</v>
      </c>
      <c r="C26" s="51">
        <f>+(-D26+B26)/ABS(D26)</f>
        <v>-0.21870736267623428</v>
      </c>
      <c r="D26" s="20">
        <f>+'SCOTIARÉSULT         '!D75</f>
        <v>59367</v>
      </c>
      <c r="E26" s="48"/>
      <c r="F26" s="20">
        <f>+'SCOTIARÉSULT         '!D35</f>
        <v>0</v>
      </c>
      <c r="G26" s="48">
        <v>0</v>
      </c>
      <c r="H26" s="20">
        <f>+'SCOTIARÉSULT         '!H75</f>
        <v>60475</v>
      </c>
      <c r="I26" s="48"/>
      <c r="J26" s="20">
        <f>+'SCOTIARÉSULT         '!F35</f>
        <v>0</v>
      </c>
      <c r="K26" s="48">
        <v>0</v>
      </c>
      <c r="L26" s="20">
        <f>+'SCOTIARÉSULT         '!L75</f>
        <v>66686</v>
      </c>
      <c r="M26" s="48"/>
      <c r="N26" s="20">
        <f>+'SCOTIARÉSULT         '!H35</f>
        <v>0</v>
      </c>
      <c r="O26" s="48">
        <v>0</v>
      </c>
      <c r="P26" s="20">
        <f>+'SCOTIARÉSULT         '!P75</f>
        <v>89808</v>
      </c>
      <c r="Q26" s="48"/>
      <c r="R26" s="20">
        <f>+'SCOTIARÉSULT         '!R75</f>
        <v>46383</v>
      </c>
      <c r="S26" s="51">
        <f>+(-T26+R26)/ABS(T26)</f>
        <v>-0.21870736267623428</v>
      </c>
      <c r="T26" s="20">
        <f>+'SCOTIARÉSULT         '!T75</f>
        <v>59367</v>
      </c>
      <c r="U26" s="48"/>
      <c r="V26" s="48"/>
      <c r="W26" s="48"/>
      <c r="X26" s="48"/>
      <c r="Y26" s="48"/>
      <c r="Z26" s="48"/>
      <c r="AA26" s="48"/>
    </row>
    <row r="27" spans="1:27">
      <c r="A27" t="s">
        <v>383</v>
      </c>
      <c r="B27" s="20">
        <f>+'SCOTIARÉSULT         '!B41</f>
        <v>23135.7</v>
      </c>
      <c r="C27" s="51">
        <f>+(-D27+B27)/ABS(D27)</f>
        <v>4.8554937726360388</v>
      </c>
      <c r="D27" s="20">
        <f>+'SCOTIARÉSULT         '!D81</f>
        <v>3951.1100000000033</v>
      </c>
      <c r="E27" s="48"/>
      <c r="F27" s="20">
        <f>+'SCOTIARÉSULT         '!D41</f>
        <v>0</v>
      </c>
      <c r="G27" s="48">
        <v>0</v>
      </c>
      <c r="H27" s="20">
        <f>+'SCOTIARÉSULT         '!H81</f>
        <v>9308.1999999999971</v>
      </c>
      <c r="I27" s="48"/>
      <c r="J27" s="20">
        <f>+'SCOTIARÉSULT         '!F41</f>
        <v>0</v>
      </c>
      <c r="K27" s="48">
        <v>0</v>
      </c>
      <c r="L27" s="20">
        <f>+'SCOTIARÉSULT         '!L81</f>
        <v>-14241.7</v>
      </c>
      <c r="M27" s="48"/>
      <c r="N27" s="20">
        <f>+'SCOTIARÉSULT         '!H41</f>
        <v>0</v>
      </c>
      <c r="O27" s="48">
        <v>0</v>
      </c>
      <c r="P27" s="20">
        <f>+'SCOTIARÉSULT         '!P81</f>
        <v>-6880.5000000000027</v>
      </c>
      <c r="Q27" s="48"/>
      <c r="R27" s="20">
        <f>+'SCOTIARÉSULT         '!R81</f>
        <v>23135.7</v>
      </c>
      <c r="S27" s="51">
        <f>+(-T27+R27)/ABS(T27)</f>
        <v>4.8554937726360388</v>
      </c>
      <c r="T27" s="20">
        <f>+'SCOTIARÉSULT         '!T81</f>
        <v>3951.1100000000033</v>
      </c>
      <c r="U27" s="48"/>
      <c r="V27" s="48"/>
      <c r="W27" s="48"/>
      <c r="X27" s="48"/>
      <c r="Y27" s="48"/>
      <c r="Z27" s="48"/>
      <c r="AA27" s="48"/>
    </row>
    <row r="28" spans="1:27">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c r="B32" s="56" t="str">
        <f>+cbnainfin!B32</f>
        <v>2015</v>
      </c>
      <c r="C32" s="56" t="str">
        <f>+cbnainfin!C32</f>
        <v>2014</v>
      </c>
      <c r="D32" s="48"/>
      <c r="E32" s="56" t="str">
        <f>+cbnainfin!E32</f>
        <v>2015</v>
      </c>
      <c r="F32" s="56" t="str">
        <f>+cbnainfin!F32</f>
        <v>2014</v>
      </c>
      <c r="G32" s="48"/>
      <c r="H32" s="56" t="str">
        <f>+cbnainfin!H32</f>
        <v>2015</v>
      </c>
      <c r="I32" s="56" t="str">
        <f>+cbnainfin!I32</f>
        <v>2014</v>
      </c>
      <c r="J32" s="48"/>
      <c r="K32" s="56" t="str">
        <f>+cbnainfin!K32</f>
        <v>2015</v>
      </c>
      <c r="L32" s="56" t="str">
        <f>+cbnainfin!L32</f>
        <v>2014</v>
      </c>
      <c r="M32" s="48"/>
      <c r="N32" s="56" t="str">
        <f>+cbnainfin!N32</f>
        <v>2015</v>
      </c>
      <c r="O32" s="56" t="str">
        <f>+cbnainfin!O32</f>
        <v>2014</v>
      </c>
      <c r="P32" s="48"/>
      <c r="U32" s="48"/>
      <c r="V32" s="48"/>
      <c r="W32" s="48"/>
      <c r="X32" s="48"/>
      <c r="Y32" s="48"/>
      <c r="Z32" s="48"/>
      <c r="AA32" s="48"/>
    </row>
    <row r="33" spans="1:27" ht="16.5" thickBot="1">
      <c r="B33" s="55" t="s">
        <v>204</v>
      </c>
      <c r="C33" s="55" t="s">
        <v>204</v>
      </c>
      <c r="D33" s="48"/>
      <c r="E33" s="55" t="s">
        <v>205</v>
      </c>
      <c r="F33" s="55" t="s">
        <v>205</v>
      </c>
      <c r="G33" s="48"/>
      <c r="H33" s="55" t="s">
        <v>206</v>
      </c>
      <c r="I33" s="55" t="s">
        <v>206</v>
      </c>
      <c r="J33" s="48"/>
      <c r="K33" s="55" t="s">
        <v>207</v>
      </c>
      <c r="L33" s="55" t="s">
        <v>207</v>
      </c>
      <c r="M33" s="48"/>
      <c r="N33" s="55" t="s">
        <v>208</v>
      </c>
      <c r="O33" s="55" t="s">
        <v>208</v>
      </c>
      <c r="P33" s="48"/>
      <c r="Q33" s="111" t="s">
        <v>214</v>
      </c>
      <c r="R33" s="111"/>
      <c r="S33" s="111"/>
      <c r="T33" s="111"/>
      <c r="U33" s="48"/>
      <c r="V33" s="48"/>
      <c r="W33" s="48"/>
      <c r="X33" s="48"/>
      <c r="Y33" s="48"/>
      <c r="Z33" s="48"/>
      <c r="AA33" s="48"/>
    </row>
    <row r="34" spans="1:27" ht="16.5" thickBot="1">
      <c r="B34" s="292" t="str">
        <f>+cbnainfin!B34</f>
        <v>(oct. - déc. 14)</v>
      </c>
      <c r="C34" s="292" t="str">
        <f>+cbnainfin!C34</f>
        <v>(oct. - déc. 13)</v>
      </c>
      <c r="D34" s="186"/>
      <c r="E34" s="292" t="str">
        <f>+cbnainfin!E34</f>
        <v>(janv. - mars 15)</v>
      </c>
      <c r="F34" s="292" t="str">
        <f>+cbnainfin!F34</f>
        <v>(janv. - mars 14)</v>
      </c>
      <c r="G34" s="186"/>
      <c r="H34" s="292" t="str">
        <f>+cbnainfin!H34</f>
        <v>(avril - juin 15)</v>
      </c>
      <c r="I34" s="292" t="str">
        <f>+cbnainfin!I34</f>
        <v>(avril - juin 14)</v>
      </c>
      <c r="J34" s="186"/>
      <c r="K34" s="292" t="str">
        <f>+cbnainfin!K34</f>
        <v>(juil. - sept. 15)</v>
      </c>
      <c r="L34" s="292" t="str">
        <f>+cbnainfin!L34</f>
        <v>(juil. - sept. 14)</v>
      </c>
      <c r="M34" s="186"/>
      <c r="N34" s="162" t="str">
        <f>+cbnainfin!N34</f>
        <v>(oct. - déc. 14)</v>
      </c>
      <c r="O34" s="162" t="str">
        <f>+cbnainfin!O34</f>
        <v>(oct. - déc. 13)</v>
      </c>
      <c r="P34" s="48"/>
      <c r="Q34" s="163" t="str">
        <f>+cbnainfin!Q34</f>
        <v>2014</v>
      </c>
      <c r="R34" s="163" t="str">
        <f>+cbnainfin!R34</f>
        <v>2013</v>
      </c>
      <c r="S34" s="163" t="str">
        <f>+cbnainfin!S34</f>
        <v>2012</v>
      </c>
      <c r="T34" s="163" t="str">
        <f>+cbnainfin!T34</f>
        <v>2011</v>
      </c>
      <c r="U34" s="48"/>
      <c r="V34" s="48"/>
      <c r="W34" s="48"/>
      <c r="X34" s="48"/>
      <c r="Y34" s="48"/>
      <c r="Z34" s="48"/>
      <c r="AA34" s="48"/>
    </row>
    <row r="35" spans="1:27">
      <c r="B35" s="315"/>
      <c r="C35" s="315"/>
      <c r="D35" s="186"/>
      <c r="E35" s="315"/>
      <c r="F35" s="315"/>
      <c r="G35" s="186"/>
      <c r="H35" s="315"/>
      <c r="I35" s="315"/>
      <c r="J35" s="186"/>
      <c r="K35" s="315"/>
      <c r="L35" s="315"/>
      <c r="M35" s="186"/>
      <c r="N35" s="315"/>
      <c r="O35" s="315"/>
      <c r="P35" s="48"/>
      <c r="Q35" s="316"/>
      <c r="R35" s="316"/>
      <c r="S35" s="316"/>
      <c r="T35" s="316"/>
      <c r="U35" s="48"/>
      <c r="V35" s="48"/>
      <c r="W35" s="48"/>
      <c r="X35" s="48"/>
      <c r="Y35" s="48"/>
      <c r="Z35" s="48"/>
      <c r="AA35" s="48"/>
    </row>
    <row r="36" spans="1:27">
      <c r="A36" s="11" t="s">
        <v>215</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64" t="s">
        <v>216</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1" t="s">
        <v>384</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t="s">
        <v>219</v>
      </c>
      <c r="B40" s="61"/>
      <c r="C40" s="61"/>
      <c r="D40" s="61"/>
      <c r="E40" s="61"/>
      <c r="F40" s="61"/>
      <c r="G40" s="61"/>
      <c r="H40" s="61"/>
      <c r="I40" s="61"/>
      <c r="J40" s="61"/>
      <c r="K40" s="61"/>
      <c r="L40" s="61"/>
      <c r="M40" s="61"/>
      <c r="N40" s="61"/>
      <c r="O40" s="61"/>
      <c r="P40" s="61"/>
      <c r="Q40" s="61"/>
      <c r="R40" s="61"/>
      <c r="S40" s="61"/>
      <c r="T40" s="61"/>
      <c r="U40" s="48"/>
      <c r="V40" s="48"/>
      <c r="W40" s="48"/>
      <c r="X40" s="48"/>
      <c r="Y40" s="48"/>
      <c r="Z40" s="48"/>
      <c r="AA40" s="48"/>
    </row>
    <row r="41" spans="1:27">
      <c r="A41" t="s">
        <v>220</v>
      </c>
      <c r="B41" s="62">
        <f>+scotiavar!B52/scotiavar!B23</f>
        <v>4.4469048118242843E-2</v>
      </c>
      <c r="C41" s="63">
        <v>3.0082118063957584E-2</v>
      </c>
      <c r="D41" s="63"/>
      <c r="E41" s="321">
        <v>0</v>
      </c>
      <c r="F41" s="62">
        <v>4.5575735651482346E-2</v>
      </c>
      <c r="G41" s="63"/>
      <c r="H41" s="321">
        <v>0</v>
      </c>
      <c r="I41" s="62">
        <v>4.3262030124861899E-2</v>
      </c>
      <c r="J41" s="63"/>
      <c r="K41" s="54">
        <v>0</v>
      </c>
      <c r="L41" s="63">
        <v>4.1866274613797778E-2</v>
      </c>
      <c r="M41" s="63"/>
      <c r="N41" s="63">
        <f>+B41</f>
        <v>4.4469048118242843E-2</v>
      </c>
      <c r="O41" s="63">
        <f>+C41</f>
        <v>3.0082118063957584E-2</v>
      </c>
      <c r="P41" s="63"/>
      <c r="Q41" s="63">
        <v>4.19E-2</v>
      </c>
      <c r="R41" s="63">
        <v>4.4299999999999999E-2</v>
      </c>
      <c r="S41" s="63">
        <v>4.1200000000000001E-2</v>
      </c>
      <c r="T41" s="63">
        <v>4.7019452353383111E-2</v>
      </c>
      <c r="U41" s="48"/>
      <c r="V41" s="48"/>
      <c r="W41" s="48"/>
      <c r="X41" s="48"/>
      <c r="Y41" s="48"/>
      <c r="Z41" s="48"/>
      <c r="AA41" s="48"/>
    </row>
    <row r="42" spans="1:27">
      <c r="B42" s="62"/>
      <c r="C42" s="63"/>
      <c r="D42" s="63"/>
      <c r="E42" s="61"/>
      <c r="F42" s="61"/>
      <c r="G42" s="63"/>
      <c r="H42" s="61"/>
      <c r="I42" s="63"/>
      <c r="J42" s="63"/>
      <c r="K42" s="61"/>
      <c r="L42" s="63"/>
      <c r="M42" s="63"/>
      <c r="N42" s="63"/>
      <c r="O42" s="62" t="s">
        <v>0</v>
      </c>
      <c r="P42" s="63"/>
      <c r="Q42" s="63"/>
      <c r="R42" s="63"/>
      <c r="S42" s="63"/>
      <c r="T42" s="63"/>
      <c r="U42" s="48"/>
      <c r="V42" s="48"/>
      <c r="W42" s="48"/>
      <c r="X42" s="48"/>
      <c r="Y42" s="48"/>
      <c r="Z42" s="48"/>
      <c r="AA42" s="48"/>
    </row>
    <row r="43" spans="1:27">
      <c r="A43" t="s">
        <v>221</v>
      </c>
      <c r="B43" s="62">
        <f>+scotiavar!B30/scotiavar!B23</f>
        <v>0.85204873679463655</v>
      </c>
      <c r="C43" s="63">
        <v>0.8147346034511499</v>
      </c>
      <c r="D43" s="63"/>
      <c r="E43" s="321">
        <v>0</v>
      </c>
      <c r="F43" s="62">
        <v>0.84186030215835284</v>
      </c>
      <c r="G43" s="63"/>
      <c r="H43" s="321">
        <v>0</v>
      </c>
      <c r="I43" s="62">
        <v>0.84016376147772731</v>
      </c>
      <c r="J43" s="63"/>
      <c r="K43" s="321">
        <v>0</v>
      </c>
      <c r="L43" s="62">
        <v>0.85088748699055738</v>
      </c>
      <c r="M43" s="63"/>
      <c r="N43" s="63">
        <f>+B43</f>
        <v>0.85204873679463655</v>
      </c>
      <c r="O43" s="63">
        <f>+C43</f>
        <v>0.8147346034511499</v>
      </c>
      <c r="P43" s="63"/>
      <c r="Q43" s="63">
        <v>0.85089999999999999</v>
      </c>
      <c r="R43" s="63">
        <v>0.80789999999999995</v>
      </c>
      <c r="S43" s="63">
        <v>0.84209999999999996</v>
      </c>
      <c r="T43" s="63">
        <v>0.82156154589186503</v>
      </c>
      <c r="U43" s="48"/>
      <c r="V43" s="48"/>
      <c r="W43" s="48"/>
      <c r="X43" s="48"/>
      <c r="Y43" s="48"/>
      <c r="Z43" s="48"/>
      <c r="AA43" s="48"/>
    </row>
    <row r="44" spans="1:27">
      <c r="A44" t="s">
        <v>0</v>
      </c>
      <c r="B44" s="61"/>
      <c r="C44" s="63"/>
      <c r="D44" s="63"/>
      <c r="E44" s="61"/>
      <c r="F44" s="61"/>
      <c r="G44" s="63"/>
      <c r="H44" s="61"/>
      <c r="I44" s="63"/>
      <c r="J44" s="63"/>
      <c r="K44" s="61"/>
      <c r="L44" s="61"/>
      <c r="M44" s="63"/>
      <c r="N44" s="63"/>
      <c r="O44" s="63"/>
      <c r="P44" s="63"/>
      <c r="Q44" s="63"/>
      <c r="R44" s="63"/>
      <c r="S44" s="63"/>
      <c r="T44" s="63"/>
      <c r="U44" s="48"/>
      <c r="V44" s="48"/>
      <c r="W44" s="48"/>
      <c r="X44" s="48"/>
      <c r="Y44" s="48"/>
      <c r="Z44" s="48"/>
      <c r="AA44" s="48"/>
    </row>
    <row r="45" spans="1:27">
      <c r="A45" s="11" t="s">
        <v>222</v>
      </c>
      <c r="B45" s="61"/>
      <c r="C45" s="63"/>
      <c r="D45" s="63"/>
      <c r="E45" s="61"/>
      <c r="F45" s="61"/>
      <c r="G45" s="63"/>
      <c r="H45" s="61"/>
      <c r="I45" s="63"/>
      <c r="J45" s="63"/>
      <c r="K45" s="61"/>
      <c r="L45" s="61"/>
      <c r="M45" s="63"/>
      <c r="N45" s="63"/>
      <c r="O45" s="63"/>
      <c r="P45" s="63"/>
      <c r="Q45" s="63"/>
      <c r="R45" s="63"/>
      <c r="S45" s="63"/>
      <c r="T45" s="63"/>
      <c r="U45" s="48"/>
      <c r="V45" s="48"/>
      <c r="W45" s="48"/>
      <c r="X45" s="48"/>
      <c r="Y45" s="48"/>
      <c r="Z45" s="48"/>
      <c r="AA45" s="48"/>
    </row>
    <row r="46" spans="1:27">
      <c r="A46" s="11"/>
      <c r="B46" s="61"/>
      <c r="C46" s="63"/>
      <c r="D46" s="63"/>
      <c r="E46" s="61"/>
      <c r="F46" s="61"/>
      <c r="G46" s="63"/>
      <c r="H46" s="61"/>
      <c r="I46" s="63"/>
      <c r="J46" s="63"/>
      <c r="K46" s="61"/>
      <c r="L46" s="61"/>
      <c r="M46" s="63"/>
      <c r="N46" s="63"/>
      <c r="O46" s="63"/>
      <c r="P46" s="63"/>
      <c r="Q46" s="63"/>
      <c r="R46" s="63"/>
      <c r="S46" s="63"/>
      <c r="T46" s="63"/>
      <c r="U46" s="48"/>
      <c r="V46" s="48"/>
      <c r="W46" s="48"/>
      <c r="X46" s="48"/>
      <c r="Y46" s="48"/>
      <c r="Z46" s="48"/>
      <c r="AA46" s="48"/>
    </row>
    <row r="47" spans="1:27">
      <c r="A47" t="s">
        <v>223</v>
      </c>
      <c r="B47" s="61"/>
      <c r="C47" s="63"/>
      <c r="D47" s="63"/>
      <c r="E47" s="61"/>
      <c r="F47" s="61"/>
      <c r="G47" s="63"/>
      <c r="H47" s="61"/>
      <c r="I47" s="63"/>
      <c r="J47" s="63"/>
      <c r="K47" s="61"/>
      <c r="L47" s="61"/>
      <c r="M47" s="63"/>
      <c r="N47" s="63"/>
      <c r="O47" s="63"/>
      <c r="P47" s="63"/>
      <c r="Q47" s="63"/>
      <c r="R47" s="63"/>
      <c r="S47" s="63"/>
      <c r="T47" s="63"/>
      <c r="U47" s="48"/>
      <c r="V47" s="48"/>
      <c r="W47" s="48"/>
      <c r="X47" s="48"/>
      <c r="Y47" s="48"/>
      <c r="Z47" s="48"/>
      <c r="AA47" s="48"/>
    </row>
    <row r="48" spans="1:27">
      <c r="A48" t="s">
        <v>224</v>
      </c>
      <c r="B48" s="63">
        <f>+scotiavar!B63/scotiavar!B61</f>
        <v>6.5941219674271662E-2</v>
      </c>
      <c r="C48" s="63">
        <v>8.9527565276356039E-2</v>
      </c>
      <c r="D48" s="63"/>
      <c r="E48" s="61">
        <v>0</v>
      </c>
      <c r="F48" s="63">
        <v>7.1822238823744097E-2</v>
      </c>
      <c r="G48" s="63"/>
      <c r="H48" s="61">
        <v>0</v>
      </c>
      <c r="I48" s="63">
        <v>6.5432659261207893E-2</v>
      </c>
      <c r="J48" s="63"/>
      <c r="K48" s="61">
        <v>0</v>
      </c>
      <c r="L48" s="63">
        <v>6.6298147656161044E-2</v>
      </c>
      <c r="M48" s="63"/>
      <c r="N48" s="63">
        <f>+B48</f>
        <v>6.5941219674271662E-2</v>
      </c>
      <c r="O48" s="63">
        <f>+C48</f>
        <v>8.9527565276356039E-2</v>
      </c>
      <c r="P48" s="63"/>
      <c r="Q48" s="63">
        <v>6.6299999999999998E-2</v>
      </c>
      <c r="R48" s="63">
        <v>8.09E-2</v>
      </c>
      <c r="S48" s="63">
        <v>0.1275</v>
      </c>
      <c r="T48" s="63">
        <v>0.15879277540020423</v>
      </c>
      <c r="U48" s="48"/>
      <c r="V48" s="48"/>
      <c r="W48" s="48"/>
      <c r="X48" s="48"/>
      <c r="Y48" s="48"/>
      <c r="Z48" s="48"/>
      <c r="AA48" s="48"/>
    </row>
    <row r="49" spans="1:27">
      <c r="B49" s="61"/>
      <c r="C49" s="63"/>
      <c r="D49" s="63"/>
      <c r="E49" s="61"/>
      <c r="F49" s="61"/>
      <c r="G49" s="63"/>
      <c r="H49" s="61"/>
      <c r="I49" s="63"/>
      <c r="J49" s="63"/>
      <c r="K49" s="61"/>
      <c r="L49" s="63"/>
      <c r="M49" s="63"/>
      <c r="N49" s="63"/>
      <c r="O49" s="63"/>
      <c r="P49" s="63"/>
      <c r="Q49" s="63"/>
      <c r="R49" s="63"/>
      <c r="S49" s="63"/>
      <c r="T49" s="63"/>
      <c r="U49" s="48"/>
      <c r="V49" s="48"/>
      <c r="W49" s="48"/>
      <c r="X49" s="48"/>
      <c r="Y49" s="48"/>
      <c r="Z49" s="48"/>
      <c r="AA49" s="48"/>
    </row>
    <row r="50" spans="1:27">
      <c r="A50" t="s">
        <v>225</v>
      </c>
      <c r="B50" s="61"/>
      <c r="C50" s="63"/>
      <c r="D50" s="63"/>
      <c r="E50" s="61"/>
      <c r="F50" s="61"/>
      <c r="G50" s="63"/>
      <c r="H50" s="61"/>
      <c r="I50" s="63"/>
      <c r="J50" s="63"/>
      <c r="K50" s="61"/>
      <c r="L50" s="63"/>
      <c r="M50" s="63"/>
      <c r="N50" s="63"/>
      <c r="O50" s="63"/>
      <c r="P50" s="63"/>
      <c r="Q50" s="63"/>
      <c r="R50" s="63"/>
      <c r="S50" s="63"/>
      <c r="T50" s="63"/>
      <c r="U50" s="48"/>
      <c r="V50" s="48"/>
      <c r="W50" s="48"/>
      <c r="X50" s="48"/>
      <c r="Y50" s="48"/>
      <c r="Z50" s="48"/>
      <c r="AA50" s="48"/>
    </row>
    <row r="51" spans="1:27">
      <c r="A51" t="s">
        <v>226</v>
      </c>
      <c r="B51" s="63">
        <f>+scotiavar!B62/scotiavar!B63</f>
        <v>0.57150333083461802</v>
      </c>
      <c r="C51" s="63">
        <v>0.42850631340070211</v>
      </c>
      <c r="D51" s="63"/>
      <c r="E51" s="61">
        <v>0</v>
      </c>
      <c r="F51" s="63">
        <v>0.50306561855116716</v>
      </c>
      <c r="G51" s="63"/>
      <c r="H51" s="61">
        <v>0</v>
      </c>
      <c r="I51" s="63">
        <v>0.64673535953518835</v>
      </c>
      <c r="J51" s="63"/>
      <c r="K51" s="61">
        <v>0</v>
      </c>
      <c r="L51" s="63">
        <v>0.57524531758272102</v>
      </c>
      <c r="M51" s="63"/>
      <c r="N51" s="63">
        <f>+B51</f>
        <v>0.57150333083461802</v>
      </c>
      <c r="O51" s="63">
        <f>+C51</f>
        <v>0.42850631340070211</v>
      </c>
      <c r="P51" s="63"/>
      <c r="Q51" s="63">
        <v>0.57520000000000004</v>
      </c>
      <c r="R51" s="63">
        <v>0.45629999999999998</v>
      </c>
      <c r="S51" s="63">
        <v>0.59809999999999997</v>
      </c>
      <c r="T51" s="63">
        <v>0.47129363134844704</v>
      </c>
      <c r="U51" s="48"/>
      <c r="V51" s="48"/>
      <c r="W51" s="48"/>
      <c r="X51" s="48"/>
      <c r="Y51" s="48"/>
      <c r="Z51" s="48"/>
      <c r="AA51" s="48"/>
    </row>
    <row r="52" spans="1:27">
      <c r="B52" s="61"/>
      <c r="C52" s="63"/>
      <c r="D52" s="63"/>
      <c r="E52" s="61"/>
      <c r="F52" s="61"/>
      <c r="G52" s="63"/>
      <c r="H52" s="61"/>
      <c r="I52" s="63"/>
      <c r="J52" s="63"/>
      <c r="K52" s="61"/>
      <c r="L52" s="61"/>
      <c r="M52" s="63"/>
      <c r="N52" s="63"/>
      <c r="O52" s="63"/>
      <c r="P52" s="63"/>
      <c r="Q52" s="63"/>
      <c r="R52" s="63"/>
      <c r="S52" s="63"/>
      <c r="T52" s="63"/>
      <c r="U52" s="48"/>
      <c r="V52" s="48"/>
      <c r="W52" s="48"/>
      <c r="X52" s="48"/>
      <c r="Y52" s="48"/>
      <c r="Z52" s="48"/>
      <c r="AA52" s="48"/>
    </row>
    <row r="53" spans="1:27">
      <c r="A53" t="s">
        <v>227</v>
      </c>
      <c r="B53" s="61"/>
      <c r="C53" s="63"/>
      <c r="D53" s="63"/>
      <c r="E53" s="61"/>
      <c r="F53" s="61"/>
      <c r="G53" s="63"/>
      <c r="H53" s="61"/>
      <c r="I53" s="63"/>
      <c r="J53" s="63"/>
      <c r="K53" s="61"/>
      <c r="L53" s="61"/>
      <c r="M53" s="63"/>
      <c r="N53" s="63"/>
      <c r="O53" s="63"/>
      <c r="P53" s="63"/>
      <c r="Q53" s="63"/>
      <c r="R53" s="63"/>
      <c r="S53" s="63"/>
      <c r="T53" s="63"/>
      <c r="U53" s="48"/>
      <c r="V53" s="48"/>
      <c r="W53" s="48"/>
      <c r="X53" s="48"/>
      <c r="Y53" s="48"/>
      <c r="Z53" s="48"/>
      <c r="AA53" s="48"/>
    </row>
    <row r="54" spans="1:27">
      <c r="A54" t="s">
        <v>228</v>
      </c>
      <c r="B54" s="63">
        <f>+(scotiavar!B63-scotiavar!B62)/scotiavar!B52</f>
        <v>0.22214482381882908</v>
      </c>
      <c r="C54" s="63">
        <v>0.65836205500036304</v>
      </c>
      <c r="D54" s="63"/>
      <c r="E54" s="61">
        <v>0</v>
      </c>
      <c r="F54" s="63">
        <v>0.31552100216610873</v>
      </c>
      <c r="G54" s="63"/>
      <c r="H54" s="61">
        <v>0</v>
      </c>
      <c r="I54" s="63">
        <v>0.21778655494435206</v>
      </c>
      <c r="J54" s="63"/>
      <c r="K54" s="61">
        <v>0</v>
      </c>
      <c r="L54" s="62">
        <v>0.25509436404378039</v>
      </c>
      <c r="M54" s="63"/>
      <c r="N54" s="63">
        <f>+B54</f>
        <v>0.22214482381882908</v>
      </c>
      <c r="O54" s="63">
        <f>+C54</f>
        <v>0.65836205500036304</v>
      </c>
      <c r="P54" s="63"/>
      <c r="Q54" s="63">
        <v>0.25509999999999999</v>
      </c>
      <c r="R54" s="63">
        <v>0.38990000000000002</v>
      </c>
      <c r="S54" s="63">
        <v>0.56759999999999999</v>
      </c>
      <c r="T54" s="63">
        <v>0.76787926307047782</v>
      </c>
      <c r="U54" s="48"/>
      <c r="V54" s="48"/>
      <c r="W54" s="48"/>
      <c r="X54" s="48"/>
      <c r="Y54" s="48"/>
      <c r="Z54" s="48"/>
      <c r="AA54" s="48"/>
    </row>
    <row r="55" spans="1:27">
      <c r="A55" t="s">
        <v>0</v>
      </c>
      <c r="B55" s="61"/>
      <c r="C55" s="63"/>
      <c r="D55" s="63"/>
      <c r="E55" s="61"/>
      <c r="F55" s="61"/>
      <c r="G55" s="63"/>
      <c r="H55" s="61"/>
      <c r="I55" s="63"/>
      <c r="J55" s="63"/>
      <c r="K55" s="61"/>
      <c r="L55" s="61"/>
      <c r="M55" s="63"/>
      <c r="N55" s="63"/>
      <c r="O55" s="63"/>
      <c r="P55" s="63"/>
      <c r="Q55" s="63"/>
      <c r="R55" s="63"/>
      <c r="S55" s="63"/>
      <c r="T55" s="63"/>
      <c r="U55" s="48"/>
      <c r="V55" s="48"/>
      <c r="W55" s="48"/>
      <c r="X55" s="48"/>
      <c r="Y55" s="48"/>
      <c r="Z55" s="48"/>
      <c r="AA55" s="48"/>
    </row>
    <row r="56" spans="1:27">
      <c r="A56" s="11" t="s">
        <v>229</v>
      </c>
      <c r="B56" s="61"/>
      <c r="C56" s="63"/>
      <c r="D56" s="63"/>
      <c r="E56" s="61"/>
      <c r="F56" s="61"/>
      <c r="G56" s="63"/>
      <c r="H56" s="61"/>
      <c r="I56" s="63"/>
      <c r="J56" s="63"/>
      <c r="K56" s="61"/>
      <c r="L56" s="61"/>
      <c r="M56" s="63"/>
      <c r="N56" s="63"/>
      <c r="O56" s="63"/>
      <c r="P56" s="63"/>
      <c r="Q56" s="63"/>
      <c r="R56" s="63"/>
      <c r="S56" s="63"/>
      <c r="T56" s="63"/>
      <c r="U56" s="48"/>
      <c r="V56" s="48"/>
      <c r="W56" s="48"/>
      <c r="X56" s="48"/>
      <c r="Y56" s="48"/>
      <c r="Z56" s="48"/>
      <c r="AA56" s="48"/>
    </row>
    <row r="57" spans="1:27">
      <c r="A57" s="11"/>
      <c r="B57" s="61"/>
      <c r="C57" s="63"/>
      <c r="D57" s="63"/>
      <c r="E57" s="61"/>
      <c r="F57" s="61"/>
      <c r="G57" s="63"/>
      <c r="H57" s="61"/>
      <c r="I57" s="63"/>
      <c r="J57" s="63"/>
      <c r="K57" s="61"/>
      <c r="L57" s="61"/>
      <c r="M57" s="63"/>
      <c r="N57" s="63"/>
      <c r="O57" s="63"/>
      <c r="P57" s="63"/>
      <c r="Q57" s="63"/>
      <c r="R57" s="63"/>
      <c r="S57" s="63"/>
      <c r="T57" s="63"/>
      <c r="U57" s="48"/>
      <c r="V57" s="48"/>
      <c r="W57" s="48"/>
      <c r="X57" s="48"/>
      <c r="Y57" s="48"/>
      <c r="Z57" s="48"/>
      <c r="AA57" s="48"/>
    </row>
    <row r="58" spans="1:27">
      <c r="A58" t="s">
        <v>230</v>
      </c>
      <c r="B58" s="63">
        <f>+('SCOTIARÉSULT         '!B41/((scotiavar!B23+scotiavar!J23)/2)*4)</f>
        <v>1.537382482011807E-2</v>
      </c>
      <c r="C58" s="63">
        <v>2.683317805306131E-3</v>
      </c>
      <c r="D58" s="63"/>
      <c r="E58" s="61">
        <v>0</v>
      </c>
      <c r="F58" s="63">
        <v>6.3402001465816217E-3</v>
      </c>
      <c r="G58" s="63"/>
      <c r="H58" s="61">
        <v>0</v>
      </c>
      <c r="I58" s="63">
        <v>-9.8421266683920584E-3</v>
      </c>
      <c r="J58" s="63"/>
      <c r="K58" s="61">
        <v>0</v>
      </c>
      <c r="L58" s="63">
        <v>-4.7096897734430808E-3</v>
      </c>
      <c r="M58" s="63"/>
      <c r="N58" s="320">
        <f>+'sysratfinclédéc. 14'!L37</f>
        <v>1.537382482011807E-2</v>
      </c>
      <c r="O58" s="320">
        <f>+'sysratfinclédéc. 14'!L38</f>
        <v>2.7000000000000001E-3</v>
      </c>
      <c r="P58" s="63"/>
      <c r="Q58" s="63">
        <v>-1.2999999999999999E-3</v>
      </c>
      <c r="R58" s="63">
        <v>1.47E-2</v>
      </c>
      <c r="S58" s="63">
        <v>7.7999999999999996E-3</v>
      </c>
      <c r="T58" s="63">
        <v>1.4888161818713136E-2</v>
      </c>
      <c r="U58" s="48"/>
      <c r="V58" s="48"/>
      <c r="W58" s="48"/>
      <c r="X58" s="48"/>
      <c r="Y58" s="48"/>
      <c r="Z58" s="48"/>
      <c r="AA58" s="48"/>
    </row>
    <row r="59" spans="1:27" ht="7.15" customHeight="1">
      <c r="B59" s="61"/>
      <c r="C59" s="63"/>
      <c r="D59" s="63"/>
      <c r="E59" s="61"/>
      <c r="F59" s="61"/>
      <c r="G59" s="63"/>
      <c r="H59" s="61"/>
      <c r="I59" s="63"/>
      <c r="J59" s="63"/>
      <c r="K59" s="61"/>
      <c r="L59" s="63"/>
      <c r="M59" s="63"/>
      <c r="N59" s="61"/>
      <c r="O59" s="63"/>
      <c r="P59" s="63"/>
      <c r="Q59" s="62"/>
      <c r="R59" s="62"/>
      <c r="S59" s="62"/>
      <c r="T59" s="62"/>
      <c r="U59" s="48"/>
      <c r="V59" s="48"/>
      <c r="W59" s="48"/>
      <c r="X59" s="48"/>
      <c r="Y59" s="48"/>
      <c r="Z59" s="48"/>
      <c r="AA59" s="48"/>
    </row>
    <row r="60" spans="1:27">
      <c r="A60" t="s">
        <v>390</v>
      </c>
      <c r="B60" s="63">
        <f>+('SCOTIARÉSULT         '!B41/((scotiavar!J52+scotiavar!B52)/2)*4)</f>
        <v>0.35593863763550665</v>
      </c>
      <c r="C60" s="63">
        <v>7.2335340303951987E-2</v>
      </c>
      <c r="D60" s="63"/>
      <c r="E60" s="61">
        <v>0</v>
      </c>
      <c r="F60" s="63">
        <v>0.1680616585982373</v>
      </c>
      <c r="G60" s="63"/>
      <c r="H60" s="61">
        <v>0</v>
      </c>
      <c r="I60" s="63">
        <v>-0.22156931382387032</v>
      </c>
      <c r="J60" s="63"/>
      <c r="K60" s="61">
        <v>0</v>
      </c>
      <c r="L60" s="62">
        <v>-0.11066834480013193</v>
      </c>
      <c r="M60" s="63"/>
      <c r="N60" s="320">
        <f>+'sysratfinclédéc. 14'!L43</f>
        <v>0.35593863763550665</v>
      </c>
      <c r="O60" s="320">
        <f>+'sysratfinclédéc. 14'!L44</f>
        <v>6.1899999999999997E-2</v>
      </c>
      <c r="P60" s="63"/>
      <c r="Q60" s="63">
        <v>-3.1099999999999999E-2</v>
      </c>
      <c r="R60" s="63">
        <v>0.34420000000000001</v>
      </c>
      <c r="S60" s="63">
        <v>0.17649999999999999</v>
      </c>
      <c r="T60" s="63">
        <v>0.31693492667451667</v>
      </c>
      <c r="U60" s="48"/>
      <c r="V60" s="48"/>
      <c r="W60" s="48"/>
      <c r="X60" s="48"/>
      <c r="Y60" s="48"/>
      <c r="Z60" s="48"/>
      <c r="AA60" s="48"/>
    </row>
    <row r="61" spans="1:27" ht="7.15" customHeight="1">
      <c r="B61" s="61"/>
      <c r="C61" s="63"/>
      <c r="D61" s="63"/>
      <c r="E61" s="61"/>
      <c r="F61" s="61"/>
      <c r="G61" s="63"/>
      <c r="H61" s="61"/>
      <c r="I61" s="63"/>
      <c r="J61" s="63"/>
      <c r="K61" s="61"/>
      <c r="L61" s="63"/>
      <c r="M61" s="63"/>
      <c r="N61" s="61"/>
      <c r="O61" s="63"/>
      <c r="P61" s="63"/>
      <c r="Q61" s="63"/>
      <c r="R61" s="63"/>
      <c r="S61" s="63"/>
      <c r="T61" s="63"/>
      <c r="U61" s="48"/>
      <c r="V61" s="48"/>
      <c r="W61" s="48"/>
      <c r="X61" s="48"/>
      <c r="Y61" s="48"/>
      <c r="Z61" s="48"/>
      <c r="AA61" s="48"/>
    </row>
    <row r="62" spans="1:27">
      <c r="A62" t="s">
        <v>209</v>
      </c>
      <c r="B62" s="61"/>
      <c r="C62" s="63"/>
      <c r="D62" s="63"/>
      <c r="E62" s="61"/>
      <c r="F62" s="61"/>
      <c r="G62" s="63"/>
      <c r="H62" s="61"/>
      <c r="I62" s="63"/>
      <c r="J62" s="63"/>
      <c r="K62" s="61"/>
      <c r="L62" s="63"/>
      <c r="M62" s="63"/>
      <c r="N62" s="61"/>
      <c r="O62" s="63"/>
      <c r="P62" s="63"/>
      <c r="Q62" s="63"/>
      <c r="R62" s="63"/>
      <c r="S62" s="63"/>
      <c r="T62" s="63"/>
      <c r="U62" s="48"/>
      <c r="V62" s="48"/>
      <c r="W62" s="48"/>
      <c r="X62" s="48"/>
      <c r="Y62" s="48"/>
      <c r="Z62" s="48"/>
      <c r="AA62" s="48"/>
    </row>
    <row r="63" spans="1:27">
      <c r="A63" t="s">
        <v>233</v>
      </c>
      <c r="B63" s="63">
        <f>+'SCOTIARÉSULT         '!B15/'SCOTIARÉSULT         '!B13</f>
        <v>0.99343248167450526</v>
      </c>
      <c r="C63" s="63">
        <v>0.98229697301393504</v>
      </c>
      <c r="D63" s="63"/>
      <c r="E63" s="61">
        <v>0</v>
      </c>
      <c r="F63" s="63">
        <v>0.98426486441661831</v>
      </c>
      <c r="G63" s="63"/>
      <c r="H63" s="61">
        <v>0</v>
      </c>
      <c r="I63" s="63">
        <v>0.98105416061423534</v>
      </c>
      <c r="J63" s="63"/>
      <c r="K63" s="61">
        <v>0</v>
      </c>
      <c r="L63" s="63">
        <v>0.97860214604818174</v>
      </c>
      <c r="M63" s="63"/>
      <c r="N63" s="320">
        <f>+'sysratfinclédéc. 14'!L50</f>
        <v>0.99343248167450526</v>
      </c>
      <c r="O63" s="320">
        <f>+'sysratfinclédéc. 14'!L51</f>
        <v>0.98229697301393504</v>
      </c>
      <c r="P63" s="63"/>
      <c r="Q63" s="63">
        <v>0.98160000000000003</v>
      </c>
      <c r="R63" s="63">
        <v>0.97919999999999996</v>
      </c>
      <c r="S63" s="63">
        <v>0.96560000000000001</v>
      </c>
      <c r="T63" s="63">
        <v>0.92255818033767767</v>
      </c>
      <c r="U63" s="48"/>
      <c r="V63" s="48"/>
      <c r="W63" s="48"/>
      <c r="X63" s="48"/>
      <c r="Y63" s="48"/>
      <c r="Z63" s="48"/>
      <c r="AA63" s="48"/>
    </row>
    <row r="64" spans="1:27" ht="7.15" customHeight="1">
      <c r="B64" s="61"/>
      <c r="C64" s="63"/>
      <c r="D64" s="63"/>
      <c r="E64" s="61"/>
      <c r="F64" s="61"/>
      <c r="G64" s="63"/>
      <c r="H64" s="61"/>
      <c r="I64" s="63"/>
      <c r="J64" s="63"/>
      <c r="K64" s="61"/>
      <c r="L64" s="63"/>
      <c r="M64" s="63"/>
      <c r="N64" s="61"/>
      <c r="O64" s="63"/>
      <c r="P64" s="63"/>
      <c r="Q64" s="63"/>
      <c r="R64" s="63"/>
      <c r="S64" s="63"/>
      <c r="T64" s="63"/>
      <c r="U64" s="48"/>
      <c r="V64" s="48"/>
      <c r="W64" s="48"/>
      <c r="X64" s="48"/>
      <c r="Y64" s="48"/>
      <c r="Z64" s="48"/>
      <c r="AA64" s="48"/>
    </row>
    <row r="65" spans="1:20">
      <c r="A65" t="s">
        <v>234</v>
      </c>
      <c r="B65" s="63">
        <f>+('SCOTIARÉSULT         '!B10/((scotiavar!B61+scotiavar!J61)/2)*4)</f>
        <v>8.5286107271408437E-2</v>
      </c>
      <c r="C65" s="60">
        <v>8.1484510853046421E-2</v>
      </c>
      <c r="D65" s="60"/>
      <c r="E65" s="61">
        <v>0</v>
      </c>
      <c r="F65" s="60">
        <v>8.2001357489868421E-2</v>
      </c>
      <c r="G65" s="60"/>
      <c r="H65" s="61">
        <v>0</v>
      </c>
      <c r="I65" s="60">
        <v>8.0136798544021476E-2</v>
      </c>
      <c r="J65" s="60"/>
      <c r="K65" s="61">
        <v>0</v>
      </c>
      <c r="L65" s="60">
        <v>8.0995297422012585E-2</v>
      </c>
      <c r="M65" s="60"/>
      <c r="N65" s="320">
        <f>+'sysratfinclédéc. 14'!L56</f>
        <v>8.5286107271408437E-2</v>
      </c>
      <c r="O65" s="320">
        <f>+'sysratfinclédéc. 14'!L57</f>
        <v>8.1500000000000003E-2</v>
      </c>
      <c r="P65" s="60"/>
      <c r="Q65" s="60">
        <v>8.3000000000000004E-2</v>
      </c>
      <c r="R65" s="60">
        <v>9.8500000000000004E-2</v>
      </c>
      <c r="S65" s="60">
        <v>9.7500000000000003E-2</v>
      </c>
      <c r="T65" s="60">
        <v>0.11418264743134997</v>
      </c>
    </row>
    <row r="66" spans="1:20" ht="7.15" customHeight="1">
      <c r="B66" s="17"/>
      <c r="C66" s="60"/>
      <c r="D66" s="60"/>
      <c r="E66" s="54"/>
      <c r="F66" s="54"/>
      <c r="G66" s="60"/>
      <c r="H66" s="54"/>
      <c r="I66" s="60"/>
      <c r="J66" s="60"/>
      <c r="K66" s="54"/>
      <c r="L66" s="60"/>
      <c r="M66" s="60"/>
      <c r="N66" s="54"/>
      <c r="O66" s="60"/>
      <c r="P66" s="60"/>
      <c r="Q66" s="60"/>
      <c r="R66" s="60"/>
      <c r="S66" s="60"/>
      <c r="T66" s="60"/>
    </row>
    <row r="67" spans="1:20" ht="15.75" customHeight="1">
      <c r="A67" t="s">
        <v>630</v>
      </c>
      <c r="B67" s="63">
        <f>+('SCOTIARÉSULT         '!B10/((scotiavar!B61-scotiavar!B63+scotiavar!J61-scotiavar!J63)/2)*4)</f>
        <v>9.1324829945680808E-2</v>
      </c>
      <c r="C67" s="984">
        <v>8.9077361996828336E-2</v>
      </c>
      <c r="D67" s="60"/>
      <c r="E67" s="54">
        <v>0</v>
      </c>
      <c r="F67" s="60">
        <v>8.9191614224692892E-2</v>
      </c>
      <c r="G67" s="60"/>
      <c r="H67" s="54">
        <v>0</v>
      </c>
      <c r="I67" s="60">
        <v>8.6040208275783472E-2</v>
      </c>
      <c r="J67" s="60"/>
      <c r="K67" s="54">
        <v>0</v>
      </c>
      <c r="L67" s="60">
        <v>8.670521442823137E-2</v>
      </c>
      <c r="M67" s="60"/>
      <c r="N67" s="320">
        <f>+'sysratfinclédéc. 14'!L62</f>
        <v>9.1324829945680808E-2</v>
      </c>
      <c r="O67" s="320">
        <f>+'sysratfinclédéc. 14'!L63</f>
        <v>8.9099999999999999E-2</v>
      </c>
      <c r="P67" s="60"/>
      <c r="Q67" s="60">
        <v>8.9599999999999999E-2</v>
      </c>
      <c r="R67" s="60">
        <v>0.1099</v>
      </c>
      <c r="S67" s="60">
        <v>0.11360000000000001</v>
      </c>
      <c r="T67" s="60">
        <v>0.13566079403796813</v>
      </c>
    </row>
    <row r="68" spans="1:20" ht="7.15" customHeight="1">
      <c r="B68" s="17"/>
      <c r="C68" s="60"/>
      <c r="D68" s="60"/>
      <c r="E68" s="54"/>
      <c r="F68" s="54"/>
      <c r="G68" s="60"/>
      <c r="H68" s="54"/>
      <c r="I68" s="60"/>
      <c r="J68" s="60"/>
      <c r="K68" s="54"/>
      <c r="L68" s="60"/>
      <c r="M68" s="60"/>
      <c r="N68" s="54"/>
      <c r="O68" s="60"/>
      <c r="P68" s="60"/>
      <c r="Q68" s="60"/>
      <c r="R68" s="60"/>
      <c r="S68" s="60"/>
      <c r="T68" s="60"/>
    </row>
    <row r="69" spans="1:20">
      <c r="A69" t="s">
        <v>235</v>
      </c>
      <c r="B69" s="63">
        <f>+('SCOTIARÉSULT         '!B14/((scotiavar!J30+scotiavar!B30)/2)*4)</f>
        <v>2.4192846643496162E-4</v>
      </c>
      <c r="C69" s="60">
        <v>7.0395021958684985E-4</v>
      </c>
      <c r="D69" s="60"/>
      <c r="E69" s="61">
        <v>0</v>
      </c>
      <c r="F69" s="60">
        <v>6.2429192680115472E-4</v>
      </c>
      <c r="G69" s="60"/>
      <c r="H69" s="61">
        <v>0</v>
      </c>
      <c r="I69" s="60">
        <v>7.5023139153440296E-4</v>
      </c>
      <c r="J69" s="60"/>
      <c r="K69" s="61">
        <v>0</v>
      </c>
      <c r="L69" s="60">
        <v>7.0161064134570969E-4</v>
      </c>
      <c r="M69" s="60"/>
      <c r="N69" s="320">
        <f>+'sysratfinclédéc. 14'!L68</f>
        <v>2.4192846643496162E-4</v>
      </c>
      <c r="O69" s="320">
        <f>+'sysratfinclédéc. 14'!L69</f>
        <v>6.9999999999999999E-4</v>
      </c>
      <c r="P69" s="60"/>
      <c r="Q69" s="60">
        <v>6.9999999999999999E-4</v>
      </c>
      <c r="R69" s="60">
        <v>1.1000000000000001E-3</v>
      </c>
      <c r="S69" s="60">
        <v>1.8E-3</v>
      </c>
      <c r="T69" s="60">
        <v>4.7919480574432479E-3</v>
      </c>
    </row>
    <row r="70" spans="1:20" ht="6" customHeight="1">
      <c r="B70" s="17"/>
      <c r="C70" s="60"/>
      <c r="D70" s="60"/>
      <c r="E70" s="54"/>
      <c r="F70" s="54"/>
      <c r="G70" s="60"/>
      <c r="H70" s="54"/>
      <c r="I70" s="60"/>
      <c r="J70" s="60"/>
      <c r="K70" s="54"/>
      <c r="L70" s="60"/>
      <c r="M70" s="60"/>
      <c r="N70" s="54"/>
      <c r="O70" s="60"/>
      <c r="P70" s="60"/>
      <c r="Q70" s="60"/>
      <c r="R70" s="60"/>
      <c r="S70" s="60"/>
      <c r="T70" s="60"/>
    </row>
    <row r="71" spans="1:20">
      <c r="A71" t="s">
        <v>212</v>
      </c>
      <c r="B71" s="17"/>
      <c r="C71" s="60"/>
      <c r="D71" s="60"/>
      <c r="E71" s="54"/>
      <c r="F71" s="54"/>
      <c r="G71" s="60"/>
      <c r="H71" s="54"/>
      <c r="I71" s="60"/>
      <c r="J71" s="60"/>
      <c r="K71" s="54"/>
      <c r="L71" s="60"/>
      <c r="M71" s="60"/>
      <c r="N71" s="54"/>
      <c r="O71" s="60"/>
      <c r="P71" s="60"/>
      <c r="Q71" s="60"/>
      <c r="R71" s="60"/>
      <c r="S71" s="60"/>
      <c r="T71" s="60"/>
    </row>
    <row r="72" spans="1:20">
      <c r="A72" t="s">
        <v>236</v>
      </c>
      <c r="B72" s="63">
        <f>+'SCOTIARÉSULT         '!B35/'SCOTIARÉSULT         '!B23</f>
        <v>0.62822353451078128</v>
      </c>
      <c r="C72" s="60">
        <v>0.86050354394051398</v>
      </c>
      <c r="D72" s="60"/>
      <c r="E72" s="61">
        <v>0</v>
      </c>
      <c r="F72" s="63">
        <v>0.8511851142889314</v>
      </c>
      <c r="G72" s="60"/>
      <c r="H72" s="61">
        <v>0</v>
      </c>
      <c r="I72" s="63">
        <v>0.93461899622990563</v>
      </c>
      <c r="J72" s="60"/>
      <c r="K72" s="61">
        <v>0</v>
      </c>
      <c r="L72" s="60">
        <v>1.2783329063113844</v>
      </c>
      <c r="M72" s="60"/>
      <c r="N72" s="320">
        <f>+'sysratfinclédéc. 14'!L76</f>
        <v>0.62822353451078128</v>
      </c>
      <c r="O72" s="320">
        <f>+'sysratfinclédéc. 14'!L77</f>
        <v>0.86050354394051398</v>
      </c>
      <c r="P72" s="60"/>
      <c r="Q72" s="60">
        <v>0.98119999999999996</v>
      </c>
      <c r="R72" s="60">
        <v>0.84689999999999999</v>
      </c>
      <c r="S72" s="60">
        <v>0.70409999999999995</v>
      </c>
      <c r="T72" s="60">
        <v>0.63306701830592615</v>
      </c>
    </row>
    <row r="73" spans="1:20">
      <c r="A73" t="s">
        <v>385</v>
      </c>
      <c r="B73" s="17"/>
      <c r="C73" s="17"/>
      <c r="D73" s="17"/>
      <c r="E73" s="54"/>
      <c r="F73" s="54"/>
      <c r="G73" s="17"/>
      <c r="H73" s="54"/>
      <c r="I73" s="54"/>
      <c r="J73" s="17"/>
      <c r="K73" s="54"/>
      <c r="L73" s="54"/>
      <c r="M73" s="17"/>
      <c r="N73" s="54"/>
      <c r="O73" s="17"/>
      <c r="P73" s="17"/>
      <c r="Q73" s="17"/>
      <c r="R73" s="17"/>
      <c r="S73" s="17"/>
      <c r="T73" s="17"/>
    </row>
    <row r="74" spans="1:20">
      <c r="B74" s="17"/>
      <c r="C74" s="17"/>
      <c r="D74" s="17"/>
      <c r="E74" s="54"/>
      <c r="F74" s="54"/>
      <c r="G74" s="17"/>
      <c r="H74" s="54"/>
      <c r="I74" s="54"/>
      <c r="J74" s="17"/>
      <c r="K74" s="54"/>
      <c r="L74" s="54"/>
      <c r="M74" s="17"/>
      <c r="N74" s="54"/>
      <c r="O74" s="17"/>
      <c r="P74" s="17"/>
      <c r="Q74" s="17"/>
      <c r="R74" s="17"/>
      <c r="S74" s="17"/>
      <c r="T74" s="17"/>
    </row>
    <row r="75" spans="1:20">
      <c r="A75" t="s">
        <v>238</v>
      </c>
      <c r="B75" s="1311">
        <f>+('SCOTIARÉSULT         '!B23/((+employés!AB138+employés!AB136)/2)*4)</f>
        <v>3375.1771428571428</v>
      </c>
      <c r="C75" s="54">
        <v>3049.3259668508285</v>
      </c>
      <c r="D75" s="17"/>
      <c r="E75" s="54">
        <v>0</v>
      </c>
      <c r="F75" s="54">
        <v>3140.243093922652</v>
      </c>
      <c r="G75" s="17"/>
      <c r="H75" s="54">
        <v>0</v>
      </c>
      <c r="I75" s="54">
        <v>3171.1555555555556</v>
      </c>
      <c r="J75" s="17"/>
      <c r="K75" s="54">
        <v>0</v>
      </c>
      <c r="L75" s="54">
        <v>3122.4</v>
      </c>
      <c r="M75" s="17"/>
      <c r="N75" s="663">
        <f>+'sysratfinclédéc. 14'!L82</f>
        <v>3375.1771428571428</v>
      </c>
      <c r="O75" s="663">
        <f>+'sysratfinclédéc. 14'!L83</f>
        <v>3049.33</v>
      </c>
      <c r="P75" s="17"/>
      <c r="Q75" s="54">
        <v>3129.38</v>
      </c>
      <c r="R75" s="54">
        <v>3710.37</v>
      </c>
      <c r="S75" s="54">
        <v>3646.36</v>
      </c>
      <c r="T75" s="54">
        <v>3727.8072289156626</v>
      </c>
    </row>
    <row r="76" spans="1:20" ht="16.5" thickBot="1">
      <c r="B76" s="25"/>
      <c r="C76" s="25"/>
      <c r="D76" s="25"/>
      <c r="E76" s="25"/>
      <c r="F76" s="25"/>
      <c r="G76" s="25"/>
      <c r="H76" s="25"/>
      <c r="I76" s="25"/>
      <c r="J76" s="25"/>
      <c r="K76" s="25"/>
      <c r="L76" s="25"/>
      <c r="M76" s="25"/>
      <c r="N76" s="25"/>
      <c r="O76" s="25"/>
      <c r="P76" s="25"/>
      <c r="Q76" s="25"/>
      <c r="R76" s="25"/>
      <c r="S76" s="25"/>
      <c r="T76" s="25"/>
    </row>
  </sheetData>
  <phoneticPr fontId="0" type="noConversion"/>
  <pageMargins left="0.2" right="0.2" top="0.56999999999999995" bottom="0.48" header="0.38" footer="0.27"/>
  <pageSetup scale="43" orientation="landscape" r:id="rId1"/>
  <headerFooter alignWithMargins="0">
    <oddFooter>&amp;R&amp;16&amp;P</oddFooter>
  </headerFooter>
</worksheet>
</file>

<file path=xl/worksheets/sheet97.xml><?xml version="1.0" encoding="utf-8"?>
<worksheet xmlns="http://schemas.openxmlformats.org/spreadsheetml/2006/main" xmlns:r="http://schemas.openxmlformats.org/officeDocument/2006/relationships">
  <sheetPr>
    <pageSetUpPr fitToPage="1"/>
  </sheetPr>
  <dimension ref="A1:U2890"/>
  <sheetViews>
    <sheetView topLeftCell="A6" workbookViewId="0">
      <pane xSplit="1" ySplit="2" topLeftCell="B8" activePane="bottomRight" state="frozen"/>
      <selection activeCell="N58" sqref="N58"/>
      <selection pane="topRight" activeCell="N58" sqref="N58"/>
      <selection pane="bottomLeft" activeCell="N58" sqref="N58"/>
      <selection pane="bottomRight" activeCell="H22" sqref="H22"/>
    </sheetView>
  </sheetViews>
  <sheetFormatPr baseColWidth="10" defaultColWidth="9" defaultRowHeight="15.75"/>
  <cols>
    <col min="1" max="1" width="33.25" customWidth="1"/>
    <col min="2" max="2" width="18.125" style="20" customWidth="1"/>
    <col min="3" max="3" width="9.75" style="21" customWidth="1"/>
    <col min="4" max="4" width="15.75" style="20" customWidth="1"/>
    <col min="5" max="5" width="9.75" style="21" customWidth="1"/>
    <col min="6" max="6" width="15.75" style="20" customWidth="1"/>
    <col min="7" max="7" width="9.75" style="21" customWidth="1"/>
    <col min="8" max="8" width="13.875" style="20" customWidth="1"/>
    <col min="9" max="9" width="11.375" style="21" customWidth="1"/>
    <col min="10" max="10" width="15.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11" t="s">
        <v>406</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s="11" customFormat="1" ht="16.5" thickBot="1">
      <c r="B6" s="346" t="s">
        <v>0</v>
      </c>
      <c r="C6" s="345"/>
      <c r="D6" s="346"/>
      <c r="E6" s="345"/>
      <c r="F6" s="346"/>
      <c r="G6" s="345"/>
      <c r="H6" s="346"/>
      <c r="I6" s="71" t="str">
        <f>+cbnainfin!I4</f>
        <v>Var. déc. 14</v>
      </c>
      <c r="J6" s="118" t="s">
        <v>195</v>
      </c>
      <c r="K6" s="207"/>
      <c r="L6" s="118"/>
      <c r="M6" s="207"/>
      <c r="N6" s="118"/>
      <c r="O6" s="207"/>
      <c r="P6" s="118"/>
      <c r="Q6" s="13"/>
      <c r="R6" s="13"/>
    </row>
    <row r="7" spans="1:21" s="11" customFormat="1" ht="16.5" thickBot="1">
      <c r="B7" s="200" t="str">
        <f>+cbnavar!B7</f>
        <v>Déc. 14</v>
      </c>
      <c r="C7" s="201" t="s">
        <v>196</v>
      </c>
      <c r="D7" s="200" t="str">
        <f>+cbnavar!D7</f>
        <v>Mars 15</v>
      </c>
      <c r="E7" s="201" t="s">
        <v>196</v>
      </c>
      <c r="F7" s="200" t="str">
        <f>+cbnavar!F7</f>
        <v>Juin 15</v>
      </c>
      <c r="G7" s="201" t="s">
        <v>196</v>
      </c>
      <c r="H7" s="200" t="str">
        <f>+cbnavar!H7</f>
        <v>Sept. 15</v>
      </c>
      <c r="I7" s="376" t="str">
        <f>+cbnavar!I7</f>
        <v>/sept. 14</v>
      </c>
      <c r="J7" s="205" t="str">
        <f>+cbnainfin!J5</f>
        <v>2014</v>
      </c>
      <c r="K7" s="204" t="s">
        <v>196</v>
      </c>
      <c r="L7" s="205" t="str">
        <f>+cbnainfin!L5</f>
        <v>2013</v>
      </c>
      <c r="M7" s="204" t="s">
        <v>196</v>
      </c>
      <c r="N7" s="205" t="str">
        <f>+cbnainfin!N5</f>
        <v>2012</v>
      </c>
      <c r="O7" s="204" t="s">
        <v>196</v>
      </c>
      <c r="P7" s="205" t="str">
        <f>+cbnainfin!P5</f>
        <v>2011</v>
      </c>
      <c r="Q7" s="2"/>
      <c r="R7" s="2"/>
      <c r="S7" s="3"/>
      <c r="T7" s="3"/>
      <c r="U7" s="3"/>
    </row>
    <row r="8" spans="1:21">
      <c r="A8" s="86" t="s">
        <v>244</v>
      </c>
      <c r="B8" s="120" t="s">
        <v>0</v>
      </c>
      <c r="C8" s="119"/>
      <c r="D8" s="120"/>
      <c r="E8" s="119"/>
      <c r="F8" s="120"/>
      <c r="G8" s="119"/>
      <c r="H8" s="120"/>
      <c r="I8" s="341"/>
      <c r="J8" s="197"/>
      <c r="K8" s="119"/>
      <c r="L8" s="197"/>
      <c r="M8" s="119"/>
      <c r="N8" s="197"/>
      <c r="O8" s="119"/>
      <c r="P8" s="197"/>
      <c r="Q8" s="22"/>
      <c r="R8" s="22"/>
      <c r="S8" s="17"/>
      <c r="T8" s="17"/>
      <c r="U8" s="17"/>
    </row>
    <row r="9" spans="1:21">
      <c r="A9" s="10" t="s">
        <v>255</v>
      </c>
      <c r="B9" t="s">
        <v>0</v>
      </c>
    </row>
    <row r="10" spans="1:21">
      <c r="A10" s="10" t="s">
        <v>256</v>
      </c>
      <c r="B10" s="20">
        <v>94300</v>
      </c>
      <c r="C10" s="49">
        <v>0</v>
      </c>
      <c r="D10" s="20">
        <v>0</v>
      </c>
      <c r="E10" s="49">
        <v>0</v>
      </c>
      <c r="F10" s="20">
        <v>0</v>
      </c>
      <c r="G10" s="49">
        <v>0</v>
      </c>
      <c r="H10" s="20">
        <v>0</v>
      </c>
      <c r="I10" s="52">
        <f>+(B10-J10)/ABS(J10)</f>
        <v>0.11963335866261399</v>
      </c>
      <c r="J10" s="20">
        <v>84224</v>
      </c>
      <c r="K10" s="52">
        <f t="shared" ref="K10:K15" si="0">+(J10-L10)/ABS(L10)</f>
        <v>3.9443155452436193E-2</v>
      </c>
      <c r="L10" s="20">
        <v>81028</v>
      </c>
      <c r="M10" s="52">
        <f>+(L10-N10)/ABS(N10)</f>
        <v>-1.2449309124973808E-3</v>
      </c>
      <c r="N10" s="20">
        <v>81129</v>
      </c>
      <c r="O10" s="52">
        <f>+(N10-P10)/ABS(P10)</f>
        <v>0.92194162797308821</v>
      </c>
      <c r="P10" s="20">
        <v>42212</v>
      </c>
    </row>
    <row r="11" spans="1:21">
      <c r="A11" s="10" t="s">
        <v>257</v>
      </c>
      <c r="B11" s="20">
        <v>2414139</v>
      </c>
      <c r="C11" s="49">
        <v>0</v>
      </c>
      <c r="D11" s="20">
        <v>0</v>
      </c>
      <c r="E11" s="49">
        <v>0</v>
      </c>
      <c r="F11" s="20">
        <v>0</v>
      </c>
      <c r="G11" s="49">
        <v>0</v>
      </c>
      <c r="H11" s="20">
        <v>0</v>
      </c>
      <c r="I11" s="52">
        <f>+(B11-J11)/ABS(J11)</f>
        <v>0.14160312707477021</v>
      </c>
      <c r="J11" s="20">
        <v>2114692</v>
      </c>
      <c r="K11" s="52">
        <f t="shared" si="0"/>
        <v>7.2508590193865782E-2</v>
      </c>
      <c r="L11" s="20">
        <v>1971725</v>
      </c>
      <c r="M11" s="52">
        <f>+(L11-N11)/ABS(N11)</f>
        <v>0.20421497380222836</v>
      </c>
      <c r="N11" s="20">
        <v>1637353</v>
      </c>
      <c r="O11" s="52">
        <f>+(N11-P11)/ABS(P11)</f>
        <v>0.20218490566314801</v>
      </c>
      <c r="P11" s="20">
        <v>1361981</v>
      </c>
    </row>
    <row r="12" spans="1:21">
      <c r="A12" s="10" t="s">
        <v>258</v>
      </c>
      <c r="B12" s="20">
        <v>1449049</v>
      </c>
      <c r="C12" s="49">
        <v>0</v>
      </c>
      <c r="D12" s="20">
        <v>0</v>
      </c>
      <c r="E12" s="49">
        <v>0</v>
      </c>
      <c r="F12" s="20">
        <v>0</v>
      </c>
      <c r="G12" s="49">
        <v>0</v>
      </c>
      <c r="H12" s="20">
        <v>0</v>
      </c>
      <c r="I12" s="52">
        <f>+(B12-J12)/ABS(J12)</f>
        <v>3.0894664630558514E-3</v>
      </c>
      <c r="J12" s="20">
        <v>1444586</v>
      </c>
      <c r="K12" s="52">
        <f t="shared" si="0"/>
        <v>3.4028943928832697E-2</v>
      </c>
      <c r="L12" s="20">
        <v>1397046</v>
      </c>
      <c r="M12" s="52">
        <f>+(L12-N12)/ABS(N12)</f>
        <v>0.36950927696800434</v>
      </c>
      <c r="N12" s="20">
        <v>1020107</v>
      </c>
      <c r="O12" s="52">
        <f>+(N12-P12)/ABS(P12)</f>
        <v>-7.2579413422550323E-2</v>
      </c>
      <c r="P12" s="20">
        <v>1099940</v>
      </c>
    </row>
    <row r="13" spans="1:21">
      <c r="A13" s="10" t="s">
        <v>259</v>
      </c>
      <c r="B13" s="20">
        <v>0</v>
      </c>
      <c r="C13" s="49">
        <v>0</v>
      </c>
      <c r="D13" s="20">
        <v>0</v>
      </c>
      <c r="E13" s="49">
        <v>0</v>
      </c>
      <c r="F13" s="20">
        <v>0</v>
      </c>
      <c r="G13" s="49">
        <v>0</v>
      </c>
      <c r="H13" s="20">
        <v>0</v>
      </c>
      <c r="I13" s="49">
        <v>0</v>
      </c>
      <c r="J13" s="20">
        <v>0</v>
      </c>
      <c r="K13" s="49">
        <v>0</v>
      </c>
      <c r="L13" s="20">
        <v>0</v>
      </c>
      <c r="M13" s="49">
        <v>0</v>
      </c>
      <c r="N13" s="20">
        <v>0</v>
      </c>
      <c r="O13" s="49">
        <v>0</v>
      </c>
      <c r="P13" s="20">
        <v>0</v>
      </c>
    </row>
    <row r="14" spans="1:21">
      <c r="A14" s="10" t="s">
        <v>260</v>
      </c>
      <c r="B14" s="199">
        <v>34323</v>
      </c>
      <c r="C14" s="49">
        <v>0</v>
      </c>
      <c r="D14" s="199">
        <v>0</v>
      </c>
      <c r="E14" s="49">
        <v>0</v>
      </c>
      <c r="F14" s="199">
        <v>0</v>
      </c>
      <c r="G14" s="49">
        <v>0</v>
      </c>
      <c r="H14" s="199">
        <v>0</v>
      </c>
      <c r="I14" s="52">
        <f>+(B14-J14)/ABS(J14)</f>
        <v>-0.33388320686242162</v>
      </c>
      <c r="J14" s="199">
        <v>51527</v>
      </c>
      <c r="K14" s="52">
        <f t="shared" si="0"/>
        <v>-0.3939426017407669</v>
      </c>
      <c r="L14" s="199">
        <v>85020</v>
      </c>
      <c r="M14" s="52">
        <f>+(L14-N14)/ABS(N14)</f>
        <v>0.41867876987768859</v>
      </c>
      <c r="N14" s="199">
        <v>59929</v>
      </c>
      <c r="O14" s="52">
        <f>+(N14-P14)/ABS(P14)</f>
        <v>0.40526661351592175</v>
      </c>
      <c r="P14" s="199">
        <v>42646</v>
      </c>
    </row>
    <row r="15" spans="1:21" ht="15.6" customHeight="1">
      <c r="A15" s="10"/>
      <c r="B15" s="20">
        <f>SUM(B10:B14)</f>
        <v>3991811</v>
      </c>
      <c r="C15" s="49">
        <v>0</v>
      </c>
      <c r="D15" s="20">
        <f>SUM(D10:D14)</f>
        <v>0</v>
      </c>
      <c r="E15" s="49">
        <v>0</v>
      </c>
      <c r="F15" s="20">
        <f>SUM(F10:F14)</f>
        <v>0</v>
      </c>
      <c r="G15" s="49">
        <v>0</v>
      </c>
      <c r="H15" s="20">
        <f>SUM(H10:H14)</f>
        <v>0</v>
      </c>
      <c r="I15" s="52">
        <f>+(B15-J15)/ABS(J15)</f>
        <v>8.0319261364389827E-2</v>
      </c>
      <c r="J15" s="20">
        <f>SUM(J10:J14)</f>
        <v>3695029</v>
      </c>
      <c r="K15" s="52">
        <f t="shared" si="0"/>
        <v>4.5323395625065953E-2</v>
      </c>
      <c r="L15" s="20">
        <f>SUM(L10:L14)</f>
        <v>3534819</v>
      </c>
      <c r="M15" s="52">
        <f>+(L15-N15)/ABS(N15)</f>
        <v>0.26310389999278189</v>
      </c>
      <c r="N15" s="20">
        <f>SUM(N10:N14)</f>
        <v>2798518</v>
      </c>
      <c r="O15" s="52">
        <f>+(N15-P15)/ABS(P15)</f>
        <v>9.8846032576835288E-2</v>
      </c>
      <c r="P15" s="20">
        <f>SUM(P10:P14)</f>
        <v>2546779</v>
      </c>
    </row>
    <row r="16" spans="1:21" ht="7.9" customHeight="1">
      <c r="A16" s="10"/>
      <c r="C16" s="49" t="s">
        <v>0</v>
      </c>
      <c r="E16" s="49" t="s">
        <v>0</v>
      </c>
      <c r="G16" s="49" t="s">
        <v>0</v>
      </c>
      <c r="I16" s="52" t="s">
        <v>0</v>
      </c>
      <c r="K16" s="52" t="s">
        <v>0</v>
      </c>
      <c r="M16" s="52" t="s">
        <v>0</v>
      </c>
      <c r="O16" s="52" t="s">
        <v>0</v>
      </c>
    </row>
    <row r="17" spans="1:16" ht="15" customHeight="1">
      <c r="A17" s="10" t="s">
        <v>261</v>
      </c>
      <c r="B17" s="20">
        <v>0</v>
      </c>
      <c r="C17" s="49">
        <v>0</v>
      </c>
      <c r="D17" s="20">
        <v>0</v>
      </c>
      <c r="E17" s="49">
        <v>0</v>
      </c>
      <c r="F17" s="20">
        <v>0</v>
      </c>
      <c r="G17" s="49">
        <v>0</v>
      </c>
      <c r="H17" s="20">
        <v>0</v>
      </c>
      <c r="I17" s="49">
        <v>0</v>
      </c>
      <c r="J17" s="20">
        <v>0</v>
      </c>
      <c r="K17" s="49">
        <v>0</v>
      </c>
      <c r="L17" s="20">
        <v>0</v>
      </c>
      <c r="M17" s="49">
        <v>0</v>
      </c>
      <c r="N17" s="20">
        <v>0</v>
      </c>
      <c r="O17" s="49">
        <v>0</v>
      </c>
      <c r="P17" s="20">
        <v>150000</v>
      </c>
    </row>
    <row r="18" spans="1:16" ht="15"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row>
    <row r="19" spans="1:16">
      <c r="A19" s="10" t="s">
        <v>262</v>
      </c>
      <c r="B19" s="20">
        <v>0</v>
      </c>
      <c r="C19" s="49">
        <v>0</v>
      </c>
      <c r="D19" s="20">
        <v>0</v>
      </c>
      <c r="E19" s="49">
        <v>0</v>
      </c>
      <c r="F19" s="20">
        <v>0</v>
      </c>
      <c r="G19" s="49">
        <v>0</v>
      </c>
      <c r="H19" s="20">
        <v>0</v>
      </c>
      <c r="I19" s="49">
        <v>0</v>
      </c>
      <c r="J19" s="20">
        <v>0</v>
      </c>
      <c r="K19" s="49">
        <v>0</v>
      </c>
      <c r="L19" s="20">
        <v>0</v>
      </c>
      <c r="M19" s="49">
        <v>0</v>
      </c>
      <c r="N19" s="20">
        <v>0</v>
      </c>
      <c r="O19" s="49">
        <v>0</v>
      </c>
      <c r="P19" s="20">
        <v>0</v>
      </c>
    </row>
    <row r="20" spans="1:16">
      <c r="A20" s="10" t="s">
        <v>263</v>
      </c>
      <c r="B20" s="20">
        <v>2063611</v>
      </c>
      <c r="C20" s="49">
        <v>0</v>
      </c>
      <c r="D20" s="20">
        <v>0</v>
      </c>
      <c r="E20" s="49">
        <v>0</v>
      </c>
      <c r="F20" s="20">
        <v>0</v>
      </c>
      <c r="G20" s="49">
        <v>0</v>
      </c>
      <c r="H20" s="20">
        <v>0</v>
      </c>
      <c r="I20" s="52">
        <f>+(B20-J20)/ABS(J20)</f>
        <v>-4.2044265526311145E-2</v>
      </c>
      <c r="J20" s="20">
        <v>2154182</v>
      </c>
      <c r="K20" s="52">
        <f>+(J20-L20)/ABS(L20)</f>
        <v>-2.158907942217771E-2</v>
      </c>
      <c r="L20" s="20">
        <v>2201715</v>
      </c>
      <c r="M20" s="52">
        <f>+(L20-N20)/ABS(N20)</f>
        <v>5.5191451938721964E-2</v>
      </c>
      <c r="N20" s="20">
        <v>2086555</v>
      </c>
      <c r="O20" s="52">
        <f>+(N20-P20)/ABS(P20)</f>
        <v>0.14401173753065558</v>
      </c>
      <c r="P20" s="20">
        <v>1823893</v>
      </c>
    </row>
    <row r="21" spans="1:16">
      <c r="A21" s="10" t="s">
        <v>264</v>
      </c>
      <c r="B21" s="20">
        <v>65712</v>
      </c>
      <c r="C21" s="49">
        <v>0</v>
      </c>
      <c r="D21" s="20">
        <v>0</v>
      </c>
      <c r="E21" s="49">
        <v>0</v>
      </c>
      <c r="F21" s="20">
        <v>0</v>
      </c>
      <c r="G21" s="49">
        <v>0</v>
      </c>
      <c r="H21" s="20">
        <v>0</v>
      </c>
      <c r="I21" s="52">
        <f>+(B21-J21)/ABS(J21)</f>
        <v>0.3740381398461024</v>
      </c>
      <c r="J21" s="20">
        <v>47824</v>
      </c>
      <c r="K21" s="52">
        <f>+(J21-L21)/ABS(L21)</f>
        <v>-0.36722326602979705</v>
      </c>
      <c r="L21" s="20">
        <v>75578</v>
      </c>
      <c r="M21" s="52">
        <f>+(L21-N21)/ABS(N21)</f>
        <v>0.38647245510080536</v>
      </c>
      <c r="N21" s="20">
        <v>54511</v>
      </c>
      <c r="O21" s="52">
        <f>+(N21-P21)/ABS(P21)</f>
        <v>0.12130250545110462</v>
      </c>
      <c r="P21" s="20">
        <v>48614</v>
      </c>
    </row>
    <row r="22" spans="1:16">
      <c r="A22" s="10" t="s">
        <v>265</v>
      </c>
      <c r="B22" s="199">
        <v>12548</v>
      </c>
      <c r="C22" s="49">
        <v>0</v>
      </c>
      <c r="D22" s="199">
        <v>0</v>
      </c>
      <c r="E22" s="49">
        <v>0</v>
      </c>
      <c r="F22" s="199">
        <v>0</v>
      </c>
      <c r="G22" s="49">
        <v>0</v>
      </c>
      <c r="H22" s="199">
        <v>0</v>
      </c>
      <c r="I22" s="52">
        <f>+(B22-J22)/ABS(J22)</f>
        <v>0.51344831745265951</v>
      </c>
      <c r="J22" s="199">
        <v>8291</v>
      </c>
      <c r="K22" s="52">
        <f>+(J22-L22)/ABS(L22)</f>
        <v>-0.5040971349961122</v>
      </c>
      <c r="L22" s="199">
        <v>16719</v>
      </c>
      <c r="M22" s="52">
        <f>+(L22-N22)/ABS(N22)</f>
        <v>0.64249926318891837</v>
      </c>
      <c r="N22" s="199">
        <v>10179</v>
      </c>
      <c r="O22" s="52">
        <f>+(N22-P22)/ABS(P22)</f>
        <v>-0.31399110392236151</v>
      </c>
      <c r="P22" s="199">
        <v>14838</v>
      </c>
    </row>
    <row r="23" spans="1:16">
      <c r="A23" s="10" t="s">
        <v>54</v>
      </c>
      <c r="B23" s="13">
        <f>SUM(B15:B22)</f>
        <v>6133682</v>
      </c>
      <c r="C23" s="49">
        <v>0</v>
      </c>
      <c r="D23" s="13">
        <f>SUM(D15:D22)</f>
        <v>0</v>
      </c>
      <c r="E23" s="49">
        <v>0</v>
      </c>
      <c r="F23" s="13">
        <f>SUM(F15:F22)</f>
        <v>0</v>
      </c>
      <c r="G23" s="49">
        <v>0</v>
      </c>
      <c r="H23" s="13">
        <f>SUM(H15:H22)</f>
        <v>0</v>
      </c>
      <c r="I23" s="52">
        <f>+(B23-J23)/ABS(J23)</f>
        <v>3.866949936379465E-2</v>
      </c>
      <c r="J23" s="13">
        <f>SUM(J15:J22)</f>
        <v>5905326</v>
      </c>
      <c r="K23" s="109">
        <f>+(J23-L23)/ABS(L23)</f>
        <v>1.3123557708226572E-2</v>
      </c>
      <c r="L23" s="13">
        <f>SUM(L15:L22)</f>
        <v>5828831</v>
      </c>
      <c r="M23" s="109">
        <f>+(L23-N23)/ABS(N23)</f>
        <v>0.17759799812637495</v>
      </c>
      <c r="N23" s="13">
        <f>SUM(N15:N22)</f>
        <v>4949763</v>
      </c>
      <c r="O23" s="109">
        <f>+(N23-P23)/ABS(P23)</f>
        <v>7.9762022144252639E-2</v>
      </c>
      <c r="P23" s="13">
        <f>SUM(P15:P22)</f>
        <v>4584124</v>
      </c>
    </row>
    <row r="24" spans="1:16" ht="7.9" customHeight="1">
      <c r="A24" s="10"/>
      <c r="C24" s="49" t="s">
        <v>0</v>
      </c>
      <c r="E24" s="49" t="s">
        <v>0</v>
      </c>
      <c r="G24" s="49" t="s">
        <v>0</v>
      </c>
      <c r="I24" s="52" t="s">
        <v>0</v>
      </c>
      <c r="K24" s="52" t="s">
        <v>0</v>
      </c>
      <c r="M24" s="52" t="s">
        <v>0</v>
      </c>
      <c r="N24" s="13"/>
      <c r="O24" s="52" t="s">
        <v>0</v>
      </c>
      <c r="P24" s="13"/>
    </row>
    <row r="25" spans="1:16">
      <c r="A25" s="86" t="s">
        <v>266</v>
      </c>
      <c r="C25" s="49" t="s">
        <v>0</v>
      </c>
      <c r="E25" s="49" t="s">
        <v>0</v>
      </c>
      <c r="G25" s="49" t="s">
        <v>0</v>
      </c>
      <c r="I25" s="52" t="s">
        <v>0</v>
      </c>
      <c r="K25" s="52" t="s">
        <v>0</v>
      </c>
      <c r="M25" s="52" t="s">
        <v>0</v>
      </c>
      <c r="O25" s="52" t="s">
        <v>0</v>
      </c>
    </row>
    <row r="26" spans="1:16">
      <c r="A26" s="10" t="s">
        <v>267</v>
      </c>
      <c r="C26" s="49" t="s">
        <v>0</v>
      </c>
      <c r="E26" s="49" t="s">
        <v>0</v>
      </c>
      <c r="G26" s="49" t="s">
        <v>0</v>
      </c>
      <c r="I26" s="52" t="s">
        <v>0</v>
      </c>
      <c r="K26" s="52" t="s">
        <v>0</v>
      </c>
      <c r="M26" s="52" t="s">
        <v>0</v>
      </c>
      <c r="O26" s="52" t="s">
        <v>0</v>
      </c>
    </row>
    <row r="27" spans="1:16">
      <c r="A27" s="10" t="s">
        <v>268</v>
      </c>
      <c r="B27" s="20">
        <v>3211364</v>
      </c>
      <c r="C27" s="49">
        <v>0</v>
      </c>
      <c r="D27" s="20">
        <v>0</v>
      </c>
      <c r="E27" s="49">
        <v>0</v>
      </c>
      <c r="F27" s="20">
        <v>0</v>
      </c>
      <c r="G27" s="49">
        <v>0</v>
      </c>
      <c r="H27" s="20">
        <v>0</v>
      </c>
      <c r="I27" s="52">
        <f>+(B27-J27)/ABS(J27)</f>
        <v>4.6946870616142021E-2</v>
      </c>
      <c r="J27" s="20">
        <v>3067361</v>
      </c>
      <c r="K27" s="52">
        <f>+(J27-L27)/ABS(L27)</f>
        <v>0.10604724252721702</v>
      </c>
      <c r="L27" s="20">
        <v>2773264</v>
      </c>
      <c r="M27" s="52">
        <f>+(L27-N27)/ABS(N27)</f>
        <v>0.25106869801995385</v>
      </c>
      <c r="N27" s="20">
        <v>2216716</v>
      </c>
      <c r="O27" s="52">
        <f>+(N27-P27)/ABS(P27)</f>
        <v>0.15871154840318291</v>
      </c>
      <c r="P27" s="20">
        <v>1913087</v>
      </c>
    </row>
    <row r="28" spans="1:16">
      <c r="A28" s="10" t="s">
        <v>269</v>
      </c>
      <c r="B28" s="20">
        <v>1689229</v>
      </c>
      <c r="C28" s="49">
        <v>0</v>
      </c>
      <c r="D28" s="20">
        <v>0</v>
      </c>
      <c r="E28" s="49">
        <v>0</v>
      </c>
      <c r="F28" s="20">
        <v>0</v>
      </c>
      <c r="G28" s="49">
        <v>0</v>
      </c>
      <c r="H28" s="20">
        <v>0</v>
      </c>
      <c r="I28" s="52">
        <f>+(B28-J28)/ABS(J28)</f>
        <v>0.10980304816115651</v>
      </c>
      <c r="J28" s="20">
        <v>1522098</v>
      </c>
      <c r="K28" s="52">
        <f>+(J28-L28)/ABS(L28)</f>
        <v>9.6256187650842553E-2</v>
      </c>
      <c r="L28" s="20">
        <v>1388451</v>
      </c>
      <c r="M28" s="52">
        <f>+(L28-N28)/ABS(N28)</f>
        <v>7.6196802532426569E-2</v>
      </c>
      <c r="N28" s="20">
        <v>1290146</v>
      </c>
      <c r="O28" s="52">
        <f>+(N28-P28)/ABS(P28)</f>
        <v>0.12781506625382233</v>
      </c>
      <c r="P28" s="20">
        <v>1143934</v>
      </c>
    </row>
    <row r="29" spans="1:16">
      <c r="A29" s="10" t="s">
        <v>270</v>
      </c>
      <c r="B29" s="199">
        <v>325603</v>
      </c>
      <c r="C29" s="49">
        <v>0</v>
      </c>
      <c r="D29" s="199">
        <v>0</v>
      </c>
      <c r="E29" s="49">
        <v>0</v>
      </c>
      <c r="F29" s="199">
        <v>0</v>
      </c>
      <c r="G29" s="49">
        <v>0</v>
      </c>
      <c r="H29" s="199">
        <v>0</v>
      </c>
      <c r="I29" s="52">
        <f>+(B29-J29)/ABS(J29)</f>
        <v>-0.25201868098293395</v>
      </c>
      <c r="J29" s="199">
        <v>435309</v>
      </c>
      <c r="K29" s="52">
        <f>+(J29-L29)/ABS(L29)</f>
        <v>-0.2046811939218656</v>
      </c>
      <c r="L29" s="199">
        <v>547339</v>
      </c>
      <c r="M29" s="52">
        <f>+(L29-N29)/ABS(N29)</f>
        <v>-0.17220231730538008</v>
      </c>
      <c r="N29" s="199">
        <v>661199</v>
      </c>
      <c r="O29" s="52">
        <f>+(N29-P29)/ABS(P29)</f>
        <v>-6.7576810098164061E-2</v>
      </c>
      <c r="P29" s="199">
        <v>709119</v>
      </c>
    </row>
    <row r="30" spans="1:16">
      <c r="A30" s="10"/>
      <c r="B30" s="20">
        <f>SUM(B27:B29)</f>
        <v>5226196</v>
      </c>
      <c r="C30" s="49">
        <v>0</v>
      </c>
      <c r="D30" s="20">
        <f>SUM(D27:D29)</f>
        <v>0</v>
      </c>
      <c r="E30" s="49">
        <v>0</v>
      </c>
      <c r="F30" s="20">
        <f>SUM(F27:F29)</f>
        <v>0</v>
      </c>
      <c r="G30" s="49">
        <v>0</v>
      </c>
      <c r="H30" s="20">
        <f>SUM(H27:H29)</f>
        <v>0</v>
      </c>
      <c r="I30" s="52">
        <f>+(B30-J30)/ABS(J30)</f>
        <v>4.0087024913389037E-2</v>
      </c>
      <c r="J30" s="20">
        <f>SUM(J27:J29)</f>
        <v>5024768</v>
      </c>
      <c r="K30" s="52">
        <f>+(J30-L30)/ABS(L30)</f>
        <v>6.7044038993819138E-2</v>
      </c>
      <c r="L30" s="20">
        <f>SUM(L27:L29)</f>
        <v>4709054</v>
      </c>
      <c r="M30" s="52">
        <f>+(L30-N30)/ABS(N30)</f>
        <v>0.12979488543953652</v>
      </c>
      <c r="N30" s="20">
        <f>SUM(N27:N29)</f>
        <v>4168061</v>
      </c>
      <c r="O30" s="52">
        <f>+(N30-P30)/ABS(P30)</f>
        <v>0.10671961212275699</v>
      </c>
      <c r="P30" s="20">
        <f>SUM(P27:P29)</f>
        <v>3766140</v>
      </c>
    </row>
    <row r="31" spans="1:16" ht="7.9" customHeight="1">
      <c r="A31" s="10"/>
      <c r="C31" s="49" t="s">
        <v>0</v>
      </c>
      <c r="E31" s="49" t="s">
        <v>0</v>
      </c>
      <c r="G31" s="49" t="s">
        <v>0</v>
      </c>
      <c r="I31" s="52" t="s">
        <v>0</v>
      </c>
      <c r="K31" s="52" t="s">
        <v>0</v>
      </c>
      <c r="M31" s="52" t="s">
        <v>0</v>
      </c>
      <c r="N31" s="24" t="s">
        <v>0</v>
      </c>
      <c r="O31" s="52" t="s">
        <v>0</v>
      </c>
      <c r="P31" s="24" t="s">
        <v>0</v>
      </c>
    </row>
    <row r="32" spans="1:16">
      <c r="A32" s="10" t="s">
        <v>271</v>
      </c>
      <c r="C32" s="49" t="s">
        <v>0</v>
      </c>
      <c r="E32" s="49" t="s">
        <v>0</v>
      </c>
      <c r="G32" s="49" t="s">
        <v>0</v>
      </c>
      <c r="I32" s="52" t="s">
        <v>0</v>
      </c>
      <c r="K32" s="52" t="s">
        <v>0</v>
      </c>
      <c r="M32" s="52" t="s">
        <v>0</v>
      </c>
      <c r="O32" s="52" t="s">
        <v>0</v>
      </c>
    </row>
    <row r="33" spans="1:21">
      <c r="A33" s="10" t="s">
        <v>272</v>
      </c>
      <c r="B33" s="20">
        <v>0</v>
      </c>
      <c r="C33" s="49">
        <v>0</v>
      </c>
      <c r="D33" s="20">
        <v>0</v>
      </c>
      <c r="E33" s="49">
        <v>0</v>
      </c>
      <c r="F33" s="20">
        <v>0</v>
      </c>
      <c r="G33" s="49">
        <v>0</v>
      </c>
      <c r="H33" s="20">
        <v>0</v>
      </c>
      <c r="I33" s="49">
        <v>0</v>
      </c>
      <c r="J33" s="20">
        <v>0</v>
      </c>
      <c r="K33" s="49">
        <v>0</v>
      </c>
      <c r="L33" s="20">
        <v>0</v>
      </c>
      <c r="M33" s="49">
        <v>0</v>
      </c>
      <c r="N33" s="20">
        <v>0</v>
      </c>
      <c r="O33" s="49">
        <v>0</v>
      </c>
      <c r="P33" s="20">
        <v>0</v>
      </c>
    </row>
    <row r="34" spans="1:21">
      <c r="A34" s="10" t="s">
        <v>273</v>
      </c>
      <c r="B34" s="20">
        <v>0</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199">
        <f>+[4]Bilan!$K$92</f>
        <v>229687</v>
      </c>
      <c r="C35" s="49">
        <v>0</v>
      </c>
      <c r="D35" s="199">
        <v>0</v>
      </c>
      <c r="E35" s="49">
        <v>0</v>
      </c>
      <c r="F35" s="199">
        <v>0</v>
      </c>
      <c r="G35" s="49">
        <v>0</v>
      </c>
      <c r="H35" s="199">
        <v>0</v>
      </c>
      <c r="I35" s="52">
        <f>+(B35-J35)/ABS(J35)</f>
        <v>4.5695424539039381E-2</v>
      </c>
      <c r="J35" s="199">
        <v>219650</v>
      </c>
      <c r="K35" s="52">
        <f>+(J35-L35)/ABS(L35)</f>
        <v>0.27605558524853019</v>
      </c>
      <c r="L35" s="199">
        <v>172132</v>
      </c>
      <c r="M35" s="52">
        <f>+(L35-N35)/ABS(N35)</f>
        <v>7.3912094082415697E-2</v>
      </c>
      <c r="N35" s="199">
        <v>160285</v>
      </c>
      <c r="O35" s="52">
        <f>+(N35-P35)/ABS(P35)</f>
        <v>-0.29681673408147685</v>
      </c>
      <c r="P35" s="199">
        <v>227942</v>
      </c>
      <c r="Q35" s="14"/>
      <c r="R35" s="14"/>
      <c r="S35" s="15"/>
      <c r="T35" s="15"/>
      <c r="U35" s="15"/>
    </row>
    <row r="36" spans="1:21">
      <c r="A36" s="10"/>
      <c r="B36" s="20">
        <f>SUM(B33:B35)</f>
        <v>229687</v>
      </c>
      <c r="C36" s="49">
        <v>0</v>
      </c>
      <c r="D36" s="20">
        <f>SUM(D33:D35)</f>
        <v>0</v>
      </c>
      <c r="E36" s="49">
        <v>0</v>
      </c>
      <c r="F36" s="20">
        <f>SUM(F33:F35)</f>
        <v>0</v>
      </c>
      <c r="G36" s="49">
        <v>0</v>
      </c>
      <c r="H36" s="20">
        <f>SUM(H33:H35)</f>
        <v>0</v>
      </c>
      <c r="I36" s="52">
        <f>+(B36-J36)/ABS(J36)</f>
        <v>4.5695424539039381E-2</v>
      </c>
      <c r="J36" s="20">
        <f>SUM(J33:J35)</f>
        <v>219650</v>
      </c>
      <c r="K36" s="52">
        <f>+(J36-L36)/ABS(L36)</f>
        <v>0.27605558524853019</v>
      </c>
      <c r="L36" s="20">
        <f>SUM(L33:L35)</f>
        <v>172132</v>
      </c>
      <c r="M36" s="52">
        <f>+(L36-N36)/ABS(N36)</f>
        <v>7.3912094082415697E-2</v>
      </c>
      <c r="N36" s="20">
        <f>SUM(N33:N35)</f>
        <v>160285</v>
      </c>
      <c r="O36" s="52">
        <f>+(N36-P36)/ABS(P36)</f>
        <v>-0.29681673408147685</v>
      </c>
      <c r="P36" s="20">
        <f>SUM(P33:P35)</f>
        <v>227942</v>
      </c>
    </row>
    <row r="37" spans="1:21" ht="7.15" customHeight="1">
      <c r="A37" s="10"/>
      <c r="C37" s="49" t="s">
        <v>0</v>
      </c>
      <c r="E37" s="49" t="s">
        <v>0</v>
      </c>
      <c r="G37" s="49" t="s">
        <v>0</v>
      </c>
      <c r="I37" s="52" t="s">
        <v>0</v>
      </c>
      <c r="K37" s="52" t="s">
        <v>0</v>
      </c>
      <c r="M37" s="52" t="s">
        <v>0</v>
      </c>
      <c r="N37" s="24" t="s">
        <v>0</v>
      </c>
      <c r="O37" s="52" t="s">
        <v>0</v>
      </c>
      <c r="P37" s="24" t="s">
        <v>0</v>
      </c>
    </row>
    <row r="38" spans="1:21">
      <c r="A38" s="10" t="s">
        <v>275</v>
      </c>
      <c r="C38" s="49" t="s">
        <v>0</v>
      </c>
      <c r="E38" s="49" t="s">
        <v>0</v>
      </c>
      <c r="G38" s="49" t="s">
        <v>0</v>
      </c>
      <c r="I38" s="52" t="s">
        <v>0</v>
      </c>
      <c r="K38" s="52" t="s">
        <v>0</v>
      </c>
      <c r="M38" s="52" t="s">
        <v>0</v>
      </c>
      <c r="O38" s="52" t="s">
        <v>0</v>
      </c>
    </row>
    <row r="39" spans="1:21">
      <c r="A39" s="10" t="s">
        <v>272</v>
      </c>
      <c r="B39" s="20">
        <v>0</v>
      </c>
      <c r="C39" s="49">
        <v>0</v>
      </c>
      <c r="D39" s="20">
        <v>0</v>
      </c>
      <c r="E39" s="49">
        <v>0</v>
      </c>
      <c r="F39" s="20">
        <v>0</v>
      </c>
      <c r="G39" s="49">
        <v>0</v>
      </c>
      <c r="H39" s="20">
        <v>0</v>
      </c>
      <c r="I39" s="49">
        <v>0</v>
      </c>
      <c r="J39" s="20">
        <v>0</v>
      </c>
      <c r="K39" s="49">
        <v>0</v>
      </c>
      <c r="L39" s="20">
        <v>0</v>
      </c>
      <c r="M39" s="49">
        <v>0</v>
      </c>
      <c r="N39" s="20">
        <v>0</v>
      </c>
      <c r="O39" s="49">
        <v>0</v>
      </c>
      <c r="P39" s="20">
        <v>0</v>
      </c>
    </row>
    <row r="40" spans="1:21">
      <c r="A40" s="10" t="s">
        <v>276</v>
      </c>
      <c r="B40" s="20">
        <v>0</v>
      </c>
      <c r="C40" s="49">
        <v>0</v>
      </c>
      <c r="D40" s="20">
        <v>0</v>
      </c>
      <c r="E40" s="49">
        <v>0</v>
      </c>
      <c r="F40" s="20">
        <v>0</v>
      </c>
      <c r="G40" s="49">
        <v>0</v>
      </c>
      <c r="H40" s="20">
        <v>0</v>
      </c>
      <c r="I40" s="49">
        <v>0</v>
      </c>
      <c r="J40" s="20">
        <v>0</v>
      </c>
      <c r="K40" s="49">
        <v>0</v>
      </c>
      <c r="L40" s="20">
        <v>0</v>
      </c>
      <c r="M40" s="49">
        <v>0</v>
      </c>
      <c r="N40" s="20">
        <v>0</v>
      </c>
      <c r="O40" s="49">
        <v>0</v>
      </c>
      <c r="P40" s="20">
        <v>0</v>
      </c>
    </row>
    <row r="41" spans="1:21">
      <c r="A41" s="10" t="s">
        <v>274</v>
      </c>
      <c r="B41" s="199">
        <v>29171</v>
      </c>
      <c r="C41" s="49">
        <v>0</v>
      </c>
      <c r="D41" s="199">
        <v>0</v>
      </c>
      <c r="E41" s="49">
        <v>0</v>
      </c>
      <c r="F41" s="199">
        <v>0</v>
      </c>
      <c r="G41" s="49">
        <v>0</v>
      </c>
      <c r="H41" s="199">
        <v>0</v>
      </c>
      <c r="I41" s="52">
        <f>+(B41-J41)/ABS(J41)</f>
        <v>-9.2518276559340487E-2</v>
      </c>
      <c r="J41" s="199">
        <v>32145</v>
      </c>
      <c r="K41" s="52">
        <f>+(J41-L41)/ABS(L41)</f>
        <v>-0.50151970970443194</v>
      </c>
      <c r="L41" s="199">
        <v>64486</v>
      </c>
      <c r="M41" s="52">
        <f>+(L41-N41)/ABS(N41)</f>
        <v>0.19586825903122915</v>
      </c>
      <c r="N41" s="199">
        <v>53924</v>
      </c>
      <c r="O41" s="52">
        <f>+(N41-P41)/ABS(P41)</f>
        <v>0.9178432976491091</v>
      </c>
      <c r="P41" s="199">
        <v>28117</v>
      </c>
    </row>
    <row r="42" spans="1:21">
      <c r="A42" s="10"/>
      <c r="B42" s="20">
        <f>SUM(B39:B41)</f>
        <v>29171</v>
      </c>
      <c r="C42" s="49">
        <v>0</v>
      </c>
      <c r="D42" s="20">
        <f>SUM(D39:D41)</f>
        <v>0</v>
      </c>
      <c r="E42" s="49">
        <v>0</v>
      </c>
      <c r="F42" s="20">
        <f>SUM(F39:F41)</f>
        <v>0</v>
      </c>
      <c r="G42" s="49">
        <v>0</v>
      </c>
      <c r="H42" s="20">
        <f>SUM(H39:H41)</f>
        <v>0</v>
      </c>
      <c r="I42" s="52">
        <f>+(B42-J42)/ABS(J42)</f>
        <v>-9.2518276559340487E-2</v>
      </c>
      <c r="J42" s="20">
        <f>SUM(J39:J41)</f>
        <v>32145</v>
      </c>
      <c r="K42" s="52">
        <f>+(J42-L42)/ABS(L42)</f>
        <v>-0.50151970970443194</v>
      </c>
      <c r="L42" s="20">
        <f>SUM(L39:L41)</f>
        <v>64486</v>
      </c>
      <c r="M42" s="52">
        <f>+(L42-N42)/ABS(N42)</f>
        <v>0.19586825903122915</v>
      </c>
      <c r="N42" s="20">
        <f>SUM(N39:N41)</f>
        <v>53924</v>
      </c>
      <c r="O42" s="52">
        <f>+(N42-P42)/ABS(P42)</f>
        <v>0.9178432976491091</v>
      </c>
      <c r="P42" s="20">
        <f>SUM(P39:P41)</f>
        <v>28117</v>
      </c>
    </row>
    <row r="43" spans="1:21" ht="8.4499999999999993" customHeight="1">
      <c r="A43" s="10"/>
      <c r="C43" s="49" t="s">
        <v>0</v>
      </c>
      <c r="E43" s="49" t="s">
        <v>0</v>
      </c>
      <c r="G43" s="49" t="s">
        <v>0</v>
      </c>
      <c r="I43" s="52" t="s">
        <v>0</v>
      </c>
      <c r="K43" s="52" t="s">
        <v>0</v>
      </c>
      <c r="M43" s="52" t="s">
        <v>0</v>
      </c>
      <c r="N43" s="24" t="s">
        <v>0</v>
      </c>
      <c r="O43" s="52" t="s">
        <v>0</v>
      </c>
      <c r="P43" s="24" t="s">
        <v>0</v>
      </c>
    </row>
    <row r="44" spans="1:21" ht="18">
      <c r="A44" s="10" t="s">
        <v>277</v>
      </c>
      <c r="B44" s="199">
        <v>375869</v>
      </c>
      <c r="C44" s="49">
        <v>0</v>
      </c>
      <c r="D44" s="199">
        <v>0</v>
      </c>
      <c r="E44" s="49">
        <v>0</v>
      </c>
      <c r="F44" s="199">
        <v>0</v>
      </c>
      <c r="G44" s="49">
        <v>0</v>
      </c>
      <c r="H44" s="199">
        <v>0</v>
      </c>
      <c r="I44" s="52">
        <f>+(B44-J44)/ABS(J44)</f>
        <v>-1.48350453045509E-2</v>
      </c>
      <c r="J44" s="199">
        <v>381529</v>
      </c>
      <c r="K44" s="52">
        <f>+(J44-L44)/ABS(L44)</f>
        <v>-0.38974790426728129</v>
      </c>
      <c r="L44" s="199">
        <v>625199</v>
      </c>
      <c r="M44" s="52">
        <f>+(L44-N44)/ABS(N44)</f>
        <v>0.71950702985764259</v>
      </c>
      <c r="N44" s="199">
        <v>363592</v>
      </c>
      <c r="O44" s="52">
        <f>+(N44-P44)/ABS(P44)</f>
        <v>4.968502982256584E-2</v>
      </c>
      <c r="P44" s="199">
        <v>346382</v>
      </c>
      <c r="Q44" s="14"/>
      <c r="R44" s="14"/>
    </row>
    <row r="45" spans="1:21">
      <c r="A45" s="10"/>
      <c r="B45" s="20">
        <f>+B30+B36+B42+B44</f>
        <v>5860923</v>
      </c>
      <c r="C45" s="49">
        <v>0</v>
      </c>
      <c r="D45" s="20">
        <f>+D30+D36+D42+D44</f>
        <v>0</v>
      </c>
      <c r="E45" s="49">
        <v>0</v>
      </c>
      <c r="F45" s="20">
        <f>+F30+F36+F42+F44</f>
        <v>0</v>
      </c>
      <c r="G45" s="49">
        <v>0</v>
      </c>
      <c r="H45" s="20">
        <f>+H30+H36+H42+H44</f>
        <v>0</v>
      </c>
      <c r="I45" s="52">
        <f>+(B45-J45)/ABS(J45)</f>
        <v>3.5847950157049412E-2</v>
      </c>
      <c r="J45" s="20">
        <f>+J30+J36+J42+J44</f>
        <v>5658092</v>
      </c>
      <c r="K45" s="52">
        <f>+(J45-L45)/ABS(L45)</f>
        <v>1.5656618148221346E-2</v>
      </c>
      <c r="L45" s="20">
        <f>+L30+L36+L42+L44</f>
        <v>5570871</v>
      </c>
      <c r="M45" s="52">
        <f>+(L45-N45)/ABS(N45)</f>
        <v>0.17383754521307193</v>
      </c>
      <c r="N45" s="20">
        <f>+N30+N36+N42+N44</f>
        <v>4745862</v>
      </c>
      <c r="O45" s="52">
        <f>+(N45-P45)/ABS(P45)</f>
        <v>8.6362368009200247E-2</v>
      </c>
      <c r="P45" s="20">
        <f>+P30+P36+P42+P44</f>
        <v>4368581</v>
      </c>
    </row>
    <row r="46" spans="1:21" ht="8.4499999999999993" customHeight="1">
      <c r="A46" s="10"/>
      <c r="C46" s="49" t="s">
        <v>0</v>
      </c>
      <c r="E46" s="49" t="s">
        <v>0</v>
      </c>
      <c r="G46" s="49" t="s">
        <v>0</v>
      </c>
      <c r="I46" s="52" t="s">
        <v>0</v>
      </c>
      <c r="K46" s="52" t="s">
        <v>0</v>
      </c>
      <c r="M46" s="52" t="s">
        <v>0</v>
      </c>
      <c r="N46" s="24" t="s">
        <v>0</v>
      </c>
      <c r="O46" s="52" t="s">
        <v>0</v>
      </c>
      <c r="P46" s="24" t="s">
        <v>0</v>
      </c>
    </row>
    <row r="47" spans="1:21">
      <c r="A47" s="86" t="s">
        <v>278</v>
      </c>
      <c r="C47" s="49" t="s">
        <v>0</v>
      </c>
      <c r="E47" s="49" t="s">
        <v>0</v>
      </c>
      <c r="G47" s="49" t="s">
        <v>0</v>
      </c>
      <c r="I47" s="52" t="s">
        <v>0</v>
      </c>
      <c r="K47" s="52" t="s">
        <v>0</v>
      </c>
      <c r="M47" s="52" t="s">
        <v>0</v>
      </c>
      <c r="O47" s="52" t="s">
        <v>0</v>
      </c>
    </row>
    <row r="48" spans="1:21">
      <c r="A48" s="10" t="s">
        <v>279</v>
      </c>
      <c r="B48" s="20">
        <v>94373</v>
      </c>
      <c r="C48" s="49">
        <v>0</v>
      </c>
      <c r="D48" s="20">
        <v>0</v>
      </c>
      <c r="E48" s="49">
        <v>0</v>
      </c>
      <c r="F48" s="20">
        <v>0</v>
      </c>
      <c r="G48" s="49">
        <v>0</v>
      </c>
      <c r="H48" s="20">
        <v>0</v>
      </c>
      <c r="I48" s="52">
        <f>+(B48-J48)/ABS(J48)</f>
        <v>0</v>
      </c>
      <c r="J48" s="20">
        <v>94373</v>
      </c>
      <c r="K48" s="52">
        <f t="shared" ref="K48:K53" si="1">+(J48-L48)/ABS(L48)</f>
        <v>0</v>
      </c>
      <c r="L48" s="20">
        <v>94373</v>
      </c>
      <c r="M48" s="52">
        <f>+(L48-N48)/ABS(N48)</f>
        <v>0</v>
      </c>
      <c r="N48" s="20">
        <v>94373</v>
      </c>
      <c r="O48" s="52">
        <f>+(N48-P48)/ABS(P48)</f>
        <v>1.0596363328105794E-5</v>
      </c>
      <c r="P48" s="20">
        <f>94372</f>
        <v>94372</v>
      </c>
    </row>
    <row r="49" spans="1:21">
      <c r="A49" s="10" t="s">
        <v>280</v>
      </c>
      <c r="B49" s="20">
        <v>72418</v>
      </c>
      <c r="C49" s="49">
        <v>0</v>
      </c>
      <c r="D49" s="20">
        <v>0</v>
      </c>
      <c r="E49" s="49">
        <v>0</v>
      </c>
      <c r="F49" s="20">
        <v>0</v>
      </c>
      <c r="G49" s="49">
        <v>0</v>
      </c>
      <c r="H49" s="20">
        <v>0</v>
      </c>
      <c r="I49" s="52">
        <f>+(B49-J49)/ABS(J49)</f>
        <v>-1.6834559721958239E-2</v>
      </c>
      <c r="J49" s="20">
        <v>73658</v>
      </c>
      <c r="K49" s="52">
        <f t="shared" si="1"/>
        <v>-3.2612078647884274E-3</v>
      </c>
      <c r="L49" s="20">
        <v>73899</v>
      </c>
      <c r="M49" s="52">
        <f>+(L49-N49)/ABS(N49)</f>
        <v>2.8160000000000001E-2</v>
      </c>
      <c r="N49" s="20">
        <v>71875</v>
      </c>
      <c r="O49" s="52">
        <f>+(N49-P49)/ABS(P49)</f>
        <v>6.3774679572566079E-2</v>
      </c>
      <c r="P49" s="20">
        <f>47186+20380</f>
        <v>67566</v>
      </c>
    </row>
    <row r="50" spans="1:21">
      <c r="A50" s="10" t="s">
        <v>290</v>
      </c>
      <c r="B50" s="20">
        <v>0</v>
      </c>
      <c r="C50" s="49">
        <v>0</v>
      </c>
      <c r="D50" s="20">
        <v>0</v>
      </c>
      <c r="E50" s="49">
        <v>0</v>
      </c>
      <c r="F50" s="20">
        <v>0</v>
      </c>
      <c r="G50" s="49">
        <v>0</v>
      </c>
      <c r="H50" s="20">
        <v>0</v>
      </c>
      <c r="I50" s="49">
        <v>0</v>
      </c>
      <c r="J50" s="20">
        <v>0</v>
      </c>
      <c r="K50" s="49">
        <v>0</v>
      </c>
      <c r="L50" s="20">
        <v>0</v>
      </c>
      <c r="M50" s="49">
        <v>0</v>
      </c>
      <c r="N50" s="20">
        <v>0</v>
      </c>
      <c r="O50" s="49">
        <v>0</v>
      </c>
      <c r="P50" s="20">
        <v>0</v>
      </c>
    </row>
    <row r="51" spans="1:21" ht="18">
      <c r="A51" s="10" t="s">
        <v>282</v>
      </c>
      <c r="B51" s="217">
        <v>105968</v>
      </c>
      <c r="C51" s="49">
        <v>0</v>
      </c>
      <c r="D51" s="217">
        <v>0</v>
      </c>
      <c r="E51" s="49">
        <v>0</v>
      </c>
      <c r="F51" s="217">
        <v>0</v>
      </c>
      <c r="G51" s="49">
        <v>0</v>
      </c>
      <c r="H51" s="217">
        <v>0</v>
      </c>
      <c r="I51" s="52">
        <f>+(B51-J51)/ABS(J51)</f>
        <v>0.33792911884650834</v>
      </c>
      <c r="J51" s="217">
        <v>79203</v>
      </c>
      <c r="K51" s="52">
        <f t="shared" si="1"/>
        <v>-0.11690527160824191</v>
      </c>
      <c r="L51" s="217">
        <v>89688</v>
      </c>
      <c r="M51" s="52">
        <f>+(L51-N51)/ABS(N51)</f>
        <v>1.381961596685523</v>
      </c>
      <c r="N51" s="217">
        <v>37653</v>
      </c>
      <c r="O51" s="52">
        <f>+(N51-P51)/ABS(P51)</f>
        <v>-0.29758418058016978</v>
      </c>
      <c r="P51" s="217">
        <v>53605</v>
      </c>
      <c r="Q51" s="14"/>
      <c r="R51" s="14"/>
      <c r="S51" s="15"/>
      <c r="T51" s="15"/>
      <c r="U51" s="15"/>
    </row>
    <row r="52" spans="1:21" ht="16.5" thickBot="1">
      <c r="A52" s="10" t="s">
        <v>54</v>
      </c>
      <c r="B52" s="79">
        <f>SUM(B48:B51)</f>
        <v>272759</v>
      </c>
      <c r="C52" s="49">
        <v>0</v>
      </c>
      <c r="D52" s="79">
        <f>SUM(D48:D51)</f>
        <v>0</v>
      </c>
      <c r="E52" s="49">
        <v>0</v>
      </c>
      <c r="F52" s="79">
        <f>SUM(F48:F51)</f>
        <v>0</v>
      </c>
      <c r="G52" s="49">
        <v>0</v>
      </c>
      <c r="H52" s="79">
        <f>SUM(H48:H51)</f>
        <v>0</v>
      </c>
      <c r="I52" s="52">
        <f>+(B52-J52)/ABS(J52)</f>
        <v>0.1032422725029729</v>
      </c>
      <c r="J52" s="79">
        <f>SUM(J48:J51)</f>
        <v>247234</v>
      </c>
      <c r="K52" s="52">
        <f t="shared" si="1"/>
        <v>-4.1580089936424251E-2</v>
      </c>
      <c r="L52" s="79">
        <f>SUM(L48:L51)</f>
        <v>257960</v>
      </c>
      <c r="M52" s="52">
        <f>+(L52-N52)/ABS(N52)</f>
        <v>0.2651237610408973</v>
      </c>
      <c r="N52" s="79">
        <f>SUM(N48:N51)</f>
        <v>203901</v>
      </c>
      <c r="O52" s="52">
        <f>+(N52-P52)/ABS(P52)</f>
        <v>-5.4012424435031528E-2</v>
      </c>
      <c r="P52" s="79">
        <f>SUM(P48:P51)</f>
        <v>215543</v>
      </c>
    </row>
    <row r="53" spans="1:21">
      <c r="A53" s="10" t="s">
        <v>0</v>
      </c>
      <c r="B53" s="13">
        <f>+B30+B36+B42+B44+B52</f>
        <v>6133682</v>
      </c>
      <c r="C53" s="49">
        <v>0</v>
      </c>
      <c r="D53" s="13">
        <f>+D30+D36+D42+D44+D52</f>
        <v>0</v>
      </c>
      <c r="E53" s="49">
        <v>0</v>
      </c>
      <c r="F53" s="13">
        <f>+F30+F36+F42+F44+F52</f>
        <v>0</v>
      </c>
      <c r="G53" s="49">
        <v>0</v>
      </c>
      <c r="H53" s="13">
        <f>+H30+H36+H42+H44+H52</f>
        <v>0</v>
      </c>
      <c r="I53" s="52">
        <f>+(B53-J53)/ABS(J53)</f>
        <v>3.866949936379465E-2</v>
      </c>
      <c r="J53" s="13">
        <f>+J30+J36+J42+J44+J52</f>
        <v>5905326</v>
      </c>
      <c r="K53" s="109">
        <f t="shared" si="1"/>
        <v>1.3123557708226572E-2</v>
      </c>
      <c r="L53" s="13">
        <f>+L30+L36+L42+L44+L52</f>
        <v>5828831</v>
      </c>
      <c r="M53" s="109">
        <f>+(L53-N53)/ABS(N53)</f>
        <v>0.17759799812637495</v>
      </c>
      <c r="N53" s="13">
        <f>+N30+N36+N42+N44+N52</f>
        <v>4949763</v>
      </c>
      <c r="O53" s="109">
        <f>+(N53-P53)/ABS(P53)</f>
        <v>7.9762022144252639E-2</v>
      </c>
      <c r="P53" s="13">
        <f>+P30+P36+P42+P44+P52</f>
        <v>4584124</v>
      </c>
    </row>
    <row r="54" spans="1:21">
      <c r="C54" s="48"/>
      <c r="E54" s="48"/>
      <c r="G54" s="48"/>
      <c r="I54" s="88"/>
      <c r="N54" s="13" t="s">
        <v>0</v>
      </c>
      <c r="P54" s="13" t="s">
        <v>0</v>
      </c>
    </row>
    <row r="55" spans="1:21">
      <c r="C55" s="48"/>
      <c r="E55" s="48"/>
      <c r="G55" s="48"/>
      <c r="I55" s="46"/>
    </row>
    <row r="56" spans="1:21">
      <c r="A56" s="166" t="s">
        <v>283</v>
      </c>
      <c r="C56" s="48"/>
      <c r="E56" s="48"/>
      <c r="G56" s="48"/>
      <c r="I56" s="46"/>
    </row>
    <row r="57" spans="1:21">
      <c r="A57" t="s">
        <v>284</v>
      </c>
      <c r="B57" s="12">
        <v>0</v>
      </c>
      <c r="C57" s="48"/>
      <c r="D57" s="20">
        <v>0</v>
      </c>
      <c r="E57" s="48"/>
      <c r="F57" s="20">
        <v>0</v>
      </c>
      <c r="G57" s="48"/>
      <c r="H57" s="20">
        <v>0</v>
      </c>
      <c r="I57" s="46" t="s">
        <v>0</v>
      </c>
      <c r="J57" s="20">
        <v>0</v>
      </c>
      <c r="K57" s="20"/>
      <c r="L57" s="20">
        <v>0</v>
      </c>
      <c r="M57" s="20"/>
      <c r="N57" s="20">
        <v>0</v>
      </c>
      <c r="O57" s="20"/>
      <c r="P57" s="20">
        <v>0</v>
      </c>
    </row>
    <row r="58" spans="1:21">
      <c r="A58" t="s">
        <v>285</v>
      </c>
      <c r="B58" s="20">
        <v>98069</v>
      </c>
      <c r="C58" s="48"/>
      <c r="D58" s="20">
        <v>0</v>
      </c>
      <c r="E58" s="48"/>
      <c r="F58" s="20">
        <v>0</v>
      </c>
      <c r="G58" s="48"/>
      <c r="H58" s="20">
        <v>0</v>
      </c>
      <c r="I58" s="46"/>
      <c r="J58" s="20">
        <v>81071</v>
      </c>
      <c r="K58" s="20"/>
      <c r="L58" s="20">
        <v>3467</v>
      </c>
      <c r="M58" s="20"/>
      <c r="N58" s="20">
        <v>3048</v>
      </c>
      <c r="O58" s="20"/>
      <c r="P58" s="20">
        <v>4817</v>
      </c>
    </row>
    <row r="59" spans="1:21">
      <c r="A59" t="s">
        <v>274</v>
      </c>
      <c r="B59" s="20">
        <v>1308343</v>
      </c>
      <c r="C59" s="48"/>
      <c r="D59" s="20">
        <v>0</v>
      </c>
      <c r="E59" s="48"/>
      <c r="F59" s="20">
        <v>0</v>
      </c>
      <c r="G59" s="48"/>
      <c r="H59" s="20">
        <v>0</v>
      </c>
      <c r="I59" s="46"/>
      <c r="J59" s="20">
        <v>1475592</v>
      </c>
      <c r="K59" s="20"/>
      <c r="L59" s="20">
        <v>354237</v>
      </c>
      <c r="M59" s="20"/>
      <c r="N59" s="20">
        <v>293648</v>
      </c>
      <c r="O59" s="20"/>
      <c r="P59" s="20">
        <v>205630</v>
      </c>
    </row>
    <row r="60" spans="1:21">
      <c r="B60"/>
      <c r="C60" s="48"/>
      <c r="E60" s="48"/>
      <c r="G60" s="48"/>
      <c r="I60" s="46"/>
      <c r="K60" s="20"/>
      <c r="M60" s="20"/>
      <c r="O60" s="20"/>
    </row>
    <row r="61" spans="1:21">
      <c r="A61" t="s">
        <v>286</v>
      </c>
      <c r="B61" s="20">
        <v>2144425</v>
      </c>
      <c r="C61" s="49">
        <v>0</v>
      </c>
      <c r="D61" s="20">
        <v>0</v>
      </c>
      <c r="E61" s="49">
        <v>0</v>
      </c>
      <c r="F61" s="20">
        <v>0</v>
      </c>
      <c r="G61" s="49">
        <v>0</v>
      </c>
      <c r="H61" s="20">
        <v>0</v>
      </c>
      <c r="I61" s="52">
        <f>+(B61-J61)/ABS(J61)</f>
        <v>-4.2494290262301893E-2</v>
      </c>
      <c r="J61" s="20">
        <v>2239595</v>
      </c>
      <c r="K61" s="52">
        <f>+(J61-L61)/ABS(L61)</f>
        <v>-2.035064666362512E-2</v>
      </c>
      <c r="L61" s="20">
        <v>2286119</v>
      </c>
      <c r="M61" s="52">
        <f>+(L61-N61)/ABS(N61)</f>
        <v>1.2091786545635173E-2</v>
      </c>
      <c r="N61" s="20">
        <v>2258806</v>
      </c>
      <c r="O61" s="52">
        <f>+(N61-P61)/ABS(P61)</f>
        <v>0.14576974796480324</v>
      </c>
      <c r="P61" s="20">
        <v>1971431</v>
      </c>
    </row>
    <row r="62" spans="1:21">
      <c r="A62" t="s">
        <v>225</v>
      </c>
      <c r="B62" s="20">
        <v>80814</v>
      </c>
      <c r="C62" s="49">
        <v>0</v>
      </c>
      <c r="D62" s="20">
        <v>0</v>
      </c>
      <c r="E62" s="49">
        <v>0</v>
      </c>
      <c r="F62" s="20">
        <v>0</v>
      </c>
      <c r="G62" s="49">
        <v>0</v>
      </c>
      <c r="H62" s="20">
        <v>0</v>
      </c>
      <c r="I62" s="52">
        <f>+(B62-J62)/ABS(J62)</f>
        <v>-5.3844262582979169E-2</v>
      </c>
      <c r="J62" s="20">
        <v>85413</v>
      </c>
      <c r="K62" s="52">
        <f>+(J62-L62)/ABS(L62)</f>
        <v>1.1954409743614046E-2</v>
      </c>
      <c r="L62" s="20">
        <v>84404</v>
      </c>
      <c r="M62" s="52">
        <f>+(L62-N62)/ABS(N62)</f>
        <v>-0.50999299857300939</v>
      </c>
      <c r="N62" s="20">
        <v>172250.6</v>
      </c>
      <c r="O62" s="52">
        <f>+(N62-P62)/ABS(P62)</f>
        <v>0.1674998983312774</v>
      </c>
      <c r="P62" s="20">
        <v>147538</v>
      </c>
    </row>
    <row r="63" spans="1:21">
      <c r="A63" t="s">
        <v>287</v>
      </c>
      <c r="B63" s="20">
        <v>141406</v>
      </c>
      <c r="C63" s="49">
        <v>0</v>
      </c>
      <c r="D63" s="20">
        <v>0</v>
      </c>
      <c r="E63" s="49">
        <v>0</v>
      </c>
      <c r="F63" s="20">
        <v>0</v>
      </c>
      <c r="G63" s="49">
        <v>0</v>
      </c>
      <c r="H63" s="20">
        <v>0</v>
      </c>
      <c r="I63" s="52">
        <f>+(B63-J63)/ABS(J63)</f>
        <v>-4.7649194172991828E-2</v>
      </c>
      <c r="J63" s="20">
        <v>148481</v>
      </c>
      <c r="K63" s="52">
        <f>+(J63-L63)/ABS(L63)</f>
        <v>-0.1973435971176353</v>
      </c>
      <c r="L63" s="20">
        <v>184987</v>
      </c>
      <c r="M63" s="52">
        <f>+(L63-N63)/ABS(N63)</f>
        <v>-0.3576394194041253</v>
      </c>
      <c r="N63" s="20">
        <v>287980</v>
      </c>
      <c r="O63" s="52">
        <f>+(N63-P63)/ABS(P63)</f>
        <v>-8.0080115253522613E-2</v>
      </c>
      <c r="P63" s="20">
        <v>313049</v>
      </c>
    </row>
    <row r="64" spans="1:21">
      <c r="H64" s="24" t="s">
        <v>0</v>
      </c>
    </row>
    <row r="65" spans="2:16">
      <c r="D65" s="24" t="s">
        <v>0</v>
      </c>
      <c r="F65" s="24" t="s">
        <v>0</v>
      </c>
    </row>
    <row r="67" spans="2:16">
      <c r="B67"/>
      <c r="C67"/>
      <c r="D67"/>
      <c r="E67"/>
      <c r="F67"/>
      <c r="G67"/>
      <c r="I67"/>
      <c r="J67"/>
      <c r="K67"/>
      <c r="L67"/>
      <c r="M67"/>
      <c r="N67"/>
      <c r="O67"/>
      <c r="P67"/>
    </row>
    <row r="68" spans="2:16">
      <c r="B68"/>
      <c r="C68"/>
      <c r="D68"/>
      <c r="E68"/>
      <c r="F68"/>
      <c r="G68"/>
      <c r="H68"/>
      <c r="I68"/>
      <c r="J68"/>
      <c r="K68"/>
      <c r="L68"/>
      <c r="M68"/>
      <c r="N68"/>
      <c r="O68"/>
      <c r="P68"/>
    </row>
    <row r="69" spans="2:16">
      <c r="B69"/>
      <c r="C69"/>
      <c r="D69"/>
      <c r="E69"/>
      <c r="F69"/>
      <c r="G69"/>
      <c r="H69"/>
      <c r="I69"/>
      <c r="J69"/>
      <c r="K69"/>
      <c r="L69"/>
      <c r="M69"/>
      <c r="N69"/>
      <c r="O69"/>
      <c r="P69"/>
    </row>
    <row r="70" spans="2:16">
      <c r="B70"/>
      <c r="C70"/>
      <c r="D70"/>
      <c r="E70"/>
      <c r="F70"/>
      <c r="G70"/>
      <c r="H70"/>
      <c r="I70"/>
      <c r="J70"/>
      <c r="K70"/>
      <c r="L70"/>
      <c r="M70"/>
      <c r="N70"/>
      <c r="O70"/>
      <c r="P70"/>
    </row>
    <row r="71" spans="2:16">
      <c r="B71"/>
      <c r="C71"/>
      <c r="D71"/>
      <c r="E71"/>
      <c r="F71"/>
      <c r="G71"/>
      <c r="H71"/>
      <c r="I71"/>
      <c r="J71"/>
      <c r="K71"/>
      <c r="L71"/>
      <c r="M71"/>
      <c r="N71"/>
      <c r="O71"/>
      <c r="P71"/>
    </row>
    <row r="72" spans="2:16">
      <c r="B72"/>
      <c r="C72"/>
      <c r="D72"/>
      <c r="E72"/>
      <c r="F72"/>
      <c r="G72"/>
      <c r="H72"/>
      <c r="I72"/>
      <c r="J72"/>
      <c r="K72"/>
      <c r="L72"/>
      <c r="M72"/>
      <c r="N72"/>
      <c r="O72"/>
      <c r="P72"/>
    </row>
    <row r="73" spans="2:16">
      <c r="B73"/>
      <c r="C73"/>
      <c r="D73"/>
      <c r="E73"/>
      <c r="F73"/>
      <c r="G73"/>
      <c r="H73"/>
      <c r="I73"/>
      <c r="J73"/>
      <c r="K73"/>
      <c r="L73"/>
      <c r="M73"/>
      <c r="N73"/>
      <c r="O73"/>
      <c r="P73"/>
    </row>
    <row r="74" spans="2:16">
      <c r="B74"/>
      <c r="C74"/>
      <c r="D74"/>
      <c r="E74"/>
      <c r="F74"/>
      <c r="G74"/>
      <c r="H74"/>
      <c r="I74"/>
      <c r="J74"/>
      <c r="K74"/>
      <c r="L74"/>
      <c r="M74"/>
      <c r="N74"/>
      <c r="O74"/>
      <c r="P74"/>
    </row>
    <row r="75" spans="2:16">
      <c r="B75"/>
      <c r="C75"/>
      <c r="D75"/>
      <c r="E75"/>
      <c r="F75"/>
      <c r="G75"/>
      <c r="H75"/>
      <c r="I75"/>
      <c r="J75"/>
      <c r="K75"/>
      <c r="L75"/>
      <c r="M75"/>
      <c r="N75"/>
      <c r="O75"/>
      <c r="P75"/>
    </row>
    <row r="76" spans="2:16">
      <c r="B76"/>
      <c r="C76"/>
      <c r="D76"/>
      <c r="E76"/>
      <c r="F76"/>
      <c r="G76"/>
      <c r="H76"/>
      <c r="I76"/>
      <c r="J76"/>
      <c r="K76"/>
      <c r="L76"/>
      <c r="M76"/>
      <c r="N76"/>
      <c r="O76"/>
      <c r="P76"/>
    </row>
    <row r="77" spans="2:16">
      <c r="B77"/>
      <c r="C77"/>
      <c r="D77"/>
      <c r="E77"/>
      <c r="F77"/>
      <c r="G77"/>
      <c r="H77"/>
      <c r="I77"/>
      <c r="J77"/>
      <c r="K77"/>
      <c r="L77"/>
      <c r="M77"/>
      <c r="N77"/>
      <c r="O77"/>
      <c r="P77"/>
    </row>
    <row r="78" spans="2:16">
      <c r="B78"/>
      <c r="C78"/>
      <c r="D78"/>
      <c r="E78"/>
      <c r="F78"/>
      <c r="G78"/>
      <c r="H78"/>
      <c r="I78"/>
      <c r="J78"/>
      <c r="K78"/>
      <c r="L78"/>
      <c r="M78"/>
      <c r="N78"/>
      <c r="O78"/>
      <c r="P78"/>
    </row>
    <row r="79" spans="2:16">
      <c r="B79"/>
      <c r="C79"/>
      <c r="D79"/>
      <c r="E79"/>
      <c r="F79"/>
      <c r="G79"/>
      <c r="H79"/>
      <c r="I79"/>
      <c r="J79"/>
      <c r="K79"/>
      <c r="L79"/>
      <c r="M79"/>
      <c r="N79"/>
      <c r="O79"/>
      <c r="P79"/>
    </row>
    <row r="80" spans="2:16">
      <c r="B80"/>
      <c r="C80"/>
      <c r="D80"/>
      <c r="E80"/>
      <c r="F80"/>
      <c r="G80"/>
      <c r="H80"/>
      <c r="I80"/>
      <c r="J80"/>
      <c r="K80"/>
      <c r="L80"/>
      <c r="M80"/>
      <c r="N80"/>
      <c r="O80"/>
      <c r="P80"/>
    </row>
    <row r="81" spans="2:16">
      <c r="B81"/>
      <c r="C81"/>
      <c r="D81"/>
      <c r="E81"/>
      <c r="F81"/>
      <c r="G81"/>
      <c r="H81"/>
      <c r="I81"/>
      <c r="J81"/>
      <c r="K81"/>
      <c r="L81"/>
      <c r="M81"/>
      <c r="N81"/>
      <c r="O81"/>
      <c r="P81"/>
    </row>
    <row r="82" spans="2:16">
      <c r="B82"/>
      <c r="C82"/>
      <c r="D82"/>
      <c r="E82"/>
      <c r="F82"/>
      <c r="G82"/>
      <c r="H82"/>
      <c r="I82"/>
      <c r="J82"/>
      <c r="K82"/>
      <c r="L82"/>
      <c r="M82"/>
      <c r="N82"/>
      <c r="O82"/>
      <c r="P82"/>
    </row>
    <row r="83" spans="2:16">
      <c r="B83"/>
      <c r="C83"/>
      <c r="D83"/>
      <c r="E83"/>
      <c r="F83"/>
      <c r="G83"/>
      <c r="H83"/>
      <c r="I83"/>
      <c r="J83"/>
      <c r="K83"/>
      <c r="L83"/>
      <c r="M83"/>
      <c r="N83"/>
      <c r="O83"/>
      <c r="P83"/>
    </row>
    <row r="84" spans="2:16">
      <c r="B84"/>
      <c r="C84"/>
      <c r="D84"/>
      <c r="E84"/>
      <c r="F84"/>
      <c r="G84"/>
      <c r="H84"/>
      <c r="I84"/>
      <c r="J84"/>
      <c r="K84"/>
      <c r="L84"/>
      <c r="M84"/>
      <c r="N84"/>
      <c r="O84"/>
      <c r="P84"/>
    </row>
    <row r="85" spans="2:16">
      <c r="B85"/>
      <c r="C85"/>
      <c r="D85"/>
      <c r="E85"/>
      <c r="F85"/>
      <c r="G85"/>
      <c r="H85"/>
      <c r="I85"/>
      <c r="J85"/>
      <c r="K85"/>
      <c r="L85"/>
      <c r="M85"/>
      <c r="N85"/>
      <c r="O85"/>
      <c r="P85"/>
    </row>
    <row r="86" spans="2:16">
      <c r="B86"/>
      <c r="C86"/>
      <c r="D86"/>
      <c r="E86"/>
      <c r="F86"/>
      <c r="G86"/>
      <c r="H86"/>
      <c r="I86"/>
      <c r="J86"/>
      <c r="K86"/>
      <c r="L86"/>
      <c r="M86"/>
      <c r="N86"/>
      <c r="O86"/>
      <c r="P86"/>
    </row>
    <row r="87" spans="2:16">
      <c r="B87"/>
      <c r="C87"/>
      <c r="D87"/>
      <c r="E87"/>
      <c r="F87"/>
      <c r="G87"/>
      <c r="H87"/>
      <c r="I87"/>
      <c r="J87"/>
      <c r="K87"/>
      <c r="L87"/>
      <c r="M87"/>
      <c r="N87"/>
      <c r="O87"/>
      <c r="P87"/>
    </row>
    <row r="88" spans="2:16">
      <c r="B88"/>
      <c r="C88"/>
      <c r="D88"/>
      <c r="E88"/>
      <c r="F88"/>
      <c r="G88"/>
      <c r="H88"/>
      <c r="I88"/>
      <c r="J88"/>
      <c r="K88"/>
      <c r="L88"/>
      <c r="M88"/>
      <c r="N88"/>
      <c r="O88"/>
      <c r="P88"/>
    </row>
    <row r="89" spans="2:16">
      <c r="B89"/>
      <c r="C89"/>
      <c r="D89"/>
      <c r="E89"/>
      <c r="F89"/>
      <c r="G89"/>
      <c r="H89"/>
      <c r="I89"/>
      <c r="J89"/>
      <c r="K89"/>
      <c r="L89"/>
      <c r="M89"/>
      <c r="N89"/>
      <c r="O89"/>
      <c r="P89"/>
    </row>
    <row r="90" spans="2:16">
      <c r="B90"/>
      <c r="C90"/>
      <c r="D90"/>
      <c r="E90"/>
      <c r="F90"/>
      <c r="G90"/>
      <c r="H90"/>
      <c r="I90"/>
      <c r="J90"/>
      <c r="K90"/>
      <c r="L90"/>
      <c r="M90"/>
      <c r="N90"/>
      <c r="O90"/>
      <c r="P90"/>
    </row>
    <row r="91" spans="2:16">
      <c r="B91"/>
      <c r="C91"/>
      <c r="D91"/>
      <c r="E91"/>
      <c r="F91"/>
      <c r="G91"/>
      <c r="H91"/>
      <c r="I91"/>
      <c r="J91"/>
      <c r="K91"/>
      <c r="L91"/>
      <c r="M91"/>
      <c r="N91"/>
      <c r="O91"/>
      <c r="P91"/>
    </row>
    <row r="92" spans="2:16">
      <c r="B92"/>
      <c r="C92"/>
      <c r="D92"/>
      <c r="E92"/>
      <c r="F92"/>
      <c r="G92"/>
      <c r="H92"/>
      <c r="I92"/>
      <c r="J92"/>
      <c r="K92"/>
      <c r="L92"/>
      <c r="M92"/>
      <c r="N92"/>
      <c r="O92"/>
      <c r="P92"/>
    </row>
    <row r="93" spans="2:16">
      <c r="B93"/>
      <c r="C93"/>
      <c r="D93"/>
      <c r="E93"/>
      <c r="F93"/>
      <c r="G93"/>
      <c r="H93"/>
      <c r="I93"/>
      <c r="J93"/>
      <c r="K93"/>
      <c r="L93"/>
      <c r="M93"/>
      <c r="N93"/>
      <c r="O93"/>
      <c r="P93"/>
    </row>
    <row r="94" spans="2:16">
      <c r="B94"/>
      <c r="C94"/>
      <c r="D94"/>
      <c r="E94"/>
      <c r="F94"/>
      <c r="G94"/>
      <c r="H94"/>
      <c r="I94"/>
      <c r="J94"/>
      <c r="K94"/>
      <c r="L94"/>
      <c r="M94"/>
      <c r="N94"/>
      <c r="O94"/>
      <c r="P94"/>
    </row>
    <row r="95" spans="2:16">
      <c r="B95"/>
      <c r="C95"/>
      <c r="D95"/>
      <c r="E95"/>
      <c r="F95"/>
      <c r="G95"/>
      <c r="H95"/>
      <c r="I95"/>
      <c r="J95"/>
      <c r="K95"/>
      <c r="L95"/>
      <c r="M95"/>
      <c r="N95"/>
      <c r="O95"/>
      <c r="P95"/>
    </row>
    <row r="96" spans="2:16">
      <c r="B96"/>
      <c r="C96"/>
      <c r="D96"/>
      <c r="E96"/>
      <c r="F96"/>
      <c r="G96"/>
      <c r="H96"/>
      <c r="I96"/>
      <c r="J96"/>
      <c r="K96"/>
      <c r="L96"/>
      <c r="M96"/>
      <c r="N96"/>
      <c r="O96"/>
      <c r="P96"/>
    </row>
    <row r="97" spans="2:19">
      <c r="B97"/>
      <c r="C97"/>
      <c r="D97"/>
      <c r="E97"/>
      <c r="F97"/>
      <c r="G97"/>
      <c r="H97"/>
      <c r="I97"/>
      <c r="J97"/>
      <c r="K97"/>
      <c r="L97"/>
      <c r="M97"/>
      <c r="N97"/>
      <c r="O97"/>
      <c r="P97"/>
    </row>
    <row r="98" spans="2:19">
      <c r="B98"/>
      <c r="C98"/>
      <c r="D98"/>
      <c r="E98"/>
      <c r="F98"/>
      <c r="G98"/>
      <c r="H98"/>
      <c r="I98"/>
      <c r="J98"/>
      <c r="K98"/>
      <c r="L98"/>
      <c r="M98"/>
      <c r="N98"/>
      <c r="O98"/>
      <c r="P98"/>
    </row>
    <row r="99" spans="2:19">
      <c r="B99"/>
      <c r="C99"/>
      <c r="D99"/>
      <c r="E99"/>
      <c r="F99"/>
      <c r="G99"/>
      <c r="H99"/>
      <c r="I99"/>
      <c r="J99"/>
      <c r="K99"/>
      <c r="L99"/>
      <c r="M99"/>
      <c r="N99"/>
      <c r="O99"/>
      <c r="P99"/>
    </row>
    <row r="100" spans="2:19">
      <c r="B100"/>
      <c r="C100"/>
      <c r="D100"/>
      <c r="E100"/>
      <c r="F100"/>
      <c r="G100"/>
      <c r="H100"/>
      <c r="I100"/>
      <c r="J100"/>
      <c r="K100"/>
      <c r="L100"/>
      <c r="M100"/>
      <c r="N100"/>
      <c r="O100"/>
      <c r="P100"/>
    </row>
    <row r="101" spans="2:19">
      <c r="B101"/>
      <c r="C101"/>
      <c r="D101"/>
      <c r="E101"/>
      <c r="F101"/>
      <c r="G101"/>
      <c r="H101"/>
      <c r="I101"/>
      <c r="J101"/>
      <c r="K101"/>
      <c r="L101"/>
      <c r="M101"/>
      <c r="N101"/>
      <c r="O101"/>
      <c r="P101"/>
    </row>
    <row r="102" spans="2:19">
      <c r="B102"/>
      <c r="C102"/>
      <c r="D102"/>
      <c r="E102"/>
      <c r="F102"/>
      <c r="G102"/>
      <c r="H102"/>
      <c r="I102"/>
      <c r="J102"/>
      <c r="K102"/>
      <c r="L102"/>
      <c r="M102"/>
      <c r="N102"/>
      <c r="O102"/>
      <c r="P102"/>
    </row>
    <row r="103" spans="2:19">
      <c r="B103"/>
      <c r="C103"/>
      <c r="D103"/>
      <c r="E103"/>
      <c r="F103"/>
      <c r="G103"/>
      <c r="H103"/>
      <c r="I103"/>
      <c r="J103"/>
      <c r="K103"/>
      <c r="L103"/>
      <c r="M103"/>
      <c r="N103"/>
      <c r="O103"/>
      <c r="P103"/>
      <c r="Q103" s="24" t="s">
        <v>0</v>
      </c>
      <c r="R103" s="24" t="s">
        <v>0</v>
      </c>
      <c r="S103" t="s">
        <v>0</v>
      </c>
    </row>
    <row r="104" spans="2:19">
      <c r="B104"/>
      <c r="C104"/>
      <c r="D104"/>
      <c r="E104"/>
      <c r="F104"/>
      <c r="G104"/>
      <c r="H104"/>
      <c r="I104"/>
      <c r="J104"/>
      <c r="K104"/>
      <c r="L104"/>
      <c r="M104"/>
      <c r="N104"/>
      <c r="O104"/>
      <c r="P104"/>
    </row>
    <row r="105" spans="2:19">
      <c r="B105"/>
      <c r="C105"/>
      <c r="D105"/>
      <c r="E105"/>
      <c r="F105"/>
      <c r="G105"/>
      <c r="H105"/>
      <c r="I105"/>
      <c r="J105"/>
      <c r="K105"/>
      <c r="L105"/>
      <c r="M105"/>
      <c r="N105"/>
      <c r="O105"/>
      <c r="P105"/>
    </row>
    <row r="106" spans="2:19">
      <c r="B106"/>
      <c r="C106"/>
      <c r="D106"/>
      <c r="E106"/>
      <c r="F106"/>
      <c r="G106"/>
      <c r="H106"/>
      <c r="I106"/>
      <c r="J106"/>
      <c r="K106"/>
      <c r="L106"/>
      <c r="M106"/>
      <c r="N106"/>
      <c r="O106"/>
      <c r="P106"/>
    </row>
    <row r="107" spans="2:19">
      <c r="B107"/>
      <c r="C107"/>
      <c r="D107"/>
      <c r="E107"/>
      <c r="F107"/>
      <c r="G107"/>
      <c r="H107"/>
      <c r="I107"/>
      <c r="J107"/>
      <c r="K107"/>
      <c r="L107"/>
      <c r="M107"/>
      <c r="N107"/>
      <c r="O107"/>
      <c r="P107"/>
    </row>
    <row r="108" spans="2:19">
      <c r="B108"/>
      <c r="C108"/>
      <c r="D108"/>
      <c r="E108"/>
      <c r="F108"/>
      <c r="G108"/>
      <c r="H108"/>
      <c r="I108"/>
      <c r="J108"/>
      <c r="K108"/>
      <c r="L108"/>
      <c r="M108"/>
      <c r="N108"/>
      <c r="O108"/>
      <c r="P108"/>
    </row>
    <row r="109" spans="2:19">
      <c r="B109"/>
      <c r="C109"/>
      <c r="D109"/>
      <c r="E109"/>
      <c r="F109"/>
      <c r="G109"/>
      <c r="H109"/>
      <c r="I109"/>
      <c r="J109"/>
      <c r="K109"/>
      <c r="L109"/>
      <c r="M109"/>
      <c r="N109"/>
      <c r="O109"/>
      <c r="P109"/>
    </row>
    <row r="110" spans="2:19">
      <c r="B110"/>
      <c r="C110"/>
      <c r="D110"/>
      <c r="E110"/>
      <c r="F110"/>
      <c r="G110"/>
      <c r="H110"/>
      <c r="I110"/>
      <c r="J110"/>
      <c r="K110"/>
      <c r="L110"/>
      <c r="M110"/>
      <c r="N110"/>
      <c r="O110"/>
      <c r="P110"/>
    </row>
    <row r="111" spans="2:19">
      <c r="B111"/>
      <c r="C111"/>
      <c r="D111"/>
      <c r="E111"/>
      <c r="F111"/>
      <c r="G111"/>
      <c r="H111"/>
      <c r="I111"/>
      <c r="J111"/>
      <c r="K111"/>
      <c r="L111"/>
      <c r="M111"/>
      <c r="N111"/>
      <c r="O111"/>
      <c r="P111"/>
    </row>
    <row r="112" spans="2:19">
      <c r="B112"/>
      <c r="C112"/>
      <c r="D112"/>
      <c r="E112"/>
      <c r="F112"/>
      <c r="G112"/>
      <c r="H112"/>
      <c r="I112"/>
      <c r="J112"/>
      <c r="K112"/>
      <c r="L112"/>
      <c r="M112"/>
      <c r="N112"/>
      <c r="O112"/>
      <c r="P112"/>
    </row>
    <row r="113" spans="2:16">
      <c r="B113"/>
      <c r="C113"/>
      <c r="D113"/>
      <c r="E113"/>
      <c r="F113"/>
      <c r="G113"/>
      <c r="H113"/>
      <c r="I113"/>
      <c r="J113"/>
      <c r="K113"/>
      <c r="L113"/>
      <c r="M113"/>
      <c r="N113"/>
      <c r="O113"/>
      <c r="P113"/>
    </row>
    <row r="114" spans="2:16">
      <c r="B114"/>
      <c r="C114"/>
      <c r="D114"/>
      <c r="E114"/>
      <c r="F114"/>
      <c r="G114"/>
      <c r="H114"/>
      <c r="I114"/>
      <c r="J114"/>
      <c r="K114"/>
      <c r="L114"/>
      <c r="M114"/>
      <c r="N114"/>
      <c r="O114"/>
      <c r="P114"/>
    </row>
    <row r="115" spans="2:16">
      <c r="B115"/>
      <c r="C115"/>
      <c r="D115"/>
      <c r="E115"/>
      <c r="F115"/>
      <c r="G115"/>
      <c r="H115"/>
      <c r="I115"/>
      <c r="J115"/>
      <c r="K115"/>
      <c r="L115"/>
      <c r="M115"/>
      <c r="N115"/>
      <c r="O115"/>
      <c r="P115"/>
    </row>
    <row r="116" spans="2:16">
      <c r="B116"/>
      <c r="C116"/>
      <c r="D116"/>
      <c r="E116"/>
      <c r="F116"/>
      <c r="G116"/>
      <c r="H116"/>
      <c r="I116"/>
      <c r="J116"/>
      <c r="K116"/>
      <c r="L116"/>
      <c r="M116"/>
      <c r="N116"/>
      <c r="O116"/>
      <c r="P116"/>
    </row>
    <row r="117" spans="2:16">
      <c r="B117"/>
      <c r="C117"/>
      <c r="D117"/>
      <c r="E117"/>
      <c r="F117"/>
      <c r="G117"/>
      <c r="H117"/>
      <c r="I117"/>
      <c r="J117"/>
      <c r="K117"/>
      <c r="L117"/>
      <c r="M117"/>
      <c r="N117"/>
      <c r="O117"/>
      <c r="P117"/>
    </row>
    <row r="118" spans="2:16">
      <c r="B118"/>
      <c r="C118"/>
      <c r="D118"/>
      <c r="E118"/>
      <c r="F118"/>
      <c r="G118"/>
      <c r="H118"/>
      <c r="I118"/>
      <c r="J118"/>
      <c r="K118"/>
      <c r="L118"/>
      <c r="M118"/>
      <c r="N118"/>
      <c r="O118"/>
      <c r="P118"/>
    </row>
    <row r="119" spans="2:16">
      <c r="B119"/>
      <c r="C119"/>
      <c r="D119"/>
      <c r="E119"/>
      <c r="F119"/>
      <c r="G119"/>
      <c r="H119"/>
      <c r="I119"/>
      <c r="J119"/>
      <c r="K119"/>
      <c r="L119"/>
      <c r="M119"/>
      <c r="N119"/>
      <c r="O119"/>
      <c r="P119"/>
    </row>
    <row r="120" spans="2:16">
      <c r="B120"/>
      <c r="C120"/>
      <c r="D120"/>
      <c r="E120"/>
      <c r="F120"/>
      <c r="G120"/>
      <c r="H120"/>
      <c r="I120"/>
      <c r="J120"/>
      <c r="K120"/>
      <c r="L120"/>
      <c r="M120"/>
      <c r="N120"/>
      <c r="O120"/>
      <c r="P120"/>
    </row>
    <row r="121" spans="2:16">
      <c r="B121"/>
      <c r="C121"/>
      <c r="D121"/>
      <c r="E121"/>
      <c r="F121"/>
      <c r="G121"/>
      <c r="H121"/>
      <c r="I121"/>
      <c r="J121"/>
      <c r="K121"/>
      <c r="L121"/>
      <c r="M121"/>
      <c r="N121"/>
      <c r="O121"/>
      <c r="P121"/>
    </row>
    <row r="122" spans="2:16">
      <c r="B122"/>
      <c r="C122"/>
      <c r="D122"/>
      <c r="E122"/>
      <c r="F122"/>
      <c r="G122"/>
      <c r="H122"/>
      <c r="I122"/>
      <c r="J122"/>
      <c r="K122"/>
      <c r="L122"/>
      <c r="M122"/>
      <c r="N122"/>
      <c r="O122"/>
      <c r="P122"/>
    </row>
    <row r="123" spans="2:16">
      <c r="B123"/>
      <c r="C123"/>
      <c r="D123"/>
      <c r="E123"/>
      <c r="F123"/>
      <c r="G123"/>
      <c r="H123"/>
      <c r="I123"/>
      <c r="J123"/>
      <c r="K123"/>
      <c r="L123"/>
      <c r="M123"/>
      <c r="N123"/>
      <c r="O123"/>
      <c r="P123"/>
    </row>
    <row r="124" spans="2:16">
      <c r="B124"/>
      <c r="C124"/>
      <c r="D124"/>
      <c r="E124"/>
      <c r="F124"/>
      <c r="G124"/>
      <c r="H124"/>
      <c r="I124"/>
      <c r="J124"/>
      <c r="K124"/>
      <c r="L124"/>
      <c r="M124"/>
      <c r="N124"/>
      <c r="O124"/>
      <c r="P124"/>
    </row>
    <row r="125" spans="2:16">
      <c r="B125"/>
      <c r="C125"/>
      <c r="D125"/>
      <c r="E125"/>
      <c r="F125"/>
      <c r="G125"/>
      <c r="H125"/>
      <c r="I125"/>
      <c r="J125"/>
      <c r="K125"/>
      <c r="L125"/>
      <c r="M125"/>
      <c r="N125"/>
      <c r="O125"/>
      <c r="P125"/>
    </row>
    <row r="126" spans="2:16">
      <c r="B126"/>
      <c r="C126"/>
      <c r="D126"/>
      <c r="E126"/>
      <c r="F126"/>
      <c r="G126"/>
      <c r="H126"/>
      <c r="I126"/>
      <c r="J126"/>
      <c r="K126"/>
      <c r="L126"/>
      <c r="M126"/>
      <c r="N126"/>
      <c r="O126"/>
      <c r="P126"/>
    </row>
    <row r="127" spans="2:16">
      <c r="B127"/>
      <c r="C127"/>
      <c r="D127"/>
      <c r="E127"/>
      <c r="F127"/>
      <c r="G127"/>
      <c r="H127"/>
      <c r="I127"/>
      <c r="J127"/>
      <c r="K127"/>
      <c r="L127"/>
      <c r="M127"/>
      <c r="N127"/>
      <c r="O127"/>
      <c r="P127"/>
    </row>
    <row r="128" spans="2:16">
      <c r="B128"/>
      <c r="C128"/>
      <c r="D128"/>
      <c r="E128"/>
      <c r="F128"/>
      <c r="G128"/>
      <c r="H128"/>
      <c r="I128"/>
      <c r="J128"/>
      <c r="K128"/>
      <c r="L128"/>
      <c r="M128"/>
      <c r="N128"/>
      <c r="O128"/>
      <c r="P128"/>
    </row>
    <row r="129" spans="2:16">
      <c r="B129"/>
      <c r="C129"/>
      <c r="D129"/>
      <c r="E129"/>
      <c r="F129"/>
      <c r="G129"/>
      <c r="H129"/>
      <c r="I129"/>
      <c r="J129"/>
      <c r="K129"/>
      <c r="L129"/>
      <c r="M129"/>
      <c r="N129"/>
      <c r="O129"/>
      <c r="P129"/>
    </row>
    <row r="130" spans="2:16">
      <c r="B130"/>
      <c r="C130"/>
      <c r="D130"/>
      <c r="E130"/>
      <c r="F130"/>
      <c r="G130"/>
      <c r="H130"/>
      <c r="I130"/>
      <c r="J130"/>
      <c r="K130"/>
      <c r="L130"/>
      <c r="M130"/>
      <c r="N130"/>
      <c r="O130"/>
      <c r="P130"/>
    </row>
    <row r="131" spans="2:16">
      <c r="B131"/>
      <c r="C131"/>
      <c r="D131"/>
      <c r="E131"/>
      <c r="F131"/>
      <c r="G131"/>
      <c r="H131"/>
      <c r="I131"/>
      <c r="J131"/>
      <c r="K131"/>
      <c r="L131"/>
      <c r="M131"/>
      <c r="N131"/>
      <c r="O131"/>
      <c r="P131"/>
    </row>
    <row r="132" spans="2:16">
      <c r="B132"/>
      <c r="C132"/>
      <c r="D132"/>
      <c r="E132"/>
      <c r="F132"/>
      <c r="G132"/>
      <c r="H132"/>
      <c r="I132"/>
      <c r="J132"/>
      <c r="K132"/>
      <c r="L132"/>
      <c r="M132"/>
      <c r="N132"/>
      <c r="O132"/>
      <c r="P132"/>
    </row>
    <row r="133" spans="2:16">
      <c r="B133"/>
      <c r="C133"/>
      <c r="D133"/>
      <c r="E133"/>
      <c r="F133"/>
      <c r="G133"/>
      <c r="H133"/>
      <c r="I133"/>
      <c r="J133"/>
      <c r="K133"/>
      <c r="L133"/>
      <c r="M133"/>
      <c r="N133"/>
      <c r="O133"/>
      <c r="P133"/>
    </row>
    <row r="134" spans="2:16">
      <c r="B134"/>
      <c r="C134"/>
      <c r="D134"/>
      <c r="E134"/>
      <c r="F134"/>
      <c r="G134"/>
      <c r="H134"/>
      <c r="I134"/>
      <c r="J134"/>
      <c r="K134"/>
      <c r="L134"/>
      <c r="M134"/>
      <c r="N134"/>
      <c r="O134"/>
      <c r="P134"/>
    </row>
    <row r="135" spans="2:16">
      <c r="B135"/>
      <c r="C135"/>
      <c r="D135"/>
      <c r="E135"/>
      <c r="F135"/>
      <c r="G135"/>
      <c r="H135"/>
      <c r="I135"/>
      <c r="J135"/>
      <c r="K135"/>
      <c r="L135"/>
      <c r="M135"/>
      <c r="N135"/>
      <c r="O135"/>
      <c r="P135"/>
    </row>
    <row r="136" spans="2:16">
      <c r="B136"/>
      <c r="C136"/>
      <c r="D136"/>
      <c r="E136"/>
      <c r="F136"/>
      <c r="G136"/>
      <c r="H136"/>
      <c r="I136"/>
      <c r="J136"/>
      <c r="K136"/>
      <c r="L136"/>
      <c r="M136"/>
      <c r="N136"/>
      <c r="O136"/>
      <c r="P136"/>
    </row>
    <row r="137" spans="2:16">
      <c r="B137"/>
      <c r="C137"/>
      <c r="D137"/>
      <c r="E137"/>
      <c r="F137"/>
      <c r="G137"/>
      <c r="H137"/>
      <c r="I137"/>
      <c r="J137"/>
      <c r="K137"/>
      <c r="L137"/>
      <c r="M137"/>
      <c r="N137"/>
      <c r="O137"/>
      <c r="P137"/>
    </row>
    <row r="138" spans="2:16">
      <c r="B138"/>
      <c r="C138"/>
      <c r="D138"/>
      <c r="E138"/>
      <c r="F138"/>
      <c r="G138"/>
      <c r="H138"/>
      <c r="I138"/>
      <c r="J138"/>
      <c r="K138"/>
      <c r="L138"/>
      <c r="M138"/>
      <c r="N138"/>
      <c r="O138"/>
      <c r="P138"/>
    </row>
    <row r="139" spans="2:16">
      <c r="B139"/>
      <c r="C139"/>
      <c r="D139"/>
      <c r="E139"/>
      <c r="F139"/>
      <c r="G139"/>
      <c r="H139"/>
      <c r="I139"/>
      <c r="J139"/>
      <c r="K139"/>
      <c r="L139"/>
      <c r="M139"/>
      <c r="N139"/>
      <c r="O139"/>
      <c r="P139"/>
    </row>
    <row r="140" spans="2:16">
      <c r="B140"/>
      <c r="C140"/>
      <c r="D140"/>
      <c r="E140"/>
      <c r="F140"/>
      <c r="G140"/>
      <c r="H140"/>
      <c r="I140"/>
      <c r="J140"/>
      <c r="K140"/>
      <c r="L140"/>
      <c r="M140"/>
      <c r="N140"/>
      <c r="O140"/>
      <c r="P140"/>
    </row>
    <row r="141" spans="2:16">
      <c r="B141"/>
      <c r="C141"/>
      <c r="D141"/>
      <c r="E141"/>
      <c r="F141"/>
      <c r="G141"/>
      <c r="H141"/>
      <c r="I141"/>
      <c r="J141"/>
      <c r="K141"/>
      <c r="L141"/>
      <c r="M141"/>
      <c r="N141"/>
      <c r="O141"/>
      <c r="P141"/>
    </row>
    <row r="142" spans="2:16">
      <c r="B142"/>
      <c r="C142"/>
      <c r="D142"/>
      <c r="E142"/>
      <c r="F142"/>
      <c r="G142"/>
      <c r="H142"/>
      <c r="I142"/>
      <c r="J142"/>
      <c r="K142"/>
      <c r="L142"/>
      <c r="M142"/>
      <c r="N142"/>
      <c r="O142"/>
      <c r="P142"/>
    </row>
    <row r="143" spans="2:16">
      <c r="B143"/>
      <c r="C143"/>
      <c r="D143"/>
      <c r="E143"/>
      <c r="F143"/>
      <c r="G143"/>
      <c r="H143"/>
      <c r="I143"/>
      <c r="J143"/>
      <c r="K143"/>
      <c r="L143"/>
      <c r="M143"/>
      <c r="N143"/>
      <c r="O143"/>
      <c r="P143"/>
    </row>
    <row r="144" spans="2:16">
      <c r="B144"/>
      <c r="C144"/>
      <c r="D144"/>
      <c r="E144"/>
      <c r="F144"/>
      <c r="G144"/>
      <c r="H144"/>
      <c r="I144"/>
      <c r="J144"/>
      <c r="K144"/>
      <c r="L144"/>
      <c r="M144"/>
      <c r="N144"/>
      <c r="O144"/>
      <c r="P144"/>
    </row>
    <row r="145" spans="2:16">
      <c r="B145"/>
      <c r="C145"/>
      <c r="D145"/>
      <c r="E145"/>
      <c r="F145"/>
      <c r="G145"/>
      <c r="H145"/>
      <c r="I145"/>
      <c r="J145"/>
      <c r="K145"/>
      <c r="L145"/>
      <c r="M145"/>
      <c r="N145"/>
      <c r="O145"/>
      <c r="P145"/>
    </row>
    <row r="146" spans="2:16">
      <c r="B146"/>
      <c r="C146"/>
      <c r="D146"/>
      <c r="E146"/>
      <c r="F146"/>
      <c r="G146"/>
      <c r="H146"/>
      <c r="I146"/>
      <c r="J146"/>
      <c r="K146"/>
      <c r="L146"/>
      <c r="M146"/>
      <c r="N146"/>
      <c r="O146"/>
      <c r="P146"/>
    </row>
    <row r="147" spans="2:16">
      <c r="B147"/>
      <c r="C147"/>
      <c r="D147"/>
      <c r="E147"/>
      <c r="F147"/>
      <c r="G147"/>
      <c r="H147"/>
      <c r="I147"/>
      <c r="J147"/>
      <c r="K147"/>
      <c r="L147"/>
      <c r="M147"/>
      <c r="N147"/>
      <c r="O147"/>
      <c r="P147"/>
    </row>
    <row r="148" spans="2:16">
      <c r="B148"/>
      <c r="C148"/>
      <c r="D148"/>
      <c r="E148"/>
      <c r="F148"/>
      <c r="G148"/>
      <c r="H148"/>
      <c r="I148"/>
      <c r="J148"/>
      <c r="K148"/>
      <c r="L148"/>
      <c r="M148"/>
      <c r="N148"/>
      <c r="O148"/>
      <c r="P148"/>
    </row>
    <row r="149" spans="2:16">
      <c r="B149"/>
      <c r="C149"/>
      <c r="D149"/>
      <c r="E149"/>
      <c r="F149"/>
      <c r="G149"/>
      <c r="H149"/>
      <c r="I149"/>
      <c r="J149"/>
      <c r="K149"/>
      <c r="L149"/>
      <c r="M149"/>
      <c r="N149"/>
      <c r="O149"/>
      <c r="P149"/>
    </row>
    <row r="150" spans="2:16">
      <c r="B150"/>
      <c r="C150"/>
      <c r="D150"/>
      <c r="E150"/>
      <c r="F150"/>
      <c r="G150"/>
      <c r="H150"/>
      <c r="I150"/>
      <c r="J150"/>
      <c r="K150"/>
      <c r="L150"/>
      <c r="M150"/>
      <c r="N150"/>
      <c r="O150"/>
      <c r="P150"/>
    </row>
    <row r="151" spans="2:16">
      <c r="B151"/>
      <c r="C151"/>
      <c r="D151"/>
      <c r="E151"/>
      <c r="F151"/>
      <c r="G151"/>
      <c r="H151"/>
      <c r="I151"/>
      <c r="J151"/>
      <c r="K151"/>
      <c r="L151"/>
      <c r="M151"/>
      <c r="N151"/>
      <c r="O151"/>
      <c r="P151"/>
    </row>
    <row r="152" spans="2:16">
      <c r="B152"/>
      <c r="C152"/>
      <c r="D152"/>
      <c r="E152"/>
      <c r="F152"/>
      <c r="G152"/>
      <c r="H152"/>
      <c r="I152"/>
      <c r="J152"/>
      <c r="K152"/>
      <c r="L152"/>
      <c r="M152"/>
      <c r="N152"/>
      <c r="O152"/>
      <c r="P152"/>
    </row>
    <row r="153" spans="2:16">
      <c r="B153"/>
      <c r="C153"/>
      <c r="D153"/>
      <c r="E153"/>
      <c r="F153"/>
      <c r="G153"/>
      <c r="H153"/>
      <c r="I153"/>
      <c r="J153"/>
      <c r="K153"/>
      <c r="L153"/>
      <c r="M153"/>
      <c r="N153"/>
      <c r="O153"/>
      <c r="P153"/>
    </row>
    <row r="154" spans="2:16">
      <c r="B154"/>
      <c r="C154"/>
      <c r="D154"/>
      <c r="E154"/>
      <c r="F154"/>
      <c r="G154"/>
      <c r="H154"/>
      <c r="I154"/>
      <c r="J154"/>
      <c r="K154"/>
      <c r="L154"/>
      <c r="M154"/>
      <c r="N154"/>
      <c r="O154"/>
      <c r="P154"/>
    </row>
    <row r="155" spans="2:16">
      <c r="B155"/>
      <c r="C155"/>
      <c r="D155"/>
      <c r="E155"/>
      <c r="F155"/>
      <c r="G155"/>
      <c r="H155"/>
      <c r="I155"/>
      <c r="J155"/>
      <c r="K155"/>
      <c r="L155"/>
      <c r="M155"/>
      <c r="N155"/>
      <c r="O155"/>
      <c r="P155"/>
    </row>
    <row r="156" spans="2:16">
      <c r="B156"/>
      <c r="C156"/>
      <c r="D156"/>
      <c r="E156"/>
      <c r="F156"/>
      <c r="G156"/>
      <c r="H156"/>
      <c r="I156"/>
      <c r="J156"/>
      <c r="K156"/>
      <c r="L156"/>
      <c r="M156"/>
      <c r="N156"/>
      <c r="O156"/>
      <c r="P156"/>
    </row>
    <row r="157" spans="2:16">
      <c r="B157"/>
      <c r="C157"/>
      <c r="D157"/>
      <c r="E157"/>
      <c r="F157"/>
      <c r="G157"/>
      <c r="H157"/>
      <c r="I157"/>
      <c r="J157"/>
      <c r="K157"/>
      <c r="L157"/>
      <c r="M157"/>
      <c r="N157"/>
      <c r="O157"/>
      <c r="P157"/>
    </row>
    <row r="158" spans="2:16">
      <c r="B158"/>
      <c r="C158"/>
      <c r="D158"/>
      <c r="E158"/>
      <c r="F158"/>
      <c r="G158"/>
      <c r="H158"/>
      <c r="I158"/>
      <c r="J158"/>
      <c r="K158"/>
      <c r="L158"/>
      <c r="M158"/>
      <c r="N158"/>
      <c r="O158"/>
      <c r="P158"/>
    </row>
    <row r="159" spans="2:16">
      <c r="B159"/>
      <c r="C159"/>
      <c r="D159"/>
      <c r="E159"/>
      <c r="F159"/>
      <c r="G159"/>
      <c r="H159"/>
      <c r="I159"/>
      <c r="J159"/>
      <c r="K159"/>
      <c r="L159"/>
      <c r="M159"/>
      <c r="N159"/>
      <c r="O159"/>
      <c r="P159"/>
    </row>
    <row r="160" spans="2:16">
      <c r="B160"/>
      <c r="C160"/>
      <c r="D160"/>
      <c r="E160"/>
      <c r="F160"/>
      <c r="G160"/>
      <c r="H160"/>
      <c r="I160"/>
      <c r="J160"/>
      <c r="K160"/>
      <c r="L160"/>
      <c r="M160"/>
      <c r="N160"/>
      <c r="O160"/>
      <c r="P160"/>
    </row>
    <row r="161" spans="2:16">
      <c r="B161"/>
      <c r="C161"/>
      <c r="D161"/>
      <c r="E161"/>
      <c r="F161"/>
      <c r="G161"/>
      <c r="H161"/>
      <c r="I161"/>
      <c r="J161"/>
      <c r="K161"/>
      <c r="L161"/>
      <c r="M161"/>
      <c r="N161"/>
      <c r="O161"/>
      <c r="P161"/>
    </row>
    <row r="162" spans="2:16">
      <c r="B162"/>
      <c r="C162"/>
      <c r="D162"/>
      <c r="E162"/>
      <c r="F162"/>
      <c r="G162"/>
      <c r="H162"/>
      <c r="I162"/>
      <c r="J162"/>
      <c r="K162"/>
      <c r="L162"/>
      <c r="M162"/>
      <c r="N162"/>
      <c r="O162"/>
      <c r="P162"/>
    </row>
    <row r="163" spans="2:16">
      <c r="B163"/>
      <c r="C163"/>
      <c r="D163"/>
      <c r="E163"/>
      <c r="F163"/>
      <c r="G163"/>
      <c r="H163"/>
      <c r="I163"/>
      <c r="J163"/>
      <c r="K163"/>
      <c r="L163"/>
      <c r="M163"/>
      <c r="N163"/>
      <c r="O163"/>
      <c r="P163"/>
    </row>
    <row r="164" spans="2:16">
      <c r="B164"/>
      <c r="C164"/>
      <c r="D164"/>
      <c r="E164"/>
      <c r="F164"/>
      <c r="G164"/>
      <c r="H164"/>
      <c r="I164"/>
      <c r="J164"/>
      <c r="K164"/>
      <c r="L164"/>
      <c r="M164"/>
      <c r="N164"/>
      <c r="O164"/>
      <c r="P164"/>
    </row>
    <row r="165" spans="2:16">
      <c r="B165"/>
      <c r="C165"/>
      <c r="D165"/>
      <c r="E165"/>
      <c r="F165"/>
      <c r="G165"/>
      <c r="H165"/>
      <c r="I165"/>
      <c r="J165"/>
      <c r="K165"/>
      <c r="L165"/>
      <c r="M165"/>
      <c r="N165"/>
      <c r="O165"/>
      <c r="P165"/>
    </row>
    <row r="166" spans="2:16">
      <c r="B166"/>
      <c r="C166"/>
      <c r="D166"/>
      <c r="E166"/>
      <c r="F166"/>
      <c r="G166"/>
      <c r="H166"/>
      <c r="I166"/>
      <c r="J166"/>
      <c r="K166"/>
      <c r="L166"/>
      <c r="M166"/>
      <c r="N166"/>
      <c r="O166"/>
      <c r="P166"/>
    </row>
    <row r="167" spans="2:16">
      <c r="B167"/>
      <c r="C167"/>
      <c r="D167"/>
      <c r="E167"/>
      <c r="F167"/>
      <c r="G167"/>
      <c r="H167"/>
      <c r="I167"/>
      <c r="J167"/>
      <c r="K167"/>
      <c r="L167"/>
      <c r="M167"/>
      <c r="N167"/>
      <c r="O167"/>
      <c r="P167"/>
    </row>
    <row r="168" spans="2:16">
      <c r="B168"/>
      <c r="C168"/>
      <c r="D168"/>
      <c r="E168"/>
      <c r="F168"/>
      <c r="G168"/>
      <c r="H168"/>
      <c r="I168"/>
      <c r="J168"/>
      <c r="K168"/>
      <c r="L168"/>
      <c r="M168"/>
      <c r="N168"/>
      <c r="O168"/>
      <c r="P168"/>
    </row>
    <row r="169" spans="2:16">
      <c r="B169"/>
      <c r="C169"/>
      <c r="D169"/>
      <c r="E169"/>
      <c r="F169"/>
      <c r="G169"/>
      <c r="H169"/>
      <c r="I169"/>
      <c r="J169"/>
      <c r="K169"/>
      <c r="L169"/>
      <c r="M169"/>
      <c r="N169"/>
      <c r="O169"/>
      <c r="P169"/>
    </row>
    <row r="170" spans="2:16">
      <c r="B170"/>
      <c r="C170"/>
      <c r="D170"/>
      <c r="E170"/>
      <c r="F170"/>
      <c r="G170"/>
      <c r="H170"/>
      <c r="I170"/>
      <c r="J170"/>
      <c r="K170"/>
      <c r="L170"/>
      <c r="M170"/>
      <c r="N170"/>
      <c r="O170"/>
      <c r="P170"/>
    </row>
    <row r="171" spans="2:16">
      <c r="B171"/>
      <c r="C171"/>
      <c r="D171"/>
      <c r="E171"/>
      <c r="F171"/>
      <c r="G171"/>
      <c r="H171"/>
      <c r="I171"/>
      <c r="J171"/>
      <c r="K171"/>
      <c r="L171"/>
      <c r="M171"/>
      <c r="N171"/>
      <c r="O171"/>
      <c r="P171"/>
    </row>
    <row r="172" spans="2:16">
      <c r="B172"/>
      <c r="C172"/>
      <c r="D172"/>
      <c r="E172"/>
      <c r="F172"/>
      <c r="G172"/>
      <c r="H172"/>
      <c r="I172"/>
      <c r="J172"/>
      <c r="K172"/>
      <c r="L172"/>
      <c r="M172"/>
      <c r="N172"/>
      <c r="O172"/>
      <c r="P172"/>
    </row>
    <row r="173" spans="2:16">
      <c r="B173"/>
      <c r="C173"/>
      <c r="D173"/>
      <c r="E173"/>
      <c r="F173"/>
      <c r="G173"/>
      <c r="H173"/>
      <c r="I173"/>
      <c r="J173"/>
      <c r="K173"/>
      <c r="L173"/>
      <c r="M173"/>
      <c r="N173"/>
      <c r="O173"/>
      <c r="P173"/>
    </row>
    <row r="174" spans="2:16">
      <c r="B174"/>
      <c r="C174"/>
      <c r="D174"/>
      <c r="E174"/>
      <c r="F174"/>
      <c r="G174"/>
      <c r="H174"/>
      <c r="I174"/>
      <c r="J174"/>
      <c r="K174"/>
      <c r="L174"/>
      <c r="M174"/>
      <c r="N174"/>
      <c r="O174"/>
      <c r="P174"/>
    </row>
    <row r="175" spans="2:16">
      <c r="B175"/>
      <c r="C175"/>
      <c r="D175"/>
      <c r="E175"/>
      <c r="F175"/>
      <c r="G175"/>
      <c r="H175"/>
      <c r="I175"/>
      <c r="J175"/>
      <c r="K175"/>
      <c r="L175"/>
      <c r="M175"/>
      <c r="N175"/>
      <c r="O175"/>
      <c r="P175"/>
    </row>
    <row r="176" spans="2:16">
      <c r="B176"/>
      <c r="C176"/>
      <c r="D176"/>
      <c r="E176"/>
      <c r="F176"/>
      <c r="G176"/>
      <c r="H176"/>
      <c r="I176"/>
      <c r="J176"/>
      <c r="K176"/>
      <c r="L176"/>
      <c r="M176"/>
      <c r="N176"/>
      <c r="O176"/>
      <c r="P176"/>
    </row>
    <row r="177" spans="2:16">
      <c r="B177"/>
      <c r="C177"/>
      <c r="D177"/>
      <c r="E177"/>
      <c r="F177"/>
      <c r="G177"/>
      <c r="H177"/>
      <c r="I177"/>
      <c r="J177"/>
      <c r="K177"/>
      <c r="L177"/>
      <c r="M177"/>
      <c r="N177"/>
      <c r="O177"/>
      <c r="P177"/>
    </row>
    <row r="178" spans="2:16">
      <c r="B178"/>
      <c r="C178"/>
      <c r="D178"/>
      <c r="E178"/>
      <c r="F178"/>
      <c r="G178"/>
      <c r="H178"/>
      <c r="I178"/>
      <c r="J178"/>
      <c r="K178"/>
      <c r="L178"/>
      <c r="M178"/>
      <c r="N178"/>
      <c r="O178"/>
      <c r="P178"/>
    </row>
    <row r="179" spans="2:16">
      <c r="B179"/>
      <c r="C179"/>
      <c r="D179"/>
      <c r="E179"/>
      <c r="F179"/>
      <c r="G179"/>
      <c r="H179"/>
      <c r="I179"/>
      <c r="J179"/>
      <c r="K179"/>
      <c r="L179"/>
      <c r="M179"/>
      <c r="N179"/>
      <c r="O179"/>
      <c r="P179"/>
    </row>
    <row r="180" spans="2:16">
      <c r="B180"/>
      <c r="C180"/>
      <c r="D180"/>
      <c r="E180"/>
      <c r="F180"/>
      <c r="G180"/>
      <c r="H180"/>
      <c r="I180"/>
      <c r="J180"/>
      <c r="K180"/>
      <c r="L180"/>
      <c r="M180"/>
      <c r="N180"/>
      <c r="O180"/>
      <c r="P180"/>
    </row>
    <row r="181" spans="2:16">
      <c r="B181"/>
      <c r="C181"/>
      <c r="D181"/>
      <c r="E181"/>
      <c r="F181"/>
      <c r="G181"/>
      <c r="H181"/>
      <c r="I181"/>
      <c r="J181"/>
      <c r="K181"/>
      <c r="L181"/>
      <c r="M181"/>
      <c r="N181"/>
      <c r="O181"/>
      <c r="P181"/>
    </row>
    <row r="182" spans="2:16">
      <c r="B182"/>
      <c r="C182"/>
      <c r="D182"/>
      <c r="E182"/>
      <c r="F182"/>
      <c r="G182"/>
      <c r="H182"/>
      <c r="I182"/>
      <c r="J182"/>
      <c r="K182"/>
      <c r="L182"/>
      <c r="M182"/>
      <c r="N182"/>
      <c r="O182"/>
      <c r="P182"/>
    </row>
    <row r="183" spans="2:16">
      <c r="B183"/>
      <c r="C183"/>
      <c r="D183"/>
      <c r="E183"/>
      <c r="F183"/>
      <c r="G183"/>
      <c r="H183"/>
      <c r="I183"/>
      <c r="J183"/>
      <c r="K183"/>
      <c r="L183"/>
      <c r="M183"/>
      <c r="N183"/>
      <c r="O183"/>
      <c r="P183"/>
    </row>
    <row r="184" spans="2:16">
      <c r="B184"/>
      <c r="C184"/>
      <c r="D184"/>
      <c r="E184"/>
      <c r="F184"/>
      <c r="G184"/>
      <c r="H184"/>
      <c r="I184"/>
      <c r="J184"/>
      <c r="K184"/>
      <c r="L184"/>
      <c r="M184"/>
      <c r="N184"/>
      <c r="O184"/>
      <c r="P184"/>
    </row>
    <row r="185" spans="2:16">
      <c r="B185"/>
      <c r="C185"/>
      <c r="D185"/>
      <c r="E185"/>
      <c r="F185"/>
      <c r="G185"/>
      <c r="H185"/>
      <c r="I185"/>
      <c r="J185"/>
      <c r="K185"/>
      <c r="L185"/>
      <c r="M185"/>
      <c r="N185"/>
      <c r="O185"/>
      <c r="P185"/>
    </row>
    <row r="186" spans="2:16">
      <c r="B186"/>
      <c r="C186"/>
      <c r="D186"/>
      <c r="E186"/>
      <c r="F186"/>
      <c r="G186"/>
      <c r="H186"/>
      <c r="I186"/>
      <c r="J186"/>
      <c r="K186"/>
      <c r="L186"/>
      <c r="M186"/>
      <c r="N186"/>
      <c r="O186"/>
      <c r="P186"/>
    </row>
    <row r="187" spans="2:16">
      <c r="B187"/>
      <c r="C187"/>
      <c r="D187"/>
      <c r="E187"/>
      <c r="F187"/>
      <c r="G187"/>
      <c r="H187"/>
      <c r="I187"/>
      <c r="J187"/>
      <c r="K187"/>
      <c r="L187"/>
      <c r="M187"/>
      <c r="N187"/>
      <c r="O187"/>
      <c r="P187"/>
    </row>
    <row r="188" spans="2:16">
      <c r="B188"/>
      <c r="C188"/>
      <c r="D188"/>
      <c r="E188"/>
      <c r="F188"/>
      <c r="G188"/>
      <c r="H188"/>
      <c r="I188"/>
      <c r="J188"/>
      <c r="K188"/>
      <c r="L188"/>
      <c r="M188"/>
      <c r="N188"/>
      <c r="O188"/>
      <c r="P188"/>
    </row>
    <row r="189" spans="2:16">
      <c r="B189"/>
      <c r="C189"/>
      <c r="D189"/>
      <c r="E189"/>
      <c r="F189"/>
      <c r="G189"/>
      <c r="H189"/>
      <c r="I189"/>
      <c r="J189"/>
      <c r="K189"/>
      <c r="L189"/>
      <c r="M189"/>
      <c r="N189"/>
      <c r="O189"/>
      <c r="P189"/>
    </row>
    <row r="190" spans="2:16">
      <c r="B190"/>
      <c r="C190"/>
      <c r="D190"/>
      <c r="E190"/>
      <c r="F190"/>
      <c r="G190"/>
      <c r="H190"/>
      <c r="I190"/>
      <c r="J190"/>
      <c r="K190"/>
      <c r="L190"/>
      <c r="M190"/>
      <c r="N190"/>
      <c r="O190"/>
      <c r="P190"/>
    </row>
    <row r="191" spans="2:16">
      <c r="B191"/>
      <c r="C191"/>
      <c r="D191"/>
      <c r="E191"/>
      <c r="F191"/>
      <c r="G191"/>
      <c r="H191"/>
      <c r="I191"/>
      <c r="J191"/>
      <c r="K191"/>
      <c r="L191"/>
      <c r="M191"/>
      <c r="N191"/>
      <c r="O191"/>
      <c r="P191"/>
    </row>
    <row r="192" spans="2:16">
      <c r="B192"/>
      <c r="C192"/>
      <c r="D192"/>
      <c r="E192"/>
      <c r="F192"/>
      <c r="G192"/>
      <c r="H192"/>
      <c r="I192"/>
      <c r="J192"/>
      <c r="K192"/>
      <c r="L192"/>
      <c r="M192"/>
      <c r="N192"/>
      <c r="O192"/>
      <c r="P192"/>
    </row>
    <row r="193" spans="2:16">
      <c r="B193"/>
      <c r="C193"/>
      <c r="D193"/>
      <c r="E193"/>
      <c r="F193"/>
      <c r="G193"/>
      <c r="H193"/>
      <c r="I193"/>
      <c r="J193"/>
      <c r="K193"/>
      <c r="L193"/>
      <c r="M193"/>
      <c r="N193"/>
      <c r="O193"/>
      <c r="P193"/>
    </row>
    <row r="194" spans="2:16">
      <c r="B194"/>
      <c r="C194"/>
      <c r="D194"/>
      <c r="E194"/>
      <c r="F194"/>
      <c r="G194"/>
      <c r="H194"/>
      <c r="I194"/>
      <c r="J194"/>
      <c r="K194"/>
      <c r="L194"/>
      <c r="M194"/>
      <c r="N194"/>
      <c r="O194"/>
      <c r="P194"/>
    </row>
    <row r="195" spans="2:16">
      <c r="B195"/>
      <c r="C195"/>
      <c r="D195"/>
      <c r="E195"/>
      <c r="F195"/>
      <c r="G195"/>
      <c r="H195"/>
      <c r="I195"/>
      <c r="J195"/>
      <c r="K195"/>
      <c r="L195"/>
      <c r="M195"/>
      <c r="N195"/>
      <c r="O195"/>
      <c r="P195"/>
    </row>
    <row r="196" spans="2:16">
      <c r="B196"/>
      <c r="C196"/>
      <c r="D196"/>
      <c r="E196"/>
      <c r="F196"/>
      <c r="G196"/>
      <c r="H196"/>
      <c r="I196"/>
      <c r="J196"/>
      <c r="K196"/>
      <c r="L196"/>
      <c r="M196"/>
      <c r="N196"/>
      <c r="O196"/>
      <c r="P196"/>
    </row>
    <row r="197" spans="2:16">
      <c r="B197"/>
      <c r="C197"/>
      <c r="D197"/>
      <c r="E197"/>
      <c r="F197"/>
      <c r="G197"/>
      <c r="H197"/>
      <c r="I197"/>
      <c r="J197"/>
      <c r="K197"/>
      <c r="L197"/>
      <c r="M197"/>
      <c r="N197"/>
      <c r="O197"/>
      <c r="P197"/>
    </row>
    <row r="198" spans="2:16">
      <c r="B198"/>
      <c r="C198"/>
      <c r="D198"/>
      <c r="E198"/>
      <c r="F198"/>
      <c r="G198"/>
      <c r="H198"/>
      <c r="I198"/>
      <c r="J198"/>
      <c r="K198"/>
      <c r="L198"/>
      <c r="M198"/>
      <c r="N198"/>
      <c r="O198"/>
      <c r="P198"/>
    </row>
    <row r="199" spans="2:16">
      <c r="B199"/>
      <c r="C199"/>
      <c r="D199"/>
      <c r="E199"/>
      <c r="F199"/>
      <c r="G199"/>
      <c r="H199"/>
      <c r="I199"/>
      <c r="J199"/>
      <c r="K199"/>
      <c r="L199"/>
      <c r="M199"/>
      <c r="N199"/>
      <c r="O199"/>
      <c r="P199"/>
    </row>
    <row r="200" spans="2:16">
      <c r="B200"/>
      <c r="C200"/>
      <c r="D200"/>
      <c r="E200"/>
      <c r="F200"/>
      <c r="G200"/>
      <c r="H200"/>
      <c r="I200"/>
      <c r="J200"/>
      <c r="K200"/>
      <c r="L200"/>
      <c r="M200"/>
      <c r="N200"/>
      <c r="O200"/>
      <c r="P200"/>
    </row>
    <row r="201" spans="2:16">
      <c r="B201"/>
      <c r="C201"/>
      <c r="D201"/>
      <c r="E201"/>
      <c r="F201"/>
      <c r="G201"/>
      <c r="H201"/>
      <c r="I201"/>
      <c r="J201"/>
      <c r="K201"/>
      <c r="L201"/>
      <c r="M201"/>
      <c r="N201"/>
      <c r="O201"/>
      <c r="P201"/>
    </row>
    <row r="202" spans="2:16">
      <c r="B202"/>
      <c r="C202"/>
      <c r="D202"/>
      <c r="E202"/>
      <c r="F202"/>
      <c r="G202"/>
      <c r="H202"/>
      <c r="I202"/>
      <c r="J202"/>
      <c r="K202"/>
      <c r="L202"/>
      <c r="M202"/>
      <c r="N202"/>
      <c r="O202"/>
      <c r="P202"/>
    </row>
    <row r="203" spans="2:16">
      <c r="B203"/>
      <c r="C203"/>
      <c r="D203"/>
      <c r="E203"/>
      <c r="F203"/>
      <c r="G203"/>
      <c r="H203"/>
      <c r="I203"/>
      <c r="J203"/>
      <c r="K203"/>
      <c r="L203"/>
      <c r="M203"/>
      <c r="N203"/>
      <c r="O203"/>
      <c r="P203"/>
    </row>
    <row r="204" spans="2:16">
      <c r="B204"/>
      <c r="C204"/>
      <c r="D204"/>
      <c r="E204"/>
      <c r="F204"/>
      <c r="G204"/>
      <c r="H204"/>
      <c r="I204"/>
      <c r="J204"/>
      <c r="K204"/>
      <c r="L204"/>
      <c r="M204"/>
      <c r="N204"/>
      <c r="O204"/>
      <c r="P204"/>
    </row>
    <row r="205" spans="2:16">
      <c r="B205"/>
      <c r="C205"/>
      <c r="D205"/>
      <c r="E205"/>
      <c r="F205"/>
      <c r="G205"/>
      <c r="H205"/>
      <c r="I205"/>
      <c r="J205"/>
      <c r="K205"/>
      <c r="L205"/>
      <c r="M205"/>
      <c r="N205"/>
      <c r="O205"/>
      <c r="P205"/>
    </row>
    <row r="206" spans="2:16">
      <c r="B206"/>
      <c r="C206"/>
      <c r="D206"/>
      <c r="E206"/>
      <c r="F206"/>
      <c r="G206"/>
      <c r="H206"/>
      <c r="I206"/>
      <c r="J206"/>
      <c r="K206"/>
      <c r="L206"/>
      <c r="M206"/>
      <c r="N206"/>
      <c r="O206"/>
      <c r="P206"/>
    </row>
    <row r="207" spans="2:16">
      <c r="B207"/>
      <c r="C207"/>
      <c r="D207"/>
      <c r="E207"/>
      <c r="F207"/>
      <c r="G207"/>
      <c r="H207"/>
      <c r="I207"/>
      <c r="J207"/>
      <c r="K207"/>
      <c r="L207"/>
      <c r="M207"/>
      <c r="N207"/>
      <c r="O207"/>
      <c r="P207"/>
    </row>
    <row r="208" spans="2:16">
      <c r="B208"/>
      <c r="C208"/>
      <c r="D208"/>
      <c r="E208"/>
      <c r="F208"/>
      <c r="G208"/>
      <c r="H208"/>
      <c r="I208"/>
      <c r="J208"/>
      <c r="K208"/>
      <c r="L208"/>
      <c r="M208"/>
      <c r="N208"/>
      <c r="O208"/>
      <c r="P208"/>
    </row>
    <row r="209" spans="2:16">
      <c r="B209"/>
      <c r="C209"/>
      <c r="D209"/>
      <c r="E209"/>
      <c r="F209"/>
      <c r="G209"/>
      <c r="H209"/>
      <c r="I209"/>
      <c r="J209"/>
      <c r="K209"/>
      <c r="L209"/>
      <c r="M209"/>
      <c r="N209"/>
      <c r="O209"/>
      <c r="P209"/>
    </row>
    <row r="210" spans="2:16">
      <c r="B210"/>
      <c r="C210"/>
      <c r="D210"/>
      <c r="E210"/>
      <c r="F210"/>
      <c r="G210"/>
      <c r="H210"/>
      <c r="I210"/>
      <c r="J210"/>
      <c r="K210"/>
      <c r="L210"/>
      <c r="M210"/>
      <c r="N210"/>
      <c r="O210"/>
      <c r="P210"/>
    </row>
    <row r="211" spans="2:16">
      <c r="B211"/>
      <c r="C211"/>
      <c r="D211"/>
      <c r="E211"/>
      <c r="F211"/>
      <c r="G211"/>
      <c r="H211"/>
      <c r="I211"/>
      <c r="J211"/>
      <c r="K211"/>
      <c r="L211"/>
      <c r="M211"/>
      <c r="N211"/>
      <c r="O211"/>
      <c r="P211"/>
    </row>
    <row r="212" spans="2:16">
      <c r="B212"/>
      <c r="C212"/>
      <c r="D212"/>
      <c r="E212"/>
      <c r="F212"/>
      <c r="G212"/>
      <c r="H212"/>
      <c r="I212"/>
      <c r="J212"/>
      <c r="K212"/>
      <c r="L212"/>
      <c r="M212"/>
      <c r="N212"/>
      <c r="O212"/>
      <c r="P212"/>
    </row>
    <row r="213" spans="2:16">
      <c r="B213"/>
      <c r="C213"/>
      <c r="D213"/>
      <c r="E213"/>
      <c r="F213"/>
      <c r="G213"/>
      <c r="H213"/>
      <c r="I213"/>
      <c r="J213"/>
      <c r="K213"/>
      <c r="L213"/>
      <c r="M213"/>
      <c r="N213"/>
      <c r="O213"/>
      <c r="P213"/>
    </row>
    <row r="214" spans="2:16">
      <c r="B214"/>
      <c r="C214"/>
      <c r="D214"/>
      <c r="E214"/>
      <c r="F214"/>
      <c r="G214"/>
      <c r="H214"/>
      <c r="I214"/>
      <c r="J214"/>
      <c r="K214"/>
      <c r="L214"/>
      <c r="M214"/>
      <c r="N214"/>
      <c r="O214"/>
      <c r="P214"/>
    </row>
    <row r="215" spans="2:16">
      <c r="B215"/>
      <c r="C215"/>
      <c r="D215"/>
      <c r="E215"/>
      <c r="F215"/>
      <c r="G215"/>
      <c r="H215"/>
      <c r="I215"/>
      <c r="J215"/>
      <c r="K215"/>
      <c r="L215"/>
      <c r="M215"/>
      <c r="N215"/>
      <c r="O215"/>
      <c r="P215"/>
    </row>
    <row r="216" spans="2:16">
      <c r="B216"/>
      <c r="C216"/>
      <c r="D216"/>
      <c r="E216"/>
      <c r="F216"/>
      <c r="G216"/>
      <c r="H216"/>
      <c r="I216"/>
      <c r="J216"/>
      <c r="K216"/>
      <c r="L216"/>
      <c r="M216"/>
      <c r="N216"/>
      <c r="O216"/>
      <c r="P216"/>
    </row>
    <row r="217" spans="2:16">
      <c r="B217"/>
      <c r="C217"/>
      <c r="D217"/>
      <c r="E217"/>
      <c r="F217"/>
      <c r="G217"/>
      <c r="H217"/>
      <c r="I217"/>
      <c r="J217"/>
      <c r="K217"/>
      <c r="L217"/>
      <c r="M217"/>
      <c r="N217"/>
      <c r="O217"/>
      <c r="P217"/>
    </row>
    <row r="218" spans="2:16">
      <c r="B218"/>
      <c r="C218"/>
      <c r="D218"/>
      <c r="E218"/>
      <c r="F218"/>
      <c r="G218"/>
      <c r="H218"/>
      <c r="I218"/>
      <c r="J218"/>
      <c r="K218"/>
      <c r="L218"/>
      <c r="M218"/>
      <c r="N218"/>
      <c r="O218"/>
      <c r="P218"/>
    </row>
    <row r="219" spans="2:16">
      <c r="B219"/>
      <c r="C219"/>
      <c r="D219"/>
      <c r="E219"/>
      <c r="F219"/>
      <c r="G219"/>
      <c r="H219"/>
      <c r="I219"/>
      <c r="J219"/>
      <c r="K219"/>
      <c r="L219"/>
      <c r="M219"/>
      <c r="N219"/>
      <c r="O219"/>
      <c r="P219"/>
    </row>
    <row r="220" spans="2:16">
      <c r="B220"/>
      <c r="C220"/>
      <c r="D220"/>
      <c r="E220"/>
      <c r="F220"/>
      <c r="G220"/>
      <c r="H220"/>
      <c r="I220"/>
      <c r="J220"/>
      <c r="K220"/>
      <c r="L220"/>
      <c r="M220"/>
      <c r="N220"/>
      <c r="O220"/>
      <c r="P220"/>
    </row>
    <row r="221" spans="2:16">
      <c r="B221"/>
      <c r="C221"/>
      <c r="D221"/>
      <c r="E221"/>
      <c r="F221"/>
      <c r="G221"/>
      <c r="H221"/>
      <c r="I221"/>
      <c r="J221"/>
      <c r="K221"/>
      <c r="L221"/>
      <c r="M221"/>
      <c r="N221"/>
      <c r="O221"/>
      <c r="P221"/>
    </row>
    <row r="222" spans="2:16">
      <c r="B222"/>
      <c r="C222"/>
      <c r="D222"/>
      <c r="E222"/>
      <c r="F222"/>
      <c r="G222"/>
      <c r="H222"/>
      <c r="I222"/>
      <c r="J222"/>
      <c r="K222"/>
      <c r="L222"/>
      <c r="M222"/>
      <c r="N222"/>
      <c r="O222"/>
      <c r="P222"/>
    </row>
    <row r="223" spans="2:16">
      <c r="B223"/>
      <c r="C223"/>
      <c r="D223"/>
      <c r="E223"/>
      <c r="F223"/>
      <c r="G223"/>
      <c r="H223"/>
      <c r="I223"/>
      <c r="J223"/>
      <c r="K223"/>
      <c r="L223"/>
      <c r="M223"/>
      <c r="N223"/>
      <c r="O223"/>
      <c r="P223"/>
    </row>
    <row r="224" spans="2:16">
      <c r="B224"/>
      <c r="C224"/>
      <c r="D224"/>
      <c r="E224"/>
      <c r="F224"/>
      <c r="G224"/>
      <c r="H224"/>
      <c r="I224"/>
      <c r="J224"/>
      <c r="K224"/>
      <c r="L224"/>
      <c r="M224"/>
      <c r="N224"/>
      <c r="O224"/>
      <c r="P224"/>
    </row>
    <row r="225" spans="2:16">
      <c r="B225"/>
      <c r="C225"/>
      <c r="D225"/>
      <c r="E225"/>
      <c r="F225"/>
      <c r="G225"/>
      <c r="H225"/>
      <c r="I225"/>
      <c r="J225"/>
      <c r="K225"/>
      <c r="L225"/>
      <c r="M225"/>
      <c r="N225"/>
      <c r="O225"/>
      <c r="P225"/>
    </row>
    <row r="226" spans="2:16">
      <c r="B226"/>
      <c r="C226"/>
      <c r="D226"/>
      <c r="E226"/>
      <c r="F226"/>
      <c r="G226"/>
      <c r="H226"/>
      <c r="I226"/>
      <c r="J226"/>
      <c r="K226"/>
      <c r="L226"/>
      <c r="M226"/>
      <c r="N226"/>
      <c r="O226"/>
      <c r="P226"/>
    </row>
    <row r="227" spans="2:16">
      <c r="B227"/>
      <c r="C227"/>
      <c r="D227"/>
      <c r="E227"/>
      <c r="F227"/>
      <c r="G227"/>
      <c r="H227"/>
      <c r="I227"/>
      <c r="J227"/>
      <c r="K227"/>
      <c r="L227"/>
      <c r="M227"/>
      <c r="N227"/>
      <c r="O227"/>
      <c r="P227"/>
    </row>
    <row r="228" spans="2:16">
      <c r="B228"/>
      <c r="C228"/>
      <c r="D228"/>
      <c r="E228"/>
      <c r="F228"/>
      <c r="G228"/>
      <c r="H228"/>
      <c r="I228"/>
      <c r="J228"/>
      <c r="K228"/>
      <c r="L228"/>
      <c r="M228"/>
      <c r="N228"/>
      <c r="O228"/>
      <c r="P228"/>
    </row>
    <row r="229" spans="2:16">
      <c r="B229"/>
      <c r="C229"/>
      <c r="D229"/>
      <c r="E229"/>
      <c r="F229"/>
      <c r="G229"/>
      <c r="H229"/>
      <c r="I229"/>
      <c r="J229"/>
      <c r="K229"/>
      <c r="L229"/>
      <c r="M229"/>
      <c r="N229"/>
      <c r="O229"/>
      <c r="P229"/>
    </row>
    <row r="230" spans="2:16">
      <c r="B230"/>
      <c r="C230"/>
      <c r="D230"/>
      <c r="E230"/>
      <c r="F230"/>
      <c r="G230"/>
      <c r="H230"/>
      <c r="I230"/>
      <c r="J230"/>
      <c r="K230"/>
      <c r="L230"/>
      <c r="M230"/>
      <c r="N230"/>
      <c r="O230"/>
      <c r="P230"/>
    </row>
    <row r="231" spans="2:16">
      <c r="B231"/>
      <c r="C231"/>
      <c r="D231"/>
      <c r="E231"/>
      <c r="F231"/>
      <c r="G231"/>
      <c r="H231"/>
      <c r="I231"/>
      <c r="J231"/>
      <c r="K231"/>
      <c r="L231"/>
      <c r="M231"/>
      <c r="N231"/>
      <c r="O231"/>
      <c r="P231"/>
    </row>
    <row r="232" spans="2:16">
      <c r="B232"/>
      <c r="C232"/>
      <c r="D232"/>
      <c r="E232"/>
      <c r="F232"/>
      <c r="G232"/>
      <c r="H232"/>
      <c r="I232"/>
      <c r="J232"/>
      <c r="K232"/>
      <c r="L232"/>
      <c r="M232"/>
      <c r="N232"/>
      <c r="O232"/>
      <c r="P232"/>
    </row>
    <row r="233" spans="2:16">
      <c r="B233"/>
      <c r="C233"/>
      <c r="D233"/>
      <c r="E233"/>
      <c r="F233"/>
      <c r="G233"/>
      <c r="H233"/>
      <c r="I233"/>
      <c r="J233"/>
      <c r="K233"/>
      <c r="L233"/>
      <c r="M233"/>
      <c r="N233"/>
      <c r="O233"/>
      <c r="P233"/>
    </row>
    <row r="234" spans="2:16">
      <c r="B234"/>
      <c r="C234"/>
      <c r="D234"/>
      <c r="E234"/>
      <c r="F234"/>
      <c r="G234"/>
      <c r="H234"/>
      <c r="I234"/>
      <c r="J234"/>
      <c r="K234"/>
      <c r="L234"/>
      <c r="M234"/>
      <c r="N234"/>
      <c r="O234"/>
      <c r="P234"/>
    </row>
    <row r="235" spans="2:16">
      <c r="B235"/>
      <c r="C235"/>
      <c r="D235"/>
      <c r="E235"/>
      <c r="F235"/>
      <c r="G235"/>
      <c r="H235"/>
      <c r="I235"/>
      <c r="J235"/>
      <c r="K235"/>
      <c r="L235"/>
      <c r="M235"/>
      <c r="N235"/>
      <c r="O235"/>
      <c r="P235"/>
    </row>
    <row r="236" spans="2:16">
      <c r="B236"/>
      <c r="C236"/>
      <c r="D236"/>
      <c r="E236"/>
      <c r="F236"/>
      <c r="G236"/>
      <c r="H236"/>
      <c r="I236"/>
      <c r="J236"/>
      <c r="K236"/>
      <c r="L236"/>
      <c r="M236"/>
      <c r="N236"/>
      <c r="O236"/>
      <c r="P236"/>
    </row>
    <row r="237" spans="2:16">
      <c r="B237"/>
      <c r="C237"/>
      <c r="D237"/>
      <c r="E237"/>
      <c r="F237"/>
      <c r="G237"/>
      <c r="H237"/>
      <c r="I237"/>
      <c r="J237"/>
      <c r="K237"/>
      <c r="L237"/>
      <c r="M237"/>
      <c r="N237"/>
      <c r="O237"/>
      <c r="P237"/>
    </row>
    <row r="238" spans="2:16">
      <c r="B238"/>
      <c r="C238"/>
      <c r="D238"/>
      <c r="E238"/>
      <c r="F238"/>
      <c r="G238"/>
      <c r="H238"/>
      <c r="I238"/>
      <c r="J238"/>
      <c r="K238"/>
      <c r="L238"/>
      <c r="M238"/>
      <c r="N238"/>
      <c r="O238"/>
      <c r="P238"/>
    </row>
    <row r="239" spans="2:16">
      <c r="B239"/>
      <c r="C239"/>
      <c r="D239"/>
      <c r="E239"/>
      <c r="F239"/>
      <c r="G239"/>
      <c r="H239"/>
      <c r="I239"/>
      <c r="J239"/>
      <c r="K239"/>
      <c r="L239"/>
      <c r="M239"/>
      <c r="N239"/>
      <c r="O239"/>
      <c r="P239"/>
    </row>
    <row r="240" spans="2:16">
      <c r="B240"/>
      <c r="C240"/>
      <c r="D240"/>
      <c r="E240"/>
      <c r="F240"/>
      <c r="G240"/>
      <c r="H240"/>
      <c r="I240"/>
      <c r="J240"/>
      <c r="K240"/>
      <c r="L240"/>
      <c r="M240"/>
      <c r="N240"/>
      <c r="O240"/>
      <c r="P240"/>
    </row>
    <row r="241" spans="2:16">
      <c r="B241"/>
      <c r="C241"/>
      <c r="D241"/>
      <c r="E241"/>
      <c r="F241"/>
      <c r="G241"/>
      <c r="H241"/>
      <c r="I241"/>
      <c r="J241"/>
      <c r="K241"/>
      <c r="L241"/>
      <c r="M241"/>
      <c r="N241"/>
      <c r="O241"/>
      <c r="P241"/>
    </row>
    <row r="242" spans="2:16">
      <c r="B242"/>
      <c r="C242"/>
      <c r="D242"/>
      <c r="E242"/>
      <c r="F242"/>
      <c r="G242"/>
      <c r="H242"/>
      <c r="I242"/>
      <c r="J242"/>
      <c r="K242"/>
      <c r="L242"/>
      <c r="M242"/>
      <c r="N242"/>
      <c r="O242"/>
      <c r="P242"/>
    </row>
    <row r="243" spans="2:16">
      <c r="B243"/>
      <c r="C243"/>
      <c r="D243"/>
      <c r="E243"/>
      <c r="F243"/>
      <c r="G243"/>
      <c r="H243"/>
      <c r="I243"/>
      <c r="J243"/>
      <c r="K243"/>
      <c r="L243"/>
      <c r="M243"/>
      <c r="N243"/>
      <c r="O243"/>
      <c r="P243"/>
    </row>
    <row r="244" spans="2:16">
      <c r="B244"/>
      <c r="C244"/>
      <c r="D244"/>
      <c r="E244"/>
      <c r="F244"/>
      <c r="G244"/>
      <c r="H244"/>
      <c r="I244"/>
      <c r="J244"/>
      <c r="K244"/>
      <c r="L244"/>
      <c r="M244"/>
      <c r="N244"/>
      <c r="O244"/>
      <c r="P244"/>
    </row>
    <row r="245" spans="2:16">
      <c r="B245"/>
      <c r="C245"/>
      <c r="D245"/>
      <c r="E245"/>
      <c r="F245"/>
      <c r="G245"/>
      <c r="H245"/>
      <c r="I245"/>
      <c r="J245"/>
      <c r="K245"/>
      <c r="L245"/>
      <c r="M245"/>
      <c r="N245"/>
      <c r="O245"/>
      <c r="P245"/>
    </row>
    <row r="246" spans="2:16">
      <c r="B246"/>
      <c r="C246"/>
      <c r="D246"/>
      <c r="E246"/>
      <c r="F246"/>
      <c r="G246"/>
      <c r="H246"/>
      <c r="I246"/>
      <c r="J246"/>
      <c r="K246"/>
      <c r="L246"/>
      <c r="M246"/>
      <c r="N246"/>
      <c r="O246"/>
      <c r="P246"/>
    </row>
    <row r="247" spans="2:16">
      <c r="B247"/>
      <c r="C247"/>
      <c r="D247"/>
      <c r="E247"/>
      <c r="F247"/>
      <c r="G247"/>
      <c r="H247"/>
      <c r="I247"/>
      <c r="J247"/>
      <c r="K247"/>
      <c r="L247"/>
      <c r="M247"/>
      <c r="N247"/>
      <c r="O247"/>
      <c r="P247"/>
    </row>
    <row r="248" spans="2:16">
      <c r="B248"/>
      <c r="C248"/>
      <c r="D248"/>
      <c r="E248"/>
      <c r="F248"/>
      <c r="G248"/>
      <c r="H248"/>
      <c r="I248"/>
      <c r="J248"/>
      <c r="K248"/>
      <c r="L248"/>
      <c r="M248"/>
      <c r="N248"/>
      <c r="O248"/>
      <c r="P248"/>
    </row>
    <row r="249" spans="2:16">
      <c r="B249"/>
      <c r="C249"/>
      <c r="D249"/>
      <c r="E249"/>
      <c r="F249"/>
      <c r="G249"/>
      <c r="H249"/>
      <c r="I249"/>
      <c r="J249"/>
      <c r="K249"/>
      <c r="L249"/>
      <c r="M249"/>
      <c r="N249"/>
      <c r="O249"/>
      <c r="P249"/>
    </row>
    <row r="250" spans="2:16">
      <c r="B250"/>
      <c r="C250"/>
      <c r="D250"/>
      <c r="E250"/>
      <c r="F250"/>
      <c r="G250"/>
      <c r="H250"/>
      <c r="I250"/>
      <c r="J250"/>
      <c r="K250"/>
      <c r="L250"/>
      <c r="M250"/>
      <c r="N250"/>
      <c r="O250"/>
      <c r="P250"/>
    </row>
    <row r="251" spans="2:16">
      <c r="B251"/>
      <c r="C251"/>
      <c r="D251"/>
      <c r="E251"/>
      <c r="F251"/>
      <c r="G251"/>
      <c r="H251"/>
      <c r="I251"/>
      <c r="J251"/>
      <c r="K251"/>
      <c r="L251"/>
      <c r="M251"/>
      <c r="N251"/>
      <c r="O251"/>
      <c r="P251"/>
    </row>
    <row r="252" spans="2:16">
      <c r="B252"/>
      <c r="C252"/>
      <c r="D252"/>
      <c r="E252"/>
      <c r="F252"/>
      <c r="G252"/>
      <c r="H252"/>
      <c r="I252"/>
      <c r="J252"/>
      <c r="K252"/>
      <c r="L252"/>
      <c r="M252"/>
      <c r="N252"/>
      <c r="O252"/>
      <c r="P252"/>
    </row>
    <row r="253" spans="2:16">
      <c r="B253"/>
      <c r="C253"/>
      <c r="D253"/>
      <c r="E253"/>
      <c r="F253"/>
      <c r="G253"/>
      <c r="H253"/>
      <c r="I253"/>
      <c r="J253"/>
      <c r="K253"/>
      <c r="L253"/>
      <c r="M253"/>
      <c r="N253"/>
      <c r="O253"/>
      <c r="P253"/>
    </row>
    <row r="254" spans="2:16">
      <c r="B254"/>
      <c r="C254"/>
      <c r="D254"/>
      <c r="E254"/>
      <c r="F254"/>
      <c r="G254"/>
      <c r="H254"/>
      <c r="I254"/>
      <c r="J254"/>
      <c r="K254"/>
      <c r="L254"/>
      <c r="M254"/>
      <c r="N254"/>
      <c r="O254"/>
      <c r="P254"/>
    </row>
    <row r="255" spans="2:16">
      <c r="B255"/>
      <c r="C255"/>
      <c r="D255"/>
      <c r="E255"/>
      <c r="F255"/>
      <c r="G255"/>
      <c r="H255"/>
      <c r="I255"/>
      <c r="J255"/>
      <c r="K255"/>
      <c r="L255"/>
      <c r="M255"/>
      <c r="N255"/>
      <c r="O255"/>
      <c r="P255"/>
    </row>
    <row r="256" spans="2:16">
      <c r="B256"/>
      <c r="C256"/>
      <c r="D256"/>
      <c r="E256"/>
      <c r="F256"/>
      <c r="G256"/>
      <c r="H256"/>
      <c r="I256"/>
      <c r="J256"/>
      <c r="K256"/>
      <c r="L256"/>
      <c r="M256"/>
      <c r="N256"/>
      <c r="O256"/>
      <c r="P256"/>
    </row>
    <row r="257" spans="2:16">
      <c r="B257"/>
      <c r="C257"/>
      <c r="D257"/>
      <c r="E257"/>
      <c r="F257"/>
      <c r="G257"/>
      <c r="H257"/>
      <c r="I257"/>
      <c r="J257"/>
      <c r="K257"/>
      <c r="L257"/>
      <c r="M257"/>
      <c r="N257"/>
      <c r="O257"/>
      <c r="P257"/>
    </row>
    <row r="258" spans="2:16">
      <c r="B258"/>
      <c r="C258"/>
      <c r="D258"/>
      <c r="E258"/>
      <c r="F258"/>
      <c r="G258"/>
      <c r="H258"/>
      <c r="I258"/>
      <c r="J258"/>
      <c r="K258"/>
      <c r="L258"/>
      <c r="M258"/>
      <c r="N258"/>
      <c r="O258"/>
      <c r="P258"/>
    </row>
    <row r="259" spans="2:16">
      <c r="B259"/>
      <c r="C259"/>
      <c r="D259"/>
      <c r="E259"/>
      <c r="F259"/>
      <c r="G259"/>
      <c r="H259"/>
      <c r="I259"/>
      <c r="J259"/>
      <c r="K259"/>
      <c r="L259"/>
      <c r="M259"/>
      <c r="N259"/>
      <c r="O259"/>
      <c r="P259"/>
    </row>
    <row r="260" spans="2:16">
      <c r="B260"/>
      <c r="C260"/>
      <c r="D260"/>
      <c r="E260"/>
      <c r="F260"/>
      <c r="G260"/>
      <c r="H260"/>
      <c r="I260"/>
      <c r="J260"/>
      <c r="K260"/>
      <c r="L260"/>
      <c r="M260"/>
      <c r="N260"/>
      <c r="O260"/>
      <c r="P260"/>
    </row>
    <row r="261" spans="2:16">
      <c r="B261"/>
      <c r="C261"/>
      <c r="D261"/>
      <c r="E261"/>
      <c r="F261"/>
      <c r="G261"/>
      <c r="H261"/>
      <c r="I261"/>
      <c r="J261"/>
      <c r="K261"/>
      <c r="L261"/>
      <c r="M261"/>
      <c r="N261"/>
      <c r="O261"/>
      <c r="P261"/>
    </row>
    <row r="262" spans="2:16">
      <c r="B262"/>
      <c r="C262"/>
      <c r="D262"/>
      <c r="E262"/>
      <c r="F262"/>
      <c r="G262"/>
      <c r="H262"/>
      <c r="I262"/>
      <c r="J262"/>
      <c r="K262"/>
      <c r="L262"/>
      <c r="M262"/>
      <c r="N262"/>
      <c r="O262"/>
      <c r="P262"/>
    </row>
    <row r="263" spans="2:16">
      <c r="B263"/>
      <c r="C263"/>
      <c r="D263"/>
      <c r="E263"/>
      <c r="F263"/>
      <c r="G263"/>
      <c r="H263"/>
      <c r="I263"/>
      <c r="J263"/>
      <c r="K263"/>
      <c r="L263"/>
      <c r="M263"/>
      <c r="N263"/>
      <c r="O263"/>
      <c r="P263"/>
    </row>
    <row r="264" spans="2:16">
      <c r="B264"/>
      <c r="C264"/>
      <c r="D264"/>
      <c r="E264"/>
      <c r="F264"/>
      <c r="G264"/>
      <c r="H264"/>
      <c r="I264"/>
      <c r="J264"/>
      <c r="K264"/>
      <c r="L264"/>
      <c r="M264"/>
      <c r="N264"/>
      <c r="O264"/>
      <c r="P264"/>
    </row>
    <row r="265" spans="2:16">
      <c r="B265"/>
      <c r="C265"/>
      <c r="D265"/>
      <c r="E265"/>
      <c r="F265"/>
      <c r="G265"/>
      <c r="H265"/>
      <c r="I265"/>
      <c r="J265"/>
      <c r="K265"/>
      <c r="L265"/>
      <c r="M265"/>
      <c r="N265"/>
      <c r="O265"/>
      <c r="P265"/>
    </row>
    <row r="266" spans="2:16">
      <c r="B266"/>
      <c r="C266"/>
      <c r="D266"/>
      <c r="E266"/>
      <c r="F266"/>
      <c r="G266"/>
      <c r="H266"/>
      <c r="I266"/>
      <c r="J266"/>
      <c r="K266"/>
      <c r="L266"/>
      <c r="M266"/>
      <c r="N266"/>
      <c r="O266"/>
      <c r="P266"/>
    </row>
    <row r="267" spans="2:16">
      <c r="B267"/>
      <c r="C267"/>
      <c r="D267"/>
      <c r="E267"/>
      <c r="F267"/>
      <c r="G267"/>
      <c r="H267"/>
      <c r="I267"/>
      <c r="J267"/>
      <c r="K267"/>
      <c r="L267"/>
      <c r="M267"/>
      <c r="N267"/>
      <c r="O267"/>
      <c r="P267"/>
    </row>
    <row r="268" spans="2:16">
      <c r="B268"/>
      <c r="C268"/>
      <c r="D268"/>
      <c r="E268"/>
      <c r="F268"/>
      <c r="G268"/>
      <c r="H268"/>
      <c r="I268"/>
      <c r="J268"/>
      <c r="K268"/>
      <c r="L268"/>
      <c r="M268"/>
      <c r="N268"/>
      <c r="O268"/>
      <c r="P268"/>
    </row>
    <row r="269" spans="2:16">
      <c r="B269"/>
      <c r="C269"/>
      <c r="D269"/>
      <c r="E269"/>
      <c r="F269"/>
      <c r="G269"/>
      <c r="H269"/>
      <c r="I269"/>
      <c r="J269"/>
      <c r="K269"/>
      <c r="L269"/>
      <c r="M269"/>
      <c r="N269"/>
      <c r="O269"/>
      <c r="P269"/>
    </row>
    <row r="270" spans="2:16">
      <c r="B270"/>
      <c r="C270"/>
      <c r="D270"/>
      <c r="E270"/>
      <c r="F270"/>
      <c r="G270"/>
      <c r="H270"/>
      <c r="I270"/>
      <c r="J270"/>
      <c r="K270"/>
      <c r="L270"/>
      <c r="M270"/>
      <c r="N270"/>
      <c r="O270"/>
      <c r="P270"/>
    </row>
    <row r="271" spans="2:16">
      <c r="B271"/>
      <c r="C271"/>
      <c r="D271"/>
      <c r="E271"/>
      <c r="F271"/>
      <c r="G271"/>
      <c r="H271"/>
      <c r="I271"/>
      <c r="J271"/>
      <c r="K271"/>
      <c r="L271"/>
      <c r="M271"/>
      <c r="N271"/>
      <c r="O271"/>
      <c r="P271"/>
    </row>
    <row r="272" spans="2:16">
      <c r="B272"/>
      <c r="C272"/>
      <c r="D272"/>
      <c r="E272"/>
      <c r="F272"/>
      <c r="G272"/>
      <c r="H272"/>
      <c r="I272"/>
      <c r="J272"/>
      <c r="K272"/>
      <c r="L272"/>
      <c r="M272"/>
      <c r="N272"/>
      <c r="O272"/>
      <c r="P272"/>
    </row>
    <row r="273" spans="2:16">
      <c r="B273"/>
      <c r="C273"/>
      <c r="D273"/>
      <c r="E273"/>
      <c r="F273"/>
      <c r="G273"/>
      <c r="H273"/>
      <c r="I273"/>
      <c r="J273"/>
      <c r="K273"/>
      <c r="L273"/>
      <c r="M273"/>
      <c r="N273"/>
      <c r="O273"/>
      <c r="P273"/>
    </row>
    <row r="274" spans="2:16">
      <c r="B274"/>
      <c r="C274"/>
      <c r="D274"/>
      <c r="E274"/>
      <c r="F274"/>
      <c r="G274"/>
      <c r="H274"/>
      <c r="I274"/>
      <c r="J274"/>
      <c r="K274"/>
      <c r="L274"/>
      <c r="M274"/>
      <c r="N274"/>
      <c r="O274"/>
      <c r="P274"/>
    </row>
    <row r="275" spans="2:16">
      <c r="B275"/>
      <c r="C275"/>
      <c r="D275"/>
      <c r="E275"/>
      <c r="F275"/>
      <c r="G275"/>
      <c r="H275"/>
      <c r="I275"/>
      <c r="J275"/>
      <c r="K275"/>
      <c r="L275"/>
      <c r="M275"/>
      <c r="N275"/>
      <c r="O275"/>
      <c r="P275"/>
    </row>
    <row r="276" spans="2:16">
      <c r="B276"/>
      <c r="C276"/>
      <c r="D276"/>
      <c r="E276"/>
      <c r="F276"/>
      <c r="G276"/>
      <c r="H276"/>
      <c r="I276"/>
      <c r="J276"/>
      <c r="K276"/>
      <c r="L276"/>
      <c r="M276"/>
      <c r="N276"/>
      <c r="O276"/>
      <c r="P276"/>
    </row>
    <row r="277" spans="2:16">
      <c r="B277"/>
      <c r="C277"/>
      <c r="D277"/>
      <c r="E277"/>
      <c r="F277"/>
      <c r="G277"/>
      <c r="H277"/>
      <c r="I277"/>
      <c r="J277"/>
      <c r="K277"/>
      <c r="L277"/>
      <c r="M277"/>
      <c r="N277"/>
      <c r="O277"/>
      <c r="P277"/>
    </row>
    <row r="278" spans="2:16">
      <c r="B278"/>
      <c r="C278"/>
      <c r="D278"/>
      <c r="E278"/>
      <c r="F278"/>
      <c r="G278"/>
      <c r="H278"/>
      <c r="I278"/>
      <c r="J278"/>
      <c r="K278"/>
      <c r="L278"/>
      <c r="M278"/>
      <c r="N278"/>
      <c r="O278"/>
      <c r="P278"/>
    </row>
    <row r="279" spans="2:16">
      <c r="B279"/>
      <c r="C279"/>
      <c r="D279"/>
      <c r="E279"/>
      <c r="F279"/>
      <c r="G279"/>
      <c r="H279"/>
      <c r="I279"/>
      <c r="J279"/>
      <c r="K279"/>
      <c r="L279"/>
      <c r="M279"/>
      <c r="N279"/>
      <c r="O279"/>
      <c r="P279"/>
    </row>
    <row r="280" spans="2:16">
      <c r="B280"/>
      <c r="C280"/>
      <c r="D280"/>
      <c r="E280"/>
      <c r="F280"/>
      <c r="G280"/>
      <c r="H280"/>
      <c r="I280"/>
      <c r="J280"/>
      <c r="K280"/>
      <c r="L280"/>
      <c r="M280"/>
      <c r="N280"/>
      <c r="O280"/>
      <c r="P280"/>
    </row>
    <row r="281" spans="2:16">
      <c r="B281"/>
      <c r="C281"/>
      <c r="D281"/>
      <c r="E281"/>
      <c r="F281"/>
      <c r="G281"/>
      <c r="H281"/>
      <c r="I281"/>
      <c r="J281"/>
      <c r="K281"/>
      <c r="L281"/>
      <c r="M281"/>
      <c r="N281"/>
      <c r="O281"/>
      <c r="P281"/>
    </row>
    <row r="282" spans="2:16">
      <c r="B282"/>
      <c r="C282"/>
      <c r="D282"/>
      <c r="E282"/>
      <c r="F282"/>
      <c r="G282"/>
      <c r="H282"/>
      <c r="I282"/>
      <c r="J282"/>
      <c r="K282"/>
      <c r="L282"/>
      <c r="M282"/>
      <c r="N282"/>
      <c r="O282"/>
      <c r="P282"/>
    </row>
    <row r="283" spans="2:16">
      <c r="B283"/>
      <c r="C283"/>
      <c r="D283"/>
      <c r="E283"/>
      <c r="F283"/>
      <c r="G283"/>
      <c r="H283"/>
      <c r="I283"/>
      <c r="J283"/>
      <c r="K283"/>
      <c r="L283"/>
      <c r="M283"/>
      <c r="N283"/>
      <c r="O283"/>
      <c r="P283"/>
    </row>
    <row r="284" spans="2:16">
      <c r="B284"/>
      <c r="C284"/>
      <c r="D284"/>
      <c r="E284"/>
      <c r="F284"/>
      <c r="G284"/>
      <c r="H284"/>
      <c r="I284"/>
      <c r="J284"/>
      <c r="K284"/>
      <c r="L284"/>
      <c r="M284"/>
      <c r="N284"/>
      <c r="O284"/>
      <c r="P284"/>
    </row>
    <row r="285" spans="2:16">
      <c r="B285"/>
      <c r="C285"/>
      <c r="D285"/>
      <c r="E285"/>
      <c r="F285"/>
      <c r="G285"/>
      <c r="H285"/>
      <c r="I285"/>
      <c r="J285"/>
      <c r="K285"/>
      <c r="L285"/>
      <c r="M285"/>
      <c r="N285"/>
      <c r="O285"/>
      <c r="P285"/>
    </row>
    <row r="286" spans="2:16">
      <c r="B286"/>
      <c r="C286"/>
      <c r="D286"/>
      <c r="E286"/>
      <c r="F286"/>
      <c r="G286"/>
      <c r="H286"/>
      <c r="I286"/>
      <c r="J286"/>
      <c r="K286"/>
      <c r="L286"/>
      <c r="M286"/>
      <c r="N286"/>
      <c r="O286"/>
      <c r="P286"/>
    </row>
    <row r="287" spans="2:16">
      <c r="B287"/>
      <c r="C287"/>
      <c r="D287"/>
      <c r="E287"/>
      <c r="F287"/>
      <c r="G287"/>
      <c r="H287"/>
      <c r="I287"/>
      <c r="J287"/>
      <c r="K287"/>
      <c r="L287"/>
      <c r="M287"/>
      <c r="N287"/>
      <c r="O287"/>
      <c r="P287"/>
    </row>
    <row r="288" spans="2:16">
      <c r="B288"/>
      <c r="C288"/>
      <c r="D288"/>
      <c r="E288"/>
      <c r="F288"/>
      <c r="G288"/>
      <c r="H288"/>
      <c r="I288"/>
      <c r="J288"/>
      <c r="K288"/>
      <c r="L288"/>
      <c r="M288"/>
      <c r="N288"/>
      <c r="O288"/>
      <c r="P288"/>
    </row>
    <row r="289" spans="2:16">
      <c r="B289"/>
      <c r="C289"/>
      <c r="D289"/>
      <c r="E289"/>
      <c r="F289"/>
      <c r="G289"/>
      <c r="H289"/>
      <c r="I289"/>
      <c r="J289"/>
      <c r="K289"/>
      <c r="L289"/>
      <c r="M289"/>
      <c r="N289"/>
      <c r="O289"/>
      <c r="P289"/>
    </row>
    <row r="290" spans="2:16">
      <c r="B290"/>
      <c r="C290"/>
      <c r="D290"/>
      <c r="E290"/>
      <c r="F290"/>
      <c r="G290"/>
      <c r="H290"/>
      <c r="I290"/>
      <c r="J290"/>
      <c r="K290"/>
      <c r="L290"/>
      <c r="M290"/>
      <c r="N290"/>
      <c r="O290"/>
      <c r="P290"/>
    </row>
    <row r="291" spans="2:16">
      <c r="B291"/>
      <c r="C291"/>
      <c r="D291"/>
      <c r="E291"/>
      <c r="F291"/>
      <c r="G291"/>
      <c r="H291"/>
      <c r="I291"/>
      <c r="J291"/>
      <c r="K291"/>
      <c r="L291"/>
      <c r="M291"/>
      <c r="N291"/>
      <c r="O291"/>
      <c r="P291"/>
    </row>
    <row r="292" spans="2:16">
      <c r="B292"/>
      <c r="C292"/>
      <c r="D292"/>
      <c r="E292"/>
      <c r="F292"/>
      <c r="G292"/>
      <c r="H292"/>
      <c r="I292"/>
      <c r="J292"/>
      <c r="K292"/>
      <c r="L292"/>
      <c r="M292"/>
      <c r="N292"/>
      <c r="O292"/>
      <c r="P292"/>
    </row>
    <row r="293" spans="2:16">
      <c r="B293"/>
      <c r="C293"/>
      <c r="D293"/>
      <c r="E293"/>
      <c r="F293"/>
      <c r="G293"/>
      <c r="H293"/>
      <c r="I293"/>
      <c r="J293"/>
      <c r="K293"/>
      <c r="L293"/>
      <c r="M293"/>
      <c r="N293"/>
      <c r="O293"/>
      <c r="P293"/>
    </row>
    <row r="294" spans="2:16">
      <c r="B294"/>
      <c r="C294"/>
      <c r="D294"/>
      <c r="E294"/>
      <c r="F294"/>
      <c r="G294"/>
      <c r="H294"/>
      <c r="I294"/>
      <c r="J294"/>
      <c r="K294"/>
      <c r="L294"/>
      <c r="M294"/>
      <c r="N294"/>
      <c r="O294"/>
      <c r="P294"/>
    </row>
    <row r="295" spans="2:16">
      <c r="B295"/>
      <c r="C295"/>
      <c r="D295"/>
      <c r="E295"/>
      <c r="F295"/>
      <c r="G295"/>
      <c r="H295"/>
      <c r="I295"/>
      <c r="J295"/>
      <c r="K295"/>
      <c r="L295"/>
      <c r="M295"/>
      <c r="N295"/>
      <c r="O295"/>
      <c r="P295"/>
    </row>
    <row r="296" spans="2:16">
      <c r="B296"/>
      <c r="C296"/>
      <c r="D296"/>
      <c r="E296"/>
      <c r="F296"/>
      <c r="G296"/>
      <c r="H296"/>
      <c r="I296"/>
      <c r="J296"/>
      <c r="K296"/>
      <c r="L296"/>
      <c r="M296"/>
      <c r="N296"/>
      <c r="O296"/>
      <c r="P296"/>
    </row>
    <row r="297" spans="2:16">
      <c r="B297"/>
      <c r="C297"/>
      <c r="D297"/>
      <c r="E297"/>
      <c r="F297"/>
      <c r="G297"/>
      <c r="H297"/>
      <c r="I297"/>
      <c r="J297"/>
      <c r="K297"/>
      <c r="L297"/>
      <c r="M297"/>
      <c r="N297"/>
      <c r="O297"/>
      <c r="P297"/>
    </row>
    <row r="298" spans="2:16">
      <c r="B298"/>
      <c r="C298"/>
      <c r="D298"/>
      <c r="E298"/>
      <c r="F298"/>
      <c r="G298"/>
      <c r="H298"/>
      <c r="I298"/>
      <c r="J298"/>
      <c r="K298"/>
      <c r="L298"/>
      <c r="M298"/>
      <c r="N298"/>
      <c r="O298"/>
      <c r="P298"/>
    </row>
    <row r="299" spans="2:16">
      <c r="B299"/>
      <c r="C299"/>
      <c r="D299"/>
      <c r="E299"/>
      <c r="F299"/>
      <c r="G299"/>
      <c r="H299"/>
      <c r="I299"/>
      <c r="J299"/>
      <c r="K299"/>
      <c r="L299"/>
      <c r="M299"/>
      <c r="N299"/>
      <c r="O299"/>
      <c r="P299"/>
    </row>
    <row r="300" spans="2:16">
      <c r="B300"/>
      <c r="C300"/>
      <c r="D300"/>
      <c r="E300"/>
      <c r="F300"/>
      <c r="G300"/>
      <c r="H300"/>
      <c r="I300"/>
      <c r="J300"/>
      <c r="K300"/>
      <c r="L300"/>
      <c r="M300"/>
      <c r="N300"/>
      <c r="O300"/>
      <c r="P300"/>
    </row>
    <row r="301" spans="2:16">
      <c r="B301"/>
      <c r="C301"/>
      <c r="D301"/>
      <c r="E301"/>
      <c r="F301"/>
      <c r="G301"/>
      <c r="H301"/>
      <c r="I301"/>
      <c r="J301"/>
      <c r="K301"/>
      <c r="L301"/>
      <c r="M301"/>
      <c r="N301"/>
      <c r="O301"/>
      <c r="P301"/>
    </row>
    <row r="302" spans="2:16">
      <c r="B302"/>
      <c r="C302"/>
      <c r="D302"/>
      <c r="E302"/>
      <c r="F302"/>
      <c r="G302"/>
      <c r="H302"/>
      <c r="I302"/>
      <c r="J302"/>
      <c r="K302"/>
      <c r="L302"/>
      <c r="M302"/>
      <c r="N302"/>
      <c r="O302"/>
      <c r="P302"/>
    </row>
    <row r="303" spans="2:16">
      <c r="B303"/>
      <c r="C303"/>
      <c r="D303"/>
      <c r="E303"/>
      <c r="F303"/>
      <c r="G303"/>
      <c r="H303"/>
      <c r="I303"/>
      <c r="J303"/>
      <c r="K303"/>
      <c r="L303"/>
      <c r="M303"/>
      <c r="N303"/>
      <c r="O303"/>
      <c r="P303"/>
    </row>
    <row r="304" spans="2:16">
      <c r="B304"/>
      <c r="C304"/>
      <c r="D304"/>
      <c r="E304"/>
      <c r="F304"/>
      <c r="G304"/>
      <c r="H304"/>
      <c r="I304"/>
      <c r="J304"/>
      <c r="K304"/>
      <c r="L304"/>
      <c r="M304"/>
      <c r="N304"/>
      <c r="O304"/>
      <c r="P304"/>
    </row>
    <row r="305" spans="2:16">
      <c r="B305"/>
      <c r="C305"/>
      <c r="D305"/>
      <c r="E305"/>
      <c r="F305"/>
      <c r="G305"/>
      <c r="H305"/>
      <c r="I305"/>
      <c r="J305"/>
      <c r="K305"/>
      <c r="L305"/>
      <c r="M305"/>
      <c r="N305"/>
      <c r="O305"/>
      <c r="P305"/>
    </row>
    <row r="306" spans="2:16">
      <c r="B306"/>
      <c r="C306"/>
      <c r="D306"/>
      <c r="E306"/>
      <c r="F306"/>
      <c r="G306"/>
      <c r="H306"/>
      <c r="I306"/>
      <c r="J306"/>
      <c r="K306"/>
      <c r="L306"/>
      <c r="M306"/>
      <c r="N306"/>
      <c r="O306"/>
      <c r="P306"/>
    </row>
    <row r="307" spans="2:16">
      <c r="B307"/>
      <c r="C307"/>
      <c r="D307"/>
      <c r="E307"/>
      <c r="F307"/>
      <c r="G307"/>
      <c r="H307"/>
      <c r="I307"/>
      <c r="J307"/>
      <c r="K307"/>
      <c r="L307"/>
      <c r="M307"/>
      <c r="N307"/>
      <c r="O307"/>
      <c r="P307"/>
    </row>
    <row r="308" spans="2:16">
      <c r="B308"/>
      <c r="C308"/>
      <c r="D308"/>
      <c r="E308"/>
      <c r="F308"/>
      <c r="G308"/>
      <c r="H308"/>
      <c r="I308"/>
      <c r="J308"/>
      <c r="K308"/>
      <c r="L308"/>
      <c r="M308"/>
      <c r="N308"/>
      <c r="O308"/>
      <c r="P308"/>
    </row>
    <row r="309" spans="2:16">
      <c r="B309"/>
      <c r="C309"/>
      <c r="D309"/>
      <c r="E309"/>
      <c r="F309"/>
      <c r="G309"/>
      <c r="H309"/>
      <c r="I309"/>
      <c r="J309"/>
      <c r="K309"/>
      <c r="L309"/>
      <c r="M309"/>
      <c r="N309"/>
      <c r="O309"/>
      <c r="P309"/>
    </row>
    <row r="310" spans="2:16">
      <c r="B310"/>
      <c r="C310"/>
      <c r="D310"/>
      <c r="E310"/>
      <c r="F310"/>
      <c r="G310"/>
      <c r="H310"/>
      <c r="I310"/>
      <c r="J310"/>
      <c r="K310"/>
      <c r="L310"/>
      <c r="M310"/>
      <c r="N310"/>
      <c r="O310"/>
      <c r="P310"/>
    </row>
    <row r="311" spans="2:16">
      <c r="B311"/>
      <c r="C311"/>
      <c r="D311"/>
      <c r="E311"/>
      <c r="F311"/>
      <c r="G311"/>
      <c r="H311"/>
      <c r="I311"/>
      <c r="J311"/>
      <c r="K311"/>
      <c r="L311"/>
      <c r="M311"/>
      <c r="N311"/>
      <c r="O311"/>
      <c r="P311"/>
    </row>
    <row r="312" spans="2:16">
      <c r="B312"/>
      <c r="C312"/>
      <c r="D312"/>
      <c r="E312"/>
      <c r="F312"/>
      <c r="G312"/>
      <c r="H312"/>
      <c r="I312"/>
      <c r="J312"/>
      <c r="K312"/>
      <c r="L312"/>
      <c r="M312"/>
      <c r="N312"/>
      <c r="O312"/>
      <c r="P312"/>
    </row>
    <row r="313" spans="2:16">
      <c r="B313"/>
      <c r="C313"/>
      <c r="D313"/>
      <c r="E313"/>
      <c r="F313"/>
      <c r="G313"/>
      <c r="H313"/>
      <c r="I313"/>
      <c r="J313"/>
      <c r="K313"/>
      <c r="L313"/>
      <c r="M313"/>
      <c r="N313"/>
      <c r="O313"/>
      <c r="P313"/>
    </row>
    <row r="314" spans="2:16">
      <c r="B314"/>
      <c r="C314"/>
      <c r="D314"/>
      <c r="E314"/>
      <c r="F314"/>
      <c r="G314"/>
      <c r="H314"/>
      <c r="I314"/>
      <c r="J314"/>
      <c r="K314"/>
      <c r="L314"/>
      <c r="M314"/>
      <c r="N314"/>
      <c r="O314"/>
      <c r="P314"/>
    </row>
    <row r="315" spans="2:16">
      <c r="B315"/>
      <c r="C315"/>
      <c r="D315"/>
      <c r="E315"/>
      <c r="F315"/>
      <c r="G315"/>
      <c r="H315"/>
      <c r="I315"/>
      <c r="J315"/>
      <c r="K315"/>
      <c r="L315"/>
      <c r="M315"/>
      <c r="N315"/>
      <c r="O315"/>
      <c r="P315"/>
    </row>
    <row r="316" spans="2:16">
      <c r="B316"/>
      <c r="C316"/>
      <c r="D316"/>
      <c r="E316"/>
      <c r="F316"/>
      <c r="G316"/>
      <c r="H316"/>
      <c r="I316"/>
      <c r="J316"/>
      <c r="K316"/>
      <c r="L316"/>
      <c r="M316"/>
      <c r="N316"/>
      <c r="O316"/>
      <c r="P316"/>
    </row>
    <row r="317" spans="2:16">
      <c r="B317"/>
      <c r="C317"/>
      <c r="D317"/>
      <c r="E317"/>
      <c r="F317"/>
      <c r="G317"/>
      <c r="H317"/>
      <c r="I317"/>
      <c r="J317"/>
      <c r="K317"/>
      <c r="L317"/>
      <c r="M317"/>
      <c r="N317"/>
      <c r="O317"/>
      <c r="P317"/>
    </row>
    <row r="318" spans="2:16">
      <c r="B318"/>
      <c r="C318"/>
      <c r="D318"/>
      <c r="E318"/>
      <c r="F318"/>
      <c r="G318"/>
      <c r="H318"/>
      <c r="I318"/>
      <c r="J318"/>
      <c r="K318"/>
      <c r="L318"/>
      <c r="M318"/>
      <c r="N318"/>
      <c r="O318"/>
      <c r="P318"/>
    </row>
    <row r="319" spans="2:16">
      <c r="B319"/>
      <c r="C319"/>
      <c r="D319"/>
      <c r="E319"/>
      <c r="F319"/>
      <c r="G319"/>
      <c r="H319"/>
      <c r="I319"/>
      <c r="J319"/>
      <c r="K319"/>
      <c r="L319"/>
      <c r="M319"/>
      <c r="N319"/>
      <c r="O319"/>
      <c r="P319"/>
    </row>
    <row r="320" spans="2:16">
      <c r="B320"/>
      <c r="C320"/>
      <c r="D320"/>
      <c r="E320"/>
      <c r="F320"/>
      <c r="G320"/>
      <c r="H320"/>
      <c r="I320"/>
      <c r="J320"/>
      <c r="K320"/>
      <c r="L320"/>
      <c r="M320"/>
      <c r="N320"/>
      <c r="O320"/>
      <c r="P320"/>
    </row>
    <row r="321" spans="2:16">
      <c r="B321"/>
      <c r="C321"/>
      <c r="D321"/>
      <c r="E321"/>
      <c r="F321"/>
      <c r="G321"/>
      <c r="H321"/>
      <c r="I321"/>
      <c r="J321"/>
      <c r="K321"/>
      <c r="L321"/>
      <c r="M321"/>
      <c r="N321"/>
      <c r="O321"/>
      <c r="P321"/>
    </row>
    <row r="322" spans="2:16">
      <c r="B322"/>
      <c r="C322"/>
      <c r="D322"/>
      <c r="E322"/>
      <c r="F322"/>
      <c r="G322"/>
      <c r="H322"/>
      <c r="I322"/>
      <c r="J322"/>
      <c r="K322"/>
      <c r="L322"/>
      <c r="M322"/>
      <c r="N322"/>
      <c r="O322"/>
      <c r="P322"/>
    </row>
    <row r="323" spans="2:16">
      <c r="B323"/>
      <c r="C323"/>
      <c r="D323"/>
      <c r="E323"/>
      <c r="F323"/>
      <c r="G323"/>
      <c r="H323"/>
      <c r="I323"/>
      <c r="J323"/>
      <c r="K323"/>
      <c r="L323"/>
      <c r="M323"/>
      <c r="N323"/>
      <c r="O323"/>
      <c r="P323"/>
    </row>
    <row r="324" spans="2:16">
      <c r="B324"/>
      <c r="C324"/>
      <c r="D324"/>
      <c r="E324"/>
      <c r="F324"/>
      <c r="G324"/>
      <c r="H324"/>
      <c r="I324"/>
      <c r="J324"/>
      <c r="K324"/>
      <c r="L324"/>
      <c r="M324"/>
      <c r="N324"/>
      <c r="O324"/>
      <c r="P324"/>
    </row>
    <row r="325" spans="2:16">
      <c r="B325"/>
      <c r="C325"/>
      <c r="D325"/>
      <c r="E325"/>
      <c r="F325"/>
      <c r="G325"/>
      <c r="H325"/>
      <c r="I325"/>
      <c r="J325"/>
      <c r="K325"/>
      <c r="L325"/>
      <c r="M325"/>
      <c r="N325"/>
      <c r="O325"/>
      <c r="P325"/>
    </row>
    <row r="326" spans="2:16">
      <c r="B326"/>
      <c r="C326"/>
      <c r="D326"/>
      <c r="E326"/>
      <c r="F326"/>
      <c r="G326"/>
      <c r="H326"/>
      <c r="I326"/>
      <c r="J326"/>
      <c r="K326"/>
      <c r="L326"/>
      <c r="M326"/>
      <c r="N326"/>
      <c r="O326"/>
      <c r="P326"/>
    </row>
    <row r="327" spans="2:16">
      <c r="B327"/>
      <c r="C327"/>
      <c r="D327"/>
      <c r="E327"/>
      <c r="F327"/>
      <c r="G327"/>
      <c r="H327"/>
      <c r="I327"/>
      <c r="J327"/>
      <c r="K327"/>
      <c r="L327"/>
      <c r="M327"/>
      <c r="N327"/>
      <c r="O327"/>
      <c r="P327"/>
    </row>
    <row r="328" spans="2:16">
      <c r="B328"/>
      <c r="C328"/>
      <c r="D328"/>
      <c r="E328"/>
      <c r="F328"/>
      <c r="G328"/>
      <c r="H328"/>
      <c r="I328"/>
      <c r="J328"/>
      <c r="K328"/>
      <c r="L328"/>
      <c r="M328"/>
      <c r="N328"/>
      <c r="O328"/>
      <c r="P328"/>
    </row>
    <row r="329" spans="2:16">
      <c r="B329"/>
      <c r="C329"/>
      <c r="D329"/>
      <c r="E329"/>
      <c r="F329"/>
      <c r="G329"/>
      <c r="H329"/>
      <c r="I329"/>
      <c r="J329"/>
      <c r="K329"/>
      <c r="L329"/>
      <c r="M329"/>
      <c r="N329"/>
      <c r="O329"/>
      <c r="P329"/>
    </row>
    <row r="330" spans="2:16">
      <c r="B330"/>
      <c r="C330"/>
      <c r="D330"/>
      <c r="E330"/>
      <c r="F330"/>
      <c r="G330"/>
      <c r="H330"/>
      <c r="I330"/>
      <c r="J330"/>
      <c r="K330"/>
      <c r="L330"/>
      <c r="M330"/>
      <c r="N330"/>
      <c r="O330"/>
      <c r="P330"/>
    </row>
    <row r="331" spans="2:16">
      <c r="B331"/>
      <c r="C331"/>
      <c r="D331"/>
      <c r="E331"/>
      <c r="F331"/>
      <c r="G331"/>
      <c r="H331"/>
      <c r="I331"/>
      <c r="J331"/>
      <c r="K331"/>
      <c r="L331"/>
      <c r="M331"/>
      <c r="N331"/>
      <c r="O331"/>
      <c r="P331"/>
    </row>
    <row r="332" spans="2:16">
      <c r="B332"/>
      <c r="C332"/>
      <c r="D332"/>
      <c r="E332"/>
      <c r="F332"/>
      <c r="G332"/>
      <c r="H332"/>
      <c r="I332"/>
      <c r="J332"/>
      <c r="K332"/>
      <c r="L332"/>
      <c r="M332"/>
      <c r="N332"/>
      <c r="O332"/>
      <c r="P332"/>
    </row>
    <row r="333" spans="2:16">
      <c r="B333"/>
      <c r="C333"/>
      <c r="D333"/>
      <c r="E333"/>
      <c r="F333"/>
      <c r="G333"/>
      <c r="H333"/>
      <c r="I333"/>
      <c r="J333"/>
      <c r="K333"/>
      <c r="L333"/>
      <c r="M333"/>
      <c r="N333"/>
      <c r="O333"/>
      <c r="P333"/>
    </row>
    <row r="334" spans="2:16">
      <c r="B334"/>
      <c r="C334"/>
      <c r="D334"/>
      <c r="E334"/>
      <c r="F334"/>
      <c r="G334"/>
      <c r="H334"/>
      <c r="I334"/>
      <c r="J334"/>
      <c r="K334"/>
      <c r="L334"/>
      <c r="M334"/>
      <c r="N334"/>
      <c r="O334"/>
      <c r="P334"/>
    </row>
    <row r="335" spans="2:16">
      <c r="B335"/>
      <c r="C335"/>
      <c r="D335"/>
      <c r="E335"/>
      <c r="F335"/>
      <c r="G335"/>
      <c r="H335"/>
      <c r="I335"/>
      <c r="J335"/>
      <c r="K335"/>
      <c r="L335"/>
      <c r="M335"/>
      <c r="N335"/>
      <c r="O335"/>
      <c r="P335"/>
    </row>
    <row r="336" spans="2:16">
      <c r="B336"/>
      <c r="C336"/>
      <c r="D336"/>
      <c r="E336"/>
      <c r="F336"/>
      <c r="G336"/>
      <c r="H336"/>
      <c r="I336"/>
      <c r="J336"/>
      <c r="K336"/>
      <c r="L336"/>
      <c r="M336"/>
      <c r="N336"/>
      <c r="O336"/>
      <c r="P336"/>
    </row>
    <row r="337" spans="2:16">
      <c r="B337"/>
      <c r="C337"/>
      <c r="D337"/>
      <c r="E337"/>
      <c r="F337"/>
      <c r="G337"/>
      <c r="H337"/>
      <c r="I337"/>
      <c r="J337"/>
      <c r="K337"/>
      <c r="L337"/>
      <c r="M337"/>
      <c r="N337"/>
      <c r="O337"/>
      <c r="P337"/>
    </row>
    <row r="338" spans="2:16">
      <c r="B338"/>
      <c r="C338"/>
      <c r="D338"/>
      <c r="E338"/>
      <c r="F338"/>
      <c r="G338"/>
      <c r="H338"/>
      <c r="I338"/>
      <c r="J338"/>
      <c r="K338"/>
      <c r="L338"/>
      <c r="M338"/>
      <c r="N338"/>
      <c r="O338"/>
      <c r="P338"/>
    </row>
    <row r="339" spans="2:16">
      <c r="B339"/>
      <c r="C339"/>
      <c r="D339"/>
      <c r="E339"/>
      <c r="F339"/>
      <c r="G339"/>
      <c r="H339"/>
      <c r="I339"/>
      <c r="J339"/>
      <c r="K339"/>
      <c r="L339"/>
      <c r="M339"/>
      <c r="N339"/>
      <c r="O339"/>
      <c r="P339"/>
    </row>
    <row r="340" spans="2:16">
      <c r="B340"/>
      <c r="C340"/>
      <c r="D340"/>
      <c r="E340"/>
      <c r="F340"/>
      <c r="G340"/>
      <c r="H340"/>
      <c r="I340"/>
      <c r="J340"/>
      <c r="K340"/>
      <c r="L340"/>
      <c r="M340"/>
      <c r="N340"/>
      <c r="O340"/>
      <c r="P340"/>
    </row>
    <row r="341" spans="2:16">
      <c r="B341"/>
      <c r="C341"/>
      <c r="D341"/>
      <c r="E341"/>
      <c r="F341"/>
      <c r="G341"/>
      <c r="H341"/>
      <c r="I341"/>
      <c r="J341"/>
      <c r="K341"/>
      <c r="L341"/>
      <c r="M341"/>
      <c r="N341"/>
      <c r="O341"/>
      <c r="P341"/>
    </row>
    <row r="342" spans="2:16">
      <c r="B342"/>
      <c r="C342"/>
      <c r="D342"/>
      <c r="E342"/>
      <c r="F342"/>
      <c r="G342"/>
      <c r="H342"/>
      <c r="I342"/>
      <c r="J342"/>
      <c r="K342"/>
      <c r="L342"/>
      <c r="M342"/>
      <c r="N342"/>
      <c r="O342"/>
      <c r="P342"/>
    </row>
    <row r="343" spans="2:16">
      <c r="B343"/>
      <c r="C343"/>
      <c r="D343"/>
      <c r="E343"/>
      <c r="F343"/>
      <c r="G343"/>
      <c r="H343"/>
      <c r="I343"/>
      <c r="J343"/>
      <c r="K343"/>
      <c r="L343"/>
      <c r="M343"/>
      <c r="N343"/>
      <c r="O343"/>
      <c r="P343"/>
    </row>
    <row r="344" spans="2:16">
      <c r="B344"/>
      <c r="C344"/>
      <c r="D344"/>
      <c r="E344"/>
      <c r="F344"/>
      <c r="G344"/>
      <c r="H344"/>
      <c r="I344"/>
      <c r="J344"/>
      <c r="K344"/>
      <c r="L344"/>
      <c r="M344"/>
      <c r="N344"/>
      <c r="O344"/>
      <c r="P344"/>
    </row>
    <row r="345" spans="2:16">
      <c r="B345"/>
      <c r="C345"/>
      <c r="D345"/>
      <c r="E345"/>
      <c r="F345"/>
      <c r="G345"/>
      <c r="H345"/>
      <c r="I345"/>
      <c r="J345"/>
      <c r="K345"/>
      <c r="L345"/>
      <c r="M345"/>
      <c r="N345"/>
      <c r="O345"/>
      <c r="P345"/>
    </row>
    <row r="346" spans="2:16">
      <c r="B346"/>
      <c r="C346"/>
      <c r="D346"/>
      <c r="E346"/>
      <c r="F346"/>
      <c r="G346"/>
      <c r="H346"/>
      <c r="I346"/>
      <c r="J346"/>
      <c r="K346"/>
      <c r="L346"/>
      <c r="M346"/>
      <c r="N346"/>
      <c r="O346"/>
      <c r="P346"/>
    </row>
    <row r="347" spans="2:16">
      <c r="B347"/>
      <c r="C347"/>
      <c r="D347"/>
      <c r="E347"/>
      <c r="F347"/>
      <c r="G347"/>
      <c r="H347"/>
      <c r="I347"/>
      <c r="J347"/>
      <c r="K347"/>
      <c r="L347"/>
      <c r="M347"/>
      <c r="N347"/>
      <c r="O347"/>
      <c r="P347"/>
    </row>
    <row r="348" spans="2:16">
      <c r="B348"/>
      <c r="C348"/>
      <c r="D348"/>
      <c r="E348"/>
      <c r="F348"/>
      <c r="G348"/>
      <c r="H348"/>
      <c r="I348"/>
      <c r="J348"/>
      <c r="K348"/>
      <c r="L348"/>
      <c r="M348"/>
      <c r="N348"/>
      <c r="O348"/>
      <c r="P348"/>
    </row>
    <row r="349" spans="2:16">
      <c r="B349"/>
      <c r="C349"/>
      <c r="D349"/>
      <c r="E349"/>
      <c r="F349"/>
      <c r="G349"/>
      <c r="H349"/>
      <c r="I349"/>
      <c r="J349"/>
      <c r="K349"/>
      <c r="L349"/>
      <c r="M349"/>
      <c r="N349"/>
      <c r="O349"/>
      <c r="P349"/>
    </row>
    <row r="350" spans="2:16">
      <c r="B350"/>
      <c r="C350"/>
      <c r="D350"/>
      <c r="E350"/>
      <c r="F350"/>
      <c r="G350"/>
      <c r="H350"/>
      <c r="I350"/>
      <c r="J350"/>
      <c r="K350"/>
      <c r="L350"/>
      <c r="M350"/>
      <c r="N350"/>
      <c r="O350"/>
      <c r="P350"/>
    </row>
    <row r="351" spans="2:16">
      <c r="B351"/>
      <c r="C351"/>
      <c r="D351"/>
      <c r="E351"/>
      <c r="F351"/>
      <c r="G351"/>
      <c r="H351"/>
      <c r="I351"/>
      <c r="J351"/>
      <c r="K351"/>
      <c r="L351"/>
      <c r="M351"/>
      <c r="N351"/>
      <c r="O351"/>
      <c r="P351"/>
    </row>
    <row r="352" spans="2:16">
      <c r="B352"/>
      <c r="C352"/>
      <c r="D352"/>
      <c r="E352"/>
      <c r="F352"/>
      <c r="G352"/>
      <c r="H352"/>
      <c r="I352"/>
      <c r="J352"/>
      <c r="K352"/>
      <c r="L352"/>
      <c r="M352"/>
      <c r="N352"/>
      <c r="O352"/>
      <c r="P352"/>
    </row>
    <row r="353" spans="2:16">
      <c r="B353"/>
      <c r="C353"/>
      <c r="D353"/>
      <c r="E353"/>
      <c r="F353"/>
      <c r="G353"/>
      <c r="H353"/>
      <c r="I353"/>
      <c r="J353"/>
      <c r="K353"/>
      <c r="L353"/>
      <c r="M353"/>
      <c r="N353"/>
      <c r="O353"/>
      <c r="P353"/>
    </row>
    <row r="354" spans="2:16">
      <c r="B354"/>
      <c r="C354"/>
      <c r="D354"/>
      <c r="E354"/>
      <c r="F354"/>
      <c r="G354"/>
      <c r="H354"/>
      <c r="I354"/>
      <c r="J354"/>
      <c r="K354"/>
      <c r="L354"/>
      <c r="M354"/>
      <c r="N354"/>
      <c r="O354"/>
      <c r="P354"/>
    </row>
    <row r="355" spans="2:16">
      <c r="B355"/>
      <c r="C355"/>
      <c r="D355"/>
      <c r="E355"/>
      <c r="F355"/>
      <c r="G355"/>
      <c r="H355"/>
      <c r="I355"/>
      <c r="J355"/>
      <c r="K355"/>
      <c r="L355"/>
      <c r="M355"/>
      <c r="N355"/>
      <c r="O355"/>
      <c r="P355"/>
    </row>
    <row r="356" spans="2:16">
      <c r="B356"/>
      <c r="C356"/>
      <c r="D356"/>
      <c r="E356"/>
      <c r="F356"/>
      <c r="G356"/>
      <c r="H356"/>
      <c r="I356"/>
      <c r="J356"/>
      <c r="K356"/>
      <c r="L356"/>
      <c r="M356"/>
      <c r="N356"/>
      <c r="O356"/>
      <c r="P356"/>
    </row>
    <row r="357" spans="2:16">
      <c r="B357"/>
      <c r="C357"/>
      <c r="D357"/>
      <c r="E357"/>
      <c r="F357"/>
      <c r="G357"/>
      <c r="H357"/>
      <c r="I357"/>
      <c r="J357"/>
      <c r="K357"/>
      <c r="L357"/>
      <c r="M357"/>
      <c r="N357"/>
      <c r="O357"/>
      <c r="P357"/>
    </row>
    <row r="358" spans="2:16">
      <c r="B358"/>
      <c r="C358"/>
      <c r="D358"/>
      <c r="E358"/>
      <c r="F358"/>
      <c r="G358"/>
      <c r="H358"/>
      <c r="I358"/>
      <c r="J358"/>
      <c r="K358"/>
      <c r="L358"/>
      <c r="M358"/>
      <c r="N358"/>
      <c r="O358"/>
      <c r="P358"/>
    </row>
    <row r="359" spans="2:16">
      <c r="B359"/>
      <c r="C359"/>
      <c r="D359"/>
      <c r="E359"/>
      <c r="F359"/>
      <c r="G359"/>
      <c r="H359"/>
      <c r="I359"/>
      <c r="J359"/>
      <c r="K359"/>
      <c r="L359"/>
      <c r="M359"/>
      <c r="N359"/>
      <c r="O359"/>
      <c r="P359"/>
    </row>
    <row r="360" spans="2:16">
      <c r="B360"/>
      <c r="C360"/>
      <c r="D360"/>
      <c r="E360"/>
      <c r="F360"/>
      <c r="G360"/>
      <c r="H360"/>
      <c r="I360"/>
      <c r="J360"/>
      <c r="K360"/>
      <c r="L360"/>
      <c r="M360"/>
      <c r="N360"/>
      <c r="O360"/>
      <c r="P360"/>
    </row>
    <row r="361" spans="2:16">
      <c r="B361"/>
      <c r="C361"/>
      <c r="D361"/>
      <c r="E361"/>
      <c r="F361"/>
      <c r="G361"/>
      <c r="H361"/>
      <c r="I361"/>
      <c r="J361"/>
      <c r="K361"/>
      <c r="L361"/>
      <c r="M361"/>
      <c r="N361"/>
      <c r="O361"/>
      <c r="P361"/>
    </row>
    <row r="362" spans="2:16">
      <c r="B362"/>
      <c r="C362"/>
      <c r="D362"/>
      <c r="E362"/>
      <c r="F362"/>
      <c r="G362"/>
      <c r="H362"/>
      <c r="I362"/>
      <c r="J362"/>
      <c r="K362"/>
      <c r="L362"/>
      <c r="M362"/>
      <c r="N362"/>
      <c r="O362"/>
      <c r="P362"/>
    </row>
    <row r="363" spans="2:16">
      <c r="B363"/>
      <c r="C363"/>
      <c r="D363"/>
      <c r="E363"/>
      <c r="F363"/>
      <c r="G363"/>
      <c r="H363"/>
      <c r="I363"/>
      <c r="J363"/>
      <c r="K363"/>
      <c r="L363"/>
      <c r="M363"/>
      <c r="N363"/>
      <c r="O363"/>
      <c r="P363"/>
    </row>
    <row r="364" spans="2:16">
      <c r="B364"/>
      <c r="C364"/>
      <c r="D364"/>
      <c r="E364"/>
      <c r="F364"/>
      <c r="G364"/>
      <c r="H364"/>
      <c r="I364"/>
      <c r="J364"/>
      <c r="K364"/>
      <c r="L364"/>
      <c r="M364"/>
      <c r="N364"/>
      <c r="O364"/>
      <c r="P364"/>
    </row>
    <row r="365" spans="2:16">
      <c r="B365"/>
      <c r="C365"/>
      <c r="D365"/>
      <c r="E365"/>
      <c r="F365"/>
      <c r="G365"/>
      <c r="H365"/>
      <c r="I365"/>
      <c r="J365"/>
      <c r="K365"/>
      <c r="L365"/>
      <c r="M365"/>
      <c r="N365"/>
      <c r="O365"/>
      <c r="P365"/>
    </row>
    <row r="366" spans="2:16">
      <c r="B366"/>
      <c r="C366"/>
      <c r="D366"/>
      <c r="E366"/>
      <c r="F366"/>
      <c r="G366"/>
      <c r="H366"/>
      <c r="I366"/>
      <c r="J366"/>
      <c r="K366"/>
      <c r="L366"/>
      <c r="M366"/>
      <c r="N366"/>
      <c r="O366"/>
      <c r="P366"/>
    </row>
    <row r="367" spans="2:16">
      <c r="B367"/>
      <c r="C367"/>
      <c r="D367"/>
      <c r="E367"/>
      <c r="F367"/>
      <c r="G367"/>
      <c r="H367"/>
      <c r="I367"/>
      <c r="J367"/>
      <c r="K367"/>
      <c r="L367"/>
      <c r="M367"/>
      <c r="N367"/>
      <c r="O367"/>
      <c r="P367"/>
    </row>
    <row r="368" spans="2:16">
      <c r="B368"/>
      <c r="C368"/>
      <c r="D368"/>
      <c r="E368"/>
      <c r="F368"/>
      <c r="G368"/>
      <c r="H368"/>
      <c r="I368"/>
      <c r="J368"/>
      <c r="K368"/>
      <c r="L368"/>
      <c r="M368"/>
      <c r="N368"/>
      <c r="O368"/>
      <c r="P368"/>
    </row>
    <row r="369" spans="2:16">
      <c r="B369"/>
      <c r="C369"/>
      <c r="D369"/>
      <c r="E369"/>
      <c r="F369"/>
      <c r="G369"/>
      <c r="H369"/>
      <c r="I369"/>
      <c r="J369"/>
      <c r="K369"/>
      <c r="L369"/>
      <c r="M369"/>
      <c r="N369"/>
      <c r="O369"/>
      <c r="P369"/>
    </row>
    <row r="370" spans="2:16">
      <c r="B370"/>
      <c r="C370"/>
      <c r="D370"/>
      <c r="E370"/>
      <c r="F370"/>
      <c r="G370"/>
      <c r="H370"/>
      <c r="I370"/>
      <c r="J370"/>
      <c r="K370"/>
      <c r="L370"/>
      <c r="M370"/>
      <c r="N370"/>
      <c r="O370"/>
      <c r="P370"/>
    </row>
    <row r="371" spans="2:16">
      <c r="B371"/>
      <c r="C371"/>
      <c r="D371"/>
      <c r="E371"/>
      <c r="F371"/>
      <c r="G371"/>
      <c r="H371"/>
      <c r="I371"/>
      <c r="J371"/>
      <c r="K371"/>
      <c r="L371"/>
      <c r="M371"/>
      <c r="N371"/>
      <c r="O371"/>
      <c r="P371"/>
    </row>
    <row r="372" spans="2:16">
      <c r="B372"/>
      <c r="C372"/>
      <c r="D372"/>
      <c r="E372"/>
      <c r="F372"/>
      <c r="G372"/>
      <c r="H372"/>
      <c r="I372"/>
      <c r="J372"/>
      <c r="K372"/>
      <c r="L372"/>
      <c r="M372"/>
      <c r="N372"/>
      <c r="O372"/>
      <c r="P372"/>
    </row>
    <row r="373" spans="2:16">
      <c r="B373"/>
      <c r="C373"/>
      <c r="D373"/>
      <c r="E373"/>
      <c r="F373"/>
      <c r="G373"/>
      <c r="H373"/>
      <c r="I373"/>
      <c r="J373"/>
      <c r="K373"/>
      <c r="L373"/>
      <c r="M373"/>
      <c r="N373"/>
      <c r="O373"/>
      <c r="P373"/>
    </row>
    <row r="374" spans="2:16">
      <c r="B374"/>
      <c r="C374"/>
      <c r="D374"/>
      <c r="E374"/>
      <c r="F374"/>
      <c r="G374"/>
      <c r="H374"/>
      <c r="I374"/>
      <c r="J374"/>
      <c r="K374"/>
      <c r="L374"/>
      <c r="M374"/>
      <c r="N374"/>
      <c r="O374"/>
      <c r="P374"/>
    </row>
    <row r="375" spans="2:16">
      <c r="B375"/>
      <c r="C375"/>
      <c r="D375"/>
      <c r="E375"/>
      <c r="F375"/>
      <c r="G375"/>
      <c r="H375"/>
      <c r="I375"/>
      <c r="J375"/>
      <c r="K375"/>
      <c r="L375"/>
      <c r="M375"/>
      <c r="N375"/>
      <c r="O375"/>
      <c r="P375"/>
    </row>
    <row r="376" spans="2:16">
      <c r="B376"/>
      <c r="C376"/>
      <c r="D376"/>
      <c r="E376"/>
      <c r="F376"/>
      <c r="G376"/>
      <c r="H376"/>
      <c r="I376"/>
      <c r="J376"/>
      <c r="K376"/>
      <c r="L376"/>
      <c r="M376"/>
      <c r="N376"/>
      <c r="O376"/>
      <c r="P376"/>
    </row>
    <row r="377" spans="2:16">
      <c r="B377"/>
      <c r="C377"/>
      <c r="D377"/>
      <c r="E377"/>
      <c r="F377"/>
      <c r="G377"/>
      <c r="H377"/>
      <c r="I377"/>
      <c r="J377"/>
      <c r="K377"/>
      <c r="L377"/>
      <c r="M377"/>
      <c r="N377"/>
      <c r="O377"/>
      <c r="P377"/>
    </row>
    <row r="378" spans="2:16">
      <c r="B378"/>
      <c r="C378"/>
      <c r="D378"/>
      <c r="E378"/>
      <c r="F378"/>
      <c r="G378"/>
      <c r="H378"/>
      <c r="I378"/>
      <c r="J378"/>
      <c r="K378"/>
      <c r="L378"/>
      <c r="M378"/>
      <c r="N378"/>
      <c r="O378"/>
      <c r="P378"/>
    </row>
    <row r="379" spans="2:16">
      <c r="B379"/>
      <c r="C379"/>
      <c r="D379"/>
      <c r="E379"/>
      <c r="F379"/>
      <c r="G379"/>
      <c r="H379"/>
      <c r="I379"/>
      <c r="J379"/>
      <c r="K379"/>
      <c r="L379"/>
      <c r="M379"/>
      <c r="N379"/>
      <c r="O379"/>
      <c r="P379"/>
    </row>
    <row r="380" spans="2:16">
      <c r="B380"/>
      <c r="C380"/>
      <c r="D380"/>
      <c r="E380"/>
      <c r="F380"/>
      <c r="G380"/>
      <c r="H380"/>
      <c r="I380"/>
      <c r="J380"/>
      <c r="K380"/>
      <c r="L380"/>
      <c r="M380"/>
      <c r="N380"/>
      <c r="O380"/>
      <c r="P380"/>
    </row>
    <row r="381" spans="2:16">
      <c r="B381"/>
      <c r="C381"/>
      <c r="D381"/>
      <c r="E381"/>
      <c r="F381"/>
      <c r="G381"/>
      <c r="H381"/>
      <c r="I381"/>
      <c r="J381"/>
      <c r="K381"/>
      <c r="L381"/>
      <c r="M381"/>
      <c r="N381"/>
      <c r="O381"/>
      <c r="P381"/>
    </row>
    <row r="382" spans="2:16">
      <c r="B382"/>
      <c r="C382"/>
      <c r="D382"/>
      <c r="E382"/>
      <c r="F382"/>
      <c r="G382"/>
      <c r="H382"/>
      <c r="I382"/>
      <c r="J382"/>
      <c r="K382"/>
      <c r="L382"/>
      <c r="M382"/>
      <c r="N382"/>
      <c r="O382"/>
      <c r="P382"/>
    </row>
    <row r="383" spans="2:16">
      <c r="B383"/>
      <c r="C383"/>
      <c r="D383"/>
      <c r="E383"/>
      <c r="F383"/>
      <c r="G383"/>
      <c r="H383"/>
      <c r="I383"/>
      <c r="J383"/>
      <c r="K383"/>
      <c r="L383"/>
      <c r="M383"/>
      <c r="N383"/>
      <c r="O383"/>
      <c r="P383"/>
    </row>
    <row r="384" spans="2:16">
      <c r="B384"/>
      <c r="C384"/>
      <c r="D384"/>
      <c r="E384"/>
      <c r="F384"/>
      <c r="G384"/>
      <c r="H384"/>
      <c r="I384"/>
      <c r="J384"/>
      <c r="K384"/>
      <c r="L384"/>
      <c r="M384"/>
      <c r="N384"/>
      <c r="O384"/>
      <c r="P384"/>
    </row>
    <row r="385" spans="2:16">
      <c r="B385"/>
      <c r="C385"/>
      <c r="D385"/>
      <c r="E385"/>
      <c r="F385"/>
      <c r="G385"/>
      <c r="H385"/>
      <c r="I385"/>
      <c r="J385"/>
      <c r="K385"/>
      <c r="L385"/>
      <c r="M385"/>
      <c r="N385"/>
      <c r="O385"/>
      <c r="P385"/>
    </row>
    <row r="386" spans="2:16">
      <c r="B386"/>
      <c r="C386"/>
      <c r="D386"/>
      <c r="E386"/>
      <c r="F386"/>
      <c r="G386"/>
      <c r="H386"/>
      <c r="I386"/>
      <c r="J386"/>
      <c r="K386"/>
      <c r="L386"/>
      <c r="M386"/>
      <c r="N386"/>
      <c r="O386"/>
      <c r="P386"/>
    </row>
    <row r="387" spans="2:16">
      <c r="B387"/>
      <c r="C387"/>
      <c r="D387"/>
      <c r="E387"/>
      <c r="F387"/>
      <c r="G387"/>
      <c r="H387"/>
      <c r="I387"/>
      <c r="J387"/>
      <c r="K387"/>
      <c r="L387"/>
      <c r="M387"/>
      <c r="N387"/>
      <c r="O387"/>
      <c r="P387"/>
    </row>
    <row r="388" spans="2:16">
      <c r="B388"/>
      <c r="C388"/>
      <c r="D388"/>
      <c r="E388"/>
      <c r="F388"/>
      <c r="G388"/>
      <c r="H388"/>
      <c r="I388"/>
      <c r="J388"/>
      <c r="K388"/>
      <c r="L388"/>
      <c r="M388"/>
      <c r="N388"/>
      <c r="O388"/>
      <c r="P388"/>
    </row>
    <row r="389" spans="2:16">
      <c r="B389"/>
      <c r="C389"/>
      <c r="D389"/>
      <c r="E389"/>
      <c r="F389"/>
      <c r="G389"/>
      <c r="H389"/>
      <c r="I389"/>
      <c r="J389"/>
      <c r="K389"/>
      <c r="L389"/>
      <c r="M389"/>
      <c r="N389"/>
      <c r="O389"/>
      <c r="P389"/>
    </row>
    <row r="390" spans="2:16">
      <c r="B390"/>
      <c r="C390"/>
      <c r="D390"/>
      <c r="E390"/>
      <c r="F390"/>
      <c r="G390"/>
      <c r="H390"/>
      <c r="I390"/>
      <c r="J390"/>
      <c r="K390"/>
      <c r="L390"/>
      <c r="M390"/>
      <c r="N390"/>
      <c r="O390"/>
      <c r="P390"/>
    </row>
    <row r="391" spans="2:16">
      <c r="B391"/>
      <c r="C391"/>
      <c r="D391"/>
      <c r="E391"/>
      <c r="F391"/>
      <c r="G391"/>
      <c r="H391"/>
      <c r="I391"/>
      <c r="J391"/>
      <c r="K391"/>
      <c r="L391"/>
      <c r="M391"/>
      <c r="N391"/>
      <c r="O391"/>
      <c r="P391"/>
    </row>
    <row r="392" spans="2:16">
      <c r="B392"/>
      <c r="C392"/>
      <c r="D392"/>
      <c r="E392"/>
      <c r="F392"/>
      <c r="G392"/>
      <c r="H392"/>
      <c r="I392"/>
      <c r="J392"/>
      <c r="K392"/>
      <c r="L392"/>
      <c r="M392"/>
      <c r="N392"/>
      <c r="O392"/>
      <c r="P392"/>
    </row>
    <row r="393" spans="2:16">
      <c r="B393"/>
      <c r="C393"/>
      <c r="D393"/>
      <c r="E393"/>
      <c r="F393"/>
      <c r="G393"/>
      <c r="H393"/>
      <c r="I393"/>
      <c r="J393"/>
      <c r="K393"/>
      <c r="L393"/>
      <c r="M393"/>
      <c r="N393"/>
      <c r="O393"/>
      <c r="P393"/>
    </row>
    <row r="394" spans="2:16">
      <c r="B394"/>
      <c r="C394"/>
      <c r="D394"/>
      <c r="E394"/>
      <c r="F394"/>
      <c r="G394"/>
      <c r="H394"/>
      <c r="I394"/>
      <c r="J394"/>
      <c r="K394"/>
      <c r="L394"/>
      <c r="M394"/>
      <c r="N394"/>
      <c r="O394"/>
      <c r="P394"/>
    </row>
    <row r="395" spans="2:16">
      <c r="B395"/>
      <c r="C395"/>
      <c r="D395"/>
      <c r="E395"/>
      <c r="F395"/>
      <c r="G395"/>
      <c r="H395"/>
      <c r="I395"/>
      <c r="J395"/>
      <c r="K395"/>
      <c r="L395"/>
      <c r="M395"/>
      <c r="N395"/>
      <c r="O395"/>
      <c r="P395"/>
    </row>
    <row r="396" spans="2:16">
      <c r="B396"/>
      <c r="C396"/>
      <c r="D396"/>
      <c r="E396"/>
      <c r="F396"/>
      <c r="G396"/>
      <c r="H396"/>
      <c r="I396"/>
      <c r="J396"/>
      <c r="K396"/>
      <c r="L396"/>
      <c r="M396"/>
      <c r="N396"/>
      <c r="O396"/>
      <c r="P396"/>
    </row>
    <row r="397" spans="2:16">
      <c r="B397"/>
      <c r="C397"/>
      <c r="D397"/>
      <c r="E397"/>
      <c r="F397"/>
      <c r="G397"/>
      <c r="H397"/>
      <c r="I397"/>
      <c r="J397"/>
      <c r="K397"/>
      <c r="L397"/>
      <c r="M397"/>
      <c r="N397"/>
      <c r="O397"/>
      <c r="P397"/>
    </row>
    <row r="398" spans="2:16">
      <c r="B398"/>
      <c r="C398"/>
      <c r="D398"/>
      <c r="E398"/>
      <c r="F398"/>
      <c r="G398"/>
      <c r="H398"/>
      <c r="I398"/>
      <c r="J398"/>
      <c r="K398"/>
      <c r="L398"/>
      <c r="M398"/>
      <c r="N398"/>
      <c r="O398"/>
      <c r="P398"/>
    </row>
    <row r="399" spans="2:16">
      <c r="B399"/>
      <c r="C399"/>
      <c r="D399"/>
      <c r="E399"/>
      <c r="F399"/>
      <c r="G399"/>
      <c r="H399"/>
      <c r="I399"/>
      <c r="J399"/>
      <c r="K399"/>
      <c r="L399"/>
      <c r="M399"/>
      <c r="N399"/>
      <c r="O399"/>
      <c r="P399"/>
    </row>
    <row r="400" spans="2:16">
      <c r="B400"/>
      <c r="C400"/>
      <c r="D400"/>
      <c r="E400"/>
      <c r="F400"/>
      <c r="G400"/>
      <c r="H400"/>
      <c r="I400"/>
      <c r="J400"/>
      <c r="K400"/>
      <c r="L400"/>
      <c r="M400"/>
      <c r="N400"/>
      <c r="O400"/>
      <c r="P400"/>
    </row>
    <row r="401" spans="2:16">
      <c r="B401"/>
      <c r="C401"/>
      <c r="D401"/>
      <c r="E401"/>
      <c r="F401"/>
      <c r="G401"/>
      <c r="H401"/>
      <c r="I401"/>
      <c r="J401"/>
      <c r="K401"/>
      <c r="L401"/>
      <c r="M401"/>
      <c r="N401"/>
      <c r="O401"/>
      <c r="P401"/>
    </row>
    <row r="402" spans="2:16">
      <c r="B402"/>
      <c r="C402"/>
      <c r="D402"/>
      <c r="E402"/>
      <c r="F402"/>
      <c r="G402"/>
      <c r="H402"/>
      <c r="I402"/>
      <c r="J402"/>
      <c r="K402"/>
      <c r="L402"/>
      <c r="M402"/>
      <c r="N402"/>
      <c r="O402"/>
      <c r="P402"/>
    </row>
    <row r="403" spans="2:16">
      <c r="B403"/>
      <c r="C403"/>
      <c r="D403"/>
      <c r="E403"/>
      <c r="F403"/>
      <c r="G403"/>
      <c r="H403"/>
      <c r="I403"/>
      <c r="J403"/>
      <c r="K403"/>
      <c r="L403"/>
      <c r="M403"/>
      <c r="N403"/>
      <c r="O403"/>
      <c r="P403"/>
    </row>
    <row r="404" spans="2:16">
      <c r="B404"/>
      <c r="C404"/>
      <c r="D404"/>
      <c r="E404"/>
      <c r="F404"/>
      <c r="G404"/>
      <c r="H404"/>
      <c r="I404"/>
      <c r="J404"/>
      <c r="K404"/>
      <c r="L404"/>
      <c r="M404"/>
      <c r="N404"/>
      <c r="O404"/>
      <c r="P404"/>
    </row>
    <row r="405" spans="2:16">
      <c r="B405"/>
      <c r="C405"/>
      <c r="D405"/>
      <c r="E405"/>
      <c r="F405"/>
      <c r="G405"/>
      <c r="H405"/>
      <c r="I405"/>
      <c r="J405"/>
      <c r="K405"/>
      <c r="L405"/>
      <c r="M405"/>
      <c r="N405"/>
      <c r="O405"/>
      <c r="P405"/>
    </row>
    <row r="406" spans="2:16">
      <c r="B406"/>
      <c r="C406"/>
      <c r="D406"/>
      <c r="E406"/>
      <c r="F406"/>
      <c r="G406"/>
      <c r="H406"/>
      <c r="I406"/>
      <c r="J406"/>
      <c r="K406"/>
      <c r="L406"/>
      <c r="M406"/>
      <c r="N406"/>
      <c r="O406"/>
      <c r="P406"/>
    </row>
    <row r="407" spans="2:16">
      <c r="B407"/>
      <c r="C407"/>
      <c r="D407"/>
      <c r="E407"/>
      <c r="F407"/>
      <c r="G407"/>
      <c r="H407"/>
      <c r="I407"/>
      <c r="J407"/>
      <c r="K407"/>
      <c r="L407"/>
      <c r="M407"/>
      <c r="N407"/>
      <c r="O407"/>
      <c r="P407"/>
    </row>
    <row r="408" spans="2:16">
      <c r="B408"/>
      <c r="C408"/>
      <c r="D408"/>
      <c r="E408"/>
      <c r="F408"/>
      <c r="G408"/>
      <c r="H408"/>
      <c r="I408"/>
      <c r="J408"/>
      <c r="K408"/>
      <c r="L408"/>
      <c r="M408"/>
      <c r="N408"/>
      <c r="O408"/>
      <c r="P408"/>
    </row>
    <row r="409" spans="2:16">
      <c r="B409"/>
      <c r="C409"/>
      <c r="D409"/>
      <c r="E409"/>
      <c r="F409"/>
      <c r="G409"/>
      <c r="H409"/>
      <c r="I409"/>
      <c r="J409"/>
      <c r="K409"/>
      <c r="L409"/>
      <c r="M409"/>
      <c r="N409"/>
      <c r="O409"/>
      <c r="P409"/>
    </row>
    <row r="410" spans="2:16">
      <c r="B410"/>
      <c r="C410"/>
      <c r="D410"/>
      <c r="E410"/>
      <c r="F410"/>
      <c r="G410"/>
      <c r="H410"/>
      <c r="I410"/>
      <c r="J410"/>
      <c r="K410"/>
      <c r="L410"/>
      <c r="M410"/>
      <c r="N410"/>
      <c r="O410"/>
      <c r="P410"/>
    </row>
    <row r="411" spans="2:16">
      <c r="B411"/>
      <c r="C411"/>
      <c r="D411"/>
      <c r="E411"/>
      <c r="F411"/>
      <c r="G411"/>
      <c r="H411"/>
      <c r="I411"/>
      <c r="J411"/>
      <c r="K411"/>
      <c r="L411"/>
      <c r="M411"/>
      <c r="N411"/>
      <c r="O411"/>
      <c r="P411"/>
    </row>
    <row r="412" spans="2:16">
      <c r="B412"/>
      <c r="C412"/>
      <c r="D412"/>
      <c r="E412"/>
      <c r="F412"/>
      <c r="G412"/>
      <c r="H412"/>
      <c r="I412"/>
      <c r="J412"/>
      <c r="K412"/>
      <c r="L412"/>
      <c r="M412"/>
      <c r="N412"/>
      <c r="O412"/>
      <c r="P412"/>
    </row>
    <row r="413" spans="2:16">
      <c r="B413"/>
      <c r="C413"/>
      <c r="D413"/>
      <c r="E413"/>
      <c r="F413"/>
      <c r="G413"/>
      <c r="H413"/>
      <c r="I413"/>
      <c r="J413"/>
      <c r="K413"/>
      <c r="L413"/>
      <c r="M413"/>
      <c r="N413"/>
      <c r="O413"/>
      <c r="P413"/>
    </row>
    <row r="414" spans="2:16">
      <c r="B414"/>
      <c r="C414"/>
      <c r="D414"/>
      <c r="E414"/>
      <c r="F414"/>
      <c r="G414"/>
      <c r="H414"/>
      <c r="I414"/>
      <c r="J414"/>
      <c r="K414"/>
      <c r="L414"/>
      <c r="M414"/>
      <c r="N414"/>
      <c r="O414"/>
      <c r="P414"/>
    </row>
    <row r="415" spans="2:16">
      <c r="B415"/>
      <c r="C415"/>
      <c r="D415"/>
      <c r="E415"/>
      <c r="F415"/>
      <c r="G415"/>
      <c r="H415"/>
      <c r="I415"/>
      <c r="J415"/>
      <c r="K415"/>
      <c r="L415"/>
      <c r="M415"/>
      <c r="N415"/>
      <c r="O415"/>
      <c r="P415"/>
    </row>
    <row r="416" spans="2:16">
      <c r="B416"/>
      <c r="C416"/>
      <c r="D416"/>
      <c r="E416"/>
      <c r="F416"/>
      <c r="G416"/>
      <c r="H416"/>
      <c r="I416"/>
      <c r="J416"/>
      <c r="K416"/>
      <c r="L416"/>
      <c r="M416"/>
      <c r="N416"/>
      <c r="O416"/>
      <c r="P416"/>
    </row>
    <row r="417" spans="2:16">
      <c r="B417"/>
      <c r="C417"/>
      <c r="D417"/>
      <c r="E417"/>
      <c r="F417"/>
      <c r="G417"/>
      <c r="H417"/>
      <c r="I417"/>
      <c r="J417"/>
      <c r="K417"/>
      <c r="L417"/>
      <c r="M417"/>
      <c r="N417"/>
      <c r="O417"/>
      <c r="P417"/>
    </row>
    <row r="418" spans="2:16">
      <c r="B418"/>
      <c r="C418"/>
      <c r="D418"/>
      <c r="E418"/>
      <c r="F418"/>
      <c r="G418"/>
      <c r="H418"/>
      <c r="I418"/>
      <c r="J418"/>
      <c r="K418"/>
      <c r="L418"/>
      <c r="M418"/>
      <c r="N418"/>
      <c r="O418"/>
      <c r="P418"/>
    </row>
    <row r="419" spans="2:16">
      <c r="B419"/>
      <c r="C419"/>
      <c r="D419"/>
      <c r="E419"/>
      <c r="F419"/>
      <c r="G419"/>
      <c r="H419"/>
      <c r="I419"/>
      <c r="J419"/>
      <c r="K419"/>
      <c r="L419"/>
      <c r="M419"/>
      <c r="N419"/>
      <c r="O419"/>
      <c r="P419"/>
    </row>
    <row r="420" spans="2:16">
      <c r="B420"/>
      <c r="C420"/>
      <c r="D420"/>
      <c r="E420"/>
      <c r="F420"/>
      <c r="G420"/>
      <c r="H420"/>
      <c r="I420"/>
      <c r="J420"/>
      <c r="K420"/>
      <c r="L420"/>
      <c r="M420"/>
      <c r="N420"/>
      <c r="O420"/>
      <c r="P420"/>
    </row>
    <row r="421" spans="2:16">
      <c r="B421"/>
      <c r="C421"/>
      <c r="D421"/>
      <c r="E421"/>
      <c r="F421"/>
      <c r="G421"/>
      <c r="H421"/>
      <c r="I421"/>
      <c r="J421"/>
      <c r="K421"/>
      <c r="L421"/>
      <c r="M421"/>
      <c r="N421"/>
      <c r="O421"/>
      <c r="P421"/>
    </row>
    <row r="422" spans="2:16">
      <c r="B422"/>
      <c r="C422"/>
      <c r="D422"/>
      <c r="E422"/>
      <c r="F422"/>
      <c r="G422"/>
      <c r="H422"/>
      <c r="I422"/>
      <c r="J422"/>
      <c r="K422"/>
      <c r="L422"/>
      <c r="M422"/>
      <c r="N422"/>
      <c r="O422"/>
      <c r="P422"/>
    </row>
    <row r="423" spans="2:16">
      <c r="B423"/>
      <c r="C423"/>
      <c r="D423"/>
      <c r="E423"/>
      <c r="F423"/>
      <c r="G423"/>
      <c r="H423"/>
      <c r="I423"/>
      <c r="J423"/>
      <c r="K423"/>
      <c r="L423"/>
      <c r="M423"/>
      <c r="N423"/>
      <c r="O423"/>
      <c r="P423"/>
    </row>
    <row r="424" spans="2:16">
      <c r="B424"/>
      <c r="C424"/>
      <c r="D424"/>
      <c r="E424"/>
      <c r="F424"/>
      <c r="G424"/>
      <c r="H424"/>
      <c r="I424"/>
      <c r="J424"/>
      <c r="K424"/>
      <c r="L424"/>
      <c r="M424"/>
      <c r="N424"/>
      <c r="O424"/>
      <c r="P424"/>
    </row>
    <row r="425" spans="2:16">
      <c r="B425"/>
      <c r="C425"/>
      <c r="D425"/>
      <c r="E425"/>
      <c r="F425"/>
      <c r="G425"/>
      <c r="H425"/>
      <c r="I425"/>
      <c r="J425"/>
      <c r="K425"/>
      <c r="L425"/>
      <c r="M425"/>
      <c r="N425"/>
      <c r="O425"/>
      <c r="P425"/>
    </row>
    <row r="426" spans="2:16">
      <c r="B426"/>
      <c r="C426"/>
      <c r="D426"/>
      <c r="E426"/>
      <c r="F426"/>
      <c r="G426"/>
      <c r="H426"/>
      <c r="I426"/>
      <c r="J426"/>
      <c r="K426"/>
      <c r="L426"/>
      <c r="M426"/>
      <c r="N426"/>
      <c r="O426"/>
      <c r="P426"/>
    </row>
    <row r="427" spans="2:16">
      <c r="B427"/>
      <c r="C427"/>
      <c r="D427"/>
      <c r="E427"/>
      <c r="F427"/>
      <c r="G427"/>
      <c r="H427"/>
      <c r="I427"/>
      <c r="J427"/>
      <c r="K427"/>
      <c r="L427"/>
      <c r="M427"/>
      <c r="N427"/>
      <c r="O427"/>
      <c r="P427"/>
    </row>
    <row r="428" spans="2:16">
      <c r="B428"/>
      <c r="C428"/>
      <c r="D428"/>
      <c r="E428"/>
      <c r="F428"/>
      <c r="G428"/>
      <c r="H428"/>
      <c r="I428"/>
      <c r="J428"/>
      <c r="K428"/>
      <c r="L428"/>
      <c r="M428"/>
      <c r="N428"/>
      <c r="O428"/>
      <c r="P428"/>
    </row>
    <row r="429" spans="2:16">
      <c r="B429"/>
      <c r="C429"/>
      <c r="D429"/>
      <c r="E429"/>
      <c r="F429"/>
      <c r="G429"/>
      <c r="H429"/>
      <c r="I429"/>
      <c r="J429"/>
      <c r="K429"/>
      <c r="L429"/>
      <c r="M429"/>
      <c r="N429"/>
      <c r="O429"/>
      <c r="P429"/>
    </row>
    <row r="430" spans="2:16">
      <c r="B430"/>
      <c r="C430"/>
      <c r="D430"/>
      <c r="E430"/>
      <c r="F430"/>
      <c r="G430"/>
      <c r="H430"/>
      <c r="I430"/>
      <c r="J430"/>
      <c r="K430"/>
      <c r="L430"/>
      <c r="M430"/>
      <c r="N430"/>
      <c r="O430"/>
      <c r="P430"/>
    </row>
    <row r="431" spans="2:16">
      <c r="B431"/>
      <c r="C431"/>
      <c r="D431"/>
      <c r="E431"/>
      <c r="F431"/>
      <c r="G431"/>
      <c r="H431"/>
      <c r="I431"/>
      <c r="J431"/>
      <c r="K431"/>
      <c r="L431"/>
      <c r="M431"/>
      <c r="N431"/>
      <c r="O431"/>
      <c r="P431"/>
    </row>
    <row r="432" spans="2:16">
      <c r="B432"/>
      <c r="C432"/>
      <c r="D432"/>
      <c r="E432"/>
      <c r="F432"/>
      <c r="G432"/>
      <c r="H432"/>
      <c r="I432"/>
      <c r="J432"/>
      <c r="K432"/>
      <c r="L432"/>
      <c r="M432"/>
      <c r="N432"/>
      <c r="O432"/>
      <c r="P432"/>
    </row>
    <row r="433" spans="2:16">
      <c r="B433"/>
      <c r="C433"/>
      <c r="D433"/>
      <c r="E433"/>
      <c r="F433"/>
      <c r="G433"/>
      <c r="H433"/>
      <c r="I433"/>
      <c r="J433"/>
      <c r="K433"/>
      <c r="L433"/>
      <c r="M433"/>
      <c r="N433"/>
      <c r="O433"/>
      <c r="P433"/>
    </row>
    <row r="434" spans="2:16">
      <c r="B434"/>
      <c r="C434"/>
      <c r="D434"/>
      <c r="E434"/>
      <c r="F434"/>
      <c r="G434"/>
      <c r="H434"/>
      <c r="I434"/>
      <c r="J434"/>
      <c r="K434"/>
      <c r="L434"/>
      <c r="M434"/>
      <c r="N434"/>
      <c r="O434"/>
      <c r="P434"/>
    </row>
    <row r="435" spans="2:16">
      <c r="B435"/>
      <c r="C435"/>
      <c r="D435"/>
      <c r="E435"/>
      <c r="F435"/>
      <c r="G435"/>
      <c r="H435"/>
      <c r="I435"/>
      <c r="J435"/>
      <c r="K435"/>
      <c r="L435"/>
      <c r="M435"/>
      <c r="N435"/>
      <c r="O435"/>
      <c r="P435"/>
    </row>
    <row r="436" spans="2:16">
      <c r="B436"/>
      <c r="C436"/>
      <c r="D436"/>
      <c r="E436"/>
      <c r="F436"/>
      <c r="G436"/>
      <c r="H436"/>
      <c r="I436"/>
      <c r="J436"/>
      <c r="K436"/>
      <c r="L436"/>
      <c r="M436"/>
      <c r="N436"/>
      <c r="O436"/>
      <c r="P436"/>
    </row>
    <row r="437" spans="2:16">
      <c r="B437"/>
      <c r="C437"/>
      <c r="D437"/>
      <c r="E437"/>
      <c r="F437"/>
      <c r="G437"/>
      <c r="H437"/>
      <c r="I437"/>
      <c r="J437"/>
      <c r="K437"/>
      <c r="L437"/>
      <c r="M437"/>
      <c r="N437"/>
      <c r="O437"/>
      <c r="P437"/>
    </row>
    <row r="438" spans="2:16">
      <c r="B438"/>
      <c r="C438"/>
      <c r="D438"/>
      <c r="E438"/>
      <c r="F438"/>
      <c r="G438"/>
      <c r="H438"/>
      <c r="I438"/>
      <c r="J438"/>
      <c r="K438"/>
      <c r="L438"/>
      <c r="M438"/>
      <c r="N438"/>
      <c r="O438"/>
      <c r="P438"/>
    </row>
    <row r="439" spans="2:16">
      <c r="B439"/>
      <c r="C439"/>
      <c r="D439"/>
      <c r="E439"/>
      <c r="F439"/>
      <c r="G439"/>
      <c r="H439"/>
      <c r="I439"/>
      <c r="J439"/>
      <c r="K439"/>
      <c r="L439"/>
      <c r="M439"/>
      <c r="N439"/>
      <c r="O439"/>
      <c r="P439"/>
    </row>
    <row r="440" spans="2:16">
      <c r="B440"/>
      <c r="C440"/>
      <c r="D440"/>
      <c r="E440"/>
      <c r="F440"/>
      <c r="G440"/>
      <c r="H440"/>
      <c r="I440"/>
      <c r="J440"/>
      <c r="K440"/>
      <c r="L440"/>
      <c r="M440"/>
      <c r="N440"/>
      <c r="O440"/>
      <c r="P440"/>
    </row>
    <row r="441" spans="2:16">
      <c r="B441"/>
      <c r="C441"/>
      <c r="D441"/>
      <c r="E441"/>
      <c r="F441"/>
      <c r="G441"/>
      <c r="H441"/>
      <c r="I441"/>
      <c r="J441"/>
      <c r="K441"/>
      <c r="L441"/>
      <c r="M441"/>
      <c r="N441"/>
      <c r="O441"/>
      <c r="P441"/>
    </row>
    <row r="442" spans="2:16">
      <c r="B442"/>
      <c r="C442"/>
      <c r="D442"/>
      <c r="E442"/>
      <c r="F442"/>
      <c r="G442"/>
      <c r="H442"/>
      <c r="I442"/>
      <c r="J442"/>
      <c r="K442"/>
      <c r="L442"/>
      <c r="M442"/>
      <c r="N442"/>
      <c r="O442"/>
      <c r="P442"/>
    </row>
    <row r="443" spans="2:16">
      <c r="B443"/>
      <c r="C443"/>
      <c r="D443"/>
      <c r="E443"/>
      <c r="F443"/>
      <c r="G443"/>
      <c r="H443"/>
      <c r="I443"/>
      <c r="J443"/>
      <c r="K443"/>
      <c r="L443"/>
      <c r="M443"/>
      <c r="N443"/>
      <c r="O443"/>
      <c r="P443"/>
    </row>
    <row r="444" spans="2:16">
      <c r="B444"/>
      <c r="C444"/>
      <c r="D444"/>
      <c r="E444"/>
      <c r="F444"/>
      <c r="G444"/>
      <c r="H444"/>
      <c r="I444"/>
      <c r="J444"/>
      <c r="K444"/>
      <c r="L444"/>
      <c r="M444"/>
      <c r="N444"/>
      <c r="O444"/>
      <c r="P444"/>
    </row>
    <row r="445" spans="2:16">
      <c r="B445"/>
      <c r="C445"/>
      <c r="D445"/>
      <c r="E445"/>
      <c r="F445"/>
      <c r="G445"/>
      <c r="H445"/>
      <c r="I445"/>
      <c r="J445"/>
      <c r="K445"/>
      <c r="L445"/>
      <c r="M445"/>
      <c r="N445"/>
      <c r="O445"/>
      <c r="P445"/>
    </row>
    <row r="446" spans="2:16">
      <c r="B446"/>
      <c r="C446"/>
      <c r="D446"/>
      <c r="E446"/>
      <c r="F446"/>
      <c r="G446"/>
      <c r="H446"/>
      <c r="I446"/>
      <c r="J446"/>
      <c r="K446"/>
      <c r="L446"/>
      <c r="M446"/>
      <c r="N446"/>
      <c r="O446"/>
      <c r="P446"/>
    </row>
    <row r="447" spans="2:16">
      <c r="B447"/>
      <c r="C447"/>
      <c r="D447"/>
      <c r="E447"/>
      <c r="F447"/>
      <c r="G447"/>
      <c r="H447"/>
      <c r="I447"/>
      <c r="J447"/>
      <c r="K447"/>
      <c r="L447"/>
      <c r="M447"/>
      <c r="N447"/>
      <c r="O447"/>
      <c r="P447"/>
    </row>
    <row r="448" spans="2:16">
      <c r="B448"/>
      <c r="C448"/>
      <c r="D448"/>
      <c r="E448"/>
      <c r="F448"/>
      <c r="G448"/>
      <c r="H448"/>
      <c r="I448"/>
      <c r="J448"/>
      <c r="K448"/>
      <c r="L448"/>
      <c r="M448"/>
      <c r="N448"/>
      <c r="O448"/>
      <c r="P448"/>
    </row>
    <row r="449" spans="2:16">
      <c r="B449"/>
      <c r="C449"/>
      <c r="D449"/>
      <c r="E449"/>
      <c r="F449"/>
      <c r="G449"/>
      <c r="H449"/>
      <c r="I449"/>
      <c r="J449"/>
      <c r="K449"/>
      <c r="L449"/>
      <c r="M449"/>
      <c r="N449"/>
      <c r="O449"/>
      <c r="P449"/>
    </row>
    <row r="450" spans="2:16">
      <c r="B450"/>
      <c r="C450"/>
      <c r="D450"/>
      <c r="E450"/>
      <c r="F450"/>
      <c r="G450"/>
      <c r="H450"/>
      <c r="I450"/>
      <c r="J450"/>
      <c r="K450"/>
      <c r="L450"/>
      <c r="M450"/>
      <c r="N450"/>
      <c r="O450"/>
      <c r="P450"/>
    </row>
    <row r="451" spans="2:16">
      <c r="B451"/>
      <c r="C451"/>
      <c r="D451"/>
      <c r="E451"/>
      <c r="F451"/>
      <c r="G451"/>
      <c r="H451"/>
      <c r="I451"/>
      <c r="J451"/>
      <c r="K451"/>
      <c r="L451"/>
      <c r="M451"/>
      <c r="N451"/>
      <c r="O451"/>
      <c r="P451"/>
    </row>
    <row r="452" spans="2:16">
      <c r="B452"/>
      <c r="C452"/>
      <c r="D452"/>
      <c r="E452"/>
      <c r="F452"/>
      <c r="G452"/>
      <c r="H452"/>
      <c r="I452"/>
      <c r="J452"/>
      <c r="K452"/>
      <c r="L452"/>
      <c r="M452"/>
      <c r="N452"/>
      <c r="O452"/>
      <c r="P452"/>
    </row>
    <row r="453" spans="2:16">
      <c r="B453"/>
      <c r="C453"/>
      <c r="D453"/>
      <c r="E453"/>
      <c r="F453"/>
      <c r="G453"/>
      <c r="H453"/>
      <c r="I453"/>
      <c r="J453"/>
      <c r="K453"/>
      <c r="L453"/>
      <c r="M453"/>
      <c r="N453"/>
      <c r="O453"/>
      <c r="P453"/>
    </row>
    <row r="454" spans="2:16">
      <c r="B454"/>
      <c r="C454"/>
      <c r="D454"/>
      <c r="E454"/>
      <c r="F454"/>
      <c r="G454"/>
      <c r="H454"/>
      <c r="I454"/>
      <c r="J454"/>
      <c r="K454"/>
      <c r="L454"/>
      <c r="M454"/>
      <c r="N454"/>
      <c r="O454"/>
      <c r="P454"/>
    </row>
    <row r="455" spans="2:16">
      <c r="B455"/>
      <c r="C455"/>
      <c r="D455"/>
      <c r="E455"/>
      <c r="F455"/>
      <c r="G455"/>
      <c r="H455"/>
      <c r="I455"/>
      <c r="J455"/>
      <c r="K455"/>
      <c r="L455"/>
      <c r="M455"/>
      <c r="N455"/>
      <c r="O455"/>
      <c r="P455"/>
    </row>
    <row r="456" spans="2:16">
      <c r="B456"/>
      <c r="C456"/>
      <c r="D456"/>
      <c r="E456"/>
      <c r="F456"/>
      <c r="G456"/>
      <c r="H456"/>
      <c r="I456"/>
      <c r="J456"/>
      <c r="K456"/>
      <c r="L456"/>
      <c r="M456"/>
      <c r="N456"/>
      <c r="O456"/>
      <c r="P456"/>
    </row>
    <row r="457" spans="2:16">
      <c r="B457"/>
      <c r="C457"/>
      <c r="D457"/>
      <c r="E457"/>
      <c r="F457"/>
      <c r="G457"/>
      <c r="H457"/>
      <c r="I457"/>
      <c r="J457"/>
      <c r="K457"/>
      <c r="L457"/>
      <c r="M457"/>
      <c r="N457"/>
      <c r="O457"/>
      <c r="P457"/>
    </row>
    <row r="458" spans="2:16">
      <c r="B458"/>
      <c r="C458"/>
      <c r="D458"/>
      <c r="E458"/>
      <c r="F458"/>
      <c r="G458"/>
      <c r="H458"/>
      <c r="I458"/>
      <c r="J458"/>
      <c r="K458"/>
      <c r="L458"/>
      <c r="M458"/>
      <c r="N458"/>
      <c r="O458"/>
      <c r="P458"/>
    </row>
    <row r="459" spans="2:16">
      <c r="B459"/>
      <c r="C459"/>
      <c r="D459"/>
      <c r="E459"/>
      <c r="F459"/>
      <c r="G459"/>
      <c r="H459"/>
      <c r="I459"/>
      <c r="J459"/>
      <c r="K459"/>
      <c r="L459"/>
      <c r="M459"/>
      <c r="N459"/>
      <c r="O459"/>
      <c r="P459"/>
    </row>
    <row r="460" spans="2:16">
      <c r="B460"/>
      <c r="C460"/>
      <c r="D460"/>
      <c r="E460"/>
      <c r="F460"/>
      <c r="G460"/>
      <c r="H460"/>
      <c r="I460"/>
      <c r="J460"/>
      <c r="K460"/>
      <c r="L460"/>
      <c r="M460"/>
      <c r="N460"/>
      <c r="O460"/>
      <c r="P460"/>
    </row>
    <row r="461" spans="2:16">
      <c r="B461"/>
      <c r="C461"/>
      <c r="D461"/>
      <c r="E461"/>
      <c r="F461"/>
      <c r="G461"/>
      <c r="H461"/>
      <c r="I461"/>
      <c r="J461"/>
      <c r="K461"/>
      <c r="L461"/>
      <c r="M461"/>
      <c r="N461"/>
      <c r="O461"/>
      <c r="P461"/>
    </row>
    <row r="462" spans="2:16">
      <c r="B462"/>
      <c r="C462"/>
      <c r="D462"/>
      <c r="E462"/>
      <c r="F462"/>
      <c r="G462"/>
      <c r="H462"/>
      <c r="I462"/>
      <c r="J462"/>
      <c r="K462"/>
      <c r="L462"/>
      <c r="M462"/>
      <c r="N462"/>
      <c r="O462"/>
      <c r="P462"/>
    </row>
    <row r="463" spans="2:16">
      <c r="B463"/>
      <c r="C463"/>
      <c r="D463"/>
      <c r="E463"/>
      <c r="F463"/>
      <c r="G463"/>
      <c r="H463"/>
      <c r="I463"/>
      <c r="J463"/>
      <c r="K463"/>
      <c r="L463"/>
      <c r="M463"/>
      <c r="N463"/>
      <c r="O463"/>
      <c r="P463"/>
    </row>
    <row r="464" spans="2:16">
      <c r="B464"/>
      <c r="C464"/>
      <c r="D464"/>
      <c r="E464"/>
      <c r="F464"/>
      <c r="G464"/>
      <c r="H464"/>
      <c r="I464"/>
      <c r="J464"/>
      <c r="K464"/>
      <c r="L464"/>
      <c r="M464"/>
      <c r="N464"/>
      <c r="O464"/>
      <c r="P464"/>
    </row>
    <row r="465" spans="2:16">
      <c r="B465"/>
      <c r="C465"/>
      <c r="D465"/>
      <c r="E465"/>
      <c r="F465"/>
      <c r="G465"/>
      <c r="H465"/>
      <c r="I465"/>
      <c r="J465"/>
      <c r="K465"/>
      <c r="L465"/>
      <c r="M465"/>
      <c r="N465"/>
      <c r="O465"/>
      <c r="P465"/>
    </row>
    <row r="466" spans="2:16">
      <c r="B466"/>
      <c r="C466"/>
      <c r="D466"/>
      <c r="E466"/>
      <c r="F466"/>
      <c r="G466"/>
      <c r="H466"/>
      <c r="I466"/>
      <c r="J466"/>
      <c r="K466"/>
      <c r="L466"/>
      <c r="M466"/>
      <c r="N466"/>
      <c r="O466"/>
      <c r="P466"/>
    </row>
    <row r="467" spans="2:16">
      <c r="B467"/>
      <c r="C467"/>
      <c r="D467"/>
      <c r="E467"/>
      <c r="F467"/>
      <c r="G467"/>
      <c r="H467"/>
      <c r="I467"/>
      <c r="J467"/>
      <c r="K467"/>
      <c r="L467"/>
      <c r="M467"/>
      <c r="N467"/>
      <c r="O467"/>
      <c r="P467"/>
    </row>
    <row r="468" spans="2:16">
      <c r="B468"/>
      <c r="C468"/>
      <c r="D468"/>
      <c r="E468"/>
      <c r="F468"/>
      <c r="G468"/>
      <c r="H468"/>
      <c r="I468"/>
      <c r="J468"/>
      <c r="K468"/>
      <c r="L468"/>
      <c r="M468"/>
      <c r="N468"/>
      <c r="O468"/>
      <c r="P468"/>
    </row>
    <row r="469" spans="2:16">
      <c r="B469"/>
      <c r="C469"/>
      <c r="D469"/>
      <c r="E469"/>
      <c r="F469"/>
      <c r="G469"/>
      <c r="H469"/>
      <c r="I469"/>
      <c r="J469"/>
      <c r="K469"/>
      <c r="L469"/>
      <c r="M469"/>
      <c r="N469"/>
      <c r="O469"/>
      <c r="P469"/>
    </row>
    <row r="470" spans="2:16">
      <c r="B470"/>
      <c r="C470"/>
      <c r="D470"/>
      <c r="E470"/>
      <c r="F470"/>
      <c r="G470"/>
      <c r="H470"/>
      <c r="I470"/>
      <c r="J470"/>
      <c r="K470"/>
      <c r="L470"/>
      <c r="M470"/>
      <c r="N470"/>
      <c r="O470"/>
      <c r="P470"/>
    </row>
    <row r="471" spans="2:16">
      <c r="B471"/>
      <c r="C471"/>
      <c r="D471"/>
      <c r="E471"/>
      <c r="F471"/>
      <c r="G471"/>
      <c r="H471"/>
      <c r="I471"/>
      <c r="J471"/>
      <c r="K471"/>
      <c r="L471"/>
      <c r="M471"/>
      <c r="N471"/>
      <c r="O471"/>
      <c r="P471"/>
    </row>
    <row r="472" spans="2:16">
      <c r="B472"/>
      <c r="C472"/>
      <c r="D472"/>
      <c r="E472"/>
      <c r="F472"/>
      <c r="G472"/>
      <c r="H472"/>
      <c r="I472"/>
      <c r="J472"/>
      <c r="K472"/>
      <c r="L472"/>
      <c r="M472"/>
      <c r="N472"/>
      <c r="O472"/>
      <c r="P472"/>
    </row>
    <row r="473" spans="2:16">
      <c r="B473"/>
      <c r="C473"/>
      <c r="D473"/>
      <c r="E473"/>
      <c r="F473"/>
      <c r="G473"/>
      <c r="H473"/>
      <c r="I473"/>
      <c r="J473"/>
      <c r="K473"/>
      <c r="L473"/>
      <c r="M473"/>
      <c r="N473"/>
      <c r="O473"/>
      <c r="P473"/>
    </row>
    <row r="474" spans="2:16">
      <c r="B474"/>
      <c r="C474"/>
      <c r="D474"/>
      <c r="E474"/>
      <c r="F474"/>
      <c r="G474"/>
      <c r="H474"/>
      <c r="I474"/>
      <c r="J474"/>
      <c r="K474"/>
      <c r="L474"/>
      <c r="M474"/>
      <c r="N474"/>
      <c r="O474"/>
      <c r="P474"/>
    </row>
    <row r="475" spans="2:16">
      <c r="B475"/>
      <c r="C475"/>
      <c r="D475"/>
      <c r="E475"/>
      <c r="F475"/>
      <c r="G475"/>
      <c r="H475"/>
      <c r="I475"/>
      <c r="J475"/>
      <c r="K475"/>
      <c r="L475"/>
      <c r="M475"/>
      <c r="N475"/>
      <c r="O475"/>
      <c r="P475"/>
    </row>
    <row r="476" spans="2:16">
      <c r="B476"/>
      <c r="C476"/>
      <c r="D476"/>
      <c r="E476"/>
      <c r="F476"/>
      <c r="G476"/>
      <c r="H476"/>
      <c r="I476"/>
      <c r="J476"/>
      <c r="K476"/>
      <c r="L476"/>
      <c r="M476"/>
      <c r="N476"/>
      <c r="O476"/>
      <c r="P476"/>
    </row>
    <row r="477" spans="2:16">
      <c r="B477"/>
      <c r="C477"/>
      <c r="D477"/>
      <c r="E477"/>
      <c r="F477"/>
      <c r="G477"/>
      <c r="H477"/>
      <c r="I477"/>
      <c r="J477"/>
      <c r="K477"/>
      <c r="L477"/>
      <c r="M477"/>
      <c r="N477"/>
      <c r="O477"/>
      <c r="P477"/>
    </row>
    <row r="478" spans="2:16">
      <c r="B478"/>
      <c r="C478"/>
      <c r="D478"/>
      <c r="E478"/>
      <c r="F478"/>
      <c r="G478"/>
      <c r="H478"/>
      <c r="I478"/>
      <c r="J478"/>
      <c r="K478"/>
      <c r="L478"/>
      <c r="M478"/>
      <c r="N478"/>
      <c r="O478"/>
      <c r="P478"/>
    </row>
    <row r="479" spans="2:16">
      <c r="B479"/>
      <c r="C479"/>
      <c r="D479"/>
      <c r="E479"/>
      <c r="F479"/>
      <c r="G479"/>
      <c r="H479"/>
      <c r="I479"/>
      <c r="J479"/>
      <c r="K479"/>
      <c r="L479"/>
      <c r="M479"/>
      <c r="N479"/>
      <c r="O479"/>
      <c r="P479"/>
    </row>
    <row r="480" spans="2:16">
      <c r="B480"/>
      <c r="C480"/>
      <c r="D480"/>
      <c r="E480"/>
      <c r="F480"/>
      <c r="G480"/>
      <c r="H480"/>
      <c r="I480"/>
      <c r="J480"/>
      <c r="K480"/>
      <c r="L480"/>
      <c r="M480"/>
      <c r="N480"/>
      <c r="O480"/>
      <c r="P480"/>
    </row>
    <row r="481" spans="2:16">
      <c r="B481"/>
      <c r="C481"/>
      <c r="D481"/>
      <c r="E481"/>
      <c r="F481"/>
      <c r="G481"/>
      <c r="H481"/>
      <c r="I481"/>
      <c r="J481"/>
      <c r="K481"/>
      <c r="L481"/>
      <c r="M481"/>
      <c r="N481"/>
      <c r="O481"/>
      <c r="P481"/>
    </row>
    <row r="482" spans="2:16">
      <c r="B482"/>
      <c r="C482"/>
      <c r="D482"/>
      <c r="E482"/>
      <c r="F482"/>
      <c r="G482"/>
      <c r="H482"/>
      <c r="I482"/>
      <c r="J482"/>
      <c r="K482"/>
      <c r="L482"/>
      <c r="M482"/>
      <c r="N482"/>
      <c r="O482"/>
      <c r="P482"/>
    </row>
    <row r="483" spans="2:16">
      <c r="B483"/>
      <c r="C483"/>
      <c r="D483"/>
      <c r="E483"/>
      <c r="F483"/>
      <c r="G483"/>
      <c r="H483"/>
      <c r="I483"/>
      <c r="J483"/>
      <c r="K483"/>
      <c r="L483"/>
      <c r="M483"/>
      <c r="N483"/>
      <c r="O483"/>
      <c r="P483"/>
    </row>
    <row r="484" spans="2:16">
      <c r="B484"/>
      <c r="C484"/>
      <c r="D484"/>
      <c r="E484"/>
      <c r="F484"/>
      <c r="G484"/>
      <c r="H484"/>
      <c r="I484"/>
      <c r="J484"/>
      <c r="K484"/>
      <c r="L484"/>
      <c r="M484"/>
      <c r="N484"/>
      <c r="O484"/>
      <c r="P484"/>
    </row>
    <row r="485" spans="2:16">
      <c r="B485"/>
      <c r="C485"/>
      <c r="D485"/>
      <c r="E485"/>
      <c r="F485"/>
      <c r="G485"/>
      <c r="H485"/>
      <c r="I485"/>
      <c r="J485"/>
      <c r="K485"/>
      <c r="L485"/>
      <c r="M485"/>
      <c r="N485"/>
      <c r="O485"/>
      <c r="P485"/>
    </row>
    <row r="486" spans="2:16">
      <c r="B486"/>
      <c r="C486"/>
      <c r="D486"/>
      <c r="E486"/>
      <c r="F486"/>
      <c r="G486"/>
      <c r="H486"/>
      <c r="I486"/>
      <c r="J486"/>
      <c r="K486"/>
      <c r="L486"/>
      <c r="M486"/>
      <c r="N486"/>
      <c r="O486"/>
      <c r="P486"/>
    </row>
    <row r="487" spans="2:16">
      <c r="B487"/>
      <c r="C487"/>
      <c r="D487"/>
      <c r="E487"/>
      <c r="F487"/>
      <c r="G487"/>
      <c r="H487"/>
      <c r="I487"/>
      <c r="J487"/>
      <c r="K487"/>
      <c r="L487"/>
      <c r="M487"/>
      <c r="N487"/>
      <c r="O487"/>
      <c r="P487"/>
    </row>
    <row r="488" spans="2:16">
      <c r="B488"/>
      <c r="C488"/>
      <c r="D488"/>
      <c r="E488"/>
      <c r="F488"/>
      <c r="G488"/>
      <c r="H488"/>
      <c r="I488"/>
      <c r="J488"/>
      <c r="K488"/>
      <c r="L488"/>
      <c r="M488"/>
      <c r="N488"/>
      <c r="O488"/>
      <c r="P488"/>
    </row>
    <row r="489" spans="2:16">
      <c r="B489"/>
      <c r="C489"/>
      <c r="D489"/>
      <c r="E489"/>
      <c r="F489"/>
      <c r="G489"/>
      <c r="H489"/>
      <c r="I489"/>
      <c r="J489"/>
      <c r="K489"/>
      <c r="L489"/>
      <c r="M489"/>
      <c r="N489"/>
      <c r="O489"/>
      <c r="P489"/>
    </row>
    <row r="490" spans="2:16">
      <c r="B490"/>
      <c r="C490"/>
      <c r="D490"/>
      <c r="E490"/>
      <c r="F490"/>
      <c r="G490"/>
      <c r="H490"/>
      <c r="I490"/>
      <c r="J490"/>
      <c r="K490"/>
      <c r="L490"/>
      <c r="M490"/>
      <c r="N490"/>
      <c r="O490"/>
      <c r="P490"/>
    </row>
    <row r="491" spans="2:16">
      <c r="B491"/>
      <c r="C491"/>
      <c r="D491"/>
      <c r="E491"/>
      <c r="F491"/>
      <c r="G491"/>
      <c r="H491"/>
      <c r="I491"/>
      <c r="J491"/>
      <c r="K491"/>
      <c r="L491"/>
      <c r="M491"/>
      <c r="N491"/>
      <c r="O491"/>
      <c r="P491"/>
    </row>
    <row r="492" spans="2:16">
      <c r="B492"/>
      <c r="C492"/>
      <c r="D492"/>
      <c r="E492"/>
      <c r="F492"/>
      <c r="G492"/>
      <c r="H492"/>
      <c r="I492"/>
      <c r="J492"/>
      <c r="K492"/>
      <c r="L492"/>
      <c r="M492"/>
      <c r="N492"/>
      <c r="O492"/>
      <c r="P492"/>
    </row>
    <row r="493" spans="2:16">
      <c r="B493"/>
      <c r="C493"/>
      <c r="D493"/>
      <c r="E493"/>
      <c r="F493"/>
      <c r="G493"/>
      <c r="H493"/>
      <c r="I493"/>
      <c r="J493"/>
      <c r="K493"/>
      <c r="L493"/>
      <c r="M493"/>
      <c r="N493"/>
      <c r="O493"/>
      <c r="P493"/>
    </row>
    <row r="494" spans="2:16">
      <c r="B494"/>
      <c r="C494"/>
      <c r="D494"/>
      <c r="E494"/>
      <c r="F494"/>
      <c r="G494"/>
      <c r="H494"/>
      <c r="I494"/>
      <c r="J494"/>
      <c r="K494"/>
      <c r="L494"/>
      <c r="M494"/>
      <c r="N494"/>
      <c r="O494"/>
      <c r="P494"/>
    </row>
    <row r="495" spans="2:16">
      <c r="B495"/>
      <c r="C495"/>
      <c r="D495"/>
      <c r="E495"/>
      <c r="F495"/>
      <c r="G495"/>
      <c r="H495"/>
      <c r="I495"/>
      <c r="J495"/>
      <c r="K495"/>
      <c r="L495"/>
      <c r="M495"/>
      <c r="N495"/>
      <c r="O495"/>
      <c r="P495"/>
    </row>
    <row r="496" spans="2:16">
      <c r="B496"/>
      <c r="C496"/>
      <c r="D496"/>
      <c r="E496"/>
      <c r="F496"/>
      <c r="G496"/>
      <c r="H496"/>
      <c r="I496"/>
      <c r="J496"/>
      <c r="K496"/>
      <c r="L496"/>
      <c r="M496"/>
      <c r="N496"/>
      <c r="O496"/>
      <c r="P496"/>
    </row>
    <row r="497" spans="2:16">
      <c r="B497"/>
      <c r="C497"/>
      <c r="D497"/>
      <c r="E497"/>
      <c r="F497"/>
      <c r="G497"/>
      <c r="H497"/>
      <c r="I497"/>
      <c r="J497"/>
      <c r="K497"/>
      <c r="L497"/>
      <c r="M497"/>
      <c r="N497"/>
      <c r="O497"/>
      <c r="P497"/>
    </row>
    <row r="498" spans="2:16">
      <c r="B498"/>
      <c r="C498"/>
      <c r="D498"/>
      <c r="E498"/>
      <c r="F498"/>
      <c r="G498"/>
      <c r="H498"/>
      <c r="I498"/>
      <c r="J498"/>
      <c r="K498"/>
      <c r="L498"/>
      <c r="M498"/>
      <c r="N498"/>
      <c r="O498"/>
      <c r="P498"/>
    </row>
    <row r="499" spans="2:16">
      <c r="B499"/>
      <c r="C499"/>
      <c r="D499"/>
      <c r="E499"/>
      <c r="F499"/>
      <c r="G499"/>
      <c r="H499"/>
      <c r="I499"/>
      <c r="J499"/>
      <c r="K499"/>
      <c r="L499"/>
      <c r="M499"/>
      <c r="N499"/>
      <c r="O499"/>
      <c r="P499"/>
    </row>
    <row r="500" spans="2:16">
      <c r="B500"/>
      <c r="C500"/>
      <c r="D500"/>
      <c r="E500"/>
      <c r="F500"/>
      <c r="G500"/>
      <c r="H500"/>
      <c r="I500"/>
      <c r="J500"/>
      <c r="K500"/>
      <c r="L500"/>
      <c r="M500"/>
      <c r="N500"/>
      <c r="O500"/>
      <c r="P500"/>
    </row>
    <row r="501" spans="2:16">
      <c r="B501"/>
      <c r="C501"/>
      <c r="D501"/>
      <c r="E501"/>
      <c r="F501"/>
      <c r="G501"/>
      <c r="H501"/>
      <c r="I501"/>
      <c r="J501"/>
      <c r="K501"/>
      <c r="L501"/>
      <c r="M501"/>
      <c r="N501"/>
      <c r="O501"/>
      <c r="P501"/>
    </row>
    <row r="502" spans="2:16">
      <c r="B502"/>
      <c r="C502"/>
      <c r="D502"/>
      <c r="E502"/>
      <c r="F502"/>
      <c r="G502"/>
      <c r="H502"/>
      <c r="I502"/>
      <c r="J502"/>
      <c r="K502"/>
      <c r="L502"/>
      <c r="M502"/>
      <c r="N502"/>
      <c r="O502"/>
      <c r="P502"/>
    </row>
    <row r="503" spans="2:16">
      <c r="B503"/>
      <c r="C503"/>
      <c r="D503"/>
      <c r="E503"/>
      <c r="F503"/>
      <c r="G503"/>
      <c r="H503"/>
      <c r="I503"/>
      <c r="J503"/>
      <c r="K503"/>
      <c r="L503"/>
      <c r="M503"/>
      <c r="N503"/>
      <c r="O503"/>
      <c r="P503"/>
    </row>
    <row r="504" spans="2:16">
      <c r="B504"/>
      <c r="C504"/>
      <c r="D504"/>
      <c r="E504"/>
      <c r="F504"/>
      <c r="G504"/>
      <c r="H504"/>
      <c r="I504"/>
      <c r="J504"/>
      <c r="K504"/>
      <c r="L504"/>
      <c r="M504"/>
      <c r="N504"/>
      <c r="O504"/>
      <c r="P504"/>
    </row>
    <row r="505" spans="2:16">
      <c r="B505"/>
      <c r="C505"/>
      <c r="D505"/>
      <c r="E505"/>
      <c r="F505"/>
      <c r="G505"/>
      <c r="H505"/>
      <c r="I505"/>
      <c r="J505"/>
      <c r="K505"/>
      <c r="L505"/>
      <c r="M505"/>
      <c r="N505"/>
      <c r="O505"/>
      <c r="P505"/>
    </row>
    <row r="506" spans="2:16">
      <c r="B506"/>
      <c r="C506"/>
      <c r="D506"/>
      <c r="E506"/>
      <c r="F506"/>
      <c r="G506"/>
      <c r="H506"/>
      <c r="I506"/>
      <c r="J506"/>
      <c r="K506"/>
      <c r="L506"/>
      <c r="M506"/>
      <c r="N506"/>
      <c r="O506"/>
      <c r="P506"/>
    </row>
    <row r="507" spans="2:16">
      <c r="B507"/>
      <c r="C507"/>
      <c r="D507"/>
      <c r="E507"/>
      <c r="F507"/>
      <c r="G507"/>
      <c r="H507"/>
      <c r="I507"/>
      <c r="J507"/>
      <c r="K507"/>
      <c r="L507"/>
      <c r="M507"/>
      <c r="N507"/>
      <c r="O507"/>
      <c r="P507"/>
    </row>
    <row r="508" spans="2:16">
      <c r="B508"/>
      <c r="C508"/>
      <c r="D508"/>
      <c r="E508"/>
      <c r="F508"/>
      <c r="G508"/>
      <c r="H508"/>
      <c r="I508"/>
      <c r="J508"/>
      <c r="K508"/>
      <c r="L508"/>
      <c r="M508"/>
      <c r="N508"/>
      <c r="O508"/>
      <c r="P508"/>
    </row>
    <row r="509" spans="2:16">
      <c r="B509"/>
      <c r="C509"/>
      <c r="D509"/>
      <c r="E509"/>
      <c r="F509"/>
      <c r="G509"/>
      <c r="H509"/>
      <c r="I509"/>
      <c r="J509"/>
      <c r="K509"/>
      <c r="L509"/>
      <c r="M509"/>
      <c r="N509"/>
      <c r="O509"/>
      <c r="P509"/>
    </row>
    <row r="510" spans="2:16">
      <c r="B510"/>
      <c r="C510"/>
      <c r="D510"/>
      <c r="E510"/>
      <c r="F510"/>
      <c r="G510"/>
      <c r="H510"/>
      <c r="I510"/>
      <c r="J510"/>
      <c r="K510"/>
      <c r="L510"/>
      <c r="M510"/>
      <c r="N510"/>
      <c r="O510"/>
      <c r="P510"/>
    </row>
    <row r="511" spans="2:16">
      <c r="B511"/>
      <c r="C511"/>
      <c r="D511"/>
      <c r="E511"/>
      <c r="F511"/>
      <c r="G511"/>
      <c r="H511"/>
      <c r="I511"/>
      <c r="J511"/>
      <c r="K511"/>
      <c r="L511"/>
      <c r="M511"/>
      <c r="N511"/>
      <c r="O511"/>
      <c r="P511"/>
    </row>
    <row r="512" spans="2:16">
      <c r="B512"/>
      <c r="C512"/>
      <c r="D512"/>
      <c r="E512"/>
      <c r="F512"/>
      <c r="G512"/>
      <c r="H512"/>
      <c r="I512"/>
      <c r="J512"/>
      <c r="K512"/>
      <c r="L512"/>
      <c r="M512"/>
      <c r="N512"/>
      <c r="O512"/>
      <c r="P512"/>
    </row>
    <row r="513" spans="2:16">
      <c r="B513"/>
      <c r="C513"/>
      <c r="D513"/>
      <c r="E513"/>
      <c r="F513"/>
      <c r="G513"/>
      <c r="H513"/>
      <c r="I513"/>
      <c r="J513"/>
      <c r="K513"/>
      <c r="L513"/>
      <c r="M513"/>
      <c r="N513"/>
      <c r="O513"/>
      <c r="P513"/>
    </row>
    <row r="514" spans="2:16">
      <c r="B514"/>
      <c r="C514"/>
      <c r="D514"/>
      <c r="E514"/>
      <c r="F514"/>
      <c r="G514"/>
      <c r="H514"/>
      <c r="I514"/>
      <c r="J514"/>
      <c r="K514"/>
      <c r="L514"/>
      <c r="M514"/>
      <c r="N514"/>
      <c r="O514"/>
      <c r="P514"/>
    </row>
    <row r="515" spans="2:16">
      <c r="B515"/>
      <c r="C515"/>
      <c r="D515"/>
      <c r="E515"/>
      <c r="F515"/>
      <c r="G515"/>
      <c r="H515"/>
      <c r="I515"/>
      <c r="J515"/>
      <c r="K515"/>
      <c r="L515"/>
      <c r="M515"/>
      <c r="N515"/>
      <c r="O515"/>
      <c r="P515"/>
    </row>
    <row r="516" spans="2:16">
      <c r="B516"/>
      <c r="C516"/>
      <c r="D516"/>
      <c r="E516"/>
      <c r="F516"/>
      <c r="G516"/>
      <c r="H516"/>
      <c r="I516"/>
      <c r="J516"/>
      <c r="K516"/>
      <c r="L516"/>
      <c r="M516"/>
      <c r="N516"/>
      <c r="O516"/>
      <c r="P516"/>
    </row>
    <row r="517" spans="2:16">
      <c r="B517"/>
      <c r="C517"/>
      <c r="D517"/>
      <c r="E517"/>
      <c r="F517"/>
      <c r="G517"/>
      <c r="H517"/>
      <c r="I517"/>
      <c r="J517"/>
      <c r="K517"/>
      <c r="L517"/>
      <c r="M517"/>
      <c r="N517"/>
      <c r="O517"/>
      <c r="P517"/>
    </row>
    <row r="518" spans="2:16">
      <c r="B518"/>
      <c r="C518"/>
      <c r="D518"/>
      <c r="E518"/>
      <c r="F518"/>
      <c r="G518"/>
      <c r="H518"/>
      <c r="I518"/>
      <c r="J518"/>
      <c r="K518"/>
      <c r="L518"/>
      <c r="M518"/>
      <c r="N518"/>
      <c r="O518"/>
      <c r="P518"/>
    </row>
    <row r="519" spans="2:16">
      <c r="B519"/>
      <c r="C519"/>
      <c r="D519"/>
      <c r="E519"/>
      <c r="F519"/>
      <c r="G519"/>
      <c r="H519"/>
      <c r="I519"/>
      <c r="J519"/>
      <c r="K519"/>
      <c r="L519"/>
      <c r="M519"/>
      <c r="N519"/>
      <c r="O519"/>
      <c r="P519"/>
    </row>
    <row r="520" spans="2:16">
      <c r="B520"/>
      <c r="C520"/>
      <c r="D520"/>
      <c r="E520"/>
      <c r="F520"/>
      <c r="G520"/>
      <c r="H520"/>
      <c r="I520"/>
      <c r="J520"/>
      <c r="K520"/>
      <c r="L520"/>
      <c r="M520"/>
      <c r="N520"/>
      <c r="O520"/>
      <c r="P520"/>
    </row>
    <row r="521" spans="2:16">
      <c r="B521"/>
      <c r="C521"/>
      <c r="D521"/>
      <c r="E521"/>
      <c r="F521"/>
      <c r="G521"/>
      <c r="H521"/>
      <c r="I521"/>
      <c r="J521"/>
      <c r="K521"/>
      <c r="L521"/>
      <c r="M521"/>
      <c r="N521"/>
      <c r="O521"/>
      <c r="P521"/>
    </row>
    <row r="522" spans="2:16">
      <c r="B522"/>
      <c r="C522"/>
      <c r="D522"/>
      <c r="E522"/>
      <c r="F522"/>
      <c r="G522"/>
      <c r="H522"/>
      <c r="I522"/>
      <c r="J522"/>
      <c r="K522"/>
      <c r="L522"/>
      <c r="M522"/>
      <c r="N522"/>
      <c r="O522"/>
      <c r="P522"/>
    </row>
    <row r="523" spans="2:16">
      <c r="B523"/>
      <c r="C523"/>
      <c r="D523"/>
      <c r="E523"/>
      <c r="F523"/>
      <c r="G523"/>
      <c r="H523"/>
      <c r="I523"/>
      <c r="J523"/>
      <c r="K523"/>
      <c r="L523"/>
      <c r="M523"/>
      <c r="N523"/>
      <c r="O523"/>
      <c r="P523"/>
    </row>
    <row r="524" spans="2:16">
      <c r="B524"/>
      <c r="C524"/>
      <c r="D524"/>
      <c r="E524"/>
      <c r="F524"/>
      <c r="G524"/>
      <c r="H524"/>
      <c r="I524"/>
      <c r="J524"/>
      <c r="K524"/>
      <c r="L524"/>
      <c r="M524"/>
      <c r="N524"/>
      <c r="O524"/>
      <c r="P524"/>
    </row>
    <row r="525" spans="2:16">
      <c r="B525"/>
      <c r="C525"/>
      <c r="D525"/>
      <c r="E525"/>
      <c r="F525"/>
      <c r="G525"/>
      <c r="H525"/>
      <c r="I525"/>
      <c r="J525"/>
      <c r="K525"/>
      <c r="L525"/>
      <c r="M525"/>
      <c r="N525"/>
      <c r="O525"/>
      <c r="P525"/>
    </row>
    <row r="526" spans="2:16">
      <c r="B526"/>
      <c r="C526"/>
      <c r="D526"/>
      <c r="E526"/>
      <c r="F526"/>
      <c r="G526"/>
      <c r="H526"/>
      <c r="I526"/>
      <c r="J526"/>
      <c r="K526"/>
      <c r="L526"/>
      <c r="M526"/>
      <c r="N526"/>
      <c r="O526"/>
      <c r="P526"/>
    </row>
    <row r="527" spans="2:16">
      <c r="B527"/>
      <c r="C527"/>
      <c r="D527"/>
      <c r="E527"/>
      <c r="F527"/>
      <c r="G527"/>
      <c r="H527"/>
      <c r="I527"/>
      <c r="J527"/>
      <c r="K527"/>
      <c r="L527"/>
      <c r="M527"/>
      <c r="N527"/>
      <c r="O527"/>
      <c r="P527"/>
    </row>
    <row r="528" spans="2:16">
      <c r="B528"/>
      <c r="C528"/>
      <c r="D528"/>
      <c r="E528"/>
      <c r="F528"/>
      <c r="G528"/>
      <c r="H528"/>
      <c r="I528"/>
      <c r="J528"/>
      <c r="K528"/>
      <c r="L528"/>
      <c r="M528"/>
      <c r="N528"/>
      <c r="O528"/>
      <c r="P528"/>
    </row>
    <row r="529" spans="2:16">
      <c r="B529"/>
      <c r="C529"/>
      <c r="D529"/>
      <c r="E529"/>
      <c r="F529"/>
      <c r="G529"/>
      <c r="H529"/>
      <c r="I529"/>
      <c r="J529"/>
      <c r="K529"/>
      <c r="L529"/>
      <c r="M529"/>
      <c r="N529"/>
      <c r="O529"/>
      <c r="P529"/>
    </row>
    <row r="530" spans="2:16">
      <c r="B530"/>
      <c r="C530"/>
      <c r="D530"/>
      <c r="E530"/>
      <c r="F530"/>
      <c r="G530"/>
      <c r="H530"/>
      <c r="I530"/>
      <c r="J530"/>
      <c r="K530"/>
      <c r="L530"/>
      <c r="M530"/>
      <c r="N530"/>
      <c r="O530"/>
      <c r="P530"/>
    </row>
    <row r="531" spans="2:16">
      <c r="B531"/>
      <c r="C531"/>
      <c r="D531"/>
      <c r="E531"/>
      <c r="F531"/>
      <c r="G531"/>
      <c r="H531"/>
      <c r="I531"/>
      <c r="J531"/>
      <c r="K531"/>
      <c r="L531"/>
      <c r="M531"/>
      <c r="N531"/>
      <c r="O531"/>
      <c r="P531"/>
    </row>
    <row r="532" spans="2:16">
      <c r="B532"/>
      <c r="C532"/>
      <c r="D532"/>
      <c r="E532"/>
      <c r="F532"/>
      <c r="G532"/>
      <c r="H532"/>
      <c r="I532"/>
      <c r="J532"/>
      <c r="K532"/>
      <c r="L532"/>
      <c r="M532"/>
      <c r="N532"/>
      <c r="O532"/>
      <c r="P532"/>
    </row>
    <row r="533" spans="2:16">
      <c r="B533"/>
      <c r="C533"/>
      <c r="D533"/>
      <c r="E533"/>
      <c r="F533"/>
      <c r="G533"/>
      <c r="H533"/>
      <c r="I533"/>
      <c r="J533"/>
      <c r="K533"/>
      <c r="L533"/>
      <c r="M533"/>
      <c r="N533"/>
      <c r="O533"/>
      <c r="P533"/>
    </row>
    <row r="534" spans="2:16">
      <c r="B534"/>
      <c r="C534"/>
      <c r="D534"/>
      <c r="E534"/>
      <c r="F534"/>
      <c r="G534"/>
      <c r="H534"/>
      <c r="I534"/>
      <c r="J534"/>
      <c r="K534"/>
      <c r="L534"/>
      <c r="M534"/>
      <c r="N534"/>
      <c r="O534"/>
      <c r="P534"/>
    </row>
    <row r="535" spans="2:16">
      <c r="B535"/>
      <c r="C535"/>
      <c r="D535"/>
      <c r="E535"/>
      <c r="F535"/>
      <c r="G535"/>
      <c r="H535"/>
      <c r="I535"/>
      <c r="J535"/>
      <c r="K535"/>
      <c r="L535"/>
      <c r="M535"/>
      <c r="N535"/>
      <c r="O535"/>
      <c r="P535"/>
    </row>
    <row r="536" spans="2:16">
      <c r="B536"/>
      <c r="C536"/>
      <c r="D536"/>
      <c r="E536"/>
      <c r="F536"/>
      <c r="G536"/>
      <c r="H536"/>
      <c r="I536"/>
      <c r="J536"/>
      <c r="K536"/>
      <c r="L536"/>
      <c r="M536"/>
      <c r="N536"/>
      <c r="O536"/>
      <c r="P536"/>
    </row>
    <row r="537" spans="2:16">
      <c r="B537"/>
      <c r="C537"/>
      <c r="D537"/>
      <c r="E537"/>
      <c r="F537"/>
      <c r="G537"/>
      <c r="H537"/>
      <c r="I537"/>
      <c r="J537"/>
      <c r="K537"/>
      <c r="L537"/>
      <c r="M537"/>
      <c r="N537"/>
      <c r="O537"/>
      <c r="P537"/>
    </row>
    <row r="538" spans="2:16">
      <c r="B538"/>
      <c r="C538"/>
      <c r="D538"/>
      <c r="E538"/>
      <c r="F538"/>
      <c r="G538"/>
      <c r="H538"/>
      <c r="I538"/>
      <c r="J538"/>
      <c r="K538"/>
      <c r="L538"/>
      <c r="M538"/>
      <c r="N538"/>
      <c r="O538"/>
      <c r="P538"/>
    </row>
    <row r="539" spans="2:16">
      <c r="B539"/>
      <c r="C539"/>
      <c r="D539"/>
      <c r="E539"/>
      <c r="F539"/>
      <c r="G539"/>
      <c r="H539"/>
      <c r="I539"/>
      <c r="J539"/>
      <c r="K539"/>
      <c r="L539"/>
      <c r="M539"/>
      <c r="N539"/>
      <c r="O539"/>
      <c r="P539"/>
    </row>
    <row r="540" spans="2:16">
      <c r="B540"/>
      <c r="C540"/>
      <c r="D540"/>
      <c r="E540"/>
      <c r="F540"/>
      <c r="G540"/>
      <c r="H540"/>
      <c r="I540"/>
      <c r="J540"/>
      <c r="K540"/>
      <c r="L540"/>
      <c r="M540"/>
      <c r="N540"/>
      <c r="O540"/>
      <c r="P540"/>
    </row>
    <row r="541" spans="2:16">
      <c r="B541"/>
      <c r="C541"/>
      <c r="D541"/>
      <c r="E541"/>
      <c r="F541"/>
      <c r="G541"/>
      <c r="H541"/>
      <c r="I541"/>
      <c r="J541"/>
      <c r="K541"/>
      <c r="L541"/>
      <c r="M541"/>
      <c r="N541"/>
      <c r="O541"/>
      <c r="P541"/>
    </row>
    <row r="542" spans="2:16">
      <c r="B542"/>
      <c r="C542"/>
      <c r="D542"/>
      <c r="E542"/>
      <c r="F542"/>
      <c r="G542"/>
      <c r="H542"/>
      <c r="I542"/>
      <c r="J542"/>
      <c r="K542"/>
      <c r="L542"/>
      <c r="M542"/>
      <c r="N542"/>
      <c r="O542"/>
      <c r="P542"/>
    </row>
    <row r="543" spans="2:16">
      <c r="B543"/>
      <c r="C543"/>
      <c r="D543"/>
      <c r="E543"/>
      <c r="F543"/>
      <c r="G543"/>
      <c r="H543"/>
      <c r="I543"/>
      <c r="J543"/>
      <c r="K543"/>
      <c r="L543"/>
      <c r="M543"/>
      <c r="N543"/>
      <c r="O543"/>
      <c r="P543"/>
    </row>
    <row r="544" spans="2:16">
      <c r="B544"/>
      <c r="C544"/>
      <c r="D544"/>
      <c r="E544"/>
      <c r="F544"/>
      <c r="G544"/>
      <c r="H544"/>
      <c r="I544"/>
      <c r="J544"/>
      <c r="K544"/>
      <c r="L544"/>
      <c r="M544"/>
      <c r="N544"/>
      <c r="O544"/>
      <c r="P544"/>
    </row>
    <row r="545" spans="2:16">
      <c r="B545"/>
      <c r="C545"/>
      <c r="D545"/>
      <c r="E545"/>
      <c r="F545"/>
      <c r="G545"/>
      <c r="H545"/>
      <c r="I545"/>
      <c r="J545"/>
      <c r="K545"/>
      <c r="L545"/>
      <c r="M545"/>
      <c r="N545"/>
      <c r="O545"/>
      <c r="P545"/>
    </row>
    <row r="546" spans="2:16">
      <c r="B546"/>
      <c r="C546"/>
      <c r="D546"/>
      <c r="E546"/>
      <c r="F546"/>
      <c r="G546"/>
      <c r="H546"/>
      <c r="I546"/>
      <c r="J546"/>
      <c r="K546"/>
      <c r="L546"/>
      <c r="M546"/>
      <c r="N546"/>
      <c r="O546"/>
      <c r="P546"/>
    </row>
    <row r="547" spans="2:16">
      <c r="B547"/>
      <c r="C547"/>
      <c r="D547"/>
      <c r="E547"/>
      <c r="F547"/>
      <c r="G547"/>
      <c r="H547"/>
      <c r="I547"/>
      <c r="J547"/>
      <c r="K547"/>
      <c r="L547"/>
      <c r="M547"/>
      <c r="N547"/>
      <c r="O547"/>
      <c r="P547"/>
    </row>
    <row r="548" spans="2:16">
      <c r="B548"/>
      <c r="C548"/>
      <c r="D548"/>
      <c r="E548"/>
      <c r="F548"/>
      <c r="G548"/>
      <c r="H548"/>
      <c r="I548"/>
      <c r="J548"/>
      <c r="K548"/>
      <c r="L548"/>
      <c r="M548"/>
      <c r="N548"/>
      <c r="O548"/>
      <c r="P548"/>
    </row>
    <row r="549" spans="2:16">
      <c r="B549"/>
      <c r="C549"/>
      <c r="D549"/>
      <c r="E549"/>
      <c r="F549"/>
      <c r="G549"/>
      <c r="H549"/>
      <c r="I549"/>
      <c r="J549"/>
      <c r="K549"/>
      <c r="L549"/>
      <c r="M549"/>
      <c r="N549"/>
      <c r="O549"/>
      <c r="P549"/>
    </row>
    <row r="550" spans="2:16">
      <c r="B550"/>
      <c r="C550"/>
      <c r="D550"/>
      <c r="E550"/>
      <c r="F550"/>
      <c r="G550"/>
      <c r="H550"/>
      <c r="I550"/>
      <c r="J550"/>
      <c r="K550"/>
      <c r="L550"/>
      <c r="M550"/>
      <c r="N550"/>
      <c r="O550"/>
      <c r="P550"/>
    </row>
    <row r="551" spans="2:16">
      <c r="B551"/>
      <c r="C551"/>
      <c r="D551"/>
      <c r="E551"/>
      <c r="F551"/>
      <c r="G551"/>
      <c r="H551"/>
      <c r="I551"/>
      <c r="J551"/>
      <c r="K551"/>
      <c r="L551"/>
      <c r="M551"/>
      <c r="N551"/>
      <c r="O551"/>
      <c r="P551"/>
    </row>
    <row r="552" spans="2:16">
      <c r="B552"/>
      <c r="C552"/>
      <c r="D552"/>
      <c r="E552"/>
      <c r="F552"/>
      <c r="G552"/>
      <c r="H552"/>
      <c r="I552"/>
      <c r="J552"/>
      <c r="K552"/>
      <c r="L552"/>
      <c r="M552"/>
      <c r="N552"/>
      <c r="O552"/>
      <c r="P552"/>
    </row>
    <row r="553" spans="2:16">
      <c r="B553"/>
      <c r="C553"/>
      <c r="D553"/>
      <c r="E553"/>
      <c r="F553"/>
      <c r="G553"/>
      <c r="H553"/>
      <c r="I553"/>
      <c r="J553"/>
      <c r="K553"/>
      <c r="L553"/>
      <c r="M553"/>
      <c r="N553"/>
      <c r="O553"/>
      <c r="P553"/>
    </row>
    <row r="554" spans="2:16">
      <c r="B554"/>
      <c r="C554"/>
      <c r="D554"/>
      <c r="E554"/>
      <c r="F554"/>
      <c r="G554"/>
      <c r="H554"/>
      <c r="I554"/>
      <c r="J554"/>
      <c r="K554"/>
      <c r="L554"/>
      <c r="M554"/>
      <c r="N554"/>
      <c r="O554"/>
      <c r="P554"/>
    </row>
    <row r="555" spans="2:16">
      <c r="B555"/>
      <c r="C555"/>
      <c r="D555"/>
      <c r="E555"/>
      <c r="F555"/>
      <c r="G555"/>
      <c r="H555"/>
      <c r="I555"/>
      <c r="J555"/>
      <c r="K555"/>
      <c r="L555"/>
      <c r="M555"/>
      <c r="N555"/>
      <c r="O555"/>
      <c r="P555"/>
    </row>
    <row r="556" spans="2:16">
      <c r="B556"/>
      <c r="C556"/>
      <c r="D556"/>
      <c r="E556"/>
      <c r="F556"/>
      <c r="G556"/>
      <c r="H556"/>
      <c r="I556"/>
      <c r="J556"/>
      <c r="K556"/>
      <c r="L556"/>
      <c r="M556"/>
      <c r="N556"/>
      <c r="O556"/>
      <c r="P556"/>
    </row>
    <row r="557" spans="2:16">
      <c r="B557"/>
      <c r="C557"/>
      <c r="D557"/>
      <c r="E557"/>
      <c r="F557"/>
      <c r="G557"/>
      <c r="H557"/>
      <c r="I557"/>
      <c r="J557"/>
      <c r="K557"/>
      <c r="L557"/>
      <c r="M557"/>
      <c r="N557"/>
      <c r="O557"/>
      <c r="P557"/>
    </row>
    <row r="558" spans="2:16">
      <c r="B558"/>
      <c r="C558"/>
      <c r="D558"/>
      <c r="E558"/>
      <c r="F558"/>
      <c r="G558"/>
      <c r="H558"/>
      <c r="I558"/>
      <c r="J558"/>
      <c r="K558"/>
      <c r="L558"/>
      <c r="M558"/>
      <c r="N558"/>
      <c r="O558"/>
      <c r="P558"/>
    </row>
    <row r="559" spans="2:16">
      <c r="B559"/>
      <c r="C559"/>
      <c r="D559"/>
      <c r="E559"/>
      <c r="F559"/>
      <c r="G559"/>
      <c r="H559"/>
      <c r="I559"/>
      <c r="J559"/>
      <c r="K559"/>
      <c r="L559"/>
      <c r="M559"/>
      <c r="N559"/>
      <c r="O559"/>
      <c r="P559"/>
    </row>
    <row r="560" spans="2:16">
      <c r="B560"/>
      <c r="C560"/>
      <c r="D560"/>
      <c r="E560"/>
      <c r="F560"/>
      <c r="G560"/>
      <c r="H560"/>
      <c r="I560"/>
      <c r="J560"/>
      <c r="K560"/>
      <c r="L560"/>
      <c r="M560"/>
      <c r="N560"/>
      <c r="O560"/>
      <c r="P560"/>
    </row>
    <row r="561" spans="2:16">
      <c r="B561"/>
      <c r="C561"/>
      <c r="D561"/>
      <c r="E561"/>
      <c r="F561"/>
      <c r="G561"/>
      <c r="H561"/>
      <c r="I561"/>
      <c r="J561"/>
      <c r="K561"/>
      <c r="L561"/>
      <c r="M561"/>
      <c r="N561"/>
      <c r="O561"/>
      <c r="P561"/>
    </row>
    <row r="562" spans="2:16">
      <c r="B562"/>
      <c r="C562"/>
      <c r="D562"/>
      <c r="E562"/>
      <c r="F562"/>
      <c r="G562"/>
      <c r="H562"/>
      <c r="I562"/>
      <c r="J562"/>
      <c r="K562"/>
      <c r="L562"/>
      <c r="M562"/>
      <c r="N562"/>
      <c r="O562"/>
      <c r="P562"/>
    </row>
    <row r="563" spans="2:16">
      <c r="B563"/>
      <c r="C563"/>
      <c r="D563"/>
      <c r="E563"/>
      <c r="F563"/>
      <c r="G563"/>
      <c r="H563"/>
      <c r="I563"/>
      <c r="J563"/>
      <c r="K563"/>
      <c r="L563"/>
      <c r="M563"/>
      <c r="N563"/>
      <c r="O563"/>
      <c r="P563"/>
    </row>
    <row r="564" spans="2:16">
      <c r="B564"/>
      <c r="C564"/>
      <c r="D564"/>
      <c r="E564"/>
      <c r="F564"/>
      <c r="G564"/>
      <c r="H564"/>
      <c r="I564"/>
      <c r="J564"/>
      <c r="K564"/>
      <c r="L564"/>
      <c r="M564"/>
      <c r="N564"/>
      <c r="O564"/>
      <c r="P564"/>
    </row>
    <row r="565" spans="2:16">
      <c r="B565"/>
      <c r="C565"/>
      <c r="D565"/>
      <c r="E565"/>
      <c r="F565"/>
      <c r="G565"/>
      <c r="H565"/>
      <c r="I565"/>
      <c r="J565"/>
      <c r="K565"/>
      <c r="L565"/>
      <c r="M565"/>
      <c r="N565"/>
      <c r="O565"/>
      <c r="P565"/>
    </row>
    <row r="566" spans="2:16">
      <c r="B566"/>
      <c r="C566"/>
      <c r="D566"/>
      <c r="E566"/>
      <c r="F566"/>
      <c r="G566"/>
      <c r="H566"/>
      <c r="I566"/>
      <c r="J566"/>
      <c r="K566"/>
      <c r="L566"/>
      <c r="M566"/>
      <c r="N566"/>
      <c r="O566"/>
      <c r="P566"/>
    </row>
    <row r="567" spans="2:16">
      <c r="B567"/>
      <c r="C567"/>
      <c r="D567"/>
      <c r="E567"/>
      <c r="F567"/>
      <c r="G567"/>
      <c r="H567"/>
      <c r="I567"/>
      <c r="J567"/>
      <c r="K567"/>
      <c r="L567"/>
      <c r="M567"/>
      <c r="N567"/>
      <c r="O567"/>
      <c r="P567"/>
    </row>
    <row r="568" spans="2:16">
      <c r="B568"/>
      <c r="C568"/>
      <c r="D568"/>
      <c r="E568"/>
      <c r="F568"/>
      <c r="G568"/>
      <c r="H568"/>
      <c r="I568"/>
      <c r="J568"/>
      <c r="K568"/>
      <c r="L568"/>
      <c r="M568"/>
      <c r="N568"/>
      <c r="O568"/>
      <c r="P568"/>
    </row>
    <row r="569" spans="2:16">
      <c r="B569"/>
      <c r="C569"/>
      <c r="D569"/>
      <c r="E569"/>
      <c r="F569"/>
      <c r="G569"/>
      <c r="H569"/>
      <c r="I569"/>
      <c r="J569"/>
      <c r="K569"/>
      <c r="L569"/>
      <c r="M569"/>
      <c r="N569"/>
      <c r="O569"/>
      <c r="P569"/>
    </row>
    <row r="570" spans="2:16">
      <c r="B570"/>
      <c r="C570"/>
      <c r="D570"/>
      <c r="E570"/>
      <c r="F570"/>
      <c r="G570"/>
      <c r="H570"/>
      <c r="I570"/>
      <c r="J570"/>
      <c r="K570"/>
      <c r="L570"/>
      <c r="M570"/>
      <c r="N570"/>
      <c r="O570"/>
      <c r="P570"/>
    </row>
    <row r="571" spans="2:16">
      <c r="B571"/>
      <c r="C571"/>
      <c r="D571"/>
      <c r="E571"/>
      <c r="F571"/>
      <c r="G571"/>
      <c r="H571"/>
      <c r="I571"/>
      <c r="J571"/>
      <c r="K571"/>
      <c r="L571"/>
      <c r="M571"/>
      <c r="N571"/>
      <c r="O571"/>
      <c r="P571"/>
    </row>
    <row r="572" spans="2:16">
      <c r="B572"/>
      <c r="C572"/>
      <c r="D572"/>
      <c r="E572"/>
      <c r="F572"/>
      <c r="G572"/>
      <c r="H572"/>
      <c r="I572"/>
      <c r="J572"/>
      <c r="K572"/>
      <c r="L572"/>
      <c r="M572"/>
      <c r="N572"/>
      <c r="O572"/>
      <c r="P572"/>
    </row>
    <row r="573" spans="2:16">
      <c r="B573"/>
      <c r="C573"/>
      <c r="D573"/>
      <c r="E573"/>
      <c r="F573"/>
      <c r="G573"/>
      <c r="H573"/>
      <c r="I573"/>
      <c r="J573"/>
      <c r="K573"/>
      <c r="L573"/>
      <c r="M573"/>
      <c r="N573"/>
      <c r="O573"/>
      <c r="P573"/>
    </row>
    <row r="574" spans="2:16">
      <c r="B574"/>
      <c r="C574"/>
      <c r="D574"/>
      <c r="E574"/>
      <c r="F574"/>
      <c r="G574"/>
      <c r="H574"/>
      <c r="I574"/>
      <c r="J574"/>
      <c r="K574"/>
      <c r="L574"/>
      <c r="M574"/>
      <c r="N574"/>
      <c r="O574"/>
      <c r="P574"/>
    </row>
    <row r="575" spans="2:16">
      <c r="B575"/>
      <c r="C575"/>
      <c r="D575"/>
      <c r="E575"/>
      <c r="F575"/>
      <c r="G575"/>
      <c r="H575"/>
      <c r="I575"/>
      <c r="J575"/>
      <c r="K575"/>
      <c r="L575"/>
      <c r="M575"/>
      <c r="N575"/>
      <c r="O575"/>
      <c r="P575"/>
    </row>
    <row r="576" spans="2:16">
      <c r="B576"/>
      <c r="C576"/>
      <c r="D576"/>
      <c r="E576"/>
      <c r="F576"/>
      <c r="G576"/>
      <c r="H576"/>
      <c r="I576"/>
      <c r="J576"/>
      <c r="K576"/>
      <c r="L576"/>
      <c r="M576"/>
      <c r="N576"/>
      <c r="O576"/>
      <c r="P576"/>
    </row>
    <row r="577" spans="2:16">
      <c r="B577"/>
      <c r="C577"/>
      <c r="D577"/>
      <c r="E577"/>
      <c r="F577"/>
      <c r="G577"/>
      <c r="H577"/>
      <c r="I577"/>
      <c r="J577"/>
      <c r="K577"/>
      <c r="L577"/>
      <c r="M577"/>
      <c r="N577"/>
      <c r="O577"/>
      <c r="P577"/>
    </row>
    <row r="578" spans="2:16">
      <c r="B578"/>
      <c r="C578"/>
      <c r="D578"/>
      <c r="E578"/>
      <c r="F578"/>
      <c r="G578"/>
      <c r="H578"/>
      <c r="I578"/>
      <c r="J578"/>
      <c r="K578"/>
      <c r="L578"/>
      <c r="M578"/>
      <c r="N578"/>
      <c r="O578"/>
      <c r="P578"/>
    </row>
    <row r="579" spans="2:16">
      <c r="B579"/>
      <c r="C579"/>
      <c r="D579"/>
      <c r="E579"/>
      <c r="F579"/>
      <c r="G579"/>
      <c r="H579"/>
      <c r="I579"/>
      <c r="J579"/>
      <c r="K579"/>
      <c r="L579"/>
      <c r="M579"/>
      <c r="N579"/>
      <c r="O579"/>
      <c r="P579"/>
    </row>
    <row r="580" spans="2:16">
      <c r="B580"/>
      <c r="C580"/>
      <c r="D580"/>
      <c r="E580"/>
      <c r="F580"/>
      <c r="G580"/>
      <c r="H580"/>
      <c r="I580"/>
      <c r="J580"/>
      <c r="K580"/>
      <c r="L580"/>
      <c r="M580"/>
      <c r="N580"/>
      <c r="O580"/>
      <c r="P580"/>
    </row>
    <row r="581" spans="2:16">
      <c r="B581"/>
      <c r="C581"/>
      <c r="D581"/>
      <c r="E581"/>
      <c r="F581"/>
      <c r="G581"/>
      <c r="H581"/>
      <c r="I581"/>
      <c r="J581"/>
      <c r="K581"/>
      <c r="L581"/>
      <c r="M581"/>
      <c r="N581"/>
      <c r="O581"/>
      <c r="P581"/>
    </row>
    <row r="582" spans="2:16">
      <c r="B582"/>
      <c r="C582"/>
      <c r="D582"/>
      <c r="E582"/>
      <c r="F582"/>
      <c r="G582"/>
      <c r="H582"/>
      <c r="I582"/>
      <c r="J582"/>
      <c r="K582"/>
      <c r="L582"/>
      <c r="M582"/>
      <c r="N582"/>
      <c r="O582"/>
      <c r="P582"/>
    </row>
    <row r="583" spans="2:16">
      <c r="B583"/>
      <c r="C583"/>
      <c r="D583"/>
      <c r="E583"/>
      <c r="F583"/>
      <c r="G583"/>
      <c r="H583"/>
      <c r="I583"/>
      <c r="J583"/>
      <c r="K583"/>
      <c r="L583"/>
      <c r="M583"/>
      <c r="N583"/>
      <c r="O583"/>
      <c r="P583"/>
    </row>
    <row r="584" spans="2:16">
      <c r="B584"/>
      <c r="C584"/>
      <c r="D584"/>
      <c r="E584"/>
      <c r="F584"/>
      <c r="G584"/>
      <c r="H584"/>
      <c r="I584"/>
      <c r="J584"/>
      <c r="K584"/>
      <c r="L584"/>
      <c r="M584"/>
      <c r="N584"/>
      <c r="O584"/>
      <c r="P584"/>
    </row>
    <row r="585" spans="2:16">
      <c r="B585"/>
      <c r="C585"/>
      <c r="D585"/>
      <c r="E585"/>
      <c r="F585"/>
      <c r="G585"/>
      <c r="H585"/>
      <c r="I585"/>
      <c r="J585"/>
      <c r="K585"/>
      <c r="L585"/>
      <c r="M585"/>
      <c r="N585"/>
      <c r="O585"/>
      <c r="P585"/>
    </row>
    <row r="586" spans="2:16">
      <c r="B586"/>
      <c r="C586"/>
      <c r="D586"/>
      <c r="E586"/>
      <c r="F586"/>
      <c r="G586"/>
      <c r="H586"/>
      <c r="I586"/>
      <c r="J586"/>
      <c r="K586"/>
      <c r="L586"/>
      <c r="M586"/>
      <c r="N586"/>
      <c r="O586"/>
      <c r="P586"/>
    </row>
    <row r="587" spans="2:16">
      <c r="B587"/>
      <c r="C587"/>
      <c r="D587"/>
      <c r="E587"/>
      <c r="F587"/>
      <c r="G587"/>
      <c r="H587"/>
      <c r="I587"/>
      <c r="J587"/>
      <c r="K587"/>
      <c r="L587"/>
      <c r="M587"/>
      <c r="N587"/>
      <c r="O587"/>
      <c r="P587"/>
    </row>
    <row r="588" spans="2:16">
      <c r="B588"/>
      <c r="C588"/>
      <c r="D588"/>
      <c r="E588"/>
      <c r="F588"/>
      <c r="G588"/>
      <c r="H588"/>
      <c r="I588"/>
      <c r="J588"/>
      <c r="K588"/>
      <c r="L588"/>
      <c r="M588"/>
      <c r="N588"/>
      <c r="O588"/>
      <c r="P588"/>
    </row>
    <row r="589" spans="2:16">
      <c r="B589"/>
      <c r="C589"/>
      <c r="D589"/>
      <c r="E589"/>
      <c r="F589"/>
      <c r="G589"/>
      <c r="H589"/>
      <c r="I589"/>
      <c r="J589"/>
      <c r="K589"/>
      <c r="L589"/>
      <c r="M589"/>
      <c r="N589"/>
      <c r="O589"/>
      <c r="P589"/>
    </row>
    <row r="590" spans="2:16">
      <c r="B590"/>
      <c r="C590"/>
      <c r="D590"/>
      <c r="E590"/>
      <c r="F590"/>
      <c r="G590"/>
      <c r="H590"/>
      <c r="I590"/>
      <c r="J590"/>
      <c r="K590"/>
      <c r="L590"/>
      <c r="M590"/>
      <c r="N590"/>
      <c r="O590"/>
      <c r="P590"/>
    </row>
    <row r="591" spans="2:16">
      <c r="B591"/>
      <c r="C591"/>
      <c r="D591"/>
      <c r="E591"/>
      <c r="F591"/>
      <c r="G591"/>
      <c r="H591"/>
      <c r="I591"/>
      <c r="J591"/>
      <c r="K591"/>
      <c r="L591"/>
      <c r="M591"/>
      <c r="N591"/>
      <c r="O591"/>
      <c r="P591"/>
    </row>
    <row r="592" spans="2:16">
      <c r="B592"/>
      <c r="C592"/>
      <c r="D592"/>
      <c r="E592"/>
      <c r="F592"/>
      <c r="G592"/>
      <c r="H592"/>
      <c r="I592"/>
      <c r="J592"/>
      <c r="K592"/>
      <c r="L592"/>
      <c r="M592"/>
      <c r="N592"/>
      <c r="O592"/>
      <c r="P592"/>
    </row>
    <row r="593" spans="2:16">
      <c r="B593"/>
      <c r="C593"/>
      <c r="D593"/>
      <c r="E593"/>
      <c r="F593"/>
      <c r="G593"/>
      <c r="H593"/>
      <c r="I593"/>
      <c r="J593"/>
      <c r="K593"/>
      <c r="L593"/>
      <c r="M593"/>
      <c r="N593"/>
      <c r="O593"/>
      <c r="P593"/>
    </row>
    <row r="594" spans="2:16">
      <c r="B594"/>
      <c r="C594"/>
      <c r="D594"/>
      <c r="E594"/>
      <c r="F594"/>
      <c r="G594"/>
      <c r="H594"/>
      <c r="I594"/>
      <c r="J594"/>
      <c r="K594"/>
      <c r="L594"/>
      <c r="M594"/>
      <c r="N594"/>
      <c r="O594"/>
      <c r="P594"/>
    </row>
    <row r="595" spans="2:16">
      <c r="B595"/>
      <c r="C595"/>
      <c r="D595"/>
      <c r="E595"/>
      <c r="F595"/>
      <c r="G595"/>
      <c r="H595"/>
      <c r="I595"/>
      <c r="J595"/>
      <c r="K595"/>
      <c r="L595"/>
      <c r="M595"/>
      <c r="N595"/>
      <c r="O595"/>
      <c r="P595"/>
    </row>
    <row r="596" spans="2:16">
      <c r="B596"/>
      <c r="C596"/>
      <c r="D596"/>
      <c r="E596"/>
      <c r="F596"/>
      <c r="G596"/>
      <c r="H596"/>
      <c r="I596"/>
      <c r="J596"/>
      <c r="K596"/>
      <c r="L596"/>
      <c r="M596"/>
      <c r="N596"/>
      <c r="O596"/>
      <c r="P596"/>
    </row>
    <row r="597" spans="2:16">
      <c r="B597"/>
      <c r="C597"/>
      <c r="D597"/>
      <c r="E597"/>
      <c r="F597"/>
      <c r="G597"/>
      <c r="H597"/>
      <c r="I597"/>
      <c r="J597"/>
      <c r="K597"/>
      <c r="L597"/>
      <c r="M597"/>
      <c r="N597"/>
      <c r="O597"/>
      <c r="P597"/>
    </row>
    <row r="598" spans="2:16">
      <c r="B598"/>
      <c r="C598"/>
      <c r="D598"/>
      <c r="E598"/>
      <c r="F598"/>
      <c r="G598"/>
      <c r="H598"/>
      <c r="I598"/>
      <c r="J598"/>
      <c r="K598"/>
      <c r="L598"/>
      <c r="M598"/>
      <c r="N598"/>
      <c r="O598"/>
      <c r="P598"/>
    </row>
    <row r="599" spans="2:16">
      <c r="B599"/>
      <c r="C599"/>
      <c r="D599"/>
      <c r="E599"/>
      <c r="F599"/>
      <c r="G599"/>
      <c r="H599"/>
      <c r="I599"/>
      <c r="J599"/>
      <c r="K599"/>
      <c r="L599"/>
      <c r="M599"/>
      <c r="N599"/>
      <c r="O599"/>
      <c r="P599"/>
    </row>
    <row r="600" spans="2:16">
      <c r="B600"/>
      <c r="C600"/>
      <c r="D600"/>
      <c r="E600"/>
      <c r="F600"/>
      <c r="G600"/>
      <c r="H600"/>
      <c r="I600"/>
      <c r="J600"/>
      <c r="K600"/>
      <c r="L600"/>
      <c r="M600"/>
      <c r="N600"/>
      <c r="O600"/>
      <c r="P600"/>
    </row>
    <row r="601" spans="2:16">
      <c r="B601"/>
      <c r="C601"/>
      <c r="D601"/>
      <c r="E601"/>
      <c r="F601"/>
      <c r="G601"/>
      <c r="H601"/>
      <c r="I601"/>
      <c r="J601"/>
      <c r="K601"/>
      <c r="L601"/>
      <c r="M601"/>
      <c r="N601"/>
      <c r="O601"/>
      <c r="P601"/>
    </row>
    <row r="602" spans="2:16">
      <c r="B602"/>
      <c r="C602"/>
      <c r="D602"/>
      <c r="E602"/>
      <c r="F602"/>
      <c r="G602"/>
      <c r="H602"/>
      <c r="I602"/>
      <c r="J602"/>
      <c r="K602"/>
      <c r="L602"/>
      <c r="M602"/>
      <c r="N602"/>
      <c r="O602"/>
      <c r="P602"/>
    </row>
    <row r="603" spans="2:16">
      <c r="B603"/>
      <c r="C603"/>
      <c r="D603"/>
      <c r="E603"/>
      <c r="F603"/>
      <c r="G603"/>
      <c r="H603"/>
      <c r="I603"/>
      <c r="J603"/>
      <c r="K603"/>
      <c r="L603"/>
      <c r="M603"/>
      <c r="N603"/>
      <c r="O603"/>
      <c r="P603"/>
    </row>
    <row r="604" spans="2:16">
      <c r="B604"/>
      <c r="C604"/>
      <c r="D604"/>
      <c r="E604"/>
      <c r="F604"/>
      <c r="G604"/>
      <c r="H604"/>
      <c r="I604"/>
      <c r="J604"/>
      <c r="K604"/>
      <c r="L604"/>
      <c r="M604"/>
      <c r="N604"/>
      <c r="O604"/>
      <c r="P604"/>
    </row>
    <row r="605" spans="2:16">
      <c r="B605"/>
      <c r="C605"/>
      <c r="D605"/>
      <c r="E605"/>
      <c r="F605"/>
      <c r="G605"/>
      <c r="H605"/>
      <c r="I605"/>
      <c r="J605"/>
      <c r="K605"/>
      <c r="L605"/>
      <c r="M605"/>
      <c r="N605"/>
      <c r="O605"/>
      <c r="P605"/>
    </row>
    <row r="606" spans="2:16">
      <c r="B606"/>
      <c r="C606"/>
      <c r="D606"/>
      <c r="E606"/>
      <c r="F606"/>
      <c r="G606"/>
      <c r="H606"/>
      <c r="I606"/>
      <c r="J606"/>
      <c r="K606"/>
      <c r="L606"/>
      <c r="M606"/>
      <c r="N606"/>
      <c r="O606"/>
      <c r="P606"/>
    </row>
    <row r="607" spans="2:16">
      <c r="B607"/>
      <c r="C607"/>
      <c r="D607"/>
      <c r="E607"/>
      <c r="F607"/>
      <c r="G607"/>
      <c r="H607"/>
      <c r="I607"/>
      <c r="J607"/>
      <c r="K607"/>
      <c r="L607"/>
      <c r="M607"/>
      <c r="N607"/>
      <c r="O607"/>
      <c r="P607"/>
    </row>
    <row r="608" spans="2:16">
      <c r="B608"/>
      <c r="C608"/>
      <c r="D608"/>
      <c r="E608"/>
      <c r="F608"/>
      <c r="G608"/>
      <c r="H608"/>
      <c r="I608"/>
      <c r="J608"/>
      <c r="K608"/>
      <c r="L608"/>
      <c r="M608"/>
      <c r="N608"/>
      <c r="O608"/>
      <c r="P608"/>
    </row>
    <row r="609" spans="2:16">
      <c r="B609"/>
      <c r="C609"/>
      <c r="D609"/>
      <c r="E609"/>
      <c r="F609"/>
      <c r="G609"/>
      <c r="H609"/>
      <c r="I609"/>
      <c r="J609"/>
      <c r="K609"/>
      <c r="L609"/>
      <c r="M609"/>
      <c r="N609"/>
      <c r="O609"/>
      <c r="P609"/>
    </row>
    <row r="610" spans="2:16">
      <c r="B610"/>
      <c r="C610"/>
      <c r="D610"/>
      <c r="E610"/>
      <c r="F610"/>
      <c r="G610"/>
      <c r="H610"/>
      <c r="I610"/>
      <c r="J610"/>
      <c r="K610"/>
      <c r="L610"/>
      <c r="M610"/>
      <c r="N610"/>
      <c r="O610"/>
      <c r="P610"/>
    </row>
    <row r="611" spans="2:16">
      <c r="B611"/>
      <c r="C611"/>
      <c r="D611"/>
      <c r="E611"/>
      <c r="F611"/>
      <c r="G611"/>
      <c r="H611"/>
      <c r="I611"/>
      <c r="J611"/>
      <c r="K611"/>
      <c r="L611"/>
      <c r="M611"/>
      <c r="N611"/>
      <c r="O611"/>
      <c r="P611"/>
    </row>
    <row r="612" spans="2:16">
      <c r="B612"/>
      <c r="C612"/>
      <c r="D612"/>
      <c r="E612"/>
      <c r="F612"/>
      <c r="G612"/>
      <c r="H612"/>
      <c r="I612"/>
      <c r="J612"/>
      <c r="K612"/>
      <c r="L612"/>
      <c r="M612"/>
      <c r="N612"/>
      <c r="O612"/>
      <c r="P612"/>
    </row>
    <row r="613" spans="2:16">
      <c r="B613"/>
      <c r="C613"/>
      <c r="D613"/>
      <c r="E613"/>
      <c r="F613"/>
      <c r="G613"/>
      <c r="H613"/>
      <c r="I613"/>
      <c r="J613"/>
      <c r="K613"/>
      <c r="L613"/>
      <c r="M613"/>
      <c r="N613"/>
      <c r="O613"/>
      <c r="P613"/>
    </row>
    <row r="614" spans="2:16">
      <c r="B614"/>
      <c r="C614"/>
      <c r="D614"/>
      <c r="E614"/>
      <c r="F614"/>
      <c r="G614"/>
      <c r="H614"/>
      <c r="I614"/>
      <c r="J614"/>
      <c r="K614"/>
      <c r="L614"/>
      <c r="M614"/>
      <c r="N614"/>
      <c r="O614"/>
      <c r="P614"/>
    </row>
    <row r="615" spans="2:16">
      <c r="B615"/>
      <c r="C615"/>
      <c r="D615"/>
      <c r="E615"/>
      <c r="F615"/>
      <c r="G615"/>
      <c r="H615"/>
      <c r="I615"/>
      <c r="J615"/>
      <c r="K615"/>
      <c r="L615"/>
      <c r="M615"/>
      <c r="N615"/>
      <c r="O615"/>
      <c r="P615"/>
    </row>
    <row r="616" spans="2:16">
      <c r="B616"/>
      <c r="C616"/>
      <c r="D616"/>
      <c r="E616"/>
      <c r="F616"/>
      <c r="G616"/>
      <c r="H616"/>
      <c r="I616"/>
      <c r="J616"/>
      <c r="K616"/>
      <c r="L616"/>
      <c r="M616"/>
      <c r="N616"/>
      <c r="O616"/>
      <c r="P616"/>
    </row>
    <row r="617" spans="2:16">
      <c r="B617"/>
      <c r="C617"/>
      <c r="D617"/>
      <c r="E617"/>
      <c r="F617"/>
      <c r="G617"/>
      <c r="H617"/>
      <c r="I617"/>
      <c r="J617"/>
      <c r="K617"/>
      <c r="L617"/>
      <c r="M617"/>
      <c r="N617"/>
      <c r="O617"/>
      <c r="P617"/>
    </row>
    <row r="618" spans="2:16">
      <c r="B618"/>
      <c r="C618"/>
      <c r="D618"/>
      <c r="E618"/>
      <c r="F618"/>
      <c r="G618"/>
      <c r="H618"/>
      <c r="I618"/>
      <c r="J618"/>
      <c r="K618"/>
      <c r="L618"/>
      <c r="M618"/>
      <c r="N618"/>
      <c r="O618"/>
      <c r="P618"/>
    </row>
    <row r="619" spans="2:16">
      <c r="B619"/>
      <c r="C619"/>
      <c r="D619"/>
      <c r="E619"/>
      <c r="F619"/>
      <c r="G619"/>
      <c r="H619"/>
      <c r="I619"/>
      <c r="J619"/>
      <c r="K619"/>
      <c r="L619"/>
      <c r="M619"/>
      <c r="N619"/>
      <c r="O619"/>
      <c r="P619"/>
    </row>
    <row r="620" spans="2:16">
      <c r="B620"/>
      <c r="C620"/>
      <c r="D620"/>
      <c r="E620"/>
      <c r="F620"/>
      <c r="G620"/>
      <c r="H620"/>
      <c r="I620"/>
      <c r="J620"/>
      <c r="K620"/>
      <c r="L620"/>
      <c r="M620"/>
      <c r="N620"/>
      <c r="O620"/>
      <c r="P620"/>
    </row>
    <row r="621" spans="2:16">
      <c r="B621"/>
      <c r="C621"/>
      <c r="D621"/>
      <c r="E621"/>
      <c r="F621"/>
      <c r="G621"/>
      <c r="H621"/>
      <c r="I621"/>
      <c r="J621"/>
      <c r="K621"/>
      <c r="L621"/>
      <c r="M621"/>
      <c r="N621"/>
      <c r="O621"/>
      <c r="P621"/>
    </row>
    <row r="622" spans="2:16">
      <c r="B622"/>
      <c r="C622"/>
      <c r="D622"/>
      <c r="E622"/>
      <c r="F622"/>
      <c r="G622"/>
      <c r="H622"/>
      <c r="I622"/>
      <c r="J622"/>
      <c r="K622"/>
      <c r="L622"/>
      <c r="M622"/>
      <c r="N622"/>
      <c r="O622"/>
      <c r="P622"/>
    </row>
    <row r="623" spans="2:16">
      <c r="B623"/>
      <c r="C623"/>
      <c r="D623"/>
      <c r="E623"/>
      <c r="F623"/>
      <c r="G623"/>
      <c r="H623"/>
      <c r="I623"/>
      <c r="J623"/>
      <c r="K623"/>
      <c r="L623"/>
      <c r="M623"/>
      <c r="N623"/>
      <c r="O623"/>
      <c r="P623"/>
    </row>
    <row r="624" spans="2:16">
      <c r="B624"/>
      <c r="C624"/>
      <c r="D624"/>
      <c r="E624"/>
      <c r="F624"/>
      <c r="G624"/>
      <c r="H624"/>
      <c r="I624"/>
      <c r="J624"/>
      <c r="K624"/>
      <c r="L624"/>
      <c r="M624"/>
      <c r="N624"/>
      <c r="O624"/>
      <c r="P624"/>
    </row>
    <row r="625" spans="2:16">
      <c r="B625"/>
      <c r="C625"/>
      <c r="D625"/>
      <c r="E625"/>
      <c r="F625"/>
      <c r="G625"/>
      <c r="H625"/>
      <c r="I625"/>
      <c r="J625"/>
      <c r="K625"/>
      <c r="L625"/>
      <c r="M625"/>
      <c r="N625"/>
      <c r="O625"/>
      <c r="P625"/>
    </row>
    <row r="626" spans="2:16">
      <c r="B626"/>
      <c r="C626"/>
      <c r="D626"/>
      <c r="E626"/>
      <c r="F626"/>
      <c r="G626"/>
      <c r="H626"/>
      <c r="I626"/>
      <c r="J626"/>
      <c r="K626"/>
      <c r="L626"/>
      <c r="M626"/>
      <c r="N626"/>
      <c r="O626"/>
      <c r="P626"/>
    </row>
    <row r="627" spans="2:16">
      <c r="B627"/>
      <c r="C627"/>
      <c r="D627"/>
      <c r="E627"/>
      <c r="F627"/>
      <c r="G627"/>
      <c r="H627"/>
      <c r="I627"/>
      <c r="J627"/>
      <c r="K627"/>
      <c r="L627"/>
      <c r="M627"/>
      <c r="N627"/>
      <c r="O627"/>
      <c r="P627"/>
    </row>
    <row r="628" spans="2:16">
      <c r="B628"/>
      <c r="C628"/>
      <c r="D628"/>
      <c r="E628"/>
      <c r="F628"/>
      <c r="G628"/>
      <c r="H628"/>
      <c r="I628"/>
      <c r="J628"/>
      <c r="K628"/>
      <c r="L628"/>
      <c r="M628"/>
      <c r="N628"/>
      <c r="O628"/>
      <c r="P628"/>
    </row>
    <row r="629" spans="2:16">
      <c r="B629"/>
      <c r="C629"/>
      <c r="D629"/>
      <c r="E629"/>
      <c r="F629"/>
      <c r="G629"/>
      <c r="H629"/>
      <c r="I629"/>
      <c r="J629"/>
      <c r="K629"/>
      <c r="L629"/>
      <c r="M629"/>
      <c r="N629"/>
      <c r="O629"/>
      <c r="P629"/>
    </row>
    <row r="630" spans="2:16">
      <c r="B630"/>
      <c r="C630"/>
      <c r="D630"/>
      <c r="E630"/>
      <c r="F630"/>
      <c r="G630"/>
      <c r="H630"/>
      <c r="I630"/>
      <c r="J630"/>
      <c r="K630"/>
      <c r="L630"/>
      <c r="M630"/>
      <c r="N630"/>
      <c r="O630"/>
      <c r="P630"/>
    </row>
    <row r="631" spans="2:16">
      <c r="B631"/>
      <c r="C631"/>
      <c r="D631"/>
      <c r="E631"/>
      <c r="F631"/>
      <c r="G631"/>
      <c r="H631"/>
      <c r="I631"/>
      <c r="J631"/>
      <c r="K631"/>
      <c r="L631"/>
      <c r="M631"/>
      <c r="N631"/>
      <c r="O631"/>
      <c r="P631"/>
    </row>
    <row r="632" spans="2:16">
      <c r="B632"/>
      <c r="C632"/>
      <c r="D632"/>
      <c r="E632"/>
      <c r="F632"/>
      <c r="G632"/>
      <c r="H632"/>
      <c r="I632"/>
      <c r="J632"/>
      <c r="K632"/>
      <c r="L632"/>
      <c r="M632"/>
      <c r="N632"/>
      <c r="O632"/>
      <c r="P632"/>
    </row>
    <row r="633" spans="2:16">
      <c r="B633"/>
      <c r="C633"/>
      <c r="D633"/>
      <c r="E633"/>
      <c r="F633"/>
      <c r="G633"/>
      <c r="H633"/>
      <c r="I633"/>
      <c r="J633"/>
      <c r="K633"/>
      <c r="L633"/>
      <c r="M633"/>
      <c r="N633"/>
      <c r="O633"/>
      <c r="P633"/>
    </row>
    <row r="634" spans="2:16">
      <c r="B634"/>
      <c r="C634"/>
      <c r="D634"/>
      <c r="E634"/>
      <c r="F634"/>
      <c r="G634"/>
      <c r="H634"/>
      <c r="I634"/>
      <c r="J634"/>
      <c r="K634"/>
      <c r="L634"/>
      <c r="M634"/>
      <c r="N634"/>
      <c r="O634"/>
      <c r="P634"/>
    </row>
    <row r="635" spans="2:16">
      <c r="B635"/>
      <c r="C635"/>
      <c r="D635"/>
      <c r="E635"/>
      <c r="F635"/>
      <c r="G635"/>
      <c r="H635"/>
      <c r="I635"/>
      <c r="J635"/>
      <c r="K635"/>
      <c r="L635"/>
      <c r="M635"/>
      <c r="N635"/>
      <c r="O635"/>
      <c r="P635"/>
    </row>
    <row r="636" spans="2:16">
      <c r="B636"/>
      <c r="C636"/>
      <c r="D636"/>
      <c r="E636"/>
      <c r="F636"/>
      <c r="G636"/>
      <c r="H636"/>
      <c r="I636"/>
      <c r="J636"/>
      <c r="K636"/>
      <c r="L636"/>
      <c r="M636"/>
      <c r="N636"/>
      <c r="O636"/>
      <c r="P636"/>
    </row>
    <row r="637" spans="2:16">
      <c r="B637"/>
      <c r="C637"/>
      <c r="D637"/>
      <c r="E637"/>
      <c r="F637"/>
      <c r="G637"/>
      <c r="H637"/>
      <c r="I637"/>
      <c r="J637"/>
      <c r="K637"/>
      <c r="L637"/>
      <c r="M637"/>
      <c r="N637"/>
      <c r="O637"/>
      <c r="P637"/>
    </row>
    <row r="638" spans="2:16">
      <c r="B638"/>
      <c r="C638"/>
      <c r="D638"/>
      <c r="E638"/>
      <c r="F638"/>
      <c r="G638"/>
      <c r="H638"/>
      <c r="I638"/>
      <c r="J638"/>
      <c r="K638"/>
      <c r="L638"/>
      <c r="M638"/>
      <c r="N638"/>
      <c r="O638"/>
      <c r="P638"/>
    </row>
    <row r="639" spans="2:16">
      <c r="B639"/>
      <c r="C639"/>
      <c r="D639"/>
      <c r="E639"/>
      <c r="F639"/>
      <c r="G639"/>
      <c r="H639"/>
      <c r="I639"/>
      <c r="J639"/>
      <c r="K639"/>
      <c r="L639"/>
      <c r="M639"/>
      <c r="N639"/>
      <c r="O639"/>
      <c r="P639"/>
    </row>
    <row r="640" spans="2:16">
      <c r="B640"/>
      <c r="C640"/>
      <c r="D640"/>
      <c r="E640"/>
      <c r="F640"/>
      <c r="G640"/>
      <c r="H640"/>
      <c r="I640"/>
      <c r="J640"/>
      <c r="K640"/>
      <c r="L640"/>
      <c r="M640"/>
      <c r="N640"/>
      <c r="O640"/>
      <c r="P640"/>
    </row>
    <row r="641" spans="2:16">
      <c r="B641"/>
      <c r="C641"/>
      <c r="D641"/>
      <c r="E641"/>
      <c r="F641"/>
      <c r="G641"/>
      <c r="H641"/>
      <c r="I641"/>
      <c r="J641"/>
      <c r="K641"/>
      <c r="L641"/>
      <c r="M641"/>
      <c r="N641"/>
      <c r="O641"/>
      <c r="P641"/>
    </row>
    <row r="642" spans="2:16">
      <c r="B642"/>
      <c r="C642"/>
      <c r="D642"/>
      <c r="E642"/>
      <c r="F642"/>
      <c r="G642"/>
      <c r="H642"/>
      <c r="I642"/>
      <c r="J642"/>
      <c r="K642"/>
      <c r="L642"/>
      <c r="M642"/>
      <c r="N642"/>
      <c r="O642"/>
      <c r="P642"/>
    </row>
    <row r="643" spans="2:16">
      <c r="B643"/>
      <c r="C643"/>
      <c r="D643"/>
      <c r="E643"/>
      <c r="F643"/>
      <c r="G643"/>
      <c r="H643"/>
      <c r="I643"/>
      <c r="J643"/>
      <c r="K643"/>
      <c r="L643"/>
      <c r="M643"/>
      <c r="N643"/>
      <c r="O643"/>
      <c r="P643"/>
    </row>
    <row r="644" spans="2:16">
      <c r="B644"/>
      <c r="C644"/>
      <c r="D644"/>
      <c r="E644"/>
      <c r="F644"/>
      <c r="G644"/>
      <c r="H644"/>
      <c r="I644"/>
      <c r="J644"/>
      <c r="K644"/>
      <c r="L644"/>
      <c r="M644"/>
      <c r="N644"/>
      <c r="O644"/>
      <c r="P644"/>
    </row>
    <row r="645" spans="2:16">
      <c r="B645"/>
      <c r="C645"/>
      <c r="D645"/>
      <c r="E645"/>
      <c r="F645"/>
      <c r="G645"/>
      <c r="H645"/>
      <c r="I645"/>
      <c r="J645"/>
      <c r="K645"/>
      <c r="L645"/>
      <c r="M645"/>
      <c r="N645"/>
      <c r="O645"/>
      <c r="P645"/>
    </row>
    <row r="646" spans="2:16">
      <c r="B646"/>
      <c r="C646"/>
      <c r="D646"/>
      <c r="E646"/>
      <c r="F646"/>
      <c r="G646"/>
      <c r="H646"/>
      <c r="I646"/>
      <c r="J646"/>
      <c r="K646"/>
      <c r="L646"/>
      <c r="M646"/>
      <c r="N646"/>
      <c r="O646"/>
      <c r="P646"/>
    </row>
    <row r="647" spans="2:16">
      <c r="B647"/>
      <c r="C647"/>
      <c r="D647"/>
      <c r="E647"/>
      <c r="F647"/>
      <c r="G647"/>
      <c r="H647"/>
      <c r="I647"/>
      <c r="J647"/>
      <c r="K647"/>
      <c r="L647"/>
      <c r="M647"/>
      <c r="N647"/>
      <c r="O647"/>
      <c r="P647"/>
    </row>
    <row r="648" spans="2:16">
      <c r="B648"/>
      <c r="C648"/>
      <c r="D648"/>
      <c r="E648"/>
      <c r="F648"/>
      <c r="G648"/>
      <c r="H648"/>
      <c r="I648"/>
      <c r="J648"/>
      <c r="K648"/>
      <c r="L648"/>
      <c r="M648"/>
      <c r="N648"/>
      <c r="O648"/>
      <c r="P648"/>
    </row>
    <row r="649" spans="2:16">
      <c r="B649"/>
      <c r="C649"/>
      <c r="D649"/>
      <c r="E649"/>
      <c r="F649"/>
      <c r="G649"/>
      <c r="H649"/>
      <c r="I649"/>
      <c r="J649"/>
      <c r="K649"/>
      <c r="L649"/>
      <c r="M649"/>
      <c r="N649"/>
      <c r="O649"/>
      <c r="P649"/>
    </row>
    <row r="650" spans="2:16">
      <c r="B650"/>
      <c r="C650"/>
      <c r="D650"/>
      <c r="E650"/>
      <c r="F650"/>
      <c r="G650"/>
      <c r="H650"/>
      <c r="I650"/>
      <c r="J650"/>
      <c r="K650"/>
      <c r="L650"/>
      <c r="M650"/>
      <c r="N650"/>
      <c r="O650"/>
      <c r="P650"/>
    </row>
    <row r="651" spans="2:16">
      <c r="B651"/>
      <c r="C651"/>
      <c r="D651"/>
      <c r="E651"/>
      <c r="F651"/>
      <c r="G651"/>
      <c r="H651"/>
      <c r="I651"/>
      <c r="J651"/>
      <c r="K651"/>
      <c r="L651"/>
      <c r="M651"/>
      <c r="N651"/>
      <c r="O651"/>
      <c r="P651"/>
    </row>
    <row r="652" spans="2:16">
      <c r="B652"/>
      <c r="C652"/>
      <c r="D652"/>
      <c r="E652"/>
      <c r="F652"/>
      <c r="G652"/>
      <c r="H652"/>
      <c r="I652"/>
      <c r="J652"/>
      <c r="K652"/>
      <c r="L652"/>
      <c r="M652"/>
      <c r="N652"/>
      <c r="O652"/>
      <c r="P652"/>
    </row>
    <row r="653" spans="2:16">
      <c r="B653"/>
      <c r="C653"/>
      <c r="D653"/>
      <c r="E653"/>
      <c r="F653"/>
      <c r="G653"/>
      <c r="H653"/>
      <c r="I653"/>
      <c r="J653"/>
      <c r="K653"/>
      <c r="L653"/>
      <c r="M653"/>
      <c r="N653"/>
      <c r="O653"/>
      <c r="P653"/>
    </row>
    <row r="654" spans="2:16">
      <c r="B654"/>
      <c r="C654"/>
      <c r="D654"/>
      <c r="E654"/>
      <c r="F654"/>
      <c r="G654"/>
      <c r="H654"/>
      <c r="I654"/>
      <c r="J654"/>
      <c r="K654"/>
      <c r="L654"/>
      <c r="M654"/>
      <c r="N654"/>
      <c r="O654"/>
      <c r="P654"/>
    </row>
    <row r="655" spans="2:16">
      <c r="B655"/>
      <c r="C655"/>
      <c r="D655"/>
      <c r="E655"/>
      <c r="F655"/>
      <c r="G655"/>
      <c r="H655"/>
      <c r="I655"/>
      <c r="J655"/>
      <c r="K655"/>
      <c r="L655"/>
      <c r="M655"/>
      <c r="N655"/>
      <c r="O655"/>
      <c r="P655"/>
    </row>
    <row r="656" spans="2:16">
      <c r="B656"/>
      <c r="C656"/>
      <c r="D656"/>
      <c r="E656"/>
      <c r="F656"/>
      <c r="G656"/>
      <c r="H656"/>
      <c r="I656"/>
      <c r="J656"/>
      <c r="K656"/>
      <c r="L656"/>
      <c r="M656"/>
      <c r="N656"/>
      <c r="O656"/>
      <c r="P656"/>
    </row>
    <row r="657" spans="2:16">
      <c r="B657"/>
      <c r="C657"/>
      <c r="D657"/>
      <c r="E657"/>
      <c r="F657"/>
      <c r="G657"/>
      <c r="H657"/>
      <c r="I657"/>
      <c r="J657"/>
      <c r="K657"/>
      <c r="L657"/>
      <c r="M657"/>
      <c r="N657"/>
      <c r="O657"/>
      <c r="P657"/>
    </row>
    <row r="658" spans="2:16">
      <c r="B658"/>
      <c r="C658"/>
      <c r="D658"/>
      <c r="E658"/>
      <c r="F658"/>
      <c r="G658"/>
      <c r="H658"/>
      <c r="I658"/>
      <c r="J658"/>
      <c r="K658"/>
      <c r="L658"/>
      <c r="M658"/>
      <c r="N658"/>
      <c r="O658"/>
      <c r="P658"/>
    </row>
    <row r="659" spans="2:16">
      <c r="B659"/>
      <c r="C659"/>
      <c r="D659"/>
      <c r="E659"/>
      <c r="F659"/>
      <c r="G659"/>
      <c r="H659"/>
      <c r="I659"/>
      <c r="J659"/>
      <c r="K659"/>
      <c r="L659"/>
      <c r="M659"/>
      <c r="N659"/>
      <c r="O659"/>
      <c r="P659"/>
    </row>
    <row r="660" spans="2:16">
      <c r="B660"/>
      <c r="C660"/>
      <c r="D660"/>
      <c r="E660"/>
      <c r="F660"/>
      <c r="G660"/>
      <c r="H660"/>
      <c r="I660"/>
      <c r="J660"/>
      <c r="K660"/>
      <c r="L660"/>
      <c r="M660"/>
      <c r="N660"/>
      <c r="O660"/>
      <c r="P660"/>
    </row>
    <row r="661" spans="2:16">
      <c r="B661"/>
      <c r="C661"/>
      <c r="D661"/>
      <c r="E661"/>
      <c r="F661"/>
      <c r="G661"/>
      <c r="H661"/>
      <c r="I661"/>
      <c r="J661"/>
      <c r="K661"/>
      <c r="L661"/>
      <c r="M661"/>
      <c r="N661"/>
      <c r="O661"/>
      <c r="P661"/>
    </row>
    <row r="662" spans="2:16">
      <c r="B662"/>
      <c r="C662"/>
      <c r="D662"/>
      <c r="E662"/>
      <c r="F662"/>
      <c r="G662"/>
      <c r="H662"/>
      <c r="I662"/>
      <c r="J662"/>
      <c r="K662"/>
      <c r="L662"/>
      <c r="M662"/>
      <c r="N662"/>
      <c r="O662"/>
      <c r="P662"/>
    </row>
    <row r="663" spans="2:16">
      <c r="B663"/>
      <c r="C663"/>
      <c r="D663"/>
      <c r="E663"/>
      <c r="F663"/>
      <c r="G663"/>
      <c r="H663"/>
      <c r="I663"/>
      <c r="J663"/>
      <c r="K663"/>
      <c r="L663"/>
      <c r="M663"/>
      <c r="N663"/>
      <c r="O663"/>
      <c r="P663"/>
    </row>
    <row r="664" spans="2:16">
      <c r="B664"/>
      <c r="C664"/>
      <c r="D664"/>
      <c r="E664"/>
      <c r="F664"/>
      <c r="G664"/>
      <c r="H664"/>
      <c r="I664"/>
      <c r="J664"/>
      <c r="K664"/>
      <c r="L664"/>
      <c r="M664"/>
      <c r="N664"/>
      <c r="O664"/>
      <c r="P664"/>
    </row>
    <row r="665" spans="2:16">
      <c r="B665"/>
      <c r="C665"/>
      <c r="D665"/>
      <c r="E665"/>
      <c r="F665"/>
      <c r="G665"/>
      <c r="H665"/>
      <c r="I665"/>
      <c r="J665"/>
      <c r="K665"/>
      <c r="L665"/>
      <c r="M665"/>
      <c r="N665"/>
      <c r="O665"/>
      <c r="P665"/>
    </row>
    <row r="666" spans="2:16">
      <c r="B666"/>
      <c r="C666"/>
      <c r="D666"/>
      <c r="E666"/>
      <c r="F666"/>
      <c r="G666"/>
      <c r="H666"/>
      <c r="I666"/>
      <c r="J666"/>
      <c r="K666"/>
      <c r="L666"/>
      <c r="M666"/>
      <c r="N666"/>
      <c r="O666"/>
      <c r="P666"/>
    </row>
    <row r="667" spans="2:16">
      <c r="B667"/>
      <c r="C667"/>
      <c r="D667"/>
      <c r="E667"/>
      <c r="F667"/>
      <c r="G667"/>
      <c r="H667"/>
      <c r="I667"/>
      <c r="J667"/>
      <c r="K667"/>
      <c r="L667"/>
      <c r="M667"/>
      <c r="N667"/>
      <c r="O667"/>
      <c r="P667"/>
    </row>
    <row r="668" spans="2:16">
      <c r="B668"/>
      <c r="C668"/>
      <c r="D668"/>
      <c r="E668"/>
      <c r="F668"/>
      <c r="G668"/>
      <c r="H668"/>
      <c r="I668"/>
      <c r="J668"/>
      <c r="K668"/>
      <c r="L668"/>
      <c r="M668"/>
      <c r="N668"/>
      <c r="O668"/>
      <c r="P668"/>
    </row>
    <row r="669" spans="2:16">
      <c r="B669"/>
      <c r="C669"/>
      <c r="D669"/>
      <c r="E669"/>
      <c r="F669"/>
      <c r="G669"/>
      <c r="H669"/>
      <c r="I669"/>
      <c r="J669"/>
      <c r="K669"/>
      <c r="L669"/>
      <c r="M669"/>
      <c r="N669"/>
      <c r="O669"/>
      <c r="P669"/>
    </row>
    <row r="670" spans="2:16">
      <c r="B670"/>
      <c r="C670"/>
      <c r="D670"/>
      <c r="E670"/>
      <c r="F670"/>
      <c r="G670"/>
      <c r="H670"/>
      <c r="I670"/>
      <c r="J670"/>
      <c r="K670"/>
      <c r="L670"/>
      <c r="M670"/>
      <c r="N670"/>
      <c r="O670"/>
      <c r="P670"/>
    </row>
    <row r="671" spans="2:16">
      <c r="B671"/>
      <c r="C671"/>
      <c r="D671"/>
      <c r="E671"/>
      <c r="F671"/>
      <c r="G671"/>
      <c r="H671"/>
      <c r="I671"/>
      <c r="J671"/>
      <c r="K671"/>
      <c r="L671"/>
      <c r="M671"/>
      <c r="N671"/>
      <c r="O671"/>
      <c r="P671"/>
    </row>
    <row r="672" spans="2:16">
      <c r="B672"/>
      <c r="C672"/>
      <c r="D672"/>
      <c r="E672"/>
      <c r="F672"/>
      <c r="G672"/>
      <c r="H672"/>
      <c r="I672"/>
      <c r="J672"/>
      <c r="K672"/>
      <c r="L672"/>
      <c r="M672"/>
      <c r="N672"/>
      <c r="O672"/>
      <c r="P672"/>
    </row>
    <row r="673" spans="2:16">
      <c r="B673"/>
      <c r="C673"/>
      <c r="D673"/>
      <c r="E673"/>
      <c r="F673"/>
      <c r="G673"/>
      <c r="H673"/>
      <c r="I673"/>
      <c r="J673"/>
      <c r="K673"/>
      <c r="L673"/>
      <c r="M673"/>
      <c r="N673"/>
      <c r="O673"/>
      <c r="P673"/>
    </row>
    <row r="674" spans="2:16">
      <c r="B674"/>
      <c r="C674"/>
      <c r="D674"/>
      <c r="E674"/>
      <c r="F674"/>
      <c r="G674"/>
      <c r="H674"/>
      <c r="I674"/>
      <c r="J674"/>
      <c r="K674"/>
      <c r="L674"/>
      <c r="M674"/>
      <c r="N674"/>
      <c r="O674"/>
      <c r="P674"/>
    </row>
    <row r="675" spans="2:16">
      <c r="B675"/>
      <c r="C675"/>
      <c r="D675"/>
      <c r="E675"/>
      <c r="F675"/>
      <c r="G675"/>
      <c r="H675"/>
      <c r="I675"/>
      <c r="J675"/>
      <c r="K675"/>
      <c r="L675"/>
      <c r="M675"/>
      <c r="N675"/>
      <c r="O675"/>
      <c r="P675"/>
    </row>
    <row r="676" spans="2:16">
      <c r="B676"/>
      <c r="C676"/>
      <c r="D676"/>
      <c r="E676"/>
      <c r="F676"/>
      <c r="G676"/>
      <c r="H676"/>
      <c r="I676"/>
      <c r="J676"/>
      <c r="K676"/>
      <c r="L676"/>
      <c r="M676"/>
      <c r="N676"/>
      <c r="O676"/>
      <c r="P676"/>
    </row>
    <row r="677" spans="2:16">
      <c r="B677"/>
      <c r="C677"/>
      <c r="D677"/>
      <c r="E677"/>
      <c r="F677"/>
      <c r="G677"/>
      <c r="H677"/>
      <c r="I677"/>
      <c r="J677"/>
      <c r="K677"/>
      <c r="L677"/>
      <c r="M677"/>
      <c r="N677"/>
      <c r="O677"/>
      <c r="P677"/>
    </row>
    <row r="678" spans="2:16">
      <c r="B678"/>
      <c r="C678"/>
      <c r="D678"/>
      <c r="E678"/>
      <c r="F678"/>
      <c r="G678"/>
      <c r="H678"/>
      <c r="I678"/>
      <c r="J678"/>
      <c r="K678"/>
      <c r="L678"/>
      <c r="M678"/>
      <c r="N678"/>
      <c r="O678"/>
      <c r="P678"/>
    </row>
    <row r="679" spans="2:16">
      <c r="B679"/>
      <c r="C679"/>
      <c r="D679"/>
      <c r="E679"/>
      <c r="F679"/>
      <c r="G679"/>
      <c r="H679"/>
      <c r="I679"/>
      <c r="J679"/>
      <c r="K679"/>
      <c r="L679"/>
      <c r="M679"/>
      <c r="N679"/>
      <c r="O679"/>
      <c r="P679"/>
    </row>
    <row r="680" spans="2:16">
      <c r="B680"/>
      <c r="C680"/>
      <c r="D680"/>
      <c r="E680"/>
      <c r="F680"/>
      <c r="G680"/>
      <c r="H680"/>
      <c r="I680"/>
      <c r="J680"/>
      <c r="K680"/>
      <c r="L680"/>
      <c r="M680"/>
      <c r="N680"/>
      <c r="O680"/>
      <c r="P680"/>
    </row>
    <row r="681" spans="2:16">
      <c r="B681"/>
      <c r="C681"/>
      <c r="D681"/>
      <c r="E681"/>
      <c r="F681"/>
      <c r="G681"/>
      <c r="H681"/>
      <c r="I681"/>
      <c r="J681"/>
      <c r="K681"/>
      <c r="L681"/>
      <c r="M681"/>
      <c r="N681"/>
      <c r="O681"/>
      <c r="P681"/>
    </row>
    <row r="682" spans="2:16">
      <c r="B682"/>
      <c r="C682"/>
      <c r="D682"/>
      <c r="E682"/>
      <c r="F682"/>
      <c r="G682"/>
      <c r="H682"/>
      <c r="I682"/>
      <c r="J682"/>
      <c r="K682"/>
      <c r="L682"/>
      <c r="M682"/>
      <c r="N682"/>
      <c r="O682"/>
      <c r="P682"/>
    </row>
    <row r="683" spans="2:16">
      <c r="B683"/>
      <c r="C683"/>
      <c r="D683"/>
      <c r="E683"/>
      <c r="F683"/>
      <c r="G683"/>
      <c r="H683"/>
      <c r="I683"/>
      <c r="J683"/>
      <c r="K683"/>
      <c r="L683"/>
      <c r="M683"/>
      <c r="N683"/>
      <c r="O683"/>
      <c r="P683"/>
    </row>
    <row r="684" spans="2:16">
      <c r="B684"/>
      <c r="C684"/>
      <c r="D684"/>
      <c r="E684"/>
      <c r="F684"/>
      <c r="G684"/>
      <c r="H684"/>
      <c r="I684"/>
      <c r="J684"/>
      <c r="K684"/>
      <c r="L684"/>
      <c r="M684"/>
      <c r="N684"/>
      <c r="O684"/>
      <c r="P684"/>
    </row>
    <row r="685" spans="2:16">
      <c r="B685"/>
      <c r="C685"/>
      <c r="D685"/>
      <c r="E685"/>
      <c r="F685"/>
      <c r="G685"/>
      <c r="H685"/>
      <c r="I685"/>
      <c r="J685"/>
      <c r="K685"/>
      <c r="L685"/>
      <c r="M685"/>
      <c r="N685"/>
      <c r="O685"/>
      <c r="P685"/>
    </row>
    <row r="686" spans="2:16">
      <c r="B686"/>
      <c r="C686"/>
      <c r="D686"/>
      <c r="E686"/>
      <c r="F686"/>
      <c r="G686"/>
      <c r="H686"/>
      <c r="I686"/>
      <c r="J686"/>
      <c r="K686"/>
      <c r="L686"/>
      <c r="M686"/>
      <c r="N686"/>
      <c r="O686"/>
      <c r="P686"/>
    </row>
    <row r="687" spans="2:16">
      <c r="B687"/>
      <c r="C687"/>
      <c r="D687"/>
      <c r="E687"/>
      <c r="F687"/>
      <c r="G687"/>
      <c r="H687"/>
      <c r="I687"/>
      <c r="J687"/>
      <c r="K687"/>
      <c r="L687"/>
      <c r="M687"/>
      <c r="N687"/>
      <c r="O687"/>
      <c r="P687"/>
    </row>
    <row r="688" spans="2:16">
      <c r="B688"/>
      <c r="C688"/>
      <c r="D688"/>
      <c r="E688"/>
      <c r="F688"/>
      <c r="G688"/>
      <c r="H688"/>
      <c r="I688"/>
      <c r="J688"/>
      <c r="K688"/>
      <c r="L688"/>
      <c r="M688"/>
      <c r="N688"/>
      <c r="O688"/>
      <c r="P688"/>
    </row>
    <row r="689" spans="2:16">
      <c r="B689"/>
      <c r="C689"/>
      <c r="D689"/>
      <c r="E689"/>
      <c r="F689"/>
      <c r="G689"/>
      <c r="H689"/>
      <c r="I689"/>
      <c r="J689"/>
      <c r="K689"/>
      <c r="L689"/>
      <c r="M689"/>
      <c r="N689"/>
      <c r="O689"/>
      <c r="P689"/>
    </row>
    <row r="690" spans="2:16">
      <c r="B690"/>
      <c r="C690"/>
      <c r="D690"/>
      <c r="E690"/>
      <c r="F690"/>
      <c r="G690"/>
      <c r="H690"/>
      <c r="I690"/>
      <c r="J690"/>
      <c r="K690"/>
      <c r="L690"/>
      <c r="M690"/>
      <c r="N690"/>
      <c r="O690"/>
      <c r="P690"/>
    </row>
    <row r="691" spans="2:16">
      <c r="B691"/>
      <c r="C691"/>
      <c r="D691"/>
      <c r="E691"/>
      <c r="F691"/>
      <c r="G691"/>
      <c r="H691"/>
      <c r="I691"/>
      <c r="J691"/>
      <c r="K691"/>
      <c r="L691"/>
      <c r="M691"/>
      <c r="N691"/>
      <c r="O691"/>
      <c r="P691"/>
    </row>
    <row r="692" spans="2:16">
      <c r="B692"/>
      <c r="C692"/>
      <c r="D692"/>
      <c r="E692"/>
      <c r="F692"/>
      <c r="G692"/>
      <c r="H692"/>
      <c r="I692"/>
      <c r="J692"/>
      <c r="K692"/>
      <c r="L692"/>
      <c r="M692"/>
      <c r="N692"/>
      <c r="O692"/>
      <c r="P692"/>
    </row>
    <row r="693" spans="2:16">
      <c r="B693"/>
      <c r="C693"/>
      <c r="D693"/>
      <c r="E693"/>
      <c r="F693"/>
      <c r="G693"/>
      <c r="H693"/>
      <c r="I693"/>
      <c r="J693"/>
      <c r="K693"/>
      <c r="L693"/>
      <c r="M693"/>
      <c r="N693"/>
      <c r="O693"/>
      <c r="P693"/>
    </row>
    <row r="694" spans="2:16">
      <c r="B694"/>
      <c r="C694"/>
      <c r="D694"/>
      <c r="E694"/>
      <c r="F694"/>
      <c r="G694"/>
      <c r="H694"/>
      <c r="I694"/>
      <c r="J694"/>
      <c r="K694"/>
      <c r="L694"/>
      <c r="M694"/>
      <c r="N694"/>
      <c r="O694"/>
      <c r="P694"/>
    </row>
    <row r="695" spans="2:16">
      <c r="B695"/>
      <c r="C695"/>
      <c r="D695"/>
      <c r="E695"/>
      <c r="F695"/>
      <c r="G695"/>
      <c r="H695"/>
      <c r="I695"/>
      <c r="J695"/>
      <c r="K695"/>
      <c r="L695"/>
      <c r="M695"/>
      <c r="N695"/>
      <c r="O695"/>
      <c r="P695"/>
    </row>
    <row r="696" spans="2:16">
      <c r="B696"/>
      <c r="C696"/>
      <c r="D696"/>
      <c r="E696"/>
      <c r="F696"/>
      <c r="G696"/>
      <c r="H696"/>
      <c r="I696"/>
      <c r="J696"/>
      <c r="K696"/>
      <c r="L696"/>
      <c r="M696"/>
      <c r="N696"/>
      <c r="O696"/>
      <c r="P696"/>
    </row>
    <row r="697" spans="2:16">
      <c r="B697"/>
      <c r="C697"/>
      <c r="D697"/>
      <c r="E697"/>
      <c r="F697"/>
      <c r="G697"/>
      <c r="H697"/>
      <c r="I697"/>
      <c r="J697"/>
      <c r="K697"/>
      <c r="L697"/>
      <c r="M697"/>
      <c r="N697"/>
      <c r="O697"/>
      <c r="P697"/>
    </row>
    <row r="698" spans="2:16">
      <c r="B698"/>
      <c r="C698"/>
      <c r="D698"/>
      <c r="E698"/>
      <c r="F698"/>
      <c r="G698"/>
      <c r="H698"/>
      <c r="I698"/>
      <c r="J698"/>
      <c r="K698"/>
      <c r="L698"/>
      <c r="M698"/>
      <c r="N698"/>
      <c r="O698"/>
      <c r="P698"/>
    </row>
    <row r="699" spans="2:16">
      <c r="B699"/>
      <c r="C699"/>
      <c r="D699"/>
      <c r="E699"/>
      <c r="F699"/>
      <c r="G699"/>
      <c r="H699"/>
      <c r="I699"/>
      <c r="J699"/>
      <c r="K699"/>
      <c r="L699"/>
      <c r="M699"/>
      <c r="N699"/>
      <c r="O699"/>
      <c r="P699"/>
    </row>
    <row r="700" spans="2:16">
      <c r="B700"/>
      <c r="C700"/>
      <c r="D700"/>
      <c r="E700"/>
      <c r="F700"/>
      <c r="G700"/>
      <c r="H700"/>
      <c r="I700"/>
      <c r="J700"/>
      <c r="K700"/>
      <c r="L700"/>
      <c r="M700"/>
      <c r="N700"/>
      <c r="O700"/>
      <c r="P700"/>
    </row>
    <row r="701" spans="2:16">
      <c r="B701"/>
      <c r="C701"/>
      <c r="D701"/>
      <c r="E701"/>
      <c r="F701"/>
      <c r="G701"/>
      <c r="H701"/>
      <c r="I701"/>
      <c r="J701"/>
      <c r="K701"/>
      <c r="L701"/>
      <c r="M701"/>
      <c r="N701"/>
      <c r="O701"/>
      <c r="P701"/>
    </row>
    <row r="702" spans="2:16">
      <c r="B702"/>
      <c r="C702"/>
      <c r="D702"/>
      <c r="E702"/>
      <c r="F702"/>
      <c r="G702"/>
      <c r="H702"/>
      <c r="I702"/>
      <c r="J702"/>
      <c r="K702"/>
      <c r="L702"/>
      <c r="M702"/>
      <c r="N702"/>
      <c r="O702"/>
      <c r="P702"/>
    </row>
    <row r="703" spans="2:16">
      <c r="B703"/>
      <c r="C703"/>
      <c r="D703"/>
      <c r="E703"/>
      <c r="F703"/>
      <c r="G703"/>
      <c r="H703"/>
      <c r="I703"/>
      <c r="J703"/>
      <c r="K703"/>
      <c r="L703"/>
      <c r="M703"/>
      <c r="N703"/>
      <c r="O703"/>
      <c r="P703"/>
    </row>
    <row r="704" spans="2:16">
      <c r="B704"/>
      <c r="C704"/>
      <c r="D704"/>
      <c r="E704"/>
      <c r="F704"/>
      <c r="G704"/>
      <c r="H704"/>
      <c r="I704"/>
      <c r="J704"/>
      <c r="K704"/>
      <c r="L704"/>
      <c r="M704"/>
      <c r="N704"/>
      <c r="O704"/>
      <c r="P704"/>
    </row>
    <row r="705" spans="2:16">
      <c r="B705"/>
      <c r="C705"/>
      <c r="D705"/>
      <c r="E705"/>
      <c r="F705"/>
      <c r="G705"/>
      <c r="H705"/>
      <c r="I705"/>
      <c r="J705"/>
      <c r="K705"/>
      <c r="L705"/>
      <c r="M705"/>
      <c r="N705"/>
      <c r="O705"/>
      <c r="P705"/>
    </row>
    <row r="706" spans="2:16">
      <c r="B706"/>
      <c r="C706"/>
      <c r="D706"/>
      <c r="E706"/>
      <c r="F706"/>
      <c r="G706"/>
      <c r="H706"/>
      <c r="I706"/>
      <c r="J706"/>
      <c r="K706"/>
      <c r="L706"/>
      <c r="M706"/>
      <c r="N706"/>
      <c r="O706"/>
      <c r="P706"/>
    </row>
    <row r="707" spans="2:16">
      <c r="B707"/>
      <c r="C707"/>
      <c r="D707"/>
      <c r="E707"/>
      <c r="F707"/>
      <c r="G707"/>
      <c r="H707"/>
      <c r="I707"/>
      <c r="J707"/>
      <c r="K707"/>
      <c r="L707"/>
      <c r="M707"/>
      <c r="N707"/>
      <c r="O707"/>
      <c r="P707"/>
    </row>
    <row r="708" spans="2:16">
      <c r="B708"/>
      <c r="C708"/>
      <c r="D708"/>
      <c r="E708"/>
      <c r="F708"/>
      <c r="G708"/>
      <c r="H708"/>
      <c r="I708"/>
      <c r="J708"/>
      <c r="K708"/>
      <c r="L708"/>
      <c r="M708"/>
      <c r="N708"/>
      <c r="O708"/>
      <c r="P708"/>
    </row>
    <row r="709" spans="2:16">
      <c r="B709"/>
      <c r="C709"/>
      <c r="D709"/>
      <c r="E709"/>
      <c r="F709"/>
      <c r="G709"/>
      <c r="H709"/>
      <c r="I709"/>
      <c r="J709"/>
      <c r="K709"/>
      <c r="L709"/>
      <c r="M709"/>
      <c r="N709"/>
      <c r="O709"/>
      <c r="P709"/>
    </row>
    <row r="710" spans="2:16">
      <c r="B710"/>
      <c r="C710"/>
      <c r="D710"/>
      <c r="E710"/>
      <c r="F710"/>
      <c r="G710"/>
      <c r="H710"/>
      <c r="I710"/>
      <c r="J710"/>
      <c r="K710"/>
      <c r="L710"/>
      <c r="M710"/>
      <c r="N710"/>
      <c r="O710"/>
      <c r="P710"/>
    </row>
    <row r="711" spans="2:16">
      <c r="B711"/>
      <c r="C711"/>
      <c r="D711"/>
      <c r="E711"/>
      <c r="F711"/>
      <c r="G711"/>
      <c r="H711"/>
      <c r="I711"/>
      <c r="J711"/>
      <c r="K711"/>
      <c r="L711"/>
      <c r="M711"/>
      <c r="N711"/>
      <c r="O711"/>
      <c r="P711"/>
    </row>
    <row r="712" spans="2:16">
      <c r="B712"/>
      <c r="C712"/>
      <c r="D712"/>
      <c r="E712"/>
      <c r="F712"/>
      <c r="G712"/>
      <c r="H712"/>
      <c r="I712"/>
      <c r="J712"/>
      <c r="K712"/>
      <c r="L712"/>
      <c r="M712"/>
      <c r="N712"/>
      <c r="O712"/>
      <c r="P712"/>
    </row>
    <row r="713" spans="2:16">
      <c r="B713"/>
      <c r="C713"/>
      <c r="D713"/>
      <c r="E713"/>
      <c r="F713"/>
      <c r="G713"/>
      <c r="H713"/>
      <c r="I713"/>
      <c r="J713"/>
      <c r="K713"/>
      <c r="L713"/>
      <c r="M713"/>
      <c r="N713"/>
      <c r="O713"/>
      <c r="P713"/>
    </row>
    <row r="714" spans="2:16">
      <c r="B714"/>
      <c r="C714"/>
      <c r="D714"/>
      <c r="E714"/>
      <c r="F714"/>
      <c r="G714"/>
      <c r="H714"/>
      <c r="I714"/>
      <c r="J714"/>
      <c r="K714"/>
      <c r="L714"/>
      <c r="M714"/>
      <c r="N714"/>
      <c r="O714"/>
      <c r="P714"/>
    </row>
    <row r="715" spans="2:16">
      <c r="B715"/>
      <c r="C715"/>
      <c r="D715"/>
      <c r="E715"/>
      <c r="F715"/>
      <c r="G715"/>
      <c r="H715"/>
      <c r="I715"/>
      <c r="J715"/>
      <c r="K715"/>
      <c r="L715"/>
      <c r="M715"/>
      <c r="N715"/>
      <c r="O715"/>
      <c r="P715"/>
    </row>
    <row r="716" spans="2:16">
      <c r="B716"/>
      <c r="C716"/>
      <c r="D716"/>
      <c r="E716"/>
      <c r="F716"/>
      <c r="G716"/>
      <c r="H716"/>
      <c r="I716"/>
      <c r="J716"/>
      <c r="K716"/>
      <c r="L716"/>
      <c r="M716"/>
      <c r="N716"/>
      <c r="O716"/>
      <c r="P716"/>
    </row>
    <row r="717" spans="2:16">
      <c r="B717"/>
      <c r="C717"/>
      <c r="D717"/>
      <c r="E717"/>
      <c r="F717"/>
      <c r="G717"/>
      <c r="H717"/>
      <c r="I717"/>
      <c r="J717"/>
      <c r="K717"/>
      <c r="L717"/>
      <c r="M717"/>
      <c r="N717"/>
      <c r="O717"/>
      <c r="P717"/>
    </row>
    <row r="718" spans="2:16">
      <c r="B718"/>
      <c r="C718"/>
      <c r="D718"/>
      <c r="E718"/>
      <c r="F718"/>
      <c r="G718"/>
      <c r="H718"/>
      <c r="I718"/>
      <c r="J718"/>
      <c r="K718"/>
      <c r="L718"/>
      <c r="M718"/>
      <c r="N718"/>
      <c r="O718"/>
      <c r="P718"/>
    </row>
    <row r="719" spans="2:16">
      <c r="B719"/>
      <c r="C719"/>
      <c r="D719"/>
      <c r="E719"/>
      <c r="F719"/>
      <c r="G719"/>
      <c r="H719"/>
      <c r="I719"/>
      <c r="J719"/>
      <c r="K719"/>
      <c r="L719"/>
      <c r="M719"/>
      <c r="N719"/>
      <c r="O719"/>
      <c r="P719"/>
    </row>
    <row r="720" spans="2:16">
      <c r="B720"/>
      <c r="C720"/>
      <c r="D720"/>
      <c r="E720"/>
      <c r="F720"/>
      <c r="G720"/>
      <c r="H720"/>
      <c r="I720"/>
      <c r="J720"/>
      <c r="K720"/>
      <c r="L720"/>
      <c r="M720"/>
      <c r="N720"/>
      <c r="O720"/>
      <c r="P720"/>
    </row>
    <row r="721" spans="2:16">
      <c r="B721"/>
      <c r="C721"/>
      <c r="D721"/>
      <c r="E721"/>
      <c r="F721"/>
      <c r="G721"/>
      <c r="H721"/>
      <c r="I721"/>
      <c r="J721"/>
      <c r="K721"/>
      <c r="L721"/>
      <c r="M721"/>
      <c r="N721"/>
      <c r="O721"/>
      <c r="P721"/>
    </row>
    <row r="722" spans="2:16">
      <c r="B722"/>
      <c r="C722"/>
      <c r="D722"/>
      <c r="E722"/>
      <c r="F722"/>
      <c r="G722"/>
      <c r="H722"/>
      <c r="I722"/>
      <c r="J722"/>
      <c r="K722"/>
      <c r="L722"/>
      <c r="M722"/>
      <c r="N722"/>
      <c r="O722"/>
      <c r="P722"/>
    </row>
    <row r="723" spans="2:16">
      <c r="B723"/>
      <c r="C723"/>
      <c r="D723"/>
      <c r="E723"/>
      <c r="F723"/>
      <c r="G723"/>
      <c r="H723"/>
      <c r="I723"/>
      <c r="J723"/>
      <c r="K723"/>
      <c r="L723"/>
      <c r="M723"/>
      <c r="N723"/>
      <c r="O723"/>
      <c r="P723"/>
    </row>
    <row r="724" spans="2:16">
      <c r="B724"/>
      <c r="C724"/>
      <c r="D724"/>
      <c r="E724"/>
      <c r="F724"/>
      <c r="G724"/>
      <c r="H724"/>
      <c r="I724"/>
      <c r="J724"/>
      <c r="K724"/>
      <c r="L724"/>
      <c r="M724"/>
      <c r="N724"/>
      <c r="O724"/>
      <c r="P724"/>
    </row>
    <row r="725" spans="2:16">
      <c r="B725"/>
      <c r="C725"/>
      <c r="D725"/>
      <c r="E725"/>
      <c r="F725"/>
      <c r="G725"/>
      <c r="H725"/>
      <c r="I725"/>
      <c r="J725"/>
      <c r="K725"/>
      <c r="L725"/>
      <c r="M725"/>
      <c r="N725"/>
      <c r="O725"/>
      <c r="P725"/>
    </row>
    <row r="726" spans="2:16">
      <c r="B726"/>
      <c r="C726"/>
      <c r="D726"/>
      <c r="E726"/>
      <c r="F726"/>
      <c r="G726"/>
      <c r="H726"/>
      <c r="I726"/>
      <c r="J726"/>
      <c r="K726"/>
      <c r="L726"/>
      <c r="M726"/>
      <c r="N726"/>
      <c r="O726"/>
      <c r="P726"/>
    </row>
    <row r="727" spans="2:16">
      <c r="B727"/>
      <c r="C727"/>
      <c r="D727"/>
      <c r="E727"/>
      <c r="F727"/>
      <c r="G727"/>
      <c r="H727"/>
      <c r="I727"/>
      <c r="J727"/>
      <c r="K727"/>
      <c r="L727"/>
      <c r="M727"/>
      <c r="N727"/>
      <c r="O727"/>
      <c r="P727"/>
    </row>
    <row r="728" spans="2:16">
      <c r="B728"/>
      <c r="C728"/>
      <c r="D728"/>
      <c r="E728"/>
      <c r="F728"/>
      <c r="G728"/>
      <c r="H728"/>
      <c r="I728"/>
      <c r="J728"/>
      <c r="K728"/>
      <c r="L728"/>
      <c r="M728"/>
      <c r="N728"/>
      <c r="O728"/>
      <c r="P728"/>
    </row>
    <row r="729" spans="2:16">
      <c r="B729"/>
      <c r="C729"/>
      <c r="D729"/>
      <c r="E729"/>
      <c r="F729"/>
      <c r="G729"/>
      <c r="H729"/>
      <c r="I729"/>
      <c r="J729"/>
      <c r="K729"/>
      <c r="L729"/>
      <c r="M729"/>
      <c r="N729"/>
      <c r="O729"/>
      <c r="P729"/>
    </row>
    <row r="730" spans="2:16">
      <c r="B730"/>
      <c r="C730"/>
      <c r="D730"/>
      <c r="E730"/>
      <c r="F730"/>
      <c r="G730"/>
      <c r="H730"/>
      <c r="I730"/>
      <c r="J730"/>
      <c r="K730"/>
      <c r="L730"/>
      <c r="M730"/>
      <c r="N730"/>
      <c r="O730"/>
      <c r="P730"/>
    </row>
    <row r="731" spans="2:16">
      <c r="B731"/>
      <c r="C731"/>
      <c r="D731"/>
      <c r="E731"/>
      <c r="F731"/>
      <c r="G731"/>
      <c r="H731"/>
      <c r="I731"/>
      <c r="J731"/>
      <c r="K731"/>
      <c r="L731"/>
      <c r="M731"/>
      <c r="N731"/>
      <c r="O731"/>
      <c r="P731"/>
    </row>
    <row r="732" spans="2:16">
      <c r="B732"/>
      <c r="C732"/>
      <c r="D732"/>
      <c r="E732"/>
      <c r="F732"/>
      <c r="G732"/>
      <c r="H732"/>
      <c r="I732"/>
      <c r="J732"/>
      <c r="K732"/>
      <c r="L732"/>
      <c r="M732"/>
      <c r="N732"/>
      <c r="O732"/>
      <c r="P732"/>
    </row>
    <row r="733" spans="2:16">
      <c r="B733"/>
      <c r="C733"/>
      <c r="D733"/>
      <c r="E733"/>
      <c r="F733"/>
      <c r="G733"/>
      <c r="H733"/>
      <c r="I733"/>
      <c r="J733"/>
      <c r="K733"/>
      <c r="L733"/>
      <c r="M733"/>
      <c r="N733"/>
      <c r="O733"/>
      <c r="P733"/>
    </row>
    <row r="734" spans="2:16">
      <c r="B734"/>
      <c r="C734"/>
      <c r="D734"/>
      <c r="E734"/>
      <c r="F734"/>
      <c r="G734"/>
      <c r="H734"/>
      <c r="I734"/>
      <c r="J734"/>
      <c r="K734"/>
      <c r="L734"/>
      <c r="M734"/>
      <c r="N734"/>
      <c r="O734"/>
      <c r="P734"/>
    </row>
    <row r="735" spans="2:16">
      <c r="B735"/>
      <c r="C735"/>
      <c r="D735"/>
      <c r="E735"/>
      <c r="F735"/>
      <c r="G735"/>
      <c r="H735"/>
      <c r="I735"/>
      <c r="J735"/>
      <c r="K735"/>
      <c r="L735"/>
      <c r="M735"/>
      <c r="N735"/>
      <c r="O735"/>
      <c r="P735"/>
    </row>
    <row r="736" spans="2:16">
      <c r="B736"/>
      <c r="C736"/>
      <c r="D736"/>
      <c r="E736"/>
      <c r="F736"/>
      <c r="G736"/>
      <c r="H736"/>
      <c r="I736"/>
      <c r="J736"/>
      <c r="K736"/>
      <c r="L736"/>
      <c r="M736"/>
      <c r="N736"/>
      <c r="O736"/>
      <c r="P736"/>
    </row>
    <row r="737" spans="2:16">
      <c r="B737"/>
      <c r="C737"/>
      <c r="D737"/>
      <c r="E737"/>
      <c r="F737"/>
      <c r="G737"/>
      <c r="H737"/>
      <c r="I737"/>
      <c r="J737"/>
      <c r="K737"/>
      <c r="L737"/>
      <c r="M737"/>
      <c r="N737"/>
      <c r="O737"/>
      <c r="P737"/>
    </row>
    <row r="738" spans="2:16">
      <c r="B738"/>
      <c r="C738"/>
      <c r="D738"/>
      <c r="E738"/>
      <c r="F738"/>
      <c r="G738"/>
      <c r="H738"/>
      <c r="I738"/>
      <c r="J738"/>
      <c r="K738"/>
      <c r="L738"/>
      <c r="M738"/>
      <c r="N738"/>
      <c r="O738"/>
      <c r="P738"/>
    </row>
    <row r="739" spans="2:16">
      <c r="B739"/>
      <c r="C739"/>
      <c r="D739"/>
      <c r="E739"/>
      <c r="F739"/>
      <c r="G739"/>
      <c r="H739"/>
      <c r="I739"/>
      <c r="J739"/>
      <c r="K739"/>
      <c r="L739"/>
      <c r="M739"/>
      <c r="N739"/>
      <c r="O739"/>
      <c r="P739"/>
    </row>
    <row r="740" spans="2:16">
      <c r="B740"/>
      <c r="C740"/>
      <c r="D740"/>
      <c r="E740"/>
      <c r="F740"/>
      <c r="G740"/>
      <c r="H740"/>
      <c r="I740"/>
      <c r="J740"/>
      <c r="K740"/>
      <c r="L740"/>
      <c r="M740"/>
      <c r="N740"/>
      <c r="O740"/>
      <c r="P740"/>
    </row>
    <row r="741" spans="2:16">
      <c r="B741"/>
      <c r="C741"/>
      <c r="D741"/>
      <c r="E741"/>
      <c r="F741"/>
      <c r="G741"/>
      <c r="H741"/>
      <c r="I741"/>
      <c r="J741"/>
      <c r="K741"/>
      <c r="L741"/>
      <c r="M741"/>
      <c r="N741"/>
      <c r="O741"/>
      <c r="P741"/>
    </row>
    <row r="742" spans="2:16">
      <c r="B742"/>
      <c r="C742"/>
      <c r="D742"/>
      <c r="E742"/>
      <c r="F742"/>
      <c r="G742"/>
      <c r="H742"/>
      <c r="I742"/>
      <c r="J742"/>
      <c r="K742"/>
      <c r="L742"/>
      <c r="M742"/>
      <c r="N742"/>
      <c r="O742"/>
      <c r="P742"/>
    </row>
    <row r="743" spans="2:16">
      <c r="B743"/>
      <c r="C743"/>
      <c r="D743"/>
      <c r="E743"/>
      <c r="F743"/>
      <c r="G743"/>
      <c r="H743"/>
      <c r="I743"/>
      <c r="J743"/>
      <c r="K743"/>
      <c r="L743"/>
      <c r="M743"/>
      <c r="N743"/>
      <c r="O743"/>
      <c r="P743"/>
    </row>
    <row r="744" spans="2:16">
      <c r="B744"/>
      <c r="C744"/>
      <c r="D744"/>
      <c r="E744"/>
      <c r="F744"/>
      <c r="G744"/>
      <c r="H744"/>
      <c r="I744"/>
      <c r="J744"/>
      <c r="K744"/>
      <c r="L744"/>
      <c r="M744"/>
      <c r="N744"/>
      <c r="O744"/>
      <c r="P744"/>
    </row>
    <row r="745" spans="2:16">
      <c r="B745"/>
      <c r="C745"/>
      <c r="D745"/>
      <c r="E745"/>
      <c r="F745"/>
      <c r="G745"/>
      <c r="H745"/>
      <c r="I745"/>
      <c r="J745"/>
      <c r="K745"/>
      <c r="L745"/>
      <c r="M745"/>
      <c r="N745"/>
      <c r="O745"/>
      <c r="P745"/>
    </row>
    <row r="746" spans="2:16">
      <c r="B746"/>
      <c r="C746"/>
      <c r="D746"/>
      <c r="E746"/>
      <c r="F746"/>
      <c r="G746"/>
      <c r="H746"/>
      <c r="I746"/>
      <c r="J746"/>
      <c r="K746"/>
      <c r="L746"/>
      <c r="M746"/>
      <c r="N746"/>
      <c r="O746"/>
      <c r="P746"/>
    </row>
    <row r="747" spans="2:16">
      <c r="B747"/>
      <c r="C747"/>
      <c r="D747"/>
      <c r="E747"/>
      <c r="F747"/>
      <c r="G747"/>
      <c r="H747"/>
      <c r="I747"/>
      <c r="J747"/>
      <c r="K747"/>
      <c r="L747"/>
      <c r="M747"/>
      <c r="N747"/>
      <c r="O747"/>
      <c r="P747"/>
    </row>
    <row r="748" spans="2:16">
      <c r="B748"/>
      <c r="C748"/>
      <c r="D748"/>
      <c r="E748"/>
      <c r="F748"/>
      <c r="G748"/>
      <c r="H748"/>
      <c r="I748"/>
      <c r="J748"/>
      <c r="K748"/>
      <c r="L748"/>
      <c r="M748"/>
      <c r="N748"/>
      <c r="O748"/>
      <c r="P748"/>
    </row>
    <row r="749" spans="2:16">
      <c r="B749"/>
      <c r="C749"/>
      <c r="D749"/>
      <c r="E749"/>
      <c r="F749"/>
      <c r="G749"/>
      <c r="H749"/>
      <c r="I749"/>
      <c r="J749"/>
      <c r="K749"/>
      <c r="L749"/>
      <c r="M749"/>
      <c r="N749"/>
      <c r="O749"/>
      <c r="P749"/>
    </row>
    <row r="750" spans="2:16">
      <c r="B750"/>
      <c r="C750"/>
      <c r="D750"/>
      <c r="E750"/>
      <c r="F750"/>
      <c r="G750"/>
      <c r="H750"/>
      <c r="I750"/>
      <c r="J750"/>
      <c r="K750"/>
      <c r="L750"/>
      <c r="M750"/>
      <c r="N750"/>
      <c r="O750"/>
      <c r="P750"/>
    </row>
    <row r="751" spans="2:16">
      <c r="B751"/>
      <c r="C751"/>
      <c r="D751"/>
      <c r="E751"/>
      <c r="F751"/>
      <c r="G751"/>
      <c r="H751"/>
      <c r="I751"/>
      <c r="J751"/>
      <c r="K751"/>
      <c r="L751"/>
      <c r="M751"/>
      <c r="N751"/>
      <c r="O751"/>
      <c r="P751"/>
    </row>
    <row r="752" spans="2:16">
      <c r="B752"/>
      <c r="C752"/>
      <c r="D752"/>
      <c r="E752"/>
      <c r="F752"/>
      <c r="G752"/>
      <c r="H752"/>
      <c r="I752"/>
      <c r="J752"/>
      <c r="K752"/>
      <c r="L752"/>
      <c r="M752"/>
      <c r="N752"/>
      <c r="O752"/>
      <c r="P752"/>
    </row>
    <row r="753" spans="2:16">
      <c r="B753"/>
      <c r="C753"/>
      <c r="D753"/>
      <c r="E753"/>
      <c r="F753"/>
      <c r="G753"/>
      <c r="H753"/>
      <c r="I753"/>
      <c r="J753"/>
      <c r="K753"/>
      <c r="L753"/>
      <c r="M753"/>
      <c r="N753"/>
      <c r="O753"/>
      <c r="P753"/>
    </row>
    <row r="754" spans="2:16">
      <c r="B754"/>
      <c r="C754"/>
      <c r="D754"/>
      <c r="E754"/>
      <c r="F754"/>
      <c r="G754"/>
      <c r="H754"/>
      <c r="I754"/>
      <c r="J754"/>
      <c r="K754"/>
      <c r="L754"/>
      <c r="M754"/>
      <c r="N754"/>
      <c r="O754"/>
      <c r="P754"/>
    </row>
    <row r="755" spans="2:16">
      <c r="B755"/>
      <c r="C755"/>
      <c r="D755"/>
      <c r="E755"/>
      <c r="F755"/>
      <c r="G755"/>
      <c r="H755"/>
      <c r="I755"/>
      <c r="J755"/>
      <c r="K755"/>
      <c r="L755"/>
      <c r="M755"/>
      <c r="N755"/>
      <c r="O755"/>
      <c r="P755"/>
    </row>
    <row r="756" spans="2:16">
      <c r="B756"/>
      <c r="C756"/>
      <c r="D756"/>
      <c r="E756"/>
      <c r="F756"/>
      <c r="G756"/>
      <c r="H756"/>
      <c r="I756"/>
      <c r="J756"/>
      <c r="K756"/>
      <c r="L756"/>
      <c r="M756"/>
      <c r="N756"/>
      <c r="O756"/>
      <c r="P756"/>
    </row>
    <row r="757" spans="2:16">
      <c r="B757"/>
      <c r="C757"/>
      <c r="D757"/>
      <c r="E757"/>
      <c r="F757"/>
      <c r="G757"/>
      <c r="H757"/>
      <c r="I757"/>
      <c r="J757"/>
      <c r="K757"/>
      <c r="L757"/>
      <c r="M757"/>
      <c r="N757"/>
      <c r="O757"/>
      <c r="P757"/>
    </row>
    <row r="758" spans="2:16">
      <c r="B758"/>
      <c r="C758"/>
      <c r="D758"/>
      <c r="E758"/>
      <c r="F758"/>
      <c r="G758"/>
      <c r="H758"/>
      <c r="I758"/>
      <c r="J758"/>
      <c r="K758"/>
      <c r="L758"/>
      <c r="M758"/>
      <c r="N758"/>
      <c r="O758"/>
      <c r="P758"/>
    </row>
    <row r="759" spans="2:16">
      <c r="B759"/>
      <c r="C759"/>
      <c r="D759"/>
      <c r="E759"/>
      <c r="F759"/>
      <c r="G759"/>
      <c r="H759"/>
      <c r="I759"/>
      <c r="J759"/>
      <c r="K759"/>
      <c r="L759"/>
      <c r="M759"/>
      <c r="N759"/>
      <c r="O759"/>
      <c r="P759"/>
    </row>
    <row r="760" spans="2:16">
      <c r="B760"/>
      <c r="C760"/>
      <c r="D760"/>
      <c r="E760"/>
      <c r="F760"/>
      <c r="G760"/>
      <c r="H760"/>
      <c r="I760"/>
      <c r="J760"/>
      <c r="K760"/>
      <c r="L760"/>
      <c r="M760"/>
      <c r="N760"/>
      <c r="O760"/>
      <c r="P760"/>
    </row>
    <row r="761" spans="2:16">
      <c r="B761"/>
      <c r="C761"/>
      <c r="D761"/>
      <c r="E761"/>
      <c r="F761"/>
      <c r="G761"/>
      <c r="H761"/>
      <c r="I761"/>
      <c r="J761"/>
      <c r="K761"/>
      <c r="L761"/>
      <c r="M761"/>
      <c r="N761"/>
      <c r="O761"/>
      <c r="P761"/>
    </row>
    <row r="762" spans="2:16">
      <c r="B762"/>
      <c r="C762"/>
      <c r="D762"/>
      <c r="E762"/>
      <c r="F762"/>
      <c r="G762"/>
      <c r="H762"/>
      <c r="I762"/>
      <c r="J762"/>
      <c r="K762"/>
      <c r="L762"/>
      <c r="M762"/>
      <c r="N762"/>
      <c r="O762"/>
      <c r="P762"/>
    </row>
    <row r="763" spans="2:16">
      <c r="B763"/>
      <c r="C763"/>
      <c r="D763"/>
      <c r="E763"/>
      <c r="F763"/>
      <c r="G763"/>
      <c r="H763"/>
      <c r="I763"/>
      <c r="J763"/>
      <c r="K763"/>
      <c r="L763"/>
      <c r="M763"/>
      <c r="N763"/>
      <c r="O763"/>
      <c r="P763"/>
    </row>
    <row r="764" spans="2:16">
      <c r="B764"/>
      <c r="C764"/>
      <c r="D764"/>
      <c r="E764"/>
      <c r="F764"/>
      <c r="G764"/>
      <c r="H764"/>
      <c r="I764"/>
      <c r="J764"/>
      <c r="K764"/>
      <c r="L764"/>
      <c r="M764"/>
      <c r="N764"/>
      <c r="O764"/>
      <c r="P764"/>
    </row>
    <row r="765" spans="2:16">
      <c r="B765"/>
      <c r="C765"/>
      <c r="D765"/>
      <c r="E765"/>
      <c r="F765"/>
      <c r="G765"/>
      <c r="H765"/>
      <c r="I765"/>
      <c r="J765"/>
      <c r="K765"/>
      <c r="L765"/>
      <c r="M765"/>
      <c r="N765"/>
      <c r="O765"/>
      <c r="P765"/>
    </row>
    <row r="766" spans="2:16">
      <c r="B766"/>
      <c r="C766"/>
      <c r="D766"/>
      <c r="E766"/>
      <c r="F766"/>
      <c r="G766"/>
      <c r="H766"/>
      <c r="I766"/>
      <c r="J766"/>
      <c r="K766"/>
      <c r="L766"/>
      <c r="M766"/>
      <c r="N766"/>
      <c r="O766"/>
      <c r="P766"/>
    </row>
    <row r="767" spans="2:16">
      <c r="B767"/>
      <c r="C767"/>
      <c r="D767"/>
      <c r="E767"/>
      <c r="F767"/>
      <c r="G767"/>
      <c r="H767"/>
      <c r="I767"/>
      <c r="J767"/>
      <c r="K767"/>
      <c r="L767"/>
      <c r="M767"/>
      <c r="N767"/>
      <c r="O767"/>
      <c r="P767"/>
    </row>
    <row r="768" spans="2:16">
      <c r="B768"/>
      <c r="C768"/>
      <c r="D768"/>
      <c r="E768"/>
      <c r="F768"/>
      <c r="G768"/>
      <c r="H768"/>
      <c r="I768"/>
      <c r="J768"/>
      <c r="K768"/>
      <c r="L768"/>
      <c r="M768"/>
      <c r="N768"/>
      <c r="O768"/>
      <c r="P768"/>
    </row>
    <row r="769" spans="2:16">
      <c r="B769"/>
      <c r="C769"/>
      <c r="D769"/>
      <c r="E769"/>
      <c r="F769"/>
      <c r="G769"/>
      <c r="H769"/>
      <c r="I769"/>
      <c r="J769"/>
      <c r="K769"/>
      <c r="L769"/>
      <c r="M769"/>
      <c r="N769"/>
      <c r="O769"/>
      <c r="P769"/>
    </row>
    <row r="770" spans="2:16">
      <c r="B770"/>
      <c r="C770"/>
      <c r="D770"/>
      <c r="E770"/>
      <c r="F770"/>
      <c r="G770"/>
      <c r="H770"/>
      <c r="I770"/>
      <c r="J770"/>
      <c r="K770"/>
      <c r="L770"/>
      <c r="M770"/>
      <c r="N770"/>
      <c r="O770"/>
      <c r="P770"/>
    </row>
    <row r="771" spans="2:16">
      <c r="B771"/>
      <c r="C771"/>
      <c r="D771"/>
      <c r="E771"/>
      <c r="F771"/>
      <c r="G771"/>
      <c r="H771"/>
      <c r="I771"/>
      <c r="J771"/>
      <c r="K771"/>
      <c r="L771"/>
      <c r="M771"/>
      <c r="N771"/>
      <c r="O771"/>
      <c r="P771"/>
    </row>
    <row r="772" spans="2:16">
      <c r="B772"/>
      <c r="C772"/>
      <c r="D772"/>
      <c r="E772"/>
      <c r="F772"/>
      <c r="G772"/>
      <c r="H772"/>
      <c r="I772"/>
      <c r="J772"/>
      <c r="K772"/>
      <c r="L772"/>
      <c r="M772"/>
      <c r="N772"/>
      <c r="O772"/>
      <c r="P772"/>
    </row>
    <row r="773" spans="2:16">
      <c r="B773"/>
      <c r="C773"/>
      <c r="D773"/>
      <c r="E773"/>
      <c r="F773"/>
      <c r="G773"/>
      <c r="H773"/>
      <c r="I773"/>
      <c r="J773"/>
      <c r="K773"/>
      <c r="L773"/>
      <c r="M773"/>
      <c r="N773"/>
      <c r="O773"/>
      <c r="P773"/>
    </row>
    <row r="774" spans="2:16">
      <c r="B774"/>
      <c r="C774"/>
      <c r="D774"/>
      <c r="E774"/>
      <c r="F774"/>
      <c r="G774"/>
      <c r="H774"/>
      <c r="I774"/>
      <c r="J774"/>
      <c r="K774"/>
      <c r="L774"/>
      <c r="M774"/>
      <c r="N774"/>
      <c r="O774"/>
      <c r="P774"/>
    </row>
    <row r="775" spans="2:16">
      <c r="B775"/>
      <c r="C775"/>
      <c r="D775"/>
      <c r="E775"/>
      <c r="F775"/>
      <c r="G775"/>
      <c r="H775"/>
      <c r="I775"/>
      <c r="J775"/>
      <c r="K775"/>
      <c r="L775"/>
      <c r="M775"/>
      <c r="N775"/>
      <c r="O775"/>
      <c r="P775"/>
    </row>
    <row r="776" spans="2:16">
      <c r="B776"/>
      <c r="C776"/>
      <c r="D776"/>
      <c r="E776"/>
      <c r="F776"/>
      <c r="G776"/>
      <c r="H776"/>
      <c r="I776"/>
      <c r="J776"/>
      <c r="K776"/>
      <c r="L776"/>
      <c r="M776"/>
      <c r="N776"/>
      <c r="O776"/>
      <c r="P776"/>
    </row>
    <row r="777" spans="2:16">
      <c r="B777"/>
      <c r="C777"/>
      <c r="D777"/>
      <c r="E777"/>
      <c r="F777"/>
      <c r="G777"/>
      <c r="H777"/>
      <c r="I777"/>
      <c r="J777"/>
      <c r="K777"/>
      <c r="L777"/>
      <c r="M777"/>
      <c r="N777"/>
      <c r="O777"/>
      <c r="P777"/>
    </row>
    <row r="778" spans="2:16">
      <c r="B778"/>
      <c r="C778"/>
      <c r="D778"/>
      <c r="E778"/>
      <c r="F778"/>
      <c r="G778"/>
      <c r="H778"/>
      <c r="I778"/>
      <c r="J778"/>
      <c r="K778"/>
      <c r="L778"/>
      <c r="M778"/>
      <c r="N778"/>
      <c r="O778"/>
      <c r="P778"/>
    </row>
    <row r="779" spans="2:16">
      <c r="B779"/>
      <c r="C779"/>
      <c r="D779"/>
      <c r="E779"/>
      <c r="F779"/>
      <c r="G779"/>
      <c r="H779"/>
      <c r="I779"/>
      <c r="J779"/>
      <c r="K779"/>
      <c r="L779"/>
      <c r="M779"/>
      <c r="N779"/>
      <c r="O779"/>
      <c r="P779"/>
    </row>
    <row r="780" spans="2:16">
      <c r="B780"/>
      <c r="C780"/>
      <c r="D780"/>
      <c r="E780"/>
      <c r="F780"/>
      <c r="G780"/>
      <c r="H780"/>
      <c r="I780"/>
      <c r="J780"/>
      <c r="K780"/>
      <c r="L780"/>
      <c r="M780"/>
      <c r="N780"/>
      <c r="O780"/>
      <c r="P780"/>
    </row>
    <row r="781" spans="2:16">
      <c r="B781"/>
      <c r="C781"/>
      <c r="D781"/>
      <c r="E781"/>
      <c r="F781"/>
      <c r="G781"/>
      <c r="H781"/>
      <c r="I781"/>
      <c r="J781"/>
      <c r="K781"/>
      <c r="L781"/>
      <c r="M781"/>
      <c r="N781"/>
      <c r="O781"/>
      <c r="P781"/>
    </row>
    <row r="782" spans="2:16">
      <c r="B782"/>
      <c r="C782"/>
      <c r="D782"/>
      <c r="E782"/>
      <c r="F782"/>
      <c r="G782"/>
      <c r="H782"/>
      <c r="I782"/>
      <c r="J782"/>
      <c r="K782"/>
      <c r="L782"/>
      <c r="M782"/>
      <c r="N782"/>
      <c r="O782"/>
      <c r="P782"/>
    </row>
    <row r="783" spans="2:16">
      <c r="B783"/>
      <c r="C783"/>
      <c r="D783"/>
      <c r="E783"/>
      <c r="F783"/>
      <c r="G783"/>
      <c r="H783"/>
      <c r="I783"/>
      <c r="J783"/>
      <c r="K783"/>
      <c r="L783"/>
      <c r="M783"/>
      <c r="N783"/>
      <c r="O783"/>
      <c r="P783"/>
    </row>
    <row r="784" spans="2:16">
      <c r="B784"/>
      <c r="C784"/>
      <c r="D784"/>
      <c r="E784"/>
      <c r="F784"/>
      <c r="G784"/>
      <c r="H784"/>
      <c r="I784"/>
      <c r="J784"/>
      <c r="K784"/>
      <c r="L784"/>
      <c r="M784"/>
      <c r="N784"/>
      <c r="O784"/>
      <c r="P784"/>
    </row>
    <row r="785" spans="2:16">
      <c r="B785"/>
      <c r="C785"/>
      <c r="D785"/>
      <c r="E785"/>
      <c r="F785"/>
      <c r="G785"/>
      <c r="H785"/>
      <c r="I785"/>
      <c r="J785"/>
      <c r="K785"/>
      <c r="L785"/>
      <c r="M785"/>
      <c r="N785"/>
      <c r="O785"/>
      <c r="P785"/>
    </row>
    <row r="786" spans="2:16">
      <c r="B786"/>
      <c r="C786"/>
      <c r="D786"/>
      <c r="E786"/>
      <c r="F786"/>
      <c r="G786"/>
      <c r="H786"/>
      <c r="I786"/>
      <c r="J786"/>
      <c r="K786"/>
      <c r="L786"/>
      <c r="M786"/>
      <c r="N786"/>
      <c r="O786"/>
      <c r="P786"/>
    </row>
    <row r="787" spans="2:16">
      <c r="B787"/>
      <c r="C787"/>
      <c r="D787"/>
      <c r="E787"/>
      <c r="F787"/>
      <c r="G787"/>
      <c r="H787"/>
      <c r="I787"/>
      <c r="J787"/>
      <c r="K787"/>
      <c r="L787"/>
      <c r="M787"/>
      <c r="N787"/>
      <c r="O787"/>
      <c r="P787"/>
    </row>
    <row r="788" spans="2:16">
      <c r="B788"/>
      <c r="C788"/>
      <c r="D788"/>
      <c r="E788"/>
      <c r="F788"/>
      <c r="G788"/>
      <c r="H788"/>
      <c r="I788"/>
      <c r="J788"/>
      <c r="K788"/>
      <c r="L788"/>
      <c r="M788"/>
      <c r="N788"/>
      <c r="O788"/>
      <c r="P788"/>
    </row>
    <row r="789" spans="2:16">
      <c r="B789"/>
      <c r="C789"/>
      <c r="D789"/>
      <c r="E789"/>
      <c r="F789"/>
      <c r="G789"/>
      <c r="H789"/>
      <c r="I789"/>
      <c r="J789"/>
      <c r="K789"/>
      <c r="L789"/>
      <c r="M789"/>
      <c r="N789"/>
      <c r="O789"/>
      <c r="P789"/>
    </row>
    <row r="790" spans="2:16">
      <c r="B790"/>
      <c r="C790"/>
      <c r="D790"/>
      <c r="E790"/>
      <c r="F790"/>
      <c r="G790"/>
      <c r="H790"/>
      <c r="I790"/>
      <c r="J790"/>
      <c r="K790"/>
      <c r="L790"/>
      <c r="M790"/>
      <c r="N790"/>
      <c r="O790"/>
      <c r="P790"/>
    </row>
    <row r="791" spans="2:16">
      <c r="B791"/>
      <c r="C791"/>
      <c r="D791"/>
      <c r="E791"/>
      <c r="F791"/>
      <c r="G791"/>
      <c r="H791"/>
      <c r="I791"/>
      <c r="J791"/>
      <c r="K791"/>
      <c r="L791"/>
      <c r="M791"/>
      <c r="N791"/>
      <c r="O791"/>
      <c r="P791"/>
    </row>
    <row r="792" spans="2:16">
      <c r="B792"/>
      <c r="C792"/>
      <c r="D792"/>
      <c r="E792"/>
      <c r="F792"/>
      <c r="G792"/>
      <c r="H792"/>
      <c r="I792"/>
      <c r="J792"/>
      <c r="K792"/>
      <c r="L792"/>
      <c r="M792"/>
      <c r="N792"/>
      <c r="O792"/>
      <c r="P792"/>
    </row>
    <row r="793" spans="2:16">
      <c r="B793"/>
      <c r="C793"/>
      <c r="D793"/>
      <c r="E793"/>
      <c r="F793"/>
      <c r="G793"/>
      <c r="H793"/>
      <c r="I793"/>
      <c r="J793"/>
      <c r="K793"/>
      <c r="L793"/>
      <c r="M793"/>
      <c r="N793"/>
      <c r="O793"/>
      <c r="P793"/>
    </row>
    <row r="794" spans="2:16">
      <c r="B794"/>
      <c r="C794"/>
      <c r="D794"/>
      <c r="E794"/>
      <c r="F794"/>
      <c r="G794"/>
      <c r="H794"/>
      <c r="I794"/>
      <c r="J794"/>
      <c r="K794"/>
      <c r="L794"/>
      <c r="M794"/>
      <c r="N794"/>
      <c r="O794"/>
      <c r="P794"/>
    </row>
    <row r="795" spans="2:16">
      <c r="B795"/>
      <c r="C795"/>
      <c r="D795"/>
      <c r="E795"/>
      <c r="F795"/>
      <c r="G795"/>
      <c r="H795"/>
      <c r="I795"/>
      <c r="J795"/>
      <c r="K795"/>
      <c r="L795"/>
      <c r="M795"/>
      <c r="N795"/>
      <c r="O795"/>
      <c r="P795"/>
    </row>
    <row r="796" spans="2:16">
      <c r="B796"/>
      <c r="C796"/>
      <c r="D796"/>
      <c r="E796"/>
      <c r="F796"/>
      <c r="G796"/>
      <c r="H796"/>
      <c r="I796"/>
      <c r="J796"/>
      <c r="K796"/>
      <c r="L796"/>
      <c r="M796"/>
      <c r="N796"/>
      <c r="O796"/>
      <c r="P796"/>
    </row>
    <row r="797" spans="2:16">
      <c r="B797"/>
      <c r="C797"/>
      <c r="D797"/>
      <c r="E797"/>
      <c r="F797"/>
      <c r="G797"/>
      <c r="H797"/>
      <c r="I797"/>
      <c r="J797"/>
      <c r="K797"/>
      <c r="L797"/>
      <c r="M797"/>
      <c r="N797"/>
      <c r="O797"/>
      <c r="P797"/>
    </row>
    <row r="798" spans="2:16">
      <c r="B798"/>
      <c r="C798"/>
      <c r="D798"/>
      <c r="E798"/>
      <c r="F798"/>
      <c r="G798"/>
      <c r="H798"/>
      <c r="I798"/>
      <c r="J798"/>
      <c r="K798"/>
      <c r="L798"/>
      <c r="M798"/>
      <c r="N798"/>
      <c r="O798"/>
      <c r="P798"/>
    </row>
    <row r="799" spans="2:16">
      <c r="B799"/>
      <c r="C799"/>
      <c r="D799"/>
      <c r="E799"/>
      <c r="F799"/>
      <c r="G799"/>
      <c r="H799"/>
      <c r="I799"/>
      <c r="J799"/>
      <c r="K799"/>
      <c r="L799"/>
      <c r="M799"/>
      <c r="N799"/>
      <c r="O799"/>
      <c r="P799"/>
    </row>
    <row r="800" spans="2:16">
      <c r="B800"/>
      <c r="C800"/>
      <c r="D800"/>
      <c r="E800"/>
      <c r="F800"/>
      <c r="G800"/>
      <c r="H800"/>
      <c r="I800"/>
      <c r="J800"/>
      <c r="K800"/>
      <c r="L800"/>
      <c r="M800"/>
      <c r="N800"/>
      <c r="O800"/>
      <c r="P800"/>
    </row>
    <row r="801" spans="2:16">
      <c r="B801"/>
      <c r="C801"/>
      <c r="D801"/>
      <c r="E801"/>
      <c r="F801"/>
      <c r="G801"/>
      <c r="H801"/>
      <c r="I801"/>
      <c r="J801"/>
      <c r="K801"/>
      <c r="L801"/>
      <c r="M801"/>
      <c r="N801"/>
      <c r="O801"/>
      <c r="P801"/>
    </row>
    <row r="802" spans="2:16">
      <c r="B802"/>
      <c r="C802"/>
      <c r="D802"/>
      <c r="E802"/>
      <c r="F802"/>
      <c r="G802"/>
      <c r="H802"/>
      <c r="I802"/>
      <c r="J802"/>
      <c r="K802"/>
      <c r="L802"/>
      <c r="M802"/>
      <c r="N802"/>
      <c r="O802"/>
      <c r="P802"/>
    </row>
    <row r="803" spans="2:16">
      <c r="B803"/>
      <c r="C803"/>
      <c r="D803"/>
      <c r="E803"/>
      <c r="F803"/>
      <c r="G803"/>
      <c r="H803"/>
      <c r="I803"/>
      <c r="J803"/>
      <c r="K803"/>
      <c r="L803"/>
      <c r="M803"/>
      <c r="N803"/>
      <c r="O803"/>
      <c r="P803"/>
    </row>
    <row r="804" spans="2:16">
      <c r="B804"/>
      <c r="C804"/>
      <c r="D804"/>
      <c r="E804"/>
      <c r="F804"/>
      <c r="G804"/>
      <c r="H804"/>
      <c r="I804"/>
      <c r="J804"/>
      <c r="K804"/>
      <c r="L804"/>
      <c r="M804"/>
      <c r="N804"/>
      <c r="O804"/>
      <c r="P804"/>
    </row>
    <row r="805" spans="2:16">
      <c r="B805"/>
      <c r="C805"/>
      <c r="D805"/>
      <c r="E805"/>
      <c r="F805"/>
      <c r="G805"/>
      <c r="H805"/>
      <c r="I805"/>
      <c r="J805"/>
      <c r="K805"/>
      <c r="L805"/>
      <c r="M805"/>
      <c r="N805"/>
      <c r="O805"/>
      <c r="P805"/>
    </row>
    <row r="806" spans="2:16">
      <c r="B806"/>
      <c r="C806"/>
      <c r="D806"/>
      <c r="E806"/>
      <c r="F806"/>
      <c r="G806"/>
      <c r="H806"/>
      <c r="I806"/>
      <c r="J806"/>
      <c r="K806"/>
      <c r="L806"/>
      <c r="M806"/>
      <c r="N806"/>
      <c r="O806"/>
      <c r="P806"/>
    </row>
    <row r="807" spans="2:16">
      <c r="B807"/>
      <c r="C807"/>
      <c r="D807"/>
      <c r="E807"/>
      <c r="F807"/>
      <c r="G807"/>
      <c r="H807"/>
      <c r="I807"/>
      <c r="J807"/>
      <c r="K807"/>
      <c r="L807"/>
      <c r="M807"/>
      <c r="N807"/>
      <c r="O807"/>
      <c r="P807"/>
    </row>
    <row r="808" spans="2:16">
      <c r="B808"/>
      <c r="C808"/>
      <c r="D808"/>
      <c r="E808"/>
      <c r="F808"/>
      <c r="G808"/>
      <c r="H808"/>
      <c r="I808"/>
      <c r="J808"/>
      <c r="K808"/>
      <c r="L808"/>
      <c r="M808"/>
      <c r="N808"/>
      <c r="O808"/>
      <c r="P808"/>
    </row>
    <row r="809" spans="2:16">
      <c r="B809"/>
      <c r="C809"/>
      <c r="D809"/>
      <c r="E809"/>
      <c r="F809"/>
      <c r="G809"/>
      <c r="H809"/>
      <c r="I809"/>
      <c r="J809"/>
      <c r="K809"/>
      <c r="L809"/>
      <c r="M809"/>
      <c r="N809"/>
      <c r="O809"/>
      <c r="P809"/>
    </row>
    <row r="810" spans="2:16">
      <c r="B810"/>
      <c r="C810"/>
      <c r="D810"/>
      <c r="E810"/>
      <c r="F810"/>
      <c r="G810"/>
      <c r="H810"/>
      <c r="I810"/>
      <c r="J810"/>
      <c r="K810"/>
      <c r="L810"/>
      <c r="M810"/>
      <c r="N810"/>
      <c r="O810"/>
      <c r="P810"/>
    </row>
    <row r="811" spans="2:16">
      <c r="B811"/>
      <c r="C811"/>
      <c r="D811"/>
      <c r="E811"/>
      <c r="F811"/>
      <c r="G811"/>
      <c r="H811"/>
      <c r="I811"/>
      <c r="J811"/>
      <c r="K811"/>
      <c r="L811"/>
      <c r="M811"/>
      <c r="N811"/>
      <c r="O811"/>
      <c r="P811"/>
    </row>
    <row r="812" spans="2:16">
      <c r="B812"/>
      <c r="C812"/>
      <c r="D812"/>
      <c r="E812"/>
      <c r="F812"/>
      <c r="G812"/>
      <c r="H812"/>
      <c r="I812"/>
      <c r="J812"/>
      <c r="K812"/>
      <c r="L812"/>
      <c r="M812"/>
      <c r="N812"/>
      <c r="O812"/>
      <c r="P812"/>
    </row>
    <row r="813" spans="2:16">
      <c r="B813"/>
      <c r="C813"/>
      <c r="D813"/>
      <c r="E813"/>
      <c r="F813"/>
      <c r="G813"/>
      <c r="H813"/>
      <c r="I813"/>
      <c r="J813"/>
      <c r="K813"/>
      <c r="L813"/>
      <c r="M813"/>
      <c r="N813"/>
      <c r="O813"/>
      <c r="P813"/>
    </row>
    <row r="814" spans="2:16">
      <c r="B814"/>
      <c r="C814"/>
      <c r="D814"/>
      <c r="E814"/>
      <c r="F814"/>
      <c r="G814"/>
      <c r="H814"/>
      <c r="I814"/>
      <c r="J814"/>
      <c r="K814"/>
      <c r="L814"/>
      <c r="M814"/>
      <c r="N814"/>
      <c r="O814"/>
      <c r="P814"/>
    </row>
    <row r="815" spans="2:16">
      <c r="B815"/>
      <c r="C815"/>
      <c r="D815"/>
      <c r="E815"/>
      <c r="F815"/>
      <c r="G815"/>
      <c r="H815"/>
      <c r="I815"/>
      <c r="J815"/>
      <c r="K815"/>
      <c r="L815"/>
      <c r="M815"/>
      <c r="N815"/>
      <c r="O815"/>
      <c r="P815"/>
    </row>
    <row r="816" spans="2:16">
      <c r="B816"/>
      <c r="C816"/>
      <c r="D816"/>
      <c r="E816"/>
      <c r="F816"/>
      <c r="G816"/>
      <c r="H816"/>
      <c r="I816"/>
      <c r="J816"/>
      <c r="K816"/>
      <c r="L816"/>
      <c r="M816"/>
      <c r="N816"/>
      <c r="O816"/>
      <c r="P816"/>
    </row>
    <row r="817" spans="2:16">
      <c r="B817"/>
      <c r="C817"/>
      <c r="D817"/>
      <c r="E817"/>
      <c r="F817"/>
      <c r="G817"/>
      <c r="H817"/>
      <c r="I817"/>
      <c r="J817"/>
      <c r="K817"/>
      <c r="L817"/>
      <c r="M817"/>
      <c r="N817"/>
      <c r="O817"/>
      <c r="P817"/>
    </row>
    <row r="818" spans="2:16">
      <c r="B818"/>
      <c r="C818"/>
      <c r="D818"/>
      <c r="E818"/>
      <c r="F818"/>
      <c r="G818"/>
      <c r="H818"/>
      <c r="I818"/>
      <c r="J818"/>
      <c r="K818"/>
      <c r="L818"/>
      <c r="M818"/>
      <c r="N818"/>
      <c r="O818"/>
      <c r="P818"/>
    </row>
    <row r="819" spans="2:16">
      <c r="B819"/>
      <c r="C819"/>
      <c r="D819"/>
      <c r="E819"/>
      <c r="F819"/>
      <c r="G819"/>
      <c r="H819"/>
      <c r="I819"/>
      <c r="J819"/>
      <c r="K819"/>
      <c r="L819"/>
      <c r="M819"/>
      <c r="N819"/>
      <c r="O819"/>
      <c r="P819"/>
    </row>
    <row r="820" spans="2:16">
      <c r="B820"/>
      <c r="C820"/>
      <c r="D820"/>
      <c r="E820"/>
      <c r="F820"/>
      <c r="G820"/>
      <c r="H820"/>
      <c r="I820"/>
      <c r="J820"/>
      <c r="K820"/>
      <c r="L820"/>
      <c r="M820"/>
      <c r="N820"/>
      <c r="O820"/>
      <c r="P820"/>
    </row>
    <row r="821" spans="2:16">
      <c r="B821"/>
      <c r="C821"/>
      <c r="D821"/>
      <c r="E821"/>
      <c r="F821"/>
      <c r="G821"/>
      <c r="H821"/>
      <c r="I821"/>
      <c r="J821"/>
      <c r="K821"/>
      <c r="L821"/>
      <c r="M821"/>
      <c r="N821"/>
      <c r="O821"/>
      <c r="P821"/>
    </row>
    <row r="822" spans="2:16">
      <c r="B822"/>
      <c r="C822"/>
      <c r="D822"/>
      <c r="E822"/>
      <c r="F822"/>
      <c r="G822"/>
      <c r="H822"/>
      <c r="I822"/>
      <c r="J822"/>
      <c r="K822"/>
      <c r="L822"/>
      <c r="M822"/>
      <c r="N822"/>
      <c r="O822"/>
      <c r="P822"/>
    </row>
    <row r="823" spans="2:16">
      <c r="B823"/>
      <c r="C823"/>
      <c r="D823"/>
      <c r="E823"/>
      <c r="F823"/>
      <c r="G823"/>
      <c r="H823"/>
      <c r="I823"/>
      <c r="J823"/>
      <c r="K823"/>
      <c r="L823"/>
      <c r="M823"/>
      <c r="N823"/>
      <c r="O823"/>
      <c r="P823"/>
    </row>
    <row r="824" spans="2:16">
      <c r="B824"/>
      <c r="C824"/>
      <c r="D824"/>
      <c r="E824"/>
      <c r="F824"/>
      <c r="G824"/>
      <c r="H824"/>
      <c r="I824"/>
      <c r="J824"/>
      <c r="K824"/>
      <c r="L824"/>
      <c r="M824"/>
      <c r="N824"/>
      <c r="O824"/>
      <c r="P824"/>
    </row>
    <row r="825" spans="2:16">
      <c r="B825"/>
      <c r="C825"/>
      <c r="D825"/>
      <c r="E825"/>
      <c r="F825"/>
      <c r="G825"/>
      <c r="H825"/>
      <c r="I825"/>
      <c r="J825"/>
      <c r="K825"/>
      <c r="L825"/>
      <c r="M825"/>
      <c r="N825"/>
      <c r="O825"/>
      <c r="P825"/>
    </row>
    <row r="826" spans="2:16">
      <c r="B826"/>
      <c r="C826"/>
      <c r="D826"/>
      <c r="E826"/>
      <c r="F826"/>
      <c r="G826"/>
      <c r="H826"/>
      <c r="I826"/>
      <c r="J826"/>
      <c r="K826"/>
      <c r="L826"/>
      <c r="M826"/>
      <c r="N826"/>
      <c r="O826"/>
      <c r="P826"/>
    </row>
    <row r="827" spans="2:16">
      <c r="B827"/>
      <c r="C827"/>
      <c r="D827"/>
      <c r="E827"/>
      <c r="F827"/>
      <c r="G827"/>
      <c r="H827"/>
      <c r="I827"/>
      <c r="J827"/>
      <c r="K827"/>
      <c r="L827"/>
      <c r="M827"/>
      <c r="N827"/>
      <c r="O827"/>
      <c r="P827"/>
    </row>
    <row r="828" spans="2:16">
      <c r="B828"/>
      <c r="C828"/>
      <c r="D828"/>
      <c r="E828"/>
      <c r="F828"/>
      <c r="G828"/>
      <c r="H828"/>
      <c r="I828"/>
      <c r="J828"/>
      <c r="K828"/>
      <c r="L828"/>
      <c r="M828"/>
      <c r="N828"/>
      <c r="O828"/>
      <c r="P828"/>
    </row>
    <row r="829" spans="2:16">
      <c r="B829"/>
      <c r="C829"/>
      <c r="D829"/>
      <c r="E829"/>
      <c r="F829"/>
      <c r="G829"/>
      <c r="H829"/>
      <c r="I829"/>
      <c r="J829"/>
      <c r="K829"/>
      <c r="L829"/>
      <c r="M829"/>
      <c r="N829"/>
      <c r="O829"/>
      <c r="P829"/>
    </row>
    <row r="830" spans="2:16">
      <c r="B830"/>
      <c r="C830"/>
      <c r="D830"/>
      <c r="E830"/>
      <c r="F830"/>
      <c r="G830"/>
      <c r="H830"/>
      <c r="I830"/>
      <c r="J830"/>
      <c r="K830"/>
      <c r="L830"/>
      <c r="M830"/>
      <c r="N830"/>
      <c r="O830"/>
      <c r="P830"/>
    </row>
    <row r="831" spans="2:16">
      <c r="B831"/>
      <c r="C831"/>
      <c r="D831"/>
      <c r="E831"/>
      <c r="F831"/>
      <c r="G831"/>
      <c r="H831"/>
      <c r="I831"/>
      <c r="J831"/>
      <c r="K831"/>
      <c r="L831"/>
      <c r="M831"/>
      <c r="N831"/>
      <c r="O831"/>
      <c r="P831"/>
    </row>
    <row r="832" spans="2:16">
      <c r="B832"/>
      <c r="C832"/>
      <c r="D832"/>
      <c r="E832"/>
      <c r="F832"/>
      <c r="G832"/>
      <c r="H832"/>
      <c r="I832"/>
      <c r="J832"/>
      <c r="K832"/>
      <c r="L832"/>
      <c r="M832"/>
      <c r="N832"/>
      <c r="O832"/>
      <c r="P832"/>
    </row>
    <row r="833" spans="2:16">
      <c r="B833"/>
      <c r="C833"/>
      <c r="D833"/>
      <c r="E833"/>
      <c r="F833"/>
      <c r="G833"/>
      <c r="H833"/>
      <c r="I833"/>
      <c r="J833"/>
      <c r="K833"/>
      <c r="L833"/>
      <c r="M833"/>
      <c r="N833"/>
      <c r="O833"/>
      <c r="P833"/>
    </row>
    <row r="834" spans="2:16">
      <c r="B834"/>
      <c r="C834"/>
      <c r="D834"/>
      <c r="E834"/>
      <c r="F834"/>
      <c r="G834"/>
      <c r="H834"/>
      <c r="I834"/>
      <c r="J834"/>
      <c r="K834"/>
      <c r="L834"/>
      <c r="M834"/>
      <c r="N834"/>
      <c r="O834"/>
      <c r="P834"/>
    </row>
    <row r="835" spans="2:16">
      <c r="B835"/>
      <c r="C835"/>
      <c r="D835"/>
      <c r="E835"/>
      <c r="F835"/>
      <c r="G835"/>
      <c r="H835"/>
      <c r="I835"/>
      <c r="J835"/>
      <c r="K835"/>
      <c r="L835"/>
      <c r="M835"/>
      <c r="N835"/>
      <c r="O835"/>
      <c r="P835"/>
    </row>
    <row r="836" spans="2:16">
      <c r="B836"/>
      <c r="C836"/>
      <c r="D836"/>
      <c r="E836"/>
      <c r="F836"/>
      <c r="G836"/>
      <c r="H836"/>
      <c r="I836"/>
      <c r="J836"/>
      <c r="K836"/>
      <c r="L836"/>
      <c r="M836"/>
      <c r="N836"/>
      <c r="O836"/>
      <c r="P836"/>
    </row>
    <row r="837" spans="2:16">
      <c r="B837"/>
      <c r="C837"/>
      <c r="D837"/>
      <c r="E837"/>
      <c r="F837"/>
      <c r="G837"/>
      <c r="H837"/>
      <c r="I837"/>
      <c r="J837"/>
      <c r="K837"/>
      <c r="L837"/>
      <c r="M837"/>
      <c r="N837"/>
      <c r="O837"/>
      <c r="P837"/>
    </row>
    <row r="838" spans="2:16">
      <c r="B838"/>
      <c r="C838"/>
      <c r="D838"/>
      <c r="E838"/>
      <c r="F838"/>
      <c r="G838"/>
      <c r="H838"/>
      <c r="I838"/>
      <c r="J838"/>
      <c r="K838"/>
      <c r="L838"/>
      <c r="M838"/>
      <c r="N838"/>
      <c r="O838"/>
      <c r="P838"/>
    </row>
    <row r="839" spans="2:16">
      <c r="B839"/>
      <c r="C839"/>
      <c r="D839"/>
      <c r="E839"/>
      <c r="F839"/>
      <c r="G839"/>
      <c r="H839"/>
      <c r="I839"/>
      <c r="J839"/>
      <c r="K839"/>
      <c r="L839"/>
      <c r="M839"/>
      <c r="N839"/>
      <c r="O839"/>
      <c r="P839"/>
    </row>
    <row r="840" spans="2:16">
      <c r="B840"/>
      <c r="C840"/>
      <c r="D840"/>
      <c r="E840"/>
      <c r="F840"/>
      <c r="G840"/>
      <c r="H840"/>
      <c r="I840"/>
      <c r="J840"/>
      <c r="K840"/>
      <c r="L840"/>
      <c r="M840"/>
      <c r="N840"/>
      <c r="O840"/>
      <c r="P840"/>
    </row>
    <row r="841" spans="2:16">
      <c r="B841"/>
      <c r="C841"/>
      <c r="D841"/>
      <c r="E841"/>
      <c r="F841"/>
      <c r="G841"/>
      <c r="H841"/>
      <c r="I841"/>
      <c r="J841"/>
      <c r="K841"/>
      <c r="L841"/>
      <c r="M841"/>
      <c r="N841"/>
      <c r="O841"/>
      <c r="P841"/>
    </row>
    <row r="842" spans="2:16">
      <c r="B842"/>
      <c r="C842"/>
      <c r="D842"/>
      <c r="E842"/>
      <c r="F842"/>
      <c r="G842"/>
      <c r="H842"/>
      <c r="I842"/>
      <c r="J842"/>
      <c r="K842"/>
      <c r="L842"/>
      <c r="M842"/>
      <c r="N842"/>
      <c r="O842"/>
      <c r="P842"/>
    </row>
    <row r="843" spans="2:16">
      <c r="B843"/>
      <c r="C843"/>
      <c r="D843"/>
      <c r="E843"/>
      <c r="F843"/>
      <c r="G843"/>
      <c r="H843"/>
      <c r="I843"/>
      <c r="J843"/>
      <c r="K843"/>
      <c r="L843"/>
      <c r="M843"/>
      <c r="N843"/>
      <c r="O843"/>
      <c r="P843"/>
    </row>
    <row r="844" spans="2:16">
      <c r="B844"/>
      <c r="C844"/>
      <c r="D844"/>
      <c r="E844"/>
      <c r="F844"/>
      <c r="G844"/>
      <c r="H844"/>
      <c r="I844"/>
      <c r="J844"/>
      <c r="K844"/>
      <c r="L844"/>
      <c r="M844"/>
      <c r="N844"/>
      <c r="O844"/>
      <c r="P844"/>
    </row>
    <row r="845" spans="2:16">
      <c r="B845"/>
      <c r="C845"/>
      <c r="D845"/>
      <c r="E845"/>
      <c r="F845"/>
      <c r="G845"/>
      <c r="H845"/>
      <c r="I845"/>
      <c r="J845"/>
      <c r="K845"/>
      <c r="L845"/>
      <c r="M845"/>
      <c r="N845"/>
      <c r="O845"/>
      <c r="P845"/>
    </row>
    <row r="846" spans="2:16">
      <c r="B846"/>
      <c r="C846"/>
      <c r="D846"/>
      <c r="E846"/>
      <c r="F846"/>
      <c r="G846"/>
      <c r="H846"/>
      <c r="I846"/>
      <c r="J846"/>
      <c r="K846"/>
      <c r="L846"/>
      <c r="M846"/>
      <c r="N846"/>
      <c r="O846"/>
      <c r="P846"/>
    </row>
    <row r="847" spans="2:16">
      <c r="B847"/>
      <c r="C847"/>
      <c r="D847"/>
      <c r="E847"/>
      <c r="F847"/>
      <c r="G847"/>
      <c r="H847"/>
      <c r="I847"/>
      <c r="J847"/>
      <c r="K847"/>
      <c r="L847"/>
      <c r="M847"/>
      <c r="N847"/>
      <c r="O847"/>
      <c r="P847"/>
    </row>
    <row r="848" spans="2:16">
      <c r="B848"/>
      <c r="C848"/>
      <c r="D848"/>
      <c r="E848"/>
      <c r="F848"/>
      <c r="G848"/>
      <c r="H848"/>
      <c r="I848"/>
      <c r="J848"/>
      <c r="K848"/>
      <c r="L848"/>
      <c r="M848"/>
      <c r="N848"/>
      <c r="O848"/>
      <c r="P848"/>
    </row>
    <row r="849" spans="2:16">
      <c r="B849"/>
      <c r="C849"/>
      <c r="D849"/>
      <c r="E849"/>
      <c r="F849"/>
      <c r="G849"/>
      <c r="H849"/>
      <c r="I849"/>
      <c r="J849"/>
      <c r="K849"/>
      <c r="L849"/>
      <c r="M849"/>
      <c r="N849"/>
      <c r="O849"/>
      <c r="P849"/>
    </row>
    <row r="850" spans="2:16">
      <c r="B850"/>
      <c r="C850"/>
      <c r="D850"/>
      <c r="E850"/>
      <c r="F850"/>
      <c r="G850"/>
      <c r="H850"/>
      <c r="I850"/>
      <c r="J850"/>
      <c r="K850"/>
      <c r="L850"/>
      <c r="M850"/>
      <c r="N850"/>
      <c r="O850"/>
      <c r="P850"/>
    </row>
    <row r="851" spans="2:16">
      <c r="B851"/>
      <c r="C851"/>
      <c r="D851"/>
      <c r="E851"/>
      <c r="F851"/>
      <c r="G851"/>
      <c r="H851"/>
      <c r="I851"/>
      <c r="J851"/>
      <c r="K851"/>
      <c r="L851"/>
      <c r="M851"/>
      <c r="N851"/>
      <c r="O851"/>
      <c r="P851"/>
    </row>
    <row r="852" spans="2:16">
      <c r="B852"/>
      <c r="C852"/>
      <c r="D852"/>
      <c r="E852"/>
      <c r="F852"/>
      <c r="G852"/>
      <c r="H852"/>
      <c r="I852"/>
      <c r="J852"/>
      <c r="K852"/>
      <c r="L852"/>
      <c r="M852"/>
      <c r="N852"/>
      <c r="O852"/>
      <c r="P852"/>
    </row>
    <row r="853" spans="2:16">
      <c r="B853"/>
      <c r="C853"/>
      <c r="D853"/>
      <c r="E853"/>
      <c r="F853"/>
      <c r="G853"/>
      <c r="H853"/>
      <c r="I853"/>
      <c r="J853"/>
      <c r="K853"/>
      <c r="L853"/>
      <c r="M853"/>
      <c r="N853"/>
      <c r="O853"/>
      <c r="P853"/>
    </row>
    <row r="854" spans="2:16">
      <c r="B854"/>
      <c r="C854"/>
      <c r="D854"/>
      <c r="E854"/>
      <c r="F854"/>
      <c r="G854"/>
      <c r="H854"/>
      <c r="I854"/>
      <c r="J854"/>
      <c r="K854"/>
      <c r="L854"/>
      <c r="M854"/>
      <c r="N854"/>
      <c r="O854"/>
      <c r="P854"/>
    </row>
    <row r="855" spans="2:16">
      <c r="B855"/>
      <c r="C855"/>
      <c r="D855"/>
      <c r="E855"/>
      <c r="F855"/>
      <c r="G855"/>
      <c r="H855"/>
      <c r="I855"/>
      <c r="J855"/>
      <c r="K855"/>
      <c r="L855"/>
      <c r="M855"/>
      <c r="N855"/>
      <c r="O855"/>
      <c r="P855"/>
    </row>
    <row r="856" spans="2:16">
      <c r="B856"/>
      <c r="C856"/>
      <c r="D856"/>
      <c r="E856"/>
      <c r="F856"/>
      <c r="G856"/>
      <c r="H856"/>
      <c r="I856"/>
      <c r="J856"/>
      <c r="K856"/>
      <c r="L856"/>
      <c r="M856"/>
      <c r="N856"/>
      <c r="O856"/>
      <c r="P856"/>
    </row>
    <row r="857" spans="2:16">
      <c r="B857"/>
      <c r="C857"/>
      <c r="D857"/>
      <c r="E857"/>
      <c r="F857"/>
      <c r="G857"/>
      <c r="H857"/>
      <c r="I857"/>
      <c r="J857"/>
      <c r="K857"/>
      <c r="L857"/>
      <c r="M857"/>
      <c r="N857"/>
      <c r="O857"/>
      <c r="P857"/>
    </row>
    <row r="858" spans="2:16">
      <c r="B858"/>
      <c r="C858"/>
      <c r="D858"/>
      <c r="E858"/>
      <c r="F858"/>
      <c r="G858"/>
      <c r="H858"/>
      <c r="I858"/>
      <c r="J858"/>
      <c r="K858"/>
      <c r="L858"/>
      <c r="M858"/>
      <c r="N858"/>
      <c r="O858"/>
      <c r="P858"/>
    </row>
    <row r="859" spans="2:16">
      <c r="B859"/>
      <c r="C859"/>
      <c r="D859"/>
      <c r="E859"/>
      <c r="F859"/>
      <c r="G859"/>
      <c r="H859"/>
      <c r="I859"/>
      <c r="J859"/>
      <c r="K859"/>
      <c r="L859"/>
      <c r="M859"/>
      <c r="N859"/>
      <c r="O859"/>
      <c r="P859"/>
    </row>
    <row r="860" spans="2:16">
      <c r="B860"/>
      <c r="C860"/>
      <c r="D860"/>
      <c r="E860"/>
      <c r="F860"/>
      <c r="G860"/>
      <c r="H860"/>
      <c r="I860"/>
      <c r="J860"/>
      <c r="K860"/>
      <c r="L860"/>
      <c r="M860"/>
      <c r="N860"/>
      <c r="O860"/>
      <c r="P860"/>
    </row>
    <row r="861" spans="2:16">
      <c r="B861"/>
      <c r="C861"/>
      <c r="D861"/>
      <c r="E861"/>
      <c r="F861"/>
      <c r="G861"/>
      <c r="H861"/>
      <c r="I861"/>
      <c r="J861"/>
      <c r="K861"/>
      <c r="L861"/>
      <c r="M861"/>
      <c r="N861"/>
      <c r="O861"/>
      <c r="P861"/>
    </row>
    <row r="862" spans="2:16">
      <c r="B862"/>
      <c r="C862"/>
      <c r="D862"/>
      <c r="E862"/>
      <c r="F862"/>
      <c r="G862"/>
      <c r="H862"/>
      <c r="I862"/>
      <c r="J862"/>
      <c r="K862"/>
      <c r="L862"/>
      <c r="M862"/>
      <c r="N862"/>
      <c r="O862"/>
      <c r="P862"/>
    </row>
    <row r="863" spans="2:16">
      <c r="B863"/>
      <c r="C863"/>
      <c r="D863"/>
      <c r="E863"/>
      <c r="F863"/>
      <c r="G863"/>
      <c r="H863"/>
      <c r="I863"/>
      <c r="J863"/>
      <c r="K863"/>
      <c r="L863"/>
      <c r="M863"/>
      <c r="N863"/>
      <c r="O863"/>
      <c r="P863"/>
    </row>
    <row r="864" spans="2:16">
      <c r="B864"/>
      <c r="C864"/>
      <c r="D864"/>
      <c r="E864"/>
      <c r="F864"/>
      <c r="G864"/>
      <c r="H864"/>
      <c r="I864"/>
      <c r="J864"/>
      <c r="K864"/>
      <c r="L864"/>
      <c r="M864"/>
      <c r="N864"/>
      <c r="O864"/>
      <c r="P864"/>
    </row>
    <row r="865" spans="2:16">
      <c r="B865"/>
      <c r="C865"/>
      <c r="D865"/>
      <c r="E865"/>
      <c r="F865"/>
      <c r="G865"/>
      <c r="H865"/>
      <c r="I865"/>
      <c r="J865"/>
      <c r="K865"/>
      <c r="L865"/>
      <c r="M865"/>
      <c r="N865"/>
      <c r="O865"/>
      <c r="P865"/>
    </row>
    <row r="866" spans="2:16">
      <c r="B866"/>
      <c r="C866"/>
      <c r="D866"/>
      <c r="E866"/>
      <c r="F866"/>
      <c r="G866"/>
      <c r="H866"/>
      <c r="I866"/>
      <c r="J866"/>
      <c r="K866"/>
      <c r="L866"/>
      <c r="M866"/>
      <c r="N866"/>
      <c r="O866"/>
      <c r="P866"/>
    </row>
    <row r="867" spans="2:16">
      <c r="B867"/>
      <c r="C867"/>
      <c r="D867"/>
      <c r="E867"/>
      <c r="F867"/>
      <c r="G867"/>
      <c r="H867"/>
      <c r="I867"/>
      <c r="J867"/>
      <c r="K867"/>
      <c r="L867"/>
      <c r="M867"/>
      <c r="N867"/>
      <c r="O867"/>
      <c r="P867"/>
    </row>
    <row r="868" spans="2:16">
      <c r="B868"/>
      <c r="C868"/>
      <c r="D868"/>
      <c r="E868"/>
      <c r="F868"/>
      <c r="G868"/>
      <c r="H868"/>
      <c r="I868"/>
      <c r="J868"/>
      <c r="K868"/>
      <c r="L868"/>
      <c r="M868"/>
      <c r="N868"/>
      <c r="O868"/>
      <c r="P868"/>
    </row>
    <row r="869" spans="2:16">
      <c r="B869"/>
      <c r="C869"/>
      <c r="D869"/>
      <c r="E869"/>
      <c r="F869"/>
      <c r="G869"/>
      <c r="H869"/>
      <c r="I869"/>
      <c r="J869"/>
      <c r="K869"/>
      <c r="L869"/>
      <c r="M869"/>
      <c r="N869"/>
      <c r="O869"/>
      <c r="P869"/>
    </row>
    <row r="870" spans="2:16">
      <c r="B870"/>
      <c r="C870"/>
      <c r="D870"/>
      <c r="E870"/>
      <c r="F870"/>
      <c r="G870"/>
      <c r="H870"/>
      <c r="I870"/>
      <c r="J870"/>
      <c r="K870"/>
      <c r="L870"/>
      <c r="M870"/>
      <c r="N870"/>
      <c r="O870"/>
      <c r="P870"/>
    </row>
    <row r="871" spans="2:16">
      <c r="B871"/>
      <c r="C871"/>
      <c r="D871"/>
      <c r="E871"/>
      <c r="F871"/>
      <c r="G871"/>
      <c r="H871"/>
      <c r="I871"/>
      <c r="J871"/>
      <c r="K871"/>
      <c r="L871"/>
      <c r="M871"/>
      <c r="N871"/>
      <c r="O871"/>
      <c r="P871"/>
    </row>
    <row r="872" spans="2:16">
      <c r="B872"/>
      <c r="C872"/>
      <c r="D872"/>
      <c r="E872"/>
      <c r="F872"/>
      <c r="G872"/>
      <c r="H872"/>
      <c r="I872"/>
      <c r="J872"/>
      <c r="K872"/>
      <c r="L872"/>
      <c r="M872"/>
      <c r="N872"/>
      <c r="O872"/>
      <c r="P872"/>
    </row>
    <row r="873" spans="2:16">
      <c r="B873"/>
      <c r="C873"/>
      <c r="D873"/>
      <c r="E873"/>
      <c r="F873"/>
      <c r="G873"/>
      <c r="H873"/>
      <c r="I873"/>
      <c r="J873"/>
      <c r="K873"/>
      <c r="L873"/>
      <c r="M873"/>
      <c r="N873"/>
      <c r="O873"/>
      <c r="P873"/>
    </row>
    <row r="874" spans="2:16">
      <c r="B874"/>
      <c r="C874"/>
      <c r="D874"/>
      <c r="E874"/>
      <c r="F874"/>
      <c r="G874"/>
      <c r="H874"/>
      <c r="I874"/>
      <c r="J874"/>
      <c r="K874"/>
      <c r="L874"/>
      <c r="M874"/>
      <c r="N874"/>
      <c r="O874"/>
      <c r="P874"/>
    </row>
    <row r="875" spans="2:16">
      <c r="B875"/>
      <c r="C875"/>
      <c r="D875"/>
      <c r="E875"/>
      <c r="F875"/>
      <c r="G875"/>
      <c r="H875"/>
      <c r="I875"/>
      <c r="J875"/>
      <c r="K875"/>
      <c r="L875"/>
      <c r="M875"/>
      <c r="N875"/>
      <c r="O875"/>
      <c r="P875"/>
    </row>
    <row r="876" spans="2:16">
      <c r="B876"/>
      <c r="C876"/>
      <c r="D876"/>
      <c r="E876"/>
      <c r="F876"/>
      <c r="G876"/>
      <c r="H876"/>
      <c r="I876"/>
      <c r="J876"/>
      <c r="K876"/>
      <c r="L876"/>
      <c r="M876"/>
      <c r="N876"/>
      <c r="O876"/>
      <c r="P876"/>
    </row>
    <row r="877" spans="2:16">
      <c r="B877"/>
      <c r="C877"/>
      <c r="D877"/>
      <c r="E877"/>
      <c r="F877"/>
      <c r="G877"/>
      <c r="H877"/>
      <c r="I877"/>
      <c r="J877"/>
      <c r="K877"/>
      <c r="L877"/>
      <c r="M877"/>
      <c r="N877"/>
      <c r="O877"/>
      <c r="P877"/>
    </row>
    <row r="878" spans="2:16">
      <c r="B878"/>
      <c r="C878"/>
      <c r="D878"/>
      <c r="E878"/>
      <c r="F878"/>
      <c r="G878"/>
      <c r="H878"/>
      <c r="I878"/>
      <c r="J878"/>
      <c r="K878"/>
      <c r="L878"/>
      <c r="M878"/>
      <c r="N878"/>
      <c r="O878"/>
      <c r="P878"/>
    </row>
    <row r="879" spans="2:16">
      <c r="B879"/>
      <c r="C879"/>
      <c r="D879"/>
      <c r="E879"/>
      <c r="F879"/>
      <c r="G879"/>
      <c r="H879"/>
      <c r="I879"/>
      <c r="J879"/>
      <c r="K879"/>
      <c r="L879"/>
      <c r="M879"/>
      <c r="N879"/>
      <c r="O879"/>
      <c r="P879"/>
    </row>
    <row r="880" spans="2:16">
      <c r="B880"/>
      <c r="C880"/>
      <c r="D880"/>
      <c r="E880"/>
      <c r="F880"/>
      <c r="G880"/>
      <c r="H880"/>
      <c r="I880"/>
      <c r="J880"/>
      <c r="K880"/>
      <c r="L880"/>
      <c r="M880"/>
      <c r="N880"/>
      <c r="O880"/>
      <c r="P880"/>
    </row>
    <row r="881" spans="2:16">
      <c r="B881"/>
      <c r="C881"/>
      <c r="D881"/>
      <c r="E881"/>
      <c r="F881"/>
      <c r="G881"/>
      <c r="H881"/>
      <c r="I881"/>
      <c r="J881"/>
      <c r="K881"/>
      <c r="L881"/>
      <c r="M881"/>
      <c r="N881"/>
      <c r="O881"/>
      <c r="P881"/>
    </row>
    <row r="882" spans="2:16">
      <c r="B882"/>
      <c r="C882"/>
      <c r="D882"/>
      <c r="E882"/>
      <c r="F882"/>
      <c r="G882"/>
      <c r="H882"/>
      <c r="I882"/>
      <c r="J882"/>
      <c r="K882"/>
      <c r="L882"/>
      <c r="M882"/>
      <c r="N882"/>
      <c r="O882"/>
      <c r="P882"/>
    </row>
    <row r="883" spans="2:16">
      <c r="B883"/>
      <c r="C883"/>
      <c r="D883"/>
      <c r="E883"/>
      <c r="F883"/>
      <c r="G883"/>
      <c r="H883"/>
      <c r="I883"/>
      <c r="J883"/>
      <c r="K883"/>
      <c r="L883"/>
      <c r="M883"/>
      <c r="N883"/>
      <c r="O883"/>
      <c r="P883"/>
    </row>
    <row r="884" spans="2:16">
      <c r="B884"/>
      <c r="C884"/>
      <c r="D884"/>
      <c r="E884"/>
      <c r="F884"/>
      <c r="G884"/>
      <c r="H884"/>
      <c r="I884"/>
      <c r="J884"/>
      <c r="K884"/>
      <c r="L884"/>
      <c r="M884"/>
      <c r="N884"/>
      <c r="O884"/>
      <c r="P884"/>
    </row>
    <row r="885" spans="2:16">
      <c r="B885"/>
      <c r="C885"/>
      <c r="D885"/>
      <c r="E885"/>
      <c r="F885"/>
      <c r="G885"/>
      <c r="H885"/>
      <c r="I885"/>
      <c r="J885"/>
      <c r="K885"/>
      <c r="L885"/>
      <c r="M885"/>
      <c r="N885"/>
      <c r="O885"/>
      <c r="P885"/>
    </row>
    <row r="886" spans="2:16">
      <c r="B886"/>
      <c r="C886"/>
      <c r="D886"/>
      <c r="E886"/>
      <c r="F886"/>
      <c r="G886"/>
      <c r="H886"/>
      <c r="I886"/>
      <c r="J886"/>
      <c r="K886"/>
      <c r="L886"/>
      <c r="M886"/>
      <c r="N886"/>
      <c r="O886"/>
      <c r="P886"/>
    </row>
    <row r="887" spans="2:16">
      <c r="B887"/>
      <c r="C887"/>
      <c r="D887"/>
      <c r="E887"/>
      <c r="F887"/>
      <c r="G887"/>
      <c r="H887"/>
      <c r="I887"/>
      <c r="J887"/>
      <c r="K887"/>
      <c r="L887"/>
      <c r="M887"/>
      <c r="N887"/>
      <c r="O887"/>
      <c r="P887"/>
    </row>
    <row r="888" spans="2:16">
      <c r="B888"/>
      <c r="C888"/>
      <c r="D888"/>
      <c r="E888"/>
      <c r="F888"/>
      <c r="G888"/>
      <c r="H888"/>
      <c r="I888"/>
      <c r="J888"/>
      <c r="K888"/>
      <c r="L888"/>
      <c r="M888"/>
      <c r="N888"/>
      <c r="O888"/>
      <c r="P888"/>
    </row>
    <row r="889" spans="2:16">
      <c r="B889"/>
      <c r="C889"/>
      <c r="D889"/>
      <c r="E889"/>
      <c r="F889"/>
      <c r="G889"/>
      <c r="H889"/>
      <c r="I889"/>
      <c r="J889"/>
      <c r="K889"/>
      <c r="L889"/>
      <c r="M889"/>
      <c r="N889"/>
      <c r="O889"/>
      <c r="P889"/>
    </row>
    <row r="890" spans="2:16">
      <c r="B890"/>
      <c r="C890"/>
      <c r="D890"/>
      <c r="E890"/>
      <c r="F890"/>
      <c r="G890"/>
      <c r="H890"/>
      <c r="I890"/>
      <c r="J890"/>
      <c r="K890"/>
      <c r="L890"/>
      <c r="M890"/>
      <c r="N890"/>
      <c r="O890"/>
      <c r="P890"/>
    </row>
    <row r="891" spans="2:16">
      <c r="B891"/>
      <c r="C891"/>
      <c r="D891"/>
      <c r="E891"/>
      <c r="F891"/>
      <c r="G891"/>
      <c r="H891"/>
      <c r="I891"/>
      <c r="J891"/>
      <c r="K891"/>
      <c r="L891"/>
      <c r="M891"/>
      <c r="N891"/>
      <c r="O891"/>
      <c r="P891"/>
    </row>
    <row r="892" spans="2:16">
      <c r="B892"/>
      <c r="C892"/>
      <c r="D892"/>
      <c r="E892"/>
      <c r="F892"/>
      <c r="G892"/>
      <c r="H892"/>
      <c r="I892"/>
      <c r="J892"/>
      <c r="K892"/>
      <c r="L892"/>
      <c r="M892"/>
      <c r="N892"/>
      <c r="O892"/>
      <c r="P892"/>
    </row>
    <row r="893" spans="2:16">
      <c r="B893"/>
      <c r="C893"/>
      <c r="D893"/>
      <c r="E893"/>
      <c r="F893"/>
      <c r="G893"/>
      <c r="H893"/>
      <c r="I893"/>
      <c r="J893"/>
      <c r="K893"/>
      <c r="L893"/>
      <c r="M893"/>
      <c r="N893"/>
      <c r="O893"/>
      <c r="P893"/>
    </row>
    <row r="894" spans="2:16">
      <c r="B894"/>
      <c r="C894"/>
      <c r="D894"/>
      <c r="E894"/>
      <c r="F894"/>
      <c r="G894"/>
      <c r="H894"/>
      <c r="I894"/>
      <c r="J894"/>
      <c r="K894"/>
      <c r="L894"/>
      <c r="M894"/>
      <c r="N894"/>
      <c r="O894"/>
      <c r="P894"/>
    </row>
    <row r="895" spans="2:16">
      <c r="B895"/>
      <c r="C895"/>
      <c r="D895"/>
      <c r="E895"/>
      <c r="F895"/>
      <c r="G895"/>
      <c r="H895"/>
      <c r="I895"/>
      <c r="J895"/>
      <c r="K895"/>
      <c r="L895"/>
      <c r="M895"/>
      <c r="N895"/>
      <c r="O895"/>
      <c r="P895"/>
    </row>
    <row r="896" spans="2:16">
      <c r="B896"/>
      <c r="C896"/>
      <c r="D896"/>
      <c r="E896"/>
      <c r="F896"/>
      <c r="G896"/>
      <c r="H896"/>
      <c r="I896"/>
      <c r="J896"/>
      <c r="K896"/>
      <c r="L896"/>
      <c r="M896"/>
      <c r="N896"/>
      <c r="O896"/>
      <c r="P896"/>
    </row>
    <row r="897" spans="2:16">
      <c r="B897"/>
      <c r="C897"/>
      <c r="D897"/>
      <c r="E897"/>
      <c r="F897"/>
      <c r="G897"/>
      <c r="H897"/>
      <c r="I897"/>
      <c r="J897"/>
      <c r="K897"/>
      <c r="L897"/>
      <c r="M897"/>
      <c r="N897"/>
      <c r="O897"/>
      <c r="P897"/>
    </row>
    <row r="898" spans="2:16">
      <c r="B898"/>
      <c r="C898"/>
      <c r="D898"/>
      <c r="E898"/>
      <c r="F898"/>
      <c r="G898"/>
      <c r="H898"/>
      <c r="I898"/>
      <c r="J898"/>
      <c r="K898"/>
      <c r="L898"/>
      <c r="M898"/>
      <c r="N898"/>
      <c r="O898"/>
      <c r="P898"/>
    </row>
    <row r="899" spans="2:16">
      <c r="B899"/>
      <c r="C899"/>
      <c r="D899"/>
      <c r="E899"/>
      <c r="F899"/>
      <c r="G899"/>
      <c r="H899"/>
      <c r="I899"/>
      <c r="J899"/>
      <c r="K899"/>
      <c r="L899"/>
      <c r="M899"/>
      <c r="N899"/>
      <c r="O899"/>
      <c r="P899"/>
    </row>
    <row r="900" spans="2:16">
      <c r="B900"/>
      <c r="C900"/>
      <c r="D900"/>
      <c r="E900"/>
      <c r="F900"/>
      <c r="G900"/>
      <c r="H900"/>
      <c r="I900"/>
      <c r="J900"/>
      <c r="K900"/>
      <c r="L900"/>
      <c r="M900"/>
      <c r="N900"/>
      <c r="O900"/>
      <c r="P900"/>
    </row>
    <row r="901" spans="2:16">
      <c r="B901"/>
      <c r="C901"/>
      <c r="D901"/>
      <c r="E901"/>
      <c r="F901"/>
      <c r="G901"/>
      <c r="H901"/>
      <c r="I901"/>
      <c r="J901"/>
      <c r="K901"/>
      <c r="L901"/>
      <c r="M901"/>
      <c r="N901"/>
      <c r="O901"/>
      <c r="P901"/>
    </row>
    <row r="902" spans="2:16">
      <c r="B902"/>
      <c r="C902"/>
      <c r="D902"/>
      <c r="E902"/>
      <c r="F902"/>
      <c r="G902"/>
      <c r="H902"/>
      <c r="I902"/>
      <c r="J902"/>
      <c r="K902"/>
      <c r="L902"/>
      <c r="M902"/>
      <c r="N902"/>
      <c r="O902"/>
      <c r="P902"/>
    </row>
    <row r="903" spans="2:16">
      <c r="B903"/>
      <c r="C903"/>
      <c r="D903"/>
      <c r="E903"/>
      <c r="F903"/>
      <c r="G903"/>
      <c r="H903"/>
      <c r="I903"/>
      <c r="J903"/>
      <c r="K903"/>
      <c r="L903"/>
      <c r="M903"/>
      <c r="N903"/>
      <c r="O903"/>
      <c r="P903"/>
    </row>
    <row r="904" spans="2:16">
      <c r="B904"/>
      <c r="C904"/>
      <c r="D904"/>
      <c r="E904"/>
      <c r="F904"/>
      <c r="G904"/>
      <c r="H904"/>
      <c r="I904"/>
      <c r="J904"/>
      <c r="K904"/>
      <c r="L904"/>
      <c r="M904"/>
      <c r="N904"/>
      <c r="O904"/>
      <c r="P904"/>
    </row>
    <row r="905" spans="2:16">
      <c r="B905"/>
      <c r="C905"/>
      <c r="D905"/>
      <c r="E905"/>
      <c r="F905"/>
      <c r="G905"/>
      <c r="H905"/>
      <c r="I905"/>
      <c r="J905"/>
      <c r="K905"/>
      <c r="L905"/>
      <c r="M905"/>
      <c r="N905"/>
      <c r="O905"/>
      <c r="P905"/>
    </row>
    <row r="906" spans="2:16">
      <c r="B906"/>
      <c r="C906"/>
      <c r="D906"/>
      <c r="E906"/>
      <c r="F906"/>
      <c r="G906"/>
      <c r="H906"/>
      <c r="I906"/>
      <c r="J906"/>
      <c r="K906"/>
      <c r="L906"/>
      <c r="M906"/>
      <c r="N906"/>
      <c r="O906"/>
      <c r="P906"/>
    </row>
    <row r="907" spans="2:16">
      <c r="B907"/>
      <c r="C907"/>
      <c r="D907"/>
      <c r="E907"/>
      <c r="F907"/>
      <c r="G907"/>
      <c r="H907"/>
      <c r="I907"/>
      <c r="J907"/>
      <c r="K907"/>
      <c r="L907"/>
      <c r="M907"/>
      <c r="N907"/>
      <c r="O907"/>
      <c r="P907"/>
    </row>
    <row r="908" spans="2:16">
      <c r="B908"/>
      <c r="C908"/>
      <c r="D908"/>
      <c r="E908"/>
      <c r="F908"/>
      <c r="G908"/>
      <c r="H908"/>
      <c r="I908"/>
      <c r="J908"/>
      <c r="K908"/>
      <c r="L908"/>
      <c r="M908"/>
      <c r="N908"/>
      <c r="O908"/>
      <c r="P908"/>
    </row>
    <row r="909" spans="2:16">
      <c r="B909"/>
      <c r="C909"/>
      <c r="D909"/>
      <c r="E909"/>
      <c r="F909"/>
      <c r="G909"/>
      <c r="H909"/>
      <c r="I909"/>
      <c r="J909"/>
      <c r="K909"/>
      <c r="L909"/>
      <c r="M909"/>
      <c r="N909"/>
      <c r="O909"/>
      <c r="P909"/>
    </row>
    <row r="910" spans="2:16">
      <c r="B910"/>
      <c r="C910"/>
      <c r="D910"/>
      <c r="E910"/>
      <c r="F910"/>
      <c r="G910"/>
      <c r="H910"/>
      <c r="I910"/>
      <c r="J910"/>
      <c r="K910"/>
      <c r="L910"/>
      <c r="M910"/>
      <c r="N910"/>
      <c r="O910"/>
      <c r="P910"/>
    </row>
    <row r="911" spans="2:16">
      <c r="B911"/>
      <c r="C911"/>
      <c r="D911"/>
      <c r="E911"/>
      <c r="F911"/>
      <c r="G911"/>
      <c r="H911"/>
      <c r="I911"/>
      <c r="J911"/>
      <c r="K911"/>
      <c r="L911"/>
      <c r="M911"/>
      <c r="N911"/>
      <c r="O911"/>
      <c r="P911"/>
    </row>
    <row r="912" spans="2:16">
      <c r="B912"/>
      <c r="C912"/>
      <c r="D912"/>
      <c r="E912"/>
      <c r="F912"/>
      <c r="G912"/>
      <c r="H912"/>
      <c r="I912"/>
      <c r="J912"/>
      <c r="K912"/>
      <c r="L912"/>
      <c r="M912"/>
      <c r="N912"/>
      <c r="O912"/>
      <c r="P912"/>
    </row>
    <row r="913" spans="2:16">
      <c r="B913"/>
      <c r="C913"/>
      <c r="D913"/>
      <c r="E913"/>
      <c r="F913"/>
      <c r="G913"/>
      <c r="H913"/>
      <c r="I913"/>
      <c r="J913"/>
      <c r="K913"/>
      <c r="L913"/>
      <c r="M913"/>
      <c r="N913"/>
      <c r="O913"/>
      <c r="P913"/>
    </row>
    <row r="914" spans="2:16">
      <c r="B914"/>
      <c r="C914"/>
      <c r="D914"/>
      <c r="E914"/>
      <c r="F914"/>
      <c r="G914"/>
      <c r="H914"/>
      <c r="I914"/>
      <c r="J914"/>
      <c r="K914"/>
      <c r="L914"/>
      <c r="M914"/>
      <c r="N914"/>
      <c r="O914"/>
      <c r="P914"/>
    </row>
    <row r="915" spans="2:16">
      <c r="B915"/>
      <c r="C915"/>
      <c r="D915"/>
      <c r="E915"/>
      <c r="F915"/>
      <c r="G915"/>
      <c r="H915"/>
      <c r="I915"/>
      <c r="J915"/>
      <c r="K915"/>
      <c r="L915"/>
      <c r="M915"/>
      <c r="N915"/>
      <c r="O915"/>
      <c r="P915"/>
    </row>
    <row r="916" spans="2:16">
      <c r="B916"/>
      <c r="C916"/>
      <c r="D916"/>
      <c r="E916"/>
      <c r="F916"/>
      <c r="G916"/>
      <c r="H916"/>
      <c r="I916"/>
      <c r="J916"/>
      <c r="K916"/>
      <c r="L916"/>
      <c r="M916"/>
      <c r="N916"/>
      <c r="O916"/>
      <c r="P916"/>
    </row>
    <row r="917" spans="2:16">
      <c r="B917"/>
      <c r="C917"/>
      <c r="D917"/>
      <c r="E917"/>
      <c r="F917"/>
      <c r="G917"/>
      <c r="H917"/>
      <c r="I917"/>
      <c r="J917"/>
      <c r="K917"/>
      <c r="L917"/>
      <c r="M917"/>
      <c r="N917"/>
      <c r="O917"/>
      <c r="P917"/>
    </row>
    <row r="918" spans="2:16">
      <c r="B918"/>
      <c r="C918"/>
      <c r="D918"/>
      <c r="E918"/>
      <c r="F918"/>
      <c r="G918"/>
      <c r="H918"/>
      <c r="I918"/>
      <c r="J918"/>
      <c r="K918"/>
      <c r="L918"/>
      <c r="M918"/>
      <c r="N918"/>
      <c r="O918"/>
      <c r="P918"/>
    </row>
    <row r="919" spans="2:16">
      <c r="B919"/>
      <c r="C919"/>
      <c r="D919"/>
      <c r="E919"/>
      <c r="F919"/>
      <c r="G919"/>
      <c r="H919"/>
      <c r="I919"/>
      <c r="J919"/>
      <c r="K919"/>
      <c r="L919"/>
      <c r="M919"/>
      <c r="N919"/>
      <c r="O919"/>
      <c r="P919"/>
    </row>
    <row r="920" spans="2:16">
      <c r="B920"/>
      <c r="C920"/>
      <c r="D920"/>
      <c r="E920"/>
      <c r="F920"/>
      <c r="G920"/>
      <c r="H920"/>
      <c r="I920"/>
      <c r="J920"/>
      <c r="K920"/>
      <c r="L920"/>
      <c r="M920"/>
      <c r="N920"/>
      <c r="O920"/>
      <c r="P920"/>
    </row>
    <row r="921" spans="2:16">
      <c r="B921"/>
      <c r="C921"/>
      <c r="D921"/>
      <c r="E921"/>
      <c r="F921"/>
      <c r="G921"/>
      <c r="H921"/>
      <c r="I921"/>
      <c r="J921"/>
      <c r="K921"/>
      <c r="L921"/>
      <c r="M921"/>
      <c r="N921"/>
      <c r="O921"/>
      <c r="P921"/>
    </row>
    <row r="922" spans="2:16">
      <c r="B922"/>
      <c r="C922"/>
      <c r="D922"/>
      <c r="E922"/>
      <c r="F922"/>
      <c r="G922"/>
      <c r="H922"/>
      <c r="I922"/>
      <c r="J922"/>
      <c r="K922"/>
      <c r="L922"/>
      <c r="M922"/>
      <c r="N922"/>
      <c r="O922"/>
      <c r="P922"/>
    </row>
    <row r="923" spans="2:16">
      <c r="B923"/>
      <c r="C923"/>
      <c r="D923"/>
      <c r="E923"/>
      <c r="F923"/>
      <c r="G923"/>
      <c r="H923"/>
      <c r="I923"/>
      <c r="J923"/>
      <c r="K923"/>
      <c r="L923"/>
      <c r="M923"/>
      <c r="N923"/>
      <c r="O923"/>
      <c r="P923"/>
    </row>
    <row r="924" spans="2:16">
      <c r="B924"/>
      <c r="C924"/>
      <c r="D924"/>
      <c r="E924"/>
      <c r="F924"/>
      <c r="G924"/>
      <c r="H924"/>
      <c r="I924"/>
      <c r="J924"/>
      <c r="K924"/>
      <c r="L924"/>
      <c r="M924"/>
      <c r="N924"/>
      <c r="O924"/>
      <c r="P924"/>
    </row>
    <row r="925" spans="2:16">
      <c r="B925"/>
      <c r="C925"/>
      <c r="D925"/>
      <c r="E925"/>
      <c r="F925"/>
      <c r="G925"/>
      <c r="H925"/>
      <c r="I925"/>
      <c r="J925"/>
      <c r="K925"/>
      <c r="L925"/>
      <c r="M925"/>
      <c r="N925"/>
      <c r="O925"/>
      <c r="P925"/>
    </row>
    <row r="926" spans="2:16">
      <c r="B926"/>
      <c r="C926"/>
      <c r="D926"/>
      <c r="E926"/>
      <c r="F926"/>
      <c r="G926"/>
      <c r="H926"/>
      <c r="I926"/>
      <c r="J926"/>
      <c r="K926"/>
      <c r="L926"/>
      <c r="M926"/>
      <c r="N926"/>
      <c r="O926"/>
      <c r="P926"/>
    </row>
    <row r="927" spans="2:16">
      <c r="B927"/>
      <c r="C927"/>
      <c r="D927"/>
      <c r="E927"/>
      <c r="F927"/>
      <c r="G927"/>
      <c r="H927"/>
      <c r="I927"/>
      <c r="J927"/>
      <c r="K927"/>
      <c r="L927"/>
      <c r="M927"/>
      <c r="N927"/>
      <c r="O927"/>
      <c r="P927"/>
    </row>
    <row r="928" spans="2:16">
      <c r="B928"/>
      <c r="C928"/>
      <c r="D928"/>
      <c r="E928"/>
      <c r="F928"/>
      <c r="G928"/>
      <c r="H928"/>
      <c r="I928"/>
      <c r="J928"/>
      <c r="K928"/>
      <c r="L928"/>
      <c r="M928"/>
      <c r="N928"/>
      <c r="O928"/>
      <c r="P928"/>
    </row>
    <row r="929" spans="2:16">
      <c r="B929"/>
      <c r="C929"/>
      <c r="D929"/>
      <c r="E929"/>
      <c r="F929"/>
      <c r="G929"/>
      <c r="H929"/>
      <c r="I929"/>
      <c r="J929"/>
      <c r="K929"/>
      <c r="L929"/>
      <c r="M929"/>
      <c r="N929"/>
      <c r="O929"/>
      <c r="P929"/>
    </row>
    <row r="930" spans="2:16">
      <c r="B930"/>
      <c r="C930"/>
      <c r="D930"/>
      <c r="E930"/>
      <c r="F930"/>
      <c r="G930"/>
      <c r="H930"/>
      <c r="I930"/>
      <c r="J930"/>
      <c r="K930"/>
      <c r="L930"/>
      <c r="M930"/>
      <c r="N930"/>
      <c r="O930"/>
      <c r="P930"/>
    </row>
    <row r="931" spans="2:16">
      <c r="B931"/>
      <c r="C931"/>
      <c r="D931"/>
      <c r="E931"/>
      <c r="F931"/>
      <c r="G931"/>
      <c r="H931"/>
      <c r="I931"/>
      <c r="J931"/>
      <c r="K931"/>
      <c r="L931"/>
      <c r="M931"/>
      <c r="N931"/>
      <c r="O931"/>
      <c r="P931"/>
    </row>
    <row r="932" spans="2:16">
      <c r="B932"/>
      <c r="C932"/>
      <c r="D932"/>
      <c r="E932"/>
      <c r="F932"/>
      <c r="G932"/>
      <c r="H932"/>
      <c r="I932"/>
      <c r="J932"/>
      <c r="K932"/>
      <c r="L932"/>
      <c r="M932"/>
      <c r="N932"/>
      <c r="O932"/>
      <c r="P932"/>
    </row>
    <row r="933" spans="2:16">
      <c r="B933"/>
      <c r="C933"/>
      <c r="D933"/>
      <c r="E933"/>
      <c r="F933"/>
      <c r="G933"/>
      <c r="H933"/>
      <c r="I933"/>
      <c r="J933"/>
      <c r="K933"/>
      <c r="L933"/>
      <c r="M933"/>
      <c r="N933"/>
      <c r="O933"/>
      <c r="P933"/>
    </row>
    <row r="934" spans="2:16">
      <c r="B934"/>
      <c r="C934"/>
      <c r="D934"/>
      <c r="E934"/>
      <c r="F934"/>
      <c r="G934"/>
      <c r="H934"/>
      <c r="I934"/>
      <c r="J934"/>
      <c r="K934"/>
      <c r="L934"/>
      <c r="M934"/>
      <c r="N934"/>
      <c r="O934"/>
      <c r="P934"/>
    </row>
    <row r="935" spans="2:16">
      <c r="B935"/>
      <c r="C935"/>
      <c r="D935"/>
      <c r="E935"/>
      <c r="F935"/>
      <c r="G935"/>
      <c r="H935"/>
      <c r="I935"/>
      <c r="J935"/>
      <c r="K935"/>
      <c r="L935"/>
      <c r="M935"/>
      <c r="N935"/>
      <c r="O935"/>
      <c r="P935"/>
    </row>
    <row r="936" spans="2:16">
      <c r="B936"/>
      <c r="C936"/>
      <c r="D936"/>
      <c r="E936"/>
      <c r="F936"/>
      <c r="G936"/>
      <c r="H936"/>
      <c r="I936"/>
      <c r="J936"/>
      <c r="K936"/>
      <c r="L936"/>
      <c r="M936"/>
      <c r="N936"/>
      <c r="O936"/>
      <c r="P936"/>
    </row>
    <row r="937" spans="2:16">
      <c r="B937"/>
      <c r="C937"/>
      <c r="D937"/>
      <c r="E937"/>
      <c r="F937"/>
      <c r="G937"/>
      <c r="H937"/>
      <c r="I937"/>
      <c r="J937"/>
      <c r="K937"/>
      <c r="L937"/>
      <c r="M937"/>
      <c r="N937"/>
      <c r="O937"/>
      <c r="P937"/>
    </row>
    <row r="938" spans="2:16">
      <c r="B938"/>
      <c r="C938"/>
      <c r="D938"/>
      <c r="E938"/>
      <c r="F938"/>
      <c r="G938"/>
      <c r="H938"/>
      <c r="I938"/>
      <c r="J938"/>
      <c r="K938"/>
      <c r="L938"/>
      <c r="M938"/>
      <c r="N938"/>
      <c r="O938"/>
      <c r="P938"/>
    </row>
    <row r="939" spans="2:16">
      <c r="B939"/>
      <c r="C939"/>
      <c r="D939"/>
      <c r="E939"/>
      <c r="F939"/>
      <c r="G939"/>
      <c r="H939"/>
      <c r="I939"/>
      <c r="J939"/>
      <c r="K939"/>
      <c r="L939"/>
      <c r="M939"/>
      <c r="N939"/>
      <c r="O939"/>
      <c r="P939"/>
    </row>
    <row r="940" spans="2:16">
      <c r="B940"/>
      <c r="C940"/>
      <c r="D940"/>
      <c r="E940"/>
      <c r="F940"/>
      <c r="G940"/>
      <c r="H940"/>
      <c r="I940"/>
      <c r="J940"/>
      <c r="K940"/>
      <c r="L940"/>
      <c r="M940"/>
      <c r="N940"/>
      <c r="O940"/>
      <c r="P940"/>
    </row>
    <row r="941" spans="2:16">
      <c r="B941"/>
      <c r="C941"/>
      <c r="D941"/>
      <c r="E941"/>
      <c r="F941"/>
      <c r="G941"/>
      <c r="H941"/>
      <c r="I941"/>
      <c r="J941"/>
      <c r="K941"/>
      <c r="L941"/>
      <c r="M941"/>
      <c r="N941"/>
      <c r="O941"/>
      <c r="P941"/>
    </row>
    <row r="942" spans="2:16">
      <c r="B942"/>
      <c r="C942"/>
      <c r="D942"/>
      <c r="E942"/>
      <c r="F942"/>
      <c r="G942"/>
      <c r="H942"/>
      <c r="I942"/>
      <c r="J942"/>
      <c r="K942"/>
      <c r="L942"/>
      <c r="M942"/>
      <c r="N942"/>
      <c r="O942"/>
      <c r="P942"/>
    </row>
    <row r="943" spans="2:16">
      <c r="B943"/>
      <c r="C943"/>
      <c r="D943"/>
      <c r="E943"/>
      <c r="F943"/>
      <c r="G943"/>
      <c r="H943"/>
      <c r="I943"/>
      <c r="J943"/>
      <c r="K943"/>
      <c r="L943"/>
      <c r="M943"/>
      <c r="N943"/>
      <c r="O943"/>
      <c r="P943"/>
    </row>
    <row r="944" spans="2:16">
      <c r="B944"/>
      <c r="C944"/>
      <c r="D944"/>
      <c r="E944"/>
      <c r="F944"/>
      <c r="G944"/>
      <c r="H944"/>
      <c r="I944"/>
      <c r="J944"/>
      <c r="K944"/>
      <c r="L944"/>
      <c r="M944"/>
      <c r="N944"/>
      <c r="O944"/>
      <c r="P944"/>
    </row>
    <row r="945" spans="2:16">
      <c r="B945"/>
      <c r="C945"/>
      <c r="D945"/>
      <c r="E945"/>
      <c r="F945"/>
      <c r="G945"/>
      <c r="H945"/>
      <c r="I945"/>
      <c r="J945"/>
      <c r="K945"/>
      <c r="L945"/>
      <c r="M945"/>
      <c r="N945"/>
      <c r="O945"/>
      <c r="P945"/>
    </row>
    <row r="946" spans="2:16">
      <c r="B946"/>
      <c r="C946"/>
      <c r="D946"/>
      <c r="E946"/>
      <c r="F946"/>
      <c r="G946"/>
      <c r="H946"/>
      <c r="I946"/>
      <c r="J946"/>
      <c r="K946"/>
      <c r="L946"/>
      <c r="M946"/>
      <c r="N946"/>
      <c r="O946"/>
      <c r="P946"/>
    </row>
    <row r="947" spans="2:16">
      <c r="B947"/>
      <c r="C947"/>
      <c r="D947"/>
      <c r="E947"/>
      <c r="F947"/>
      <c r="G947"/>
      <c r="H947"/>
      <c r="I947"/>
      <c r="J947"/>
      <c r="K947"/>
      <c r="L947"/>
      <c r="M947"/>
      <c r="N947"/>
      <c r="O947"/>
      <c r="P947"/>
    </row>
    <row r="948" spans="2:16">
      <c r="B948"/>
      <c r="C948"/>
      <c r="D948"/>
      <c r="E948"/>
      <c r="F948"/>
      <c r="G948"/>
      <c r="H948"/>
      <c r="I948"/>
      <c r="J948"/>
      <c r="K948"/>
      <c r="L948"/>
      <c r="M948"/>
      <c r="N948"/>
      <c r="O948"/>
      <c r="P948"/>
    </row>
    <row r="949" spans="2:16">
      <c r="B949"/>
      <c r="C949"/>
      <c r="D949"/>
      <c r="E949"/>
      <c r="F949"/>
      <c r="G949"/>
      <c r="H949"/>
      <c r="I949"/>
      <c r="J949"/>
      <c r="K949"/>
      <c r="L949"/>
      <c r="M949"/>
      <c r="N949"/>
      <c r="O949"/>
      <c r="P949"/>
    </row>
    <row r="950" spans="2:16">
      <c r="B950"/>
      <c r="C950"/>
      <c r="D950"/>
      <c r="E950"/>
      <c r="F950"/>
      <c r="G950"/>
      <c r="H950"/>
      <c r="I950"/>
      <c r="J950"/>
      <c r="K950"/>
      <c r="L950"/>
      <c r="M950"/>
      <c r="N950"/>
      <c r="O950"/>
      <c r="P950"/>
    </row>
    <row r="951" spans="2:16">
      <c r="B951"/>
      <c r="C951"/>
      <c r="D951"/>
      <c r="E951"/>
      <c r="F951"/>
      <c r="G951"/>
      <c r="H951"/>
      <c r="I951"/>
      <c r="J951"/>
      <c r="K951"/>
      <c r="L951"/>
      <c r="M951"/>
      <c r="N951"/>
      <c r="O951"/>
      <c r="P951"/>
    </row>
    <row r="952" spans="2:16">
      <c r="B952"/>
      <c r="C952"/>
      <c r="D952"/>
      <c r="E952"/>
      <c r="F952"/>
      <c r="G952"/>
      <c r="H952"/>
      <c r="I952"/>
      <c r="J952"/>
      <c r="K952"/>
      <c r="L952"/>
      <c r="M952"/>
      <c r="N952"/>
      <c r="O952"/>
      <c r="P952"/>
    </row>
    <row r="953" spans="2:16">
      <c r="B953"/>
      <c r="C953"/>
      <c r="D953"/>
      <c r="E953"/>
      <c r="F953"/>
      <c r="G953"/>
      <c r="H953"/>
      <c r="I953"/>
      <c r="J953"/>
      <c r="K953"/>
      <c r="L953"/>
      <c r="M953"/>
      <c r="N953"/>
      <c r="O953"/>
      <c r="P953"/>
    </row>
    <row r="954" spans="2:16">
      <c r="B954"/>
      <c r="C954"/>
      <c r="D954"/>
      <c r="E954"/>
      <c r="F954"/>
      <c r="G954"/>
      <c r="H954"/>
      <c r="I954"/>
      <c r="J954"/>
      <c r="K954"/>
      <c r="L954"/>
      <c r="M954"/>
      <c r="N954"/>
      <c r="O954"/>
      <c r="P954"/>
    </row>
    <row r="955" spans="2:16">
      <c r="B955"/>
      <c r="C955"/>
      <c r="D955"/>
      <c r="E955"/>
      <c r="F955"/>
      <c r="G955"/>
      <c r="H955"/>
      <c r="I955"/>
      <c r="J955"/>
      <c r="K955"/>
      <c r="L955"/>
      <c r="M955"/>
      <c r="N955"/>
      <c r="O955"/>
      <c r="P955"/>
    </row>
    <row r="956" spans="2:16">
      <c r="B956"/>
      <c r="C956"/>
      <c r="D956"/>
      <c r="E956"/>
      <c r="F956"/>
      <c r="G956"/>
      <c r="H956"/>
      <c r="I956"/>
      <c r="J956"/>
      <c r="K956"/>
      <c r="L956"/>
      <c r="M956"/>
      <c r="N956"/>
      <c r="O956"/>
      <c r="P956"/>
    </row>
    <row r="957" spans="2:16">
      <c r="B957"/>
      <c r="C957"/>
      <c r="D957"/>
      <c r="E957"/>
      <c r="F957"/>
      <c r="G957"/>
      <c r="H957"/>
      <c r="I957"/>
      <c r="J957"/>
      <c r="K957"/>
      <c r="L957"/>
      <c r="M957"/>
      <c r="N957"/>
      <c r="O957"/>
      <c r="P957"/>
    </row>
    <row r="958" spans="2:16">
      <c r="B958"/>
      <c r="C958"/>
      <c r="D958"/>
      <c r="E958"/>
      <c r="F958"/>
      <c r="G958"/>
      <c r="H958"/>
      <c r="I958"/>
      <c r="J958"/>
      <c r="K958"/>
      <c r="L958"/>
      <c r="M958"/>
      <c r="N958"/>
      <c r="O958"/>
      <c r="P958"/>
    </row>
    <row r="959" spans="2:16">
      <c r="B959"/>
      <c r="C959"/>
      <c r="D959"/>
      <c r="E959"/>
      <c r="F959"/>
      <c r="G959"/>
      <c r="H959"/>
      <c r="I959"/>
      <c r="J959"/>
      <c r="K959"/>
      <c r="L959"/>
      <c r="M959"/>
      <c r="N959"/>
      <c r="O959"/>
      <c r="P959"/>
    </row>
    <row r="960" spans="2:16">
      <c r="B960"/>
      <c r="C960"/>
      <c r="D960"/>
      <c r="E960"/>
      <c r="F960"/>
      <c r="G960"/>
      <c r="H960"/>
      <c r="I960"/>
      <c r="J960"/>
      <c r="K960"/>
      <c r="L960"/>
      <c r="M960"/>
      <c r="N960"/>
      <c r="O960"/>
      <c r="P960"/>
    </row>
    <row r="961" spans="2:16">
      <c r="B961"/>
      <c r="C961"/>
      <c r="D961"/>
      <c r="E961"/>
      <c r="F961"/>
      <c r="G961"/>
      <c r="H961"/>
      <c r="I961"/>
      <c r="J961"/>
      <c r="K961"/>
      <c r="L961"/>
      <c r="M961"/>
      <c r="N961"/>
      <c r="O961"/>
      <c r="P961"/>
    </row>
    <row r="962" spans="2:16">
      <c r="B962"/>
      <c r="C962"/>
      <c r="D962"/>
      <c r="E962"/>
      <c r="F962"/>
      <c r="G962"/>
      <c r="H962"/>
      <c r="I962"/>
      <c r="J962"/>
      <c r="K962"/>
      <c r="L962"/>
      <c r="M962"/>
      <c r="N962"/>
      <c r="O962"/>
      <c r="P962"/>
    </row>
    <row r="963" spans="2:16">
      <c r="B963"/>
      <c r="C963"/>
      <c r="D963"/>
      <c r="E963"/>
      <c r="F963"/>
      <c r="G963"/>
      <c r="H963"/>
      <c r="I963"/>
      <c r="J963"/>
      <c r="K963"/>
      <c r="L963"/>
      <c r="M963"/>
      <c r="N963"/>
      <c r="O963"/>
      <c r="P963"/>
    </row>
    <row r="964" spans="2:16">
      <c r="B964"/>
      <c r="C964"/>
      <c r="D964"/>
      <c r="E964"/>
      <c r="F964"/>
      <c r="G964"/>
      <c r="H964"/>
      <c r="I964"/>
      <c r="J964"/>
      <c r="K964"/>
      <c r="L964"/>
      <c r="M964"/>
      <c r="N964"/>
      <c r="O964"/>
      <c r="P964"/>
    </row>
    <row r="965" spans="2:16">
      <c r="B965"/>
      <c r="C965"/>
      <c r="D965"/>
      <c r="E965"/>
      <c r="F965"/>
      <c r="G965"/>
      <c r="H965"/>
      <c r="I965"/>
      <c r="J965"/>
      <c r="K965"/>
      <c r="L965"/>
      <c r="M965"/>
      <c r="N965"/>
      <c r="O965"/>
      <c r="P965"/>
    </row>
    <row r="966" spans="2:16">
      <c r="B966"/>
      <c r="C966"/>
      <c r="D966"/>
      <c r="E966"/>
      <c r="F966"/>
      <c r="G966"/>
      <c r="H966"/>
      <c r="I966"/>
      <c r="J966"/>
      <c r="K966"/>
      <c r="L966"/>
      <c r="M966"/>
      <c r="N966"/>
      <c r="O966"/>
      <c r="P966"/>
    </row>
    <row r="967" spans="2:16">
      <c r="B967"/>
      <c r="C967"/>
      <c r="D967"/>
      <c r="E967"/>
      <c r="F967"/>
      <c r="G967"/>
      <c r="H967"/>
      <c r="I967"/>
      <c r="J967"/>
      <c r="K967"/>
      <c r="L967"/>
      <c r="M967"/>
      <c r="N967"/>
      <c r="O967"/>
      <c r="P967"/>
    </row>
    <row r="968" spans="2:16">
      <c r="B968"/>
      <c r="C968"/>
      <c r="D968"/>
      <c r="E968"/>
      <c r="F968"/>
      <c r="G968"/>
      <c r="H968"/>
      <c r="I968"/>
      <c r="J968"/>
      <c r="K968"/>
      <c r="L968"/>
      <c r="M968"/>
      <c r="N968"/>
      <c r="O968"/>
      <c r="P968"/>
    </row>
    <row r="969" spans="2:16">
      <c r="B969"/>
      <c r="C969"/>
      <c r="D969"/>
      <c r="E969"/>
      <c r="F969"/>
      <c r="G969"/>
      <c r="H969"/>
      <c r="I969"/>
      <c r="J969"/>
      <c r="K969"/>
      <c r="L969"/>
      <c r="M969"/>
      <c r="N969"/>
      <c r="O969"/>
      <c r="P969"/>
    </row>
    <row r="970" spans="2:16">
      <c r="B970"/>
      <c r="C970"/>
      <c r="D970"/>
      <c r="E970"/>
      <c r="F970"/>
      <c r="G970"/>
      <c r="H970"/>
      <c r="I970"/>
      <c r="J970"/>
      <c r="K970"/>
      <c r="L970"/>
      <c r="M970"/>
      <c r="N970"/>
      <c r="O970"/>
      <c r="P970"/>
    </row>
    <row r="971" spans="2:16">
      <c r="B971"/>
      <c r="C971"/>
      <c r="D971"/>
      <c r="E971"/>
      <c r="F971"/>
      <c r="G971"/>
      <c r="H971"/>
      <c r="I971"/>
      <c r="J971"/>
      <c r="K971"/>
      <c r="L971"/>
      <c r="M971"/>
      <c r="N971"/>
      <c r="O971"/>
      <c r="P971"/>
    </row>
    <row r="972" spans="2:16">
      <c r="B972"/>
      <c r="C972"/>
      <c r="D972"/>
      <c r="E972"/>
      <c r="F972"/>
      <c r="G972"/>
      <c r="H972"/>
      <c r="I972"/>
      <c r="J972"/>
      <c r="K972"/>
      <c r="L972"/>
      <c r="M972"/>
      <c r="N972"/>
      <c r="O972"/>
      <c r="P972"/>
    </row>
    <row r="973" spans="2:16">
      <c r="B973"/>
      <c r="C973"/>
      <c r="D973"/>
      <c r="E973"/>
      <c r="F973"/>
      <c r="G973"/>
      <c r="H973"/>
      <c r="I973"/>
      <c r="J973"/>
      <c r="K973"/>
      <c r="L973"/>
      <c r="M973"/>
      <c r="N973"/>
      <c r="O973"/>
      <c r="P973"/>
    </row>
    <row r="974" spans="2:16">
      <c r="B974"/>
      <c r="C974"/>
      <c r="D974"/>
      <c r="E974"/>
      <c r="F974"/>
      <c r="G974"/>
      <c r="H974"/>
      <c r="I974"/>
      <c r="J974"/>
      <c r="K974"/>
      <c r="L974"/>
      <c r="M974"/>
      <c r="N974"/>
      <c r="O974"/>
      <c r="P974"/>
    </row>
    <row r="975" spans="2:16">
      <c r="B975"/>
      <c r="C975"/>
      <c r="D975"/>
      <c r="E975"/>
      <c r="F975"/>
      <c r="G975"/>
      <c r="H975"/>
      <c r="I975"/>
      <c r="J975"/>
      <c r="K975"/>
      <c r="L975"/>
      <c r="M975"/>
      <c r="N975"/>
      <c r="O975"/>
      <c r="P975"/>
    </row>
    <row r="976" spans="2:16">
      <c r="B976"/>
      <c r="C976"/>
      <c r="D976"/>
      <c r="E976"/>
      <c r="F976"/>
      <c r="G976"/>
      <c r="H976"/>
      <c r="I976"/>
      <c r="J976"/>
      <c r="K976"/>
      <c r="L976"/>
      <c r="M976"/>
      <c r="N976"/>
      <c r="O976"/>
      <c r="P976"/>
    </row>
    <row r="977" spans="2:16">
      <c r="B977"/>
      <c r="C977"/>
      <c r="D977"/>
      <c r="E977"/>
      <c r="F977"/>
      <c r="G977"/>
      <c r="H977"/>
      <c r="I977"/>
      <c r="J977"/>
      <c r="K977"/>
      <c r="L977"/>
      <c r="M977"/>
      <c r="N977"/>
      <c r="O977"/>
      <c r="P977"/>
    </row>
    <row r="978" spans="2:16">
      <c r="B978"/>
      <c r="C978"/>
      <c r="D978"/>
      <c r="E978"/>
      <c r="F978"/>
      <c r="G978"/>
      <c r="H978"/>
      <c r="I978"/>
      <c r="J978"/>
      <c r="K978"/>
      <c r="L978"/>
      <c r="M978"/>
      <c r="N978"/>
      <c r="O978"/>
      <c r="P978"/>
    </row>
    <row r="979" spans="2:16">
      <c r="B979"/>
      <c r="C979"/>
      <c r="D979"/>
      <c r="E979"/>
      <c r="F979"/>
      <c r="G979"/>
      <c r="H979"/>
      <c r="I979"/>
      <c r="J979"/>
      <c r="K979"/>
      <c r="L979"/>
      <c r="M979"/>
      <c r="N979"/>
      <c r="O979"/>
      <c r="P979"/>
    </row>
    <row r="980" spans="2:16">
      <c r="B980"/>
      <c r="C980"/>
      <c r="D980"/>
      <c r="E980"/>
      <c r="F980"/>
      <c r="G980"/>
      <c r="H980"/>
      <c r="I980"/>
      <c r="J980"/>
      <c r="K980"/>
      <c r="L980"/>
      <c r="M980"/>
      <c r="N980"/>
      <c r="O980"/>
      <c r="P980"/>
    </row>
    <row r="981" spans="2:16">
      <c r="B981"/>
      <c r="C981"/>
      <c r="D981"/>
      <c r="E981"/>
      <c r="F981"/>
      <c r="G981"/>
      <c r="H981"/>
      <c r="I981"/>
      <c r="J981"/>
      <c r="K981"/>
      <c r="L981"/>
      <c r="M981"/>
      <c r="N981"/>
      <c r="O981"/>
      <c r="P981"/>
    </row>
    <row r="982" spans="2:16">
      <c r="B982"/>
      <c r="C982"/>
      <c r="D982"/>
      <c r="E982"/>
      <c r="F982"/>
      <c r="G982"/>
      <c r="H982"/>
      <c r="I982"/>
      <c r="J982"/>
      <c r="K982"/>
      <c r="L982"/>
      <c r="M982"/>
      <c r="N982"/>
      <c r="O982"/>
      <c r="P982"/>
    </row>
    <row r="983" spans="2:16">
      <c r="B983"/>
      <c r="C983"/>
      <c r="D983"/>
      <c r="E983"/>
      <c r="F983"/>
      <c r="G983"/>
      <c r="H983"/>
      <c r="I983"/>
      <c r="J983"/>
      <c r="K983"/>
      <c r="L983"/>
      <c r="M983"/>
      <c r="N983"/>
      <c r="O983"/>
      <c r="P983"/>
    </row>
    <row r="984" spans="2:16">
      <c r="B984"/>
      <c r="C984"/>
      <c r="D984"/>
      <c r="E984"/>
      <c r="F984"/>
      <c r="G984"/>
      <c r="H984"/>
      <c r="I984"/>
      <c r="J984"/>
      <c r="K984"/>
      <c r="L984"/>
      <c r="M984"/>
      <c r="N984"/>
      <c r="O984"/>
      <c r="P984"/>
    </row>
    <row r="985" spans="2:16">
      <c r="B985"/>
      <c r="C985"/>
      <c r="D985"/>
      <c r="E985"/>
      <c r="F985"/>
      <c r="G985"/>
      <c r="H985"/>
      <c r="I985"/>
      <c r="J985"/>
      <c r="K985"/>
      <c r="L985"/>
      <c r="M985"/>
      <c r="N985"/>
      <c r="O985"/>
      <c r="P985"/>
    </row>
    <row r="986" spans="2:16">
      <c r="B986"/>
      <c r="C986"/>
      <c r="D986"/>
      <c r="E986"/>
      <c r="F986"/>
      <c r="G986"/>
      <c r="H986"/>
      <c r="I986"/>
      <c r="J986"/>
      <c r="K986"/>
      <c r="L986"/>
      <c r="M986"/>
      <c r="N986"/>
      <c r="O986"/>
      <c r="P986"/>
    </row>
    <row r="987" spans="2:16">
      <c r="B987"/>
      <c r="C987"/>
      <c r="D987"/>
      <c r="E987"/>
      <c r="F987"/>
      <c r="G987"/>
      <c r="H987"/>
      <c r="I987"/>
      <c r="J987"/>
      <c r="K987"/>
      <c r="L987"/>
      <c r="M987"/>
      <c r="N987"/>
      <c r="O987"/>
      <c r="P987"/>
    </row>
    <row r="988" spans="2:16">
      <c r="B988"/>
      <c r="C988"/>
      <c r="D988"/>
      <c r="E988"/>
      <c r="F988"/>
      <c r="G988"/>
      <c r="H988"/>
      <c r="I988"/>
      <c r="J988"/>
      <c r="K988"/>
      <c r="L988"/>
      <c r="M988"/>
      <c r="N988"/>
      <c r="O988"/>
      <c r="P988"/>
    </row>
    <row r="989" spans="2:16">
      <c r="B989"/>
      <c r="C989"/>
      <c r="D989"/>
      <c r="E989"/>
      <c r="F989"/>
      <c r="G989"/>
      <c r="H989"/>
      <c r="I989"/>
      <c r="J989"/>
      <c r="K989"/>
      <c r="L989"/>
      <c r="M989"/>
      <c r="N989"/>
      <c r="O989"/>
      <c r="P989"/>
    </row>
    <row r="990" spans="2:16">
      <c r="B990"/>
      <c r="C990"/>
      <c r="D990"/>
      <c r="E990"/>
      <c r="F990"/>
      <c r="G990"/>
      <c r="H990"/>
      <c r="I990"/>
      <c r="J990"/>
      <c r="K990"/>
      <c r="L990"/>
      <c r="M990"/>
      <c r="N990"/>
      <c r="O990"/>
      <c r="P990"/>
    </row>
    <row r="991" spans="2:16">
      <c r="B991"/>
      <c r="C991"/>
      <c r="D991"/>
      <c r="E991"/>
      <c r="F991"/>
      <c r="G991"/>
      <c r="H991"/>
      <c r="I991"/>
      <c r="J991"/>
      <c r="K991"/>
      <c r="L991"/>
      <c r="M991"/>
      <c r="N991"/>
      <c r="O991"/>
      <c r="P991"/>
    </row>
    <row r="992" spans="2:16">
      <c r="B992"/>
      <c r="C992"/>
      <c r="D992"/>
      <c r="E992"/>
      <c r="F992"/>
      <c r="G992"/>
      <c r="H992"/>
      <c r="I992"/>
      <c r="J992"/>
      <c r="K992"/>
      <c r="L992"/>
      <c r="M992"/>
      <c r="N992"/>
      <c r="O992"/>
      <c r="P992"/>
    </row>
    <row r="993" spans="2:16">
      <c r="B993"/>
      <c r="C993"/>
      <c r="D993"/>
      <c r="E993"/>
      <c r="F993"/>
      <c r="G993"/>
      <c r="H993"/>
      <c r="I993"/>
      <c r="J993"/>
      <c r="K993"/>
      <c r="L993"/>
      <c r="M993"/>
      <c r="N993"/>
      <c r="O993"/>
      <c r="P993"/>
    </row>
    <row r="994" spans="2:16">
      <c r="B994"/>
      <c r="C994"/>
      <c r="D994"/>
      <c r="E994"/>
      <c r="F994"/>
      <c r="G994"/>
      <c r="H994"/>
      <c r="I994"/>
      <c r="J994"/>
      <c r="K994"/>
      <c r="L994"/>
      <c r="M994"/>
      <c r="N994"/>
      <c r="O994"/>
      <c r="P994"/>
    </row>
    <row r="995" spans="2:16">
      <c r="B995"/>
      <c r="C995"/>
      <c r="D995"/>
      <c r="E995"/>
      <c r="F995"/>
      <c r="G995"/>
      <c r="H995"/>
      <c r="I995"/>
      <c r="J995"/>
      <c r="K995"/>
      <c r="L995"/>
      <c r="M995"/>
      <c r="N995"/>
      <c r="O995"/>
      <c r="P995"/>
    </row>
    <row r="996" spans="2:16">
      <c r="B996"/>
      <c r="C996"/>
      <c r="D996"/>
      <c r="E996"/>
      <c r="F996"/>
      <c r="G996"/>
      <c r="H996"/>
      <c r="I996"/>
      <c r="J996"/>
      <c r="K996"/>
      <c r="L996"/>
      <c r="M996"/>
      <c r="N996"/>
      <c r="O996"/>
      <c r="P996"/>
    </row>
    <row r="997" spans="2:16">
      <c r="B997"/>
      <c r="C997"/>
      <c r="D997"/>
      <c r="E997"/>
      <c r="F997"/>
      <c r="G997"/>
      <c r="H997"/>
      <c r="I997"/>
      <c r="J997"/>
      <c r="K997"/>
      <c r="L997"/>
      <c r="M997"/>
      <c r="N997"/>
      <c r="O997"/>
      <c r="P997"/>
    </row>
    <row r="998" spans="2:16">
      <c r="B998"/>
      <c r="C998"/>
      <c r="D998"/>
      <c r="E998"/>
      <c r="F998"/>
      <c r="G998"/>
      <c r="H998"/>
      <c r="I998"/>
      <c r="J998"/>
      <c r="K998"/>
      <c r="L998"/>
      <c r="M998"/>
      <c r="N998"/>
      <c r="O998"/>
      <c r="P998"/>
    </row>
    <row r="999" spans="2:16">
      <c r="B999"/>
      <c r="C999"/>
      <c r="D999"/>
      <c r="E999"/>
      <c r="F999"/>
      <c r="G999"/>
      <c r="H999"/>
      <c r="I999"/>
      <c r="J999"/>
      <c r="K999"/>
      <c r="L999"/>
      <c r="M999"/>
      <c r="N999"/>
      <c r="O999"/>
      <c r="P999"/>
    </row>
    <row r="1000" spans="2:16">
      <c r="B1000"/>
      <c r="C1000"/>
      <c r="D1000"/>
      <c r="E1000"/>
      <c r="F1000"/>
      <c r="G1000"/>
      <c r="H1000"/>
      <c r="I1000"/>
      <c r="J1000"/>
      <c r="K1000"/>
      <c r="L1000"/>
      <c r="M1000"/>
      <c r="N1000"/>
      <c r="O1000"/>
      <c r="P1000"/>
    </row>
    <row r="1001" spans="2:16">
      <c r="B1001"/>
      <c r="C1001"/>
      <c r="D1001"/>
      <c r="E1001"/>
      <c r="F1001"/>
      <c r="G1001"/>
      <c r="H1001"/>
      <c r="I1001"/>
      <c r="J1001"/>
      <c r="K1001"/>
      <c r="L1001"/>
      <c r="M1001"/>
      <c r="N1001"/>
      <c r="O1001"/>
      <c r="P1001"/>
    </row>
    <row r="1002" spans="2:16">
      <c r="B1002"/>
      <c r="C1002"/>
      <c r="D1002"/>
      <c r="E1002"/>
      <c r="F1002"/>
      <c r="G1002"/>
      <c r="H1002"/>
      <c r="I1002"/>
      <c r="J1002"/>
      <c r="K1002"/>
      <c r="L1002"/>
      <c r="M1002"/>
      <c r="N1002"/>
      <c r="O1002"/>
      <c r="P1002"/>
    </row>
    <row r="1003" spans="2:16">
      <c r="B1003"/>
      <c r="C1003"/>
      <c r="D1003"/>
      <c r="E1003"/>
      <c r="F1003"/>
      <c r="G1003"/>
      <c r="H1003"/>
      <c r="I1003"/>
      <c r="J1003"/>
      <c r="K1003"/>
      <c r="L1003"/>
      <c r="M1003"/>
      <c r="N1003"/>
      <c r="O1003"/>
      <c r="P1003"/>
    </row>
    <row r="1004" spans="2:16">
      <c r="B1004"/>
      <c r="C1004"/>
      <c r="D1004"/>
      <c r="E1004"/>
      <c r="F1004"/>
      <c r="G1004"/>
      <c r="H1004"/>
      <c r="I1004"/>
      <c r="J1004"/>
      <c r="K1004"/>
      <c r="L1004"/>
      <c r="M1004"/>
      <c r="N1004"/>
      <c r="O1004"/>
      <c r="P1004"/>
    </row>
    <row r="1005" spans="2:16">
      <c r="B1005"/>
      <c r="C1005"/>
      <c r="D1005"/>
      <c r="E1005"/>
      <c r="F1005"/>
      <c r="G1005"/>
      <c r="H1005"/>
      <c r="I1005"/>
      <c r="J1005"/>
      <c r="K1005"/>
      <c r="L1005"/>
      <c r="M1005"/>
      <c r="N1005"/>
      <c r="O1005"/>
      <c r="P1005"/>
    </row>
    <row r="1006" spans="2:16">
      <c r="B1006"/>
      <c r="C1006"/>
      <c r="D1006"/>
      <c r="E1006"/>
      <c r="F1006"/>
      <c r="G1006"/>
      <c r="H1006"/>
      <c r="I1006"/>
      <c r="J1006"/>
      <c r="K1006"/>
      <c r="L1006"/>
      <c r="M1006"/>
      <c r="N1006"/>
      <c r="O1006"/>
      <c r="P1006"/>
    </row>
    <row r="1007" spans="2:16">
      <c r="B1007"/>
      <c r="C1007"/>
      <c r="D1007"/>
      <c r="E1007"/>
      <c r="F1007"/>
      <c r="G1007"/>
      <c r="H1007"/>
      <c r="I1007"/>
      <c r="J1007"/>
      <c r="K1007"/>
      <c r="L1007"/>
      <c r="M1007"/>
      <c r="N1007"/>
      <c r="O1007"/>
      <c r="P1007"/>
    </row>
    <row r="1008" spans="2:16">
      <c r="B1008"/>
      <c r="C1008"/>
      <c r="D1008"/>
      <c r="E1008"/>
      <c r="F1008"/>
      <c r="G1008"/>
      <c r="H1008"/>
      <c r="I1008"/>
      <c r="J1008"/>
      <c r="K1008"/>
      <c r="L1008"/>
      <c r="M1008"/>
      <c r="N1008"/>
      <c r="O1008"/>
      <c r="P1008"/>
    </row>
    <row r="1009" spans="2:16">
      <c r="B1009"/>
      <c r="C1009"/>
      <c r="D1009"/>
      <c r="E1009"/>
      <c r="F1009"/>
      <c r="G1009"/>
      <c r="H1009"/>
      <c r="I1009"/>
      <c r="J1009"/>
      <c r="K1009"/>
      <c r="L1009"/>
      <c r="M1009"/>
      <c r="N1009"/>
      <c r="O1009"/>
      <c r="P1009"/>
    </row>
    <row r="1010" spans="2:16">
      <c r="B1010"/>
      <c r="C1010"/>
      <c r="D1010"/>
      <c r="E1010"/>
      <c r="F1010"/>
      <c r="G1010"/>
      <c r="H1010"/>
      <c r="I1010"/>
      <c r="J1010"/>
      <c r="K1010"/>
      <c r="L1010"/>
      <c r="M1010"/>
      <c r="N1010"/>
      <c r="O1010"/>
      <c r="P1010"/>
    </row>
    <row r="1011" spans="2:16">
      <c r="B1011"/>
      <c r="C1011"/>
      <c r="D1011"/>
      <c r="E1011"/>
      <c r="F1011"/>
      <c r="G1011"/>
      <c r="H1011"/>
      <c r="I1011"/>
      <c r="J1011"/>
      <c r="K1011"/>
      <c r="L1011"/>
      <c r="M1011"/>
      <c r="N1011"/>
      <c r="O1011"/>
      <c r="P1011"/>
    </row>
    <row r="1012" spans="2:16">
      <c r="B1012"/>
      <c r="C1012"/>
      <c r="D1012"/>
      <c r="E1012"/>
      <c r="F1012"/>
      <c r="G1012"/>
      <c r="H1012"/>
      <c r="I1012"/>
      <c r="J1012"/>
      <c r="K1012"/>
      <c r="L1012"/>
      <c r="M1012"/>
      <c r="N1012"/>
      <c r="O1012"/>
      <c r="P1012"/>
    </row>
    <row r="1013" spans="2:16">
      <c r="B1013"/>
      <c r="C1013"/>
      <c r="D1013"/>
      <c r="E1013"/>
      <c r="F1013"/>
      <c r="G1013"/>
      <c r="H1013"/>
      <c r="I1013"/>
      <c r="J1013"/>
      <c r="K1013"/>
      <c r="L1013"/>
      <c r="M1013"/>
      <c r="N1013"/>
      <c r="O1013"/>
      <c r="P1013"/>
    </row>
    <row r="1014" spans="2:16">
      <c r="B1014"/>
      <c r="C1014"/>
      <c r="D1014"/>
      <c r="E1014"/>
      <c r="F1014"/>
      <c r="G1014"/>
      <c r="H1014"/>
      <c r="I1014"/>
      <c r="J1014"/>
      <c r="K1014"/>
      <c r="L1014"/>
      <c r="M1014"/>
      <c r="N1014"/>
      <c r="O1014"/>
      <c r="P1014"/>
    </row>
    <row r="1015" spans="2:16">
      <c r="B1015"/>
      <c r="C1015"/>
      <c r="D1015"/>
      <c r="E1015"/>
      <c r="F1015"/>
      <c r="G1015"/>
      <c r="H1015"/>
      <c r="I1015"/>
      <c r="J1015"/>
      <c r="K1015"/>
      <c r="L1015"/>
      <c r="M1015"/>
      <c r="N1015"/>
      <c r="O1015"/>
      <c r="P1015"/>
    </row>
    <row r="1016" spans="2:16">
      <c r="B1016"/>
      <c r="C1016"/>
      <c r="D1016"/>
      <c r="E1016"/>
      <c r="F1016"/>
      <c r="G1016"/>
      <c r="H1016"/>
      <c r="I1016"/>
      <c r="J1016"/>
      <c r="K1016"/>
      <c r="L1016"/>
      <c r="M1016"/>
      <c r="N1016"/>
      <c r="O1016"/>
      <c r="P1016"/>
    </row>
    <row r="1017" spans="2:16">
      <c r="B1017"/>
      <c r="C1017"/>
      <c r="D1017"/>
      <c r="E1017"/>
      <c r="F1017"/>
      <c r="G1017"/>
      <c r="H1017"/>
      <c r="I1017"/>
      <c r="J1017"/>
      <c r="K1017"/>
      <c r="L1017"/>
      <c r="M1017"/>
      <c r="N1017"/>
      <c r="O1017"/>
      <c r="P1017"/>
    </row>
    <row r="1018" spans="2:16">
      <c r="B1018"/>
      <c r="C1018"/>
      <c r="D1018"/>
      <c r="E1018"/>
      <c r="F1018"/>
      <c r="G1018"/>
      <c r="H1018"/>
      <c r="I1018"/>
      <c r="J1018"/>
      <c r="K1018"/>
      <c r="L1018"/>
      <c r="M1018"/>
      <c r="N1018"/>
      <c r="O1018"/>
      <c r="P1018"/>
    </row>
    <row r="1019" spans="2:16">
      <c r="B1019"/>
      <c r="C1019"/>
      <c r="D1019"/>
      <c r="E1019"/>
      <c r="F1019"/>
      <c r="G1019"/>
      <c r="H1019"/>
      <c r="I1019"/>
      <c r="J1019"/>
      <c r="K1019"/>
      <c r="L1019"/>
      <c r="M1019"/>
      <c r="N1019"/>
      <c r="O1019"/>
      <c r="P1019"/>
    </row>
    <row r="1020" spans="2:16">
      <c r="B1020"/>
      <c r="C1020"/>
      <c r="D1020"/>
      <c r="E1020"/>
      <c r="F1020"/>
      <c r="G1020"/>
      <c r="H1020"/>
      <c r="I1020"/>
      <c r="J1020"/>
      <c r="K1020"/>
      <c r="L1020"/>
      <c r="M1020"/>
      <c r="N1020"/>
      <c r="O1020"/>
      <c r="P1020"/>
    </row>
    <row r="1021" spans="2:16">
      <c r="B1021"/>
      <c r="C1021"/>
      <c r="D1021"/>
      <c r="E1021"/>
      <c r="F1021"/>
      <c r="G1021"/>
      <c r="H1021"/>
      <c r="I1021"/>
      <c r="J1021"/>
      <c r="K1021"/>
      <c r="L1021"/>
      <c r="M1021"/>
      <c r="N1021"/>
      <c r="O1021"/>
      <c r="P1021"/>
    </row>
    <row r="1022" spans="2:16">
      <c r="B1022"/>
      <c r="C1022"/>
      <c r="D1022"/>
      <c r="E1022"/>
      <c r="F1022"/>
      <c r="G1022"/>
      <c r="H1022"/>
      <c r="I1022"/>
      <c r="J1022"/>
      <c r="K1022"/>
      <c r="L1022"/>
      <c r="M1022"/>
      <c r="N1022"/>
      <c r="O1022"/>
      <c r="P1022"/>
    </row>
    <row r="1023" spans="2:16">
      <c r="B1023"/>
      <c r="C1023"/>
      <c r="D1023"/>
      <c r="E1023"/>
      <c r="F1023"/>
      <c r="G1023"/>
      <c r="H1023"/>
      <c r="I1023"/>
      <c r="J1023"/>
      <c r="K1023"/>
      <c r="L1023"/>
      <c r="M1023"/>
      <c r="N1023"/>
      <c r="O1023"/>
      <c r="P1023"/>
    </row>
    <row r="1024" spans="2:16">
      <c r="B1024"/>
      <c r="C1024"/>
      <c r="D1024"/>
      <c r="E1024"/>
      <c r="F1024"/>
      <c r="G1024"/>
      <c r="H1024"/>
      <c r="I1024"/>
      <c r="J1024"/>
      <c r="K1024"/>
      <c r="L1024"/>
      <c r="M1024"/>
      <c r="N1024"/>
      <c r="O1024"/>
      <c r="P1024"/>
    </row>
    <row r="1025" spans="2:16">
      <c r="B1025"/>
      <c r="C1025"/>
      <c r="D1025"/>
      <c r="E1025"/>
      <c r="F1025"/>
      <c r="G1025"/>
      <c r="H1025"/>
      <c r="I1025"/>
      <c r="J1025"/>
      <c r="K1025"/>
      <c r="L1025"/>
      <c r="M1025"/>
      <c r="N1025"/>
      <c r="O1025"/>
      <c r="P1025"/>
    </row>
    <row r="1026" spans="2:16">
      <c r="B1026"/>
      <c r="C1026"/>
      <c r="D1026"/>
      <c r="E1026"/>
      <c r="F1026"/>
      <c r="G1026"/>
      <c r="H1026"/>
      <c r="I1026"/>
      <c r="J1026"/>
      <c r="K1026"/>
      <c r="L1026"/>
      <c r="M1026"/>
      <c r="N1026"/>
      <c r="O1026"/>
      <c r="P1026"/>
    </row>
    <row r="1027" spans="2:16">
      <c r="B1027"/>
      <c r="C1027"/>
      <c r="D1027"/>
      <c r="E1027"/>
      <c r="F1027"/>
      <c r="G1027"/>
      <c r="H1027"/>
      <c r="I1027"/>
      <c r="J1027"/>
      <c r="K1027"/>
      <c r="L1027"/>
      <c r="M1027"/>
      <c r="N1027"/>
      <c r="O1027"/>
      <c r="P1027"/>
    </row>
    <row r="1028" spans="2:16">
      <c r="B1028"/>
      <c r="C1028"/>
      <c r="D1028"/>
      <c r="E1028"/>
      <c r="F1028"/>
      <c r="G1028"/>
      <c r="H1028"/>
      <c r="I1028"/>
      <c r="J1028"/>
      <c r="K1028"/>
      <c r="L1028"/>
      <c r="M1028"/>
      <c r="N1028"/>
      <c r="O1028"/>
      <c r="P1028"/>
    </row>
    <row r="1029" spans="2:16">
      <c r="B1029"/>
      <c r="C1029"/>
      <c r="D1029"/>
      <c r="E1029"/>
      <c r="F1029"/>
      <c r="G1029"/>
      <c r="H1029"/>
      <c r="I1029"/>
      <c r="J1029"/>
      <c r="K1029"/>
      <c r="L1029"/>
      <c r="M1029"/>
      <c r="N1029"/>
      <c r="O1029"/>
      <c r="P1029"/>
    </row>
    <row r="1030" spans="2:16">
      <c r="B1030"/>
      <c r="C1030"/>
      <c r="D1030"/>
      <c r="E1030"/>
      <c r="F1030"/>
      <c r="G1030"/>
      <c r="H1030"/>
      <c r="I1030"/>
      <c r="J1030"/>
      <c r="K1030"/>
      <c r="L1030"/>
      <c r="M1030"/>
      <c r="N1030"/>
      <c r="O1030"/>
      <c r="P1030"/>
    </row>
    <row r="1031" spans="2:16">
      <c r="B1031"/>
      <c r="C1031"/>
      <c r="D1031"/>
      <c r="E1031"/>
      <c r="F1031"/>
      <c r="G1031"/>
      <c r="H1031"/>
      <c r="I1031"/>
      <c r="J1031"/>
      <c r="K1031"/>
      <c r="L1031"/>
      <c r="M1031"/>
      <c r="N1031"/>
      <c r="O1031"/>
      <c r="P1031"/>
    </row>
    <row r="1032" spans="2:16">
      <c r="B1032"/>
      <c r="C1032"/>
      <c r="D1032"/>
      <c r="E1032"/>
      <c r="F1032"/>
      <c r="G1032"/>
      <c r="H1032"/>
      <c r="I1032"/>
      <c r="J1032"/>
      <c r="K1032"/>
      <c r="L1032"/>
      <c r="M1032"/>
      <c r="N1032"/>
      <c r="O1032"/>
      <c r="P1032"/>
    </row>
    <row r="1033" spans="2:16">
      <c r="B1033"/>
      <c r="C1033"/>
      <c r="D1033"/>
      <c r="E1033"/>
      <c r="F1033"/>
      <c r="G1033"/>
      <c r="H1033"/>
      <c r="I1033"/>
      <c r="J1033"/>
      <c r="K1033"/>
      <c r="L1033"/>
      <c r="M1033"/>
      <c r="N1033"/>
      <c r="O1033"/>
      <c r="P1033"/>
    </row>
    <row r="1034" spans="2:16">
      <c r="B1034"/>
      <c r="C1034"/>
      <c r="D1034"/>
      <c r="E1034"/>
      <c r="F1034"/>
      <c r="G1034"/>
      <c r="H1034"/>
      <c r="I1034"/>
      <c r="J1034"/>
      <c r="K1034"/>
      <c r="L1034"/>
      <c r="M1034"/>
      <c r="N1034"/>
      <c r="O1034"/>
      <c r="P1034"/>
    </row>
    <row r="1035" spans="2:16">
      <c r="B1035"/>
      <c r="C1035"/>
      <c r="D1035"/>
      <c r="E1035"/>
      <c r="F1035"/>
      <c r="G1035"/>
      <c r="H1035"/>
      <c r="I1035"/>
      <c r="J1035"/>
      <c r="K1035"/>
      <c r="L1035"/>
      <c r="M1035"/>
      <c r="N1035"/>
      <c r="O1035"/>
      <c r="P1035"/>
    </row>
    <row r="1036" spans="2:16">
      <c r="B1036"/>
      <c r="C1036"/>
      <c r="D1036"/>
      <c r="E1036"/>
      <c r="F1036"/>
      <c r="G1036"/>
      <c r="H1036"/>
      <c r="I1036"/>
      <c r="J1036"/>
      <c r="K1036"/>
      <c r="L1036"/>
      <c r="M1036"/>
      <c r="N1036"/>
      <c r="O1036"/>
      <c r="P1036"/>
    </row>
    <row r="1037" spans="2:16">
      <c r="B1037"/>
      <c r="C1037"/>
      <c r="D1037"/>
      <c r="E1037"/>
      <c r="F1037"/>
      <c r="G1037"/>
      <c r="H1037"/>
      <c r="I1037"/>
      <c r="J1037"/>
      <c r="K1037"/>
      <c r="L1037"/>
      <c r="M1037"/>
      <c r="N1037"/>
      <c r="O1037"/>
      <c r="P1037"/>
    </row>
    <row r="1038" spans="2:16">
      <c r="B1038"/>
      <c r="C1038"/>
      <c r="D1038"/>
      <c r="E1038"/>
      <c r="F1038"/>
      <c r="G1038"/>
      <c r="H1038"/>
      <c r="I1038"/>
      <c r="J1038"/>
      <c r="K1038"/>
      <c r="L1038"/>
      <c r="M1038"/>
      <c r="N1038"/>
      <c r="O1038"/>
      <c r="P1038"/>
    </row>
    <row r="1039" spans="2:16">
      <c r="B1039"/>
      <c r="C1039"/>
      <c r="D1039"/>
      <c r="E1039"/>
      <c r="F1039"/>
      <c r="G1039"/>
      <c r="H1039"/>
      <c r="I1039"/>
      <c r="J1039"/>
      <c r="K1039"/>
      <c r="L1039"/>
      <c r="M1039"/>
      <c r="N1039"/>
      <c r="O1039"/>
      <c r="P1039"/>
    </row>
    <row r="1040" spans="2:16">
      <c r="B1040"/>
      <c r="C1040"/>
      <c r="D1040"/>
      <c r="E1040"/>
      <c r="F1040"/>
      <c r="G1040"/>
      <c r="H1040"/>
      <c r="I1040"/>
      <c r="J1040"/>
      <c r="K1040"/>
      <c r="L1040"/>
      <c r="M1040"/>
      <c r="N1040"/>
      <c r="O1040"/>
      <c r="P1040"/>
    </row>
    <row r="1041" spans="2:16">
      <c r="B1041"/>
      <c r="C1041"/>
      <c r="D1041"/>
      <c r="E1041"/>
      <c r="F1041"/>
      <c r="G1041"/>
      <c r="H1041"/>
      <c r="I1041"/>
      <c r="J1041"/>
      <c r="K1041"/>
      <c r="L1041"/>
      <c r="M1041"/>
      <c r="N1041"/>
      <c r="O1041"/>
      <c r="P1041"/>
    </row>
    <row r="1042" spans="2:16">
      <c r="B1042"/>
      <c r="C1042"/>
      <c r="D1042"/>
      <c r="E1042"/>
      <c r="F1042"/>
      <c r="G1042"/>
      <c r="H1042"/>
      <c r="I1042"/>
      <c r="J1042"/>
      <c r="K1042"/>
      <c r="L1042"/>
      <c r="M1042"/>
      <c r="N1042"/>
      <c r="O1042"/>
      <c r="P1042"/>
    </row>
    <row r="1043" spans="2:16">
      <c r="B1043"/>
      <c r="C1043"/>
      <c r="D1043"/>
      <c r="E1043"/>
      <c r="F1043"/>
      <c r="G1043"/>
      <c r="H1043"/>
      <c r="I1043"/>
      <c r="J1043"/>
      <c r="K1043"/>
      <c r="L1043"/>
      <c r="M1043"/>
      <c r="N1043"/>
      <c r="O1043"/>
      <c r="P1043"/>
    </row>
    <row r="1044" spans="2:16">
      <c r="B1044"/>
      <c r="C1044"/>
      <c r="D1044"/>
      <c r="E1044"/>
      <c r="F1044"/>
      <c r="G1044"/>
      <c r="H1044"/>
      <c r="I1044"/>
      <c r="J1044"/>
      <c r="K1044"/>
      <c r="L1044"/>
      <c r="M1044"/>
      <c r="N1044"/>
      <c r="O1044"/>
      <c r="P1044"/>
    </row>
    <row r="1045" spans="2:16">
      <c r="B1045"/>
      <c r="C1045"/>
      <c r="D1045"/>
      <c r="E1045"/>
      <c r="F1045"/>
      <c r="G1045"/>
      <c r="H1045"/>
      <c r="I1045"/>
      <c r="J1045"/>
      <c r="K1045"/>
      <c r="L1045"/>
      <c r="M1045"/>
      <c r="N1045"/>
      <c r="O1045"/>
      <c r="P1045"/>
    </row>
    <row r="1046" spans="2:16">
      <c r="B1046"/>
      <c r="C1046"/>
      <c r="D1046"/>
      <c r="E1046"/>
      <c r="F1046"/>
      <c r="G1046"/>
      <c r="H1046"/>
      <c r="I1046"/>
      <c r="J1046"/>
      <c r="K1046"/>
      <c r="L1046"/>
      <c r="M1046"/>
      <c r="N1046"/>
      <c r="O1046"/>
      <c r="P1046"/>
    </row>
    <row r="1047" spans="2:16">
      <c r="B1047"/>
      <c r="C1047"/>
      <c r="D1047"/>
      <c r="E1047"/>
      <c r="F1047"/>
      <c r="G1047"/>
      <c r="H1047"/>
      <c r="I1047"/>
      <c r="J1047"/>
      <c r="K1047"/>
      <c r="L1047"/>
      <c r="M1047"/>
      <c r="N1047"/>
      <c r="O1047"/>
      <c r="P1047"/>
    </row>
    <row r="1048" spans="2:16">
      <c r="B1048"/>
      <c r="C1048"/>
      <c r="D1048"/>
      <c r="E1048"/>
      <c r="F1048"/>
      <c r="G1048"/>
      <c r="H1048"/>
      <c r="I1048"/>
      <c r="J1048"/>
      <c r="K1048"/>
      <c r="L1048"/>
      <c r="M1048"/>
      <c r="N1048"/>
      <c r="O1048"/>
      <c r="P1048"/>
    </row>
    <row r="1049" spans="2:16">
      <c r="B1049"/>
      <c r="C1049"/>
      <c r="D1049"/>
      <c r="E1049"/>
      <c r="F1049"/>
      <c r="G1049"/>
      <c r="H1049"/>
      <c r="I1049"/>
      <c r="J1049"/>
      <c r="K1049"/>
      <c r="L1049"/>
      <c r="M1049"/>
      <c r="N1049"/>
      <c r="O1049"/>
      <c r="P1049"/>
    </row>
    <row r="1050" spans="2:16">
      <c r="B1050"/>
      <c r="C1050"/>
      <c r="D1050"/>
      <c r="E1050"/>
      <c r="F1050"/>
      <c r="G1050"/>
      <c r="H1050"/>
      <c r="I1050"/>
      <c r="J1050"/>
      <c r="K1050"/>
      <c r="L1050"/>
      <c r="M1050"/>
      <c r="N1050"/>
      <c r="O1050"/>
      <c r="P1050"/>
    </row>
    <row r="1051" spans="2:16">
      <c r="B1051"/>
      <c r="C1051"/>
      <c r="D1051"/>
      <c r="E1051"/>
      <c r="F1051"/>
      <c r="G1051"/>
      <c r="H1051"/>
      <c r="I1051"/>
      <c r="J1051"/>
      <c r="K1051"/>
      <c r="L1051"/>
      <c r="M1051"/>
      <c r="N1051"/>
      <c r="O1051"/>
      <c r="P1051"/>
    </row>
    <row r="1052" spans="2:16">
      <c r="B1052"/>
      <c r="C1052"/>
      <c r="D1052"/>
      <c r="E1052"/>
      <c r="F1052"/>
      <c r="G1052"/>
      <c r="H1052"/>
      <c r="I1052"/>
      <c r="J1052"/>
      <c r="K1052"/>
      <c r="L1052"/>
      <c r="M1052"/>
      <c r="N1052"/>
      <c r="O1052"/>
      <c r="P1052"/>
    </row>
    <row r="1053" spans="2:16">
      <c r="B1053"/>
      <c r="C1053"/>
      <c r="D1053"/>
      <c r="E1053"/>
      <c r="F1053"/>
      <c r="G1053"/>
      <c r="H1053"/>
      <c r="I1053"/>
      <c r="J1053"/>
      <c r="K1053"/>
      <c r="L1053"/>
      <c r="M1053"/>
      <c r="N1053"/>
      <c r="O1053"/>
      <c r="P1053"/>
    </row>
    <row r="1054" spans="2:16">
      <c r="B1054"/>
      <c r="C1054"/>
      <c r="D1054"/>
      <c r="E1054"/>
      <c r="F1054"/>
      <c r="G1054"/>
      <c r="H1054"/>
      <c r="I1054"/>
      <c r="J1054"/>
      <c r="K1054"/>
      <c r="L1054"/>
      <c r="M1054"/>
      <c r="N1054"/>
      <c r="O1054"/>
      <c r="P1054"/>
    </row>
    <row r="1055" spans="2:16">
      <c r="B1055"/>
      <c r="C1055"/>
      <c r="D1055"/>
      <c r="E1055"/>
      <c r="F1055"/>
      <c r="G1055"/>
      <c r="H1055"/>
      <c r="I1055"/>
      <c r="J1055"/>
      <c r="K1055"/>
      <c r="L1055"/>
      <c r="M1055"/>
      <c r="N1055"/>
      <c r="O1055"/>
      <c r="P1055"/>
    </row>
    <row r="1056" spans="2:16">
      <c r="B1056"/>
      <c r="C1056"/>
      <c r="D1056"/>
      <c r="E1056"/>
      <c r="F1056"/>
      <c r="G1056"/>
      <c r="H1056"/>
      <c r="I1056"/>
      <c r="J1056"/>
      <c r="K1056"/>
      <c r="L1056"/>
      <c r="M1056"/>
      <c r="N1056"/>
      <c r="O1056"/>
      <c r="P1056"/>
    </row>
    <row r="1057" spans="2:16">
      <c r="B1057"/>
      <c r="C1057"/>
      <c r="D1057"/>
      <c r="E1057"/>
      <c r="F1057"/>
      <c r="G1057"/>
      <c r="H1057"/>
      <c r="I1057"/>
      <c r="J1057"/>
      <c r="K1057"/>
      <c r="L1057"/>
      <c r="M1057"/>
      <c r="N1057"/>
      <c r="O1057"/>
      <c r="P1057"/>
    </row>
    <row r="1058" spans="2:16">
      <c r="B1058"/>
      <c r="C1058"/>
      <c r="D1058"/>
      <c r="E1058"/>
      <c r="F1058"/>
      <c r="G1058"/>
      <c r="H1058"/>
      <c r="I1058"/>
      <c r="J1058"/>
      <c r="K1058"/>
      <c r="L1058"/>
      <c r="M1058"/>
      <c r="N1058"/>
      <c r="O1058"/>
      <c r="P1058"/>
    </row>
    <row r="1059" spans="2:16">
      <c r="B1059"/>
      <c r="C1059"/>
      <c r="D1059"/>
      <c r="E1059"/>
      <c r="F1059"/>
      <c r="G1059"/>
      <c r="H1059"/>
      <c r="I1059"/>
      <c r="J1059"/>
      <c r="K1059"/>
      <c r="L1059"/>
      <c r="M1059"/>
      <c r="N1059"/>
      <c r="O1059"/>
      <c r="P1059"/>
    </row>
    <row r="1060" spans="2:16">
      <c r="B1060"/>
      <c r="C1060"/>
      <c r="D1060"/>
      <c r="E1060"/>
      <c r="F1060"/>
      <c r="G1060"/>
      <c r="H1060"/>
      <c r="I1060"/>
      <c r="J1060"/>
      <c r="K1060"/>
      <c r="L1060"/>
      <c r="M1060"/>
      <c r="N1060"/>
      <c r="O1060"/>
      <c r="P1060"/>
    </row>
    <row r="1061" spans="2:16">
      <c r="B1061"/>
      <c r="C1061"/>
      <c r="D1061"/>
      <c r="E1061"/>
      <c r="F1061"/>
      <c r="G1061"/>
      <c r="H1061"/>
      <c r="I1061"/>
      <c r="J1061"/>
      <c r="K1061"/>
      <c r="L1061"/>
      <c r="M1061"/>
      <c r="N1061"/>
      <c r="O1061"/>
      <c r="P1061"/>
    </row>
    <row r="1062" spans="2:16">
      <c r="B1062"/>
      <c r="C1062"/>
      <c r="D1062"/>
      <c r="E1062"/>
      <c r="F1062"/>
      <c r="G1062"/>
      <c r="H1062"/>
      <c r="I1062"/>
      <c r="J1062"/>
      <c r="K1062"/>
      <c r="L1062"/>
      <c r="M1062"/>
      <c r="N1062"/>
      <c r="O1062"/>
      <c r="P1062"/>
    </row>
    <row r="1063" spans="2:16">
      <c r="B1063"/>
      <c r="C1063"/>
      <c r="D1063"/>
      <c r="E1063"/>
      <c r="F1063"/>
      <c r="G1063"/>
      <c r="H1063"/>
      <c r="I1063"/>
      <c r="J1063"/>
      <c r="K1063"/>
      <c r="L1063"/>
      <c r="M1063"/>
      <c r="N1063"/>
      <c r="O1063"/>
      <c r="P1063"/>
    </row>
    <row r="1064" spans="2:16">
      <c r="B1064"/>
      <c r="C1064"/>
      <c r="D1064"/>
      <c r="E1064"/>
      <c r="F1064"/>
      <c r="G1064"/>
      <c r="H1064"/>
      <c r="I1064"/>
      <c r="J1064"/>
      <c r="K1064"/>
      <c r="L1064"/>
      <c r="M1064"/>
      <c r="N1064"/>
      <c r="O1064"/>
      <c r="P1064"/>
    </row>
    <row r="1065" spans="2:16">
      <c r="B1065"/>
      <c r="C1065"/>
      <c r="D1065"/>
      <c r="E1065"/>
      <c r="F1065"/>
      <c r="G1065"/>
      <c r="H1065"/>
      <c r="I1065"/>
      <c r="J1065"/>
      <c r="K1065"/>
      <c r="L1065"/>
      <c r="M1065"/>
      <c r="N1065"/>
      <c r="O1065"/>
      <c r="P1065"/>
    </row>
    <row r="1066" spans="2:16">
      <c r="B1066"/>
      <c r="C1066"/>
      <c r="D1066"/>
      <c r="E1066"/>
      <c r="F1066"/>
      <c r="G1066"/>
      <c r="H1066"/>
      <c r="I1066"/>
      <c r="J1066"/>
      <c r="K1066"/>
      <c r="L1066"/>
      <c r="M1066"/>
      <c r="N1066"/>
      <c r="O1066"/>
      <c r="P1066"/>
    </row>
    <row r="1067" spans="2:16">
      <c r="B1067"/>
      <c r="C1067"/>
      <c r="D1067"/>
      <c r="E1067"/>
      <c r="F1067"/>
      <c r="G1067"/>
      <c r="H1067"/>
      <c r="I1067"/>
      <c r="J1067"/>
      <c r="K1067"/>
      <c r="L1067"/>
      <c r="M1067"/>
      <c r="N1067"/>
      <c r="O1067"/>
      <c r="P1067"/>
    </row>
    <row r="1068" spans="2:16">
      <c r="B1068"/>
      <c r="C1068"/>
      <c r="D1068"/>
      <c r="E1068"/>
      <c r="F1068"/>
      <c r="G1068"/>
      <c r="H1068"/>
      <c r="I1068"/>
      <c r="J1068"/>
      <c r="K1068"/>
      <c r="L1068"/>
      <c r="M1068"/>
      <c r="N1068"/>
      <c r="O1068"/>
      <c r="P1068"/>
    </row>
    <row r="1069" spans="2:16">
      <c r="B1069"/>
      <c r="C1069"/>
      <c r="D1069"/>
      <c r="E1069"/>
      <c r="F1069"/>
      <c r="G1069"/>
      <c r="H1069"/>
      <c r="I1069"/>
      <c r="J1069"/>
      <c r="K1069"/>
      <c r="L1069"/>
      <c r="M1069"/>
      <c r="N1069"/>
      <c r="O1069"/>
      <c r="P1069"/>
    </row>
    <row r="1070" spans="2:16">
      <c r="B1070"/>
      <c r="C1070"/>
      <c r="D1070"/>
      <c r="E1070"/>
      <c r="F1070"/>
      <c r="G1070"/>
      <c r="H1070"/>
      <c r="I1070"/>
      <c r="J1070"/>
      <c r="K1070"/>
      <c r="L1070"/>
      <c r="M1070"/>
      <c r="N1070"/>
      <c r="O1070"/>
      <c r="P1070"/>
    </row>
    <row r="1071" spans="2:16">
      <c r="B1071"/>
      <c r="C1071"/>
      <c r="D1071"/>
      <c r="E1071"/>
      <c r="F1071"/>
      <c r="G1071"/>
      <c r="H1071"/>
      <c r="I1071"/>
      <c r="J1071"/>
      <c r="K1071"/>
      <c r="L1071"/>
      <c r="M1071"/>
      <c r="N1071"/>
      <c r="O1071"/>
      <c r="P1071"/>
    </row>
    <row r="1072" spans="2:16">
      <c r="B1072"/>
      <c r="C1072"/>
      <c r="D1072"/>
      <c r="E1072"/>
      <c r="F1072"/>
      <c r="G1072"/>
      <c r="H1072"/>
      <c r="I1072"/>
      <c r="J1072"/>
      <c r="K1072"/>
      <c r="L1072"/>
      <c r="M1072"/>
      <c r="N1072"/>
      <c r="O1072"/>
      <c r="P1072"/>
    </row>
    <row r="1073" spans="2:16">
      <c r="B1073"/>
      <c r="C1073"/>
      <c r="D1073"/>
      <c r="E1073"/>
      <c r="F1073"/>
      <c r="G1073"/>
      <c r="H1073"/>
      <c r="I1073"/>
      <c r="J1073"/>
      <c r="K1073"/>
      <c r="L1073"/>
      <c r="M1073"/>
      <c r="N1073"/>
      <c r="O1073"/>
      <c r="P1073"/>
    </row>
    <row r="1074" spans="2:16">
      <c r="B1074"/>
      <c r="C1074"/>
      <c r="D1074"/>
      <c r="E1074"/>
      <c r="F1074"/>
      <c r="G1074"/>
      <c r="H1074"/>
      <c r="I1074"/>
      <c r="J1074"/>
      <c r="K1074"/>
      <c r="L1074"/>
      <c r="M1074"/>
      <c r="N1074"/>
      <c r="O1074"/>
      <c r="P1074"/>
    </row>
    <row r="1075" spans="2:16">
      <c r="B1075"/>
      <c r="C1075"/>
      <c r="D1075"/>
      <c r="E1075"/>
      <c r="F1075"/>
      <c r="G1075"/>
      <c r="H1075"/>
      <c r="I1075"/>
      <c r="J1075"/>
      <c r="K1075"/>
      <c r="L1075"/>
      <c r="M1075"/>
      <c r="N1075"/>
      <c r="O1075"/>
      <c r="P1075"/>
    </row>
    <row r="1076" spans="2:16">
      <c r="B1076"/>
      <c r="C1076"/>
      <c r="D1076"/>
      <c r="E1076"/>
      <c r="F1076"/>
      <c r="G1076"/>
      <c r="H1076"/>
      <c r="I1076"/>
      <c r="J1076"/>
      <c r="K1076"/>
      <c r="L1076"/>
      <c r="M1076"/>
      <c r="N1076"/>
      <c r="O1076"/>
      <c r="P1076"/>
    </row>
    <row r="1077" spans="2:16">
      <c r="B1077"/>
      <c r="C1077"/>
      <c r="D1077"/>
      <c r="E1077"/>
      <c r="F1077"/>
      <c r="G1077"/>
      <c r="H1077"/>
      <c r="I1077"/>
      <c r="J1077"/>
      <c r="K1077"/>
      <c r="L1077"/>
      <c r="M1077"/>
      <c r="N1077"/>
      <c r="O1077"/>
      <c r="P1077"/>
    </row>
    <row r="1078" spans="2:16">
      <c r="B1078"/>
      <c r="C1078"/>
      <c r="D1078"/>
      <c r="E1078"/>
      <c r="F1078"/>
      <c r="G1078"/>
      <c r="H1078"/>
      <c r="I1078"/>
      <c r="J1078"/>
      <c r="K1078"/>
      <c r="L1078"/>
      <c r="M1078"/>
      <c r="N1078"/>
      <c r="O1078"/>
      <c r="P1078"/>
    </row>
    <row r="1079" spans="2:16">
      <c r="B1079"/>
      <c r="C1079"/>
      <c r="D1079"/>
      <c r="E1079"/>
      <c r="F1079"/>
      <c r="G1079"/>
      <c r="H1079"/>
      <c r="I1079"/>
      <c r="J1079"/>
      <c r="K1079"/>
      <c r="L1079"/>
      <c r="M1079"/>
      <c r="N1079"/>
      <c r="O1079"/>
      <c r="P1079"/>
    </row>
    <row r="1080" spans="2:16">
      <c r="B1080"/>
      <c r="C1080"/>
      <c r="D1080"/>
      <c r="E1080"/>
      <c r="F1080"/>
      <c r="G1080"/>
      <c r="H1080"/>
      <c r="I1080"/>
      <c r="J1080"/>
      <c r="K1080"/>
      <c r="L1080"/>
      <c r="M1080"/>
      <c r="N1080"/>
      <c r="O1080"/>
      <c r="P1080"/>
    </row>
    <row r="1081" spans="2:16">
      <c r="B1081"/>
      <c r="C1081"/>
      <c r="D1081"/>
      <c r="E1081"/>
      <c r="F1081"/>
      <c r="G1081"/>
      <c r="H1081"/>
      <c r="I1081"/>
      <c r="J1081"/>
      <c r="K1081"/>
      <c r="L1081"/>
      <c r="M1081"/>
      <c r="N1081"/>
      <c r="O1081"/>
      <c r="P1081"/>
    </row>
    <row r="1082" spans="2:16">
      <c r="B1082"/>
      <c r="C1082"/>
      <c r="D1082"/>
      <c r="E1082"/>
      <c r="F1082"/>
      <c r="G1082"/>
      <c r="H1082"/>
      <c r="I1082"/>
      <c r="J1082"/>
      <c r="K1082"/>
      <c r="L1082"/>
      <c r="M1082"/>
      <c r="N1082"/>
      <c r="O1082"/>
      <c r="P1082"/>
    </row>
    <row r="1083" spans="2:16">
      <c r="B1083"/>
      <c r="C1083"/>
      <c r="D1083"/>
      <c r="E1083"/>
      <c r="F1083"/>
      <c r="G1083"/>
      <c r="H1083"/>
      <c r="I1083"/>
      <c r="J1083"/>
      <c r="K1083"/>
      <c r="L1083"/>
      <c r="M1083"/>
      <c r="N1083"/>
      <c r="O1083"/>
      <c r="P1083"/>
    </row>
    <row r="1084" spans="2:16">
      <c r="B1084"/>
      <c r="C1084"/>
      <c r="D1084"/>
      <c r="E1084"/>
      <c r="F1084"/>
      <c r="G1084"/>
      <c r="H1084"/>
      <c r="I1084"/>
      <c r="J1084"/>
      <c r="K1084"/>
      <c r="L1084"/>
      <c r="M1084"/>
      <c r="N1084"/>
      <c r="O1084"/>
      <c r="P1084"/>
    </row>
    <row r="1085" spans="2:16">
      <c r="B1085"/>
      <c r="C1085"/>
      <c r="D1085"/>
      <c r="E1085"/>
      <c r="F1085"/>
      <c r="G1085"/>
      <c r="H1085"/>
      <c r="I1085"/>
      <c r="J1085"/>
      <c r="K1085"/>
      <c r="L1085"/>
      <c r="M1085"/>
      <c r="N1085"/>
      <c r="O1085"/>
      <c r="P1085"/>
    </row>
    <row r="1086" spans="2:16">
      <c r="B1086"/>
      <c r="C1086"/>
      <c r="D1086"/>
      <c r="E1086"/>
      <c r="F1086"/>
      <c r="G1086"/>
      <c r="H1086"/>
      <c r="I1086"/>
      <c r="J1086"/>
      <c r="K1086"/>
      <c r="L1086"/>
      <c r="M1086"/>
      <c r="N1086"/>
      <c r="O1086"/>
      <c r="P1086"/>
    </row>
    <row r="1087" spans="2:16">
      <c r="B1087"/>
      <c r="C1087"/>
      <c r="D1087"/>
      <c r="E1087"/>
      <c r="F1087"/>
      <c r="G1087"/>
      <c r="H1087"/>
      <c r="I1087"/>
      <c r="J1087"/>
      <c r="K1087"/>
      <c r="L1087"/>
      <c r="M1087"/>
      <c r="N1087"/>
      <c r="O1087"/>
      <c r="P1087"/>
    </row>
    <row r="1088" spans="2:16">
      <c r="B1088"/>
      <c r="C1088"/>
      <c r="D1088"/>
      <c r="E1088"/>
      <c r="F1088"/>
      <c r="G1088"/>
      <c r="H1088"/>
      <c r="I1088"/>
      <c r="J1088"/>
      <c r="K1088"/>
      <c r="L1088"/>
      <c r="M1088"/>
      <c r="N1088"/>
      <c r="O1088"/>
      <c r="P1088"/>
    </row>
    <row r="1089" spans="2:16">
      <c r="B1089"/>
      <c r="C1089"/>
      <c r="D1089"/>
      <c r="E1089"/>
      <c r="F1089"/>
      <c r="G1089"/>
      <c r="H1089"/>
      <c r="I1089"/>
      <c r="J1089"/>
      <c r="K1089"/>
      <c r="L1089"/>
      <c r="M1089"/>
      <c r="N1089"/>
      <c r="O1089"/>
      <c r="P1089"/>
    </row>
    <row r="1090" spans="2:16">
      <c r="B1090"/>
      <c r="C1090"/>
      <c r="D1090"/>
      <c r="E1090"/>
      <c r="F1090"/>
      <c r="G1090"/>
      <c r="H1090"/>
      <c r="I1090"/>
      <c r="J1090"/>
      <c r="K1090"/>
      <c r="L1090"/>
      <c r="M1090"/>
      <c r="N1090"/>
      <c r="O1090"/>
      <c r="P1090"/>
    </row>
    <row r="1091" spans="2:16">
      <c r="B1091"/>
      <c r="C1091"/>
      <c r="D1091"/>
      <c r="E1091"/>
      <c r="F1091"/>
      <c r="G1091"/>
      <c r="H1091"/>
      <c r="I1091"/>
      <c r="J1091"/>
      <c r="K1091"/>
      <c r="L1091"/>
      <c r="M1091"/>
      <c r="N1091"/>
      <c r="O1091"/>
      <c r="P1091"/>
    </row>
    <row r="1092" spans="2:16">
      <c r="B1092"/>
      <c r="C1092"/>
      <c r="D1092"/>
      <c r="E1092"/>
      <c r="F1092"/>
      <c r="G1092"/>
      <c r="H1092"/>
      <c r="I1092"/>
      <c r="J1092"/>
      <c r="K1092"/>
      <c r="L1092"/>
      <c r="M1092"/>
      <c r="N1092"/>
      <c r="O1092"/>
      <c r="P1092"/>
    </row>
    <row r="1093" spans="2:16">
      <c r="B1093"/>
      <c r="C1093"/>
      <c r="D1093"/>
      <c r="E1093"/>
      <c r="F1093"/>
      <c r="G1093"/>
      <c r="H1093"/>
      <c r="I1093"/>
      <c r="J1093"/>
      <c r="K1093"/>
      <c r="L1093"/>
      <c r="M1093"/>
      <c r="N1093"/>
      <c r="O1093"/>
      <c r="P1093"/>
    </row>
    <row r="1094" spans="2:16">
      <c r="B1094"/>
      <c r="C1094"/>
      <c r="D1094"/>
      <c r="E1094"/>
      <c r="F1094"/>
      <c r="G1094"/>
      <c r="H1094"/>
      <c r="I1094"/>
      <c r="J1094"/>
      <c r="K1094"/>
      <c r="L1094"/>
      <c r="M1094"/>
      <c r="N1094"/>
      <c r="O1094"/>
      <c r="P1094"/>
    </row>
    <row r="1095" spans="2:16">
      <c r="B1095"/>
      <c r="C1095"/>
      <c r="D1095"/>
      <c r="E1095"/>
      <c r="F1095"/>
      <c r="G1095"/>
      <c r="H1095"/>
      <c r="I1095"/>
      <c r="J1095"/>
      <c r="K1095"/>
      <c r="L1095"/>
      <c r="M1095"/>
      <c r="N1095"/>
      <c r="O1095"/>
      <c r="P1095"/>
    </row>
    <row r="1096" spans="2:16">
      <c r="B1096"/>
      <c r="C1096"/>
      <c r="D1096"/>
      <c r="E1096"/>
      <c r="F1096"/>
      <c r="G1096"/>
      <c r="H1096"/>
      <c r="I1096"/>
      <c r="J1096"/>
      <c r="K1096"/>
      <c r="L1096"/>
      <c r="M1096"/>
      <c r="N1096"/>
      <c r="O1096"/>
      <c r="P1096"/>
    </row>
    <row r="1097" spans="2:16">
      <c r="B1097"/>
      <c r="C1097"/>
      <c r="D1097"/>
      <c r="E1097"/>
      <c r="F1097"/>
      <c r="G1097"/>
      <c r="H1097"/>
      <c r="I1097"/>
      <c r="J1097"/>
      <c r="K1097"/>
      <c r="L1097"/>
      <c r="M1097"/>
      <c r="N1097"/>
      <c r="O1097"/>
      <c r="P1097"/>
    </row>
    <row r="1098" spans="2:16">
      <c r="B1098"/>
      <c r="C1098"/>
      <c r="D1098"/>
      <c r="E1098"/>
      <c r="F1098"/>
      <c r="G1098"/>
      <c r="H1098"/>
      <c r="I1098"/>
      <c r="J1098"/>
      <c r="K1098"/>
      <c r="L1098"/>
      <c r="M1098"/>
      <c r="N1098"/>
      <c r="O1098"/>
      <c r="P1098"/>
    </row>
    <row r="1099" spans="2:16">
      <c r="B1099"/>
      <c r="C1099"/>
      <c r="D1099"/>
      <c r="E1099"/>
      <c r="F1099"/>
      <c r="G1099"/>
      <c r="H1099"/>
      <c r="I1099"/>
      <c r="J1099"/>
      <c r="K1099"/>
      <c r="L1099"/>
      <c r="M1099"/>
      <c r="N1099"/>
      <c r="O1099"/>
      <c r="P1099"/>
    </row>
    <row r="1100" spans="2:16">
      <c r="B1100"/>
      <c r="C1100"/>
      <c r="D1100"/>
      <c r="E1100"/>
      <c r="F1100"/>
      <c r="G1100"/>
      <c r="H1100"/>
      <c r="I1100"/>
      <c r="J1100"/>
      <c r="K1100"/>
      <c r="L1100"/>
      <c r="M1100"/>
      <c r="N1100"/>
      <c r="O1100"/>
      <c r="P1100"/>
    </row>
    <row r="1101" spans="2:16">
      <c r="B1101"/>
      <c r="C1101"/>
      <c r="D1101"/>
      <c r="E1101"/>
      <c r="F1101"/>
      <c r="G1101"/>
      <c r="H1101"/>
      <c r="I1101"/>
      <c r="J1101"/>
      <c r="K1101"/>
      <c r="L1101"/>
      <c r="M1101"/>
      <c r="N1101"/>
      <c r="O1101"/>
      <c r="P1101"/>
    </row>
    <row r="1102" spans="2:16">
      <c r="B1102"/>
      <c r="C1102"/>
      <c r="D1102"/>
      <c r="E1102"/>
      <c r="F1102"/>
      <c r="G1102"/>
      <c r="H1102"/>
      <c r="I1102"/>
      <c r="J1102"/>
      <c r="K1102"/>
      <c r="L1102"/>
      <c r="M1102"/>
      <c r="N1102"/>
      <c r="O1102"/>
      <c r="P1102"/>
    </row>
    <row r="1103" spans="2:16">
      <c r="B1103"/>
      <c r="C1103"/>
      <c r="D1103"/>
      <c r="E1103"/>
      <c r="F1103"/>
      <c r="G1103"/>
      <c r="H1103"/>
      <c r="I1103"/>
      <c r="J1103"/>
      <c r="K1103"/>
      <c r="L1103"/>
      <c r="M1103"/>
      <c r="N1103"/>
      <c r="O1103"/>
      <c r="P1103"/>
    </row>
    <row r="1104" spans="2:16">
      <c r="B1104"/>
      <c r="C1104"/>
      <c r="D1104"/>
      <c r="E1104"/>
      <c r="F1104"/>
      <c r="G1104"/>
      <c r="H1104"/>
      <c r="I1104"/>
      <c r="J1104"/>
      <c r="K1104"/>
      <c r="L1104"/>
      <c r="M1104"/>
      <c r="N1104"/>
      <c r="O1104"/>
      <c r="P1104"/>
    </row>
    <row r="1105" spans="2:16">
      <c r="B1105"/>
      <c r="C1105"/>
      <c r="D1105"/>
      <c r="E1105"/>
      <c r="F1105"/>
      <c r="G1105"/>
      <c r="H1105"/>
      <c r="I1105"/>
      <c r="J1105"/>
      <c r="K1105"/>
      <c r="L1105"/>
      <c r="M1105"/>
      <c r="N1105"/>
      <c r="O1105"/>
      <c r="P1105"/>
    </row>
    <row r="1106" spans="2:16">
      <c r="B1106"/>
      <c r="C1106"/>
      <c r="D1106"/>
      <c r="E1106"/>
      <c r="F1106"/>
      <c r="G1106"/>
      <c r="H1106"/>
      <c r="I1106"/>
      <c r="J1106"/>
      <c r="K1106"/>
      <c r="L1106"/>
      <c r="M1106"/>
      <c r="N1106"/>
      <c r="O1106"/>
      <c r="P1106"/>
    </row>
    <row r="1107" spans="2:16">
      <c r="B1107"/>
      <c r="C1107"/>
      <c r="D1107"/>
      <c r="E1107"/>
      <c r="F1107"/>
      <c r="G1107"/>
      <c r="H1107"/>
      <c r="I1107"/>
      <c r="J1107"/>
      <c r="K1107"/>
      <c r="L1107"/>
      <c r="M1107"/>
      <c r="N1107"/>
      <c r="O1107"/>
      <c r="P1107"/>
    </row>
    <row r="1108" spans="2:16">
      <c r="B1108"/>
      <c r="C1108"/>
      <c r="D1108"/>
      <c r="E1108"/>
      <c r="F1108"/>
      <c r="G1108"/>
      <c r="H1108"/>
      <c r="I1108"/>
      <c r="J1108"/>
      <c r="K1108"/>
      <c r="L1108"/>
      <c r="M1108"/>
      <c r="N1108"/>
      <c r="O1108"/>
      <c r="P1108"/>
    </row>
    <row r="1109" spans="2:16">
      <c r="B1109"/>
      <c r="C1109"/>
      <c r="D1109"/>
      <c r="E1109"/>
      <c r="F1109"/>
      <c r="G1109"/>
      <c r="H1109"/>
      <c r="I1109"/>
      <c r="J1109"/>
      <c r="K1109"/>
      <c r="L1109"/>
      <c r="M1109"/>
      <c r="N1109"/>
      <c r="O1109"/>
      <c r="P1109"/>
    </row>
    <row r="1110" spans="2:16">
      <c r="B1110"/>
      <c r="C1110"/>
      <c r="D1110"/>
      <c r="E1110"/>
      <c r="F1110"/>
      <c r="G1110"/>
      <c r="H1110"/>
      <c r="I1110"/>
      <c r="J1110"/>
      <c r="K1110"/>
      <c r="L1110"/>
      <c r="M1110"/>
      <c r="N1110"/>
      <c r="O1110"/>
      <c r="P1110"/>
    </row>
    <row r="1111" spans="2:16">
      <c r="B1111"/>
      <c r="C1111"/>
      <c r="D1111"/>
      <c r="E1111"/>
      <c r="F1111"/>
      <c r="G1111"/>
      <c r="H1111"/>
      <c r="I1111"/>
      <c r="J1111"/>
      <c r="K1111"/>
      <c r="L1111"/>
      <c r="M1111"/>
      <c r="N1111"/>
      <c r="O1111"/>
      <c r="P1111"/>
    </row>
    <row r="1112" spans="2:16">
      <c r="B1112"/>
      <c r="C1112"/>
      <c r="D1112"/>
      <c r="E1112"/>
      <c r="F1112"/>
      <c r="G1112"/>
      <c r="H1112"/>
      <c r="I1112"/>
      <c r="J1112"/>
      <c r="K1112"/>
      <c r="L1112"/>
      <c r="M1112"/>
      <c r="N1112"/>
      <c r="O1112"/>
      <c r="P1112"/>
    </row>
    <row r="1113" spans="2:16">
      <c r="B1113"/>
      <c r="C1113"/>
      <c r="D1113"/>
      <c r="E1113"/>
      <c r="F1113"/>
      <c r="G1113"/>
      <c r="H1113"/>
      <c r="I1113"/>
      <c r="J1113"/>
      <c r="K1113"/>
      <c r="L1113"/>
      <c r="M1113"/>
      <c r="N1113"/>
      <c r="O1113"/>
      <c r="P1113"/>
    </row>
    <row r="1114" spans="2:16">
      <c r="B1114"/>
      <c r="C1114"/>
      <c r="D1114"/>
      <c r="E1114"/>
      <c r="F1114"/>
      <c r="G1114"/>
      <c r="H1114"/>
      <c r="I1114"/>
      <c r="J1114"/>
      <c r="K1114"/>
      <c r="L1114"/>
      <c r="M1114"/>
      <c r="N1114"/>
      <c r="O1114"/>
      <c r="P1114"/>
    </row>
    <row r="1115" spans="2:16">
      <c r="B1115"/>
      <c r="C1115"/>
      <c r="D1115"/>
      <c r="E1115"/>
      <c r="F1115"/>
      <c r="G1115"/>
      <c r="H1115"/>
      <c r="I1115"/>
      <c r="J1115"/>
      <c r="K1115"/>
      <c r="L1115"/>
      <c r="M1115"/>
      <c r="N1115"/>
      <c r="O1115"/>
      <c r="P1115"/>
    </row>
    <row r="1116" spans="2:16">
      <c r="B1116"/>
      <c r="C1116"/>
      <c r="D1116"/>
      <c r="E1116"/>
      <c r="F1116"/>
      <c r="G1116"/>
      <c r="H1116"/>
      <c r="I1116"/>
      <c r="J1116"/>
      <c r="K1116"/>
      <c r="L1116"/>
      <c r="M1116"/>
      <c r="N1116"/>
      <c r="O1116"/>
      <c r="P1116"/>
    </row>
    <row r="1117" spans="2:16">
      <c r="B1117"/>
      <c r="C1117"/>
      <c r="D1117"/>
      <c r="E1117"/>
      <c r="F1117"/>
      <c r="G1117"/>
      <c r="H1117"/>
      <c r="I1117"/>
      <c r="J1117"/>
      <c r="K1117"/>
      <c r="L1117"/>
      <c r="M1117"/>
      <c r="N1117"/>
      <c r="O1117"/>
      <c r="P1117"/>
    </row>
    <row r="1118" spans="2:16">
      <c r="B1118"/>
      <c r="C1118"/>
      <c r="D1118"/>
      <c r="E1118"/>
      <c r="F1118"/>
      <c r="G1118"/>
      <c r="H1118"/>
      <c r="I1118"/>
      <c r="J1118"/>
      <c r="K1118"/>
      <c r="L1118"/>
      <c r="M1118"/>
      <c r="N1118"/>
      <c r="O1118"/>
      <c r="P1118"/>
    </row>
    <row r="1119" spans="2:16">
      <c r="B1119"/>
      <c r="C1119"/>
      <c r="D1119"/>
      <c r="E1119"/>
      <c r="F1119"/>
      <c r="G1119"/>
      <c r="H1119"/>
      <c r="I1119"/>
      <c r="J1119"/>
      <c r="K1119"/>
      <c r="L1119"/>
      <c r="M1119"/>
      <c r="N1119"/>
      <c r="O1119"/>
      <c r="P1119"/>
    </row>
    <row r="1120" spans="2:16">
      <c r="B1120"/>
      <c r="C1120"/>
      <c r="D1120"/>
      <c r="E1120"/>
      <c r="F1120"/>
      <c r="G1120"/>
      <c r="H1120"/>
      <c r="I1120"/>
      <c r="J1120"/>
      <c r="K1120"/>
      <c r="L1120"/>
      <c r="M1120"/>
      <c r="N1120"/>
      <c r="O1120"/>
      <c r="P1120"/>
    </row>
    <row r="1121" spans="2:16">
      <c r="B1121"/>
      <c r="C1121"/>
      <c r="D1121"/>
      <c r="E1121"/>
      <c r="F1121"/>
      <c r="G1121"/>
      <c r="H1121"/>
      <c r="I1121"/>
      <c r="J1121"/>
      <c r="K1121"/>
      <c r="L1121"/>
      <c r="M1121"/>
      <c r="N1121"/>
      <c r="O1121"/>
      <c r="P1121"/>
    </row>
    <row r="1122" spans="2:16">
      <c r="B1122"/>
      <c r="C1122"/>
      <c r="D1122"/>
      <c r="E1122"/>
      <c r="F1122"/>
      <c r="G1122"/>
      <c r="H1122"/>
      <c r="I1122"/>
      <c r="J1122"/>
      <c r="K1122"/>
      <c r="L1122"/>
      <c r="M1122"/>
      <c r="N1122"/>
      <c r="O1122"/>
      <c r="P1122"/>
    </row>
    <row r="1123" spans="2:16">
      <c r="B1123"/>
      <c r="C1123"/>
      <c r="D1123"/>
      <c r="E1123"/>
      <c r="F1123"/>
      <c r="G1123"/>
      <c r="H1123"/>
      <c r="I1123"/>
      <c r="J1123"/>
      <c r="K1123"/>
      <c r="L1123"/>
      <c r="M1123"/>
      <c r="N1123"/>
      <c r="O1123"/>
      <c r="P1123"/>
    </row>
    <row r="1124" spans="2:16">
      <c r="B1124"/>
      <c r="C1124"/>
      <c r="D1124"/>
      <c r="E1124"/>
      <c r="F1124"/>
      <c r="G1124"/>
      <c r="H1124"/>
      <c r="I1124"/>
      <c r="J1124"/>
      <c r="K1124"/>
      <c r="L1124"/>
      <c r="M1124"/>
      <c r="N1124"/>
      <c r="O1124"/>
      <c r="P1124"/>
    </row>
    <row r="1125" spans="2:16">
      <c r="B1125"/>
      <c r="C1125"/>
      <c r="D1125"/>
      <c r="E1125"/>
      <c r="F1125"/>
      <c r="G1125"/>
      <c r="H1125"/>
      <c r="I1125"/>
      <c r="J1125"/>
      <c r="K1125"/>
      <c r="L1125"/>
      <c r="M1125"/>
      <c r="N1125"/>
      <c r="O1125"/>
      <c r="P1125"/>
    </row>
    <row r="1126" spans="2:16">
      <c r="B1126"/>
      <c r="C1126"/>
      <c r="D1126"/>
      <c r="E1126"/>
      <c r="F1126"/>
      <c r="G1126"/>
      <c r="H1126"/>
      <c r="I1126"/>
      <c r="J1126"/>
      <c r="K1126"/>
      <c r="L1126"/>
      <c r="M1126"/>
      <c r="N1126"/>
      <c r="O1126"/>
      <c r="P1126"/>
    </row>
    <row r="1127" spans="2:16">
      <c r="B1127"/>
      <c r="C1127"/>
      <c r="D1127"/>
      <c r="E1127"/>
      <c r="F1127"/>
      <c r="G1127"/>
      <c r="H1127"/>
      <c r="I1127"/>
      <c r="J1127"/>
      <c r="K1127"/>
      <c r="L1127"/>
      <c r="M1127"/>
      <c r="N1127"/>
      <c r="O1127"/>
      <c r="P1127"/>
    </row>
    <row r="1128" spans="2:16">
      <c r="B1128"/>
      <c r="C1128"/>
      <c r="D1128"/>
      <c r="E1128"/>
      <c r="F1128"/>
      <c r="G1128"/>
      <c r="H1128"/>
      <c r="I1128"/>
      <c r="J1128"/>
      <c r="K1128"/>
      <c r="L1128"/>
      <c r="M1128"/>
      <c r="N1128"/>
      <c r="O1128"/>
      <c r="P1128"/>
    </row>
    <row r="1129" spans="2:16">
      <c r="B1129"/>
      <c r="C1129"/>
      <c r="D1129"/>
      <c r="E1129"/>
      <c r="F1129"/>
      <c r="G1129"/>
      <c r="H1129"/>
      <c r="I1129"/>
      <c r="J1129"/>
      <c r="K1129"/>
      <c r="L1129"/>
      <c r="M1129"/>
      <c r="N1129"/>
      <c r="O1129"/>
      <c r="P1129"/>
    </row>
    <row r="1130" spans="2:16">
      <c r="B1130"/>
      <c r="C1130"/>
      <c r="D1130"/>
      <c r="E1130"/>
      <c r="F1130"/>
      <c r="G1130"/>
      <c r="H1130"/>
      <c r="I1130"/>
      <c r="J1130"/>
      <c r="K1130"/>
      <c r="L1130"/>
      <c r="M1130"/>
      <c r="N1130"/>
      <c r="O1130"/>
      <c r="P1130"/>
    </row>
    <row r="1131" spans="2:16">
      <c r="B1131"/>
      <c r="C1131"/>
      <c r="D1131"/>
      <c r="E1131"/>
      <c r="F1131"/>
      <c r="G1131"/>
      <c r="H1131"/>
      <c r="I1131"/>
      <c r="J1131"/>
      <c r="K1131"/>
      <c r="L1131"/>
      <c r="M1131"/>
      <c r="N1131"/>
      <c r="O1131"/>
      <c r="P1131"/>
    </row>
    <row r="1132" spans="2:16">
      <c r="B1132"/>
      <c r="C1132"/>
      <c r="D1132"/>
      <c r="E1132"/>
      <c r="F1132"/>
      <c r="G1132"/>
      <c r="H1132"/>
      <c r="I1132"/>
      <c r="J1132"/>
      <c r="K1132"/>
      <c r="L1132"/>
      <c r="M1132"/>
      <c r="N1132"/>
      <c r="O1132"/>
      <c r="P1132"/>
    </row>
    <row r="1133" spans="2:16">
      <c r="B1133"/>
      <c r="C1133"/>
      <c r="D1133"/>
      <c r="E1133"/>
      <c r="F1133"/>
      <c r="G1133"/>
      <c r="H1133"/>
      <c r="I1133"/>
      <c r="J1133"/>
      <c r="K1133"/>
      <c r="L1133"/>
      <c r="M1133"/>
      <c r="N1133"/>
      <c r="O1133"/>
      <c r="P1133"/>
    </row>
    <row r="1134" spans="2:16">
      <c r="B1134"/>
      <c r="C1134"/>
      <c r="D1134"/>
      <c r="E1134"/>
      <c r="F1134"/>
      <c r="G1134"/>
      <c r="H1134"/>
      <c r="I1134"/>
      <c r="J1134"/>
      <c r="K1134"/>
      <c r="L1134"/>
      <c r="M1134"/>
      <c r="N1134"/>
      <c r="O1134"/>
      <c r="P1134"/>
    </row>
    <row r="1135" spans="2:16">
      <c r="B1135"/>
      <c r="C1135"/>
      <c r="D1135"/>
      <c r="E1135"/>
      <c r="F1135"/>
      <c r="G1135"/>
      <c r="H1135"/>
      <c r="I1135"/>
      <c r="J1135"/>
      <c r="K1135"/>
      <c r="L1135"/>
      <c r="M1135"/>
      <c r="N1135"/>
      <c r="O1135"/>
      <c r="P1135"/>
    </row>
    <row r="1136" spans="2:16">
      <c r="B1136"/>
      <c r="C1136"/>
      <c r="D1136"/>
      <c r="E1136"/>
      <c r="F1136"/>
      <c r="G1136"/>
      <c r="H1136"/>
      <c r="I1136"/>
      <c r="J1136"/>
      <c r="K1136"/>
      <c r="L1136"/>
      <c r="M1136"/>
      <c r="N1136"/>
      <c r="O1136"/>
      <c r="P1136"/>
    </row>
    <row r="1137" spans="2:16">
      <c r="B1137"/>
      <c r="C1137"/>
      <c r="D1137"/>
      <c r="E1137"/>
      <c r="F1137"/>
      <c r="G1137"/>
      <c r="H1137"/>
      <c r="I1137"/>
      <c r="J1137"/>
      <c r="K1137"/>
      <c r="L1137"/>
      <c r="M1137"/>
      <c r="N1137"/>
      <c r="O1137"/>
      <c r="P1137"/>
    </row>
    <row r="1138" spans="2:16">
      <c r="B1138"/>
      <c r="C1138"/>
      <c r="D1138"/>
      <c r="E1138"/>
      <c r="F1138"/>
      <c r="G1138"/>
      <c r="H1138"/>
      <c r="I1138"/>
      <c r="J1138"/>
      <c r="K1138"/>
      <c r="L1138"/>
      <c r="M1138"/>
      <c r="N1138"/>
      <c r="O1138"/>
      <c r="P1138"/>
    </row>
    <row r="1139" spans="2:16">
      <c r="B1139"/>
      <c r="C1139"/>
      <c r="D1139"/>
      <c r="E1139"/>
      <c r="F1139"/>
      <c r="G1139"/>
      <c r="H1139"/>
      <c r="I1139"/>
      <c r="J1139"/>
      <c r="K1139"/>
      <c r="L1139"/>
      <c r="M1139"/>
      <c r="N1139"/>
      <c r="O1139"/>
      <c r="P1139"/>
    </row>
    <row r="1140" spans="2:16">
      <c r="B1140"/>
      <c r="C1140"/>
      <c r="D1140"/>
      <c r="E1140"/>
      <c r="F1140"/>
      <c r="G1140"/>
      <c r="H1140"/>
      <c r="I1140"/>
      <c r="J1140"/>
      <c r="K1140"/>
      <c r="L1140"/>
      <c r="M1140"/>
      <c r="N1140"/>
      <c r="O1140"/>
      <c r="P1140"/>
    </row>
    <row r="1141" spans="2:16">
      <c r="B1141"/>
      <c r="C1141"/>
      <c r="D1141"/>
      <c r="E1141"/>
      <c r="F1141"/>
      <c r="G1141"/>
      <c r="H1141"/>
      <c r="I1141"/>
      <c r="J1141"/>
      <c r="K1141"/>
      <c r="L1141"/>
      <c r="M1141"/>
      <c r="N1141"/>
      <c r="O1141"/>
      <c r="P1141"/>
    </row>
    <row r="1142" spans="2:16">
      <c r="B1142"/>
      <c r="C1142"/>
      <c r="D1142"/>
      <c r="E1142"/>
      <c r="F1142"/>
      <c r="G1142"/>
      <c r="H1142"/>
      <c r="I1142"/>
      <c r="J1142"/>
      <c r="K1142"/>
      <c r="L1142"/>
      <c r="M1142"/>
      <c r="N1142"/>
      <c r="O1142"/>
      <c r="P1142"/>
    </row>
    <row r="1143" spans="2:16">
      <c r="B1143"/>
      <c r="C1143"/>
      <c r="D1143"/>
      <c r="E1143"/>
      <c r="F1143"/>
      <c r="G1143"/>
      <c r="H1143"/>
      <c r="I1143"/>
      <c r="J1143"/>
      <c r="K1143"/>
      <c r="L1143"/>
      <c r="M1143"/>
      <c r="N1143"/>
      <c r="O1143"/>
      <c r="P1143"/>
    </row>
    <row r="1144" spans="2:16">
      <c r="B1144"/>
      <c r="C1144"/>
      <c r="D1144"/>
      <c r="E1144"/>
      <c r="F1144"/>
      <c r="G1144"/>
      <c r="H1144"/>
      <c r="I1144"/>
      <c r="J1144"/>
      <c r="K1144"/>
      <c r="L1144"/>
      <c r="M1144"/>
      <c r="N1144"/>
      <c r="O1144"/>
      <c r="P1144"/>
    </row>
    <row r="1145" spans="2:16">
      <c r="B1145"/>
      <c r="C1145"/>
      <c r="D1145"/>
      <c r="E1145"/>
      <c r="F1145"/>
      <c r="G1145"/>
      <c r="H1145"/>
      <c r="I1145"/>
      <c r="J1145"/>
      <c r="K1145"/>
      <c r="L1145"/>
      <c r="M1145"/>
      <c r="N1145"/>
      <c r="O1145"/>
      <c r="P1145"/>
    </row>
    <row r="1146" spans="2:16">
      <c r="B1146"/>
      <c r="C1146"/>
      <c r="D1146"/>
      <c r="E1146"/>
      <c r="F1146"/>
      <c r="G1146"/>
      <c r="H1146"/>
      <c r="I1146"/>
      <c r="J1146"/>
      <c r="K1146"/>
      <c r="L1146"/>
      <c r="M1146"/>
      <c r="N1146"/>
      <c r="O1146"/>
      <c r="P1146"/>
    </row>
    <row r="1147" spans="2:16">
      <c r="B1147"/>
      <c r="C1147"/>
      <c r="D1147"/>
      <c r="E1147"/>
      <c r="F1147"/>
      <c r="G1147"/>
      <c r="H1147"/>
      <c r="I1147"/>
      <c r="J1147"/>
      <c r="K1147"/>
      <c r="L1147"/>
      <c r="M1147"/>
      <c r="N1147"/>
      <c r="O1147"/>
      <c r="P1147"/>
    </row>
    <row r="1148" spans="2:16">
      <c r="B1148"/>
      <c r="C1148"/>
      <c r="D1148"/>
      <c r="E1148"/>
      <c r="F1148"/>
      <c r="G1148"/>
      <c r="H1148"/>
      <c r="I1148"/>
      <c r="J1148"/>
      <c r="K1148"/>
      <c r="L1148"/>
      <c r="M1148"/>
      <c r="N1148"/>
      <c r="O1148"/>
      <c r="P1148"/>
    </row>
    <row r="1149" spans="2:16">
      <c r="B1149"/>
      <c r="C1149"/>
      <c r="D1149"/>
      <c r="E1149"/>
      <c r="F1149"/>
      <c r="G1149"/>
      <c r="H1149"/>
      <c r="I1149"/>
      <c r="J1149"/>
      <c r="K1149"/>
      <c r="L1149"/>
      <c r="M1149"/>
      <c r="N1149"/>
      <c r="O1149"/>
      <c r="P1149"/>
    </row>
    <row r="1150" spans="2:16">
      <c r="B1150"/>
      <c r="C1150"/>
      <c r="D1150"/>
      <c r="E1150"/>
      <c r="F1150"/>
      <c r="G1150"/>
      <c r="H1150"/>
      <c r="I1150"/>
      <c r="J1150"/>
      <c r="K1150"/>
      <c r="L1150"/>
      <c r="M1150"/>
      <c r="N1150"/>
      <c r="O1150"/>
      <c r="P1150"/>
    </row>
    <row r="1151" spans="2:16">
      <c r="B1151"/>
      <c r="C1151"/>
      <c r="D1151"/>
      <c r="E1151"/>
      <c r="F1151"/>
      <c r="G1151"/>
      <c r="H1151"/>
      <c r="I1151"/>
      <c r="J1151"/>
      <c r="K1151"/>
      <c r="L1151"/>
      <c r="M1151"/>
      <c r="N1151"/>
      <c r="O1151"/>
      <c r="P1151"/>
    </row>
    <row r="1152" spans="2:16">
      <c r="B1152"/>
      <c r="C1152"/>
      <c r="D1152"/>
      <c r="E1152"/>
      <c r="F1152"/>
      <c r="G1152"/>
      <c r="H1152"/>
      <c r="I1152"/>
      <c r="J1152"/>
      <c r="K1152"/>
      <c r="L1152"/>
      <c r="M1152"/>
      <c r="N1152"/>
      <c r="O1152"/>
      <c r="P1152"/>
    </row>
    <row r="1153" spans="2:16">
      <c r="B1153"/>
      <c r="C1153"/>
      <c r="D1153"/>
      <c r="E1153"/>
      <c r="F1153"/>
      <c r="G1153"/>
      <c r="H1153"/>
      <c r="I1153"/>
      <c r="J1153"/>
      <c r="K1153"/>
      <c r="L1153"/>
      <c r="M1153"/>
      <c r="N1153"/>
      <c r="O1153"/>
      <c r="P1153"/>
    </row>
    <row r="1154" spans="2:16">
      <c r="B1154"/>
      <c r="C1154"/>
      <c r="D1154"/>
      <c r="E1154"/>
      <c r="F1154"/>
      <c r="G1154"/>
      <c r="H1154"/>
      <c r="I1154"/>
      <c r="J1154"/>
      <c r="K1154"/>
      <c r="L1154"/>
      <c r="M1154"/>
      <c r="N1154"/>
      <c r="O1154"/>
      <c r="P1154"/>
    </row>
    <row r="1155" spans="2:16">
      <c r="B1155"/>
      <c r="C1155"/>
      <c r="D1155"/>
      <c r="E1155"/>
      <c r="F1155"/>
      <c r="G1155"/>
      <c r="H1155"/>
      <c r="I1155"/>
      <c r="J1155"/>
      <c r="K1155"/>
      <c r="L1155"/>
      <c r="M1155"/>
      <c r="N1155"/>
      <c r="O1155"/>
      <c r="P1155"/>
    </row>
    <row r="1156" spans="2:16">
      <c r="B1156"/>
      <c r="C1156"/>
      <c r="D1156"/>
      <c r="E1156"/>
      <c r="F1156"/>
      <c r="G1156"/>
      <c r="H1156"/>
      <c r="I1156"/>
      <c r="J1156"/>
      <c r="K1156"/>
      <c r="L1156"/>
      <c r="M1156"/>
      <c r="N1156"/>
      <c r="O1156"/>
      <c r="P1156"/>
    </row>
    <row r="1157" spans="2:16">
      <c r="B1157"/>
      <c r="C1157"/>
      <c r="D1157"/>
      <c r="E1157"/>
      <c r="F1157"/>
      <c r="G1157"/>
      <c r="H1157"/>
      <c r="I1157"/>
      <c r="J1157"/>
      <c r="K1157"/>
      <c r="L1157"/>
      <c r="M1157"/>
      <c r="N1157"/>
      <c r="O1157"/>
      <c r="P1157"/>
    </row>
    <row r="1158" spans="2:16">
      <c r="B1158"/>
      <c r="C1158"/>
      <c r="D1158"/>
      <c r="E1158"/>
      <c r="F1158"/>
      <c r="G1158"/>
      <c r="H1158"/>
      <c r="I1158"/>
      <c r="J1158"/>
      <c r="K1158"/>
      <c r="L1158"/>
      <c r="M1158"/>
      <c r="N1158"/>
      <c r="O1158"/>
      <c r="P1158"/>
    </row>
    <row r="1159" spans="2:16">
      <c r="B1159"/>
      <c r="C1159"/>
      <c r="D1159"/>
      <c r="E1159"/>
      <c r="F1159"/>
      <c r="G1159"/>
      <c r="H1159"/>
      <c r="I1159"/>
      <c r="J1159"/>
      <c r="K1159"/>
      <c r="L1159"/>
      <c r="M1159"/>
      <c r="N1159"/>
      <c r="O1159"/>
      <c r="P1159"/>
    </row>
    <row r="1160" spans="2:16">
      <c r="B1160"/>
      <c r="C1160"/>
      <c r="D1160"/>
      <c r="E1160"/>
      <c r="F1160"/>
      <c r="G1160"/>
      <c r="H1160"/>
      <c r="I1160"/>
      <c r="J1160"/>
      <c r="K1160"/>
      <c r="L1160"/>
      <c r="M1160"/>
      <c r="N1160"/>
      <c r="O1160"/>
      <c r="P1160"/>
    </row>
    <row r="1161" spans="2:16">
      <c r="B1161"/>
      <c r="C1161"/>
      <c r="D1161"/>
      <c r="E1161"/>
      <c r="F1161"/>
      <c r="G1161"/>
      <c r="H1161"/>
      <c r="I1161"/>
      <c r="J1161"/>
      <c r="K1161"/>
      <c r="L1161"/>
      <c r="M1161"/>
      <c r="N1161"/>
      <c r="O1161"/>
      <c r="P1161"/>
    </row>
    <row r="1162" spans="2:16">
      <c r="B1162"/>
      <c r="C1162"/>
      <c r="D1162"/>
      <c r="E1162"/>
      <c r="F1162"/>
      <c r="G1162"/>
      <c r="H1162"/>
      <c r="I1162"/>
      <c r="J1162"/>
      <c r="K1162"/>
      <c r="L1162"/>
      <c r="M1162"/>
      <c r="N1162"/>
      <c r="O1162"/>
      <c r="P1162"/>
    </row>
    <row r="1163" spans="2:16">
      <c r="B1163"/>
      <c r="C1163"/>
      <c r="D1163"/>
      <c r="E1163"/>
      <c r="F1163"/>
      <c r="G1163"/>
      <c r="H1163"/>
      <c r="I1163"/>
      <c r="J1163"/>
      <c r="K1163"/>
      <c r="L1163"/>
      <c r="M1163"/>
      <c r="N1163"/>
      <c r="O1163"/>
      <c r="P1163"/>
    </row>
    <row r="1164" spans="2:16">
      <c r="B1164"/>
      <c r="C1164"/>
      <c r="D1164"/>
      <c r="E1164"/>
      <c r="F1164"/>
      <c r="G1164"/>
      <c r="H1164"/>
      <c r="I1164"/>
      <c r="J1164"/>
      <c r="K1164"/>
      <c r="L1164"/>
      <c r="M1164"/>
      <c r="N1164"/>
      <c r="O1164"/>
      <c r="P1164"/>
    </row>
    <row r="1165" spans="2:16">
      <c r="B1165"/>
      <c r="C1165"/>
      <c r="D1165"/>
      <c r="E1165"/>
      <c r="F1165"/>
      <c r="G1165"/>
      <c r="H1165"/>
      <c r="I1165"/>
      <c r="J1165"/>
      <c r="K1165"/>
      <c r="L1165"/>
      <c r="M1165"/>
      <c r="N1165"/>
      <c r="O1165"/>
      <c r="P1165"/>
    </row>
    <row r="1166" spans="2:16">
      <c r="B1166"/>
      <c r="C1166"/>
      <c r="D1166"/>
      <c r="E1166"/>
      <c r="F1166"/>
      <c r="G1166"/>
      <c r="H1166"/>
      <c r="I1166"/>
      <c r="J1166"/>
      <c r="K1166"/>
      <c r="L1166"/>
      <c r="M1166"/>
      <c r="N1166"/>
      <c r="O1166"/>
      <c r="P1166"/>
    </row>
    <row r="1167" spans="2:16">
      <c r="B1167"/>
      <c r="C1167"/>
      <c r="D1167"/>
      <c r="E1167"/>
      <c r="F1167"/>
      <c r="G1167"/>
      <c r="H1167"/>
      <c r="I1167"/>
      <c r="J1167"/>
      <c r="K1167"/>
      <c r="L1167"/>
      <c r="M1167"/>
      <c r="N1167"/>
      <c r="O1167"/>
      <c r="P1167"/>
    </row>
    <row r="1168" spans="2:16">
      <c r="B1168"/>
      <c r="C1168"/>
      <c r="D1168"/>
      <c r="E1168"/>
      <c r="F1168"/>
      <c r="G1168"/>
      <c r="H1168"/>
      <c r="I1168"/>
      <c r="J1168"/>
      <c r="K1168"/>
      <c r="L1168"/>
      <c r="M1168"/>
      <c r="N1168"/>
      <c r="O1168"/>
      <c r="P1168"/>
    </row>
    <row r="1169" spans="2:16">
      <c r="B1169"/>
      <c r="C1169"/>
      <c r="D1169"/>
      <c r="E1169"/>
      <c r="F1169"/>
      <c r="G1169"/>
      <c r="H1169"/>
      <c r="I1169"/>
      <c r="J1169"/>
      <c r="K1169"/>
      <c r="L1169"/>
      <c r="M1169"/>
      <c r="N1169"/>
      <c r="O1169"/>
      <c r="P1169"/>
    </row>
    <row r="1170" spans="2:16">
      <c r="B1170"/>
      <c r="C1170"/>
      <c r="D1170"/>
      <c r="E1170"/>
      <c r="F1170"/>
      <c r="G1170"/>
      <c r="H1170"/>
      <c r="I1170"/>
      <c r="J1170"/>
      <c r="K1170"/>
      <c r="L1170"/>
      <c r="M1170"/>
      <c r="N1170"/>
      <c r="O1170"/>
      <c r="P1170"/>
    </row>
    <row r="1171" spans="2:16">
      <c r="B1171"/>
      <c r="C1171"/>
      <c r="D1171"/>
      <c r="E1171"/>
      <c r="F1171"/>
      <c r="G1171"/>
      <c r="H1171"/>
      <c r="I1171"/>
      <c r="J1171"/>
      <c r="K1171"/>
      <c r="L1171"/>
      <c r="M1171"/>
      <c r="N1171"/>
      <c r="O1171"/>
      <c r="P1171"/>
    </row>
    <row r="1172" spans="2:16">
      <c r="B1172"/>
      <c r="C1172"/>
      <c r="D1172"/>
      <c r="E1172"/>
      <c r="F1172"/>
      <c r="G1172"/>
      <c r="H1172"/>
      <c r="I1172"/>
      <c r="J1172"/>
      <c r="K1172"/>
      <c r="L1172"/>
      <c r="M1172"/>
      <c r="N1172"/>
      <c r="O1172"/>
      <c r="P1172"/>
    </row>
    <row r="1173" spans="2:16">
      <c r="B1173"/>
      <c r="C1173"/>
      <c r="D1173"/>
      <c r="E1173"/>
      <c r="F1173"/>
      <c r="G1173"/>
      <c r="H1173"/>
      <c r="I1173"/>
      <c r="J1173"/>
      <c r="K1173"/>
      <c r="L1173"/>
      <c r="M1173"/>
      <c r="N1173"/>
      <c r="O1173"/>
      <c r="P1173"/>
    </row>
    <row r="1174" spans="2:16">
      <c r="B1174"/>
      <c r="C1174"/>
      <c r="D1174"/>
      <c r="E1174"/>
      <c r="F1174"/>
      <c r="G1174"/>
      <c r="H1174"/>
      <c r="I1174"/>
      <c r="J1174"/>
      <c r="K1174"/>
      <c r="L1174"/>
      <c r="M1174"/>
      <c r="N1174"/>
      <c r="O1174"/>
      <c r="P1174"/>
    </row>
    <row r="1175" spans="2:16">
      <c r="B1175"/>
      <c r="C1175"/>
      <c r="D1175"/>
      <c r="E1175"/>
      <c r="F1175"/>
      <c r="G1175"/>
      <c r="H1175"/>
      <c r="I1175"/>
      <c r="J1175"/>
      <c r="K1175"/>
      <c r="L1175"/>
      <c r="M1175"/>
      <c r="N1175"/>
      <c r="O1175"/>
      <c r="P1175"/>
    </row>
    <row r="1176" spans="2:16">
      <c r="B1176"/>
      <c r="C1176"/>
      <c r="D1176"/>
      <c r="E1176"/>
      <c r="F1176"/>
      <c r="G1176"/>
      <c r="H1176"/>
      <c r="I1176"/>
      <c r="J1176"/>
      <c r="K1176"/>
      <c r="L1176"/>
      <c r="M1176"/>
      <c r="N1176"/>
      <c r="O1176"/>
      <c r="P1176"/>
    </row>
    <row r="1177" spans="2:16">
      <c r="B1177"/>
      <c r="C1177"/>
      <c r="D1177"/>
      <c r="E1177"/>
      <c r="F1177"/>
      <c r="G1177"/>
      <c r="H1177"/>
      <c r="I1177"/>
      <c r="J1177"/>
      <c r="K1177"/>
      <c r="L1177"/>
      <c r="M1177"/>
      <c r="N1177"/>
      <c r="O1177"/>
      <c r="P1177"/>
    </row>
    <row r="1178" spans="2:16">
      <c r="B1178"/>
      <c r="C1178"/>
      <c r="D1178"/>
      <c r="E1178"/>
      <c r="F1178"/>
      <c r="G1178"/>
      <c r="H1178"/>
      <c r="I1178"/>
      <c r="J1178"/>
      <c r="K1178"/>
      <c r="L1178"/>
      <c r="M1178"/>
      <c r="N1178"/>
      <c r="O1178"/>
      <c r="P1178"/>
    </row>
    <row r="1179" spans="2:16">
      <c r="B1179"/>
      <c r="C1179"/>
      <c r="D1179"/>
      <c r="E1179"/>
      <c r="F1179"/>
      <c r="G1179"/>
      <c r="H1179"/>
      <c r="I1179"/>
      <c r="J1179"/>
      <c r="K1179"/>
      <c r="L1179"/>
      <c r="M1179"/>
      <c r="N1179"/>
      <c r="O1179"/>
      <c r="P1179"/>
    </row>
    <row r="1180" spans="2:16">
      <c r="B1180"/>
      <c r="C1180"/>
      <c r="D1180"/>
      <c r="E1180"/>
      <c r="F1180"/>
      <c r="G1180"/>
      <c r="H1180"/>
      <c r="I1180"/>
      <c r="J1180"/>
      <c r="K1180"/>
      <c r="L1180"/>
      <c r="M1180"/>
      <c r="N1180"/>
      <c r="O1180"/>
      <c r="P1180"/>
    </row>
    <row r="1181" spans="2:16">
      <c r="B1181"/>
      <c r="C1181"/>
      <c r="D1181"/>
      <c r="E1181"/>
      <c r="F1181"/>
      <c r="G1181"/>
      <c r="H1181"/>
      <c r="I1181"/>
      <c r="J1181"/>
      <c r="K1181"/>
      <c r="L1181"/>
      <c r="M1181"/>
      <c r="N1181"/>
      <c r="O1181"/>
      <c r="P1181"/>
    </row>
    <row r="1182" spans="2:16">
      <c r="B1182"/>
      <c r="C1182"/>
      <c r="D1182"/>
      <c r="E1182"/>
      <c r="F1182"/>
      <c r="G1182"/>
      <c r="H1182"/>
      <c r="I1182"/>
      <c r="J1182"/>
      <c r="K1182"/>
      <c r="L1182"/>
      <c r="M1182"/>
      <c r="N1182"/>
      <c r="O1182"/>
      <c r="P1182"/>
    </row>
    <row r="1183" spans="2:16">
      <c r="B1183"/>
      <c r="C1183"/>
      <c r="D1183"/>
      <c r="E1183"/>
      <c r="F1183"/>
      <c r="G1183"/>
      <c r="H1183"/>
      <c r="I1183"/>
      <c r="J1183"/>
      <c r="K1183"/>
      <c r="L1183"/>
      <c r="M1183"/>
      <c r="N1183"/>
      <c r="O1183"/>
      <c r="P1183"/>
    </row>
    <row r="1184" spans="2:16">
      <c r="B1184"/>
      <c r="C1184"/>
      <c r="D1184"/>
      <c r="E1184"/>
      <c r="F1184"/>
      <c r="G1184"/>
      <c r="H1184"/>
      <c r="I1184"/>
      <c r="J1184"/>
      <c r="K1184"/>
      <c r="L1184"/>
      <c r="M1184"/>
      <c r="N1184"/>
      <c r="O1184"/>
      <c r="P1184"/>
    </row>
    <row r="1185" spans="2:16">
      <c r="B1185"/>
      <c r="C1185"/>
      <c r="D1185"/>
      <c r="E1185"/>
      <c r="F1185"/>
      <c r="G1185"/>
      <c r="H1185"/>
      <c r="I1185"/>
      <c r="J1185"/>
      <c r="K1185"/>
      <c r="L1185"/>
      <c r="M1185"/>
      <c r="N1185"/>
      <c r="O1185"/>
      <c r="P1185"/>
    </row>
    <row r="1186" spans="2:16">
      <c r="B1186"/>
      <c r="C1186"/>
      <c r="D1186"/>
      <c r="E1186"/>
      <c r="F1186"/>
      <c r="G1186"/>
      <c r="H1186"/>
      <c r="I1186"/>
      <c r="J1186"/>
      <c r="K1186"/>
      <c r="L1186"/>
      <c r="M1186"/>
      <c r="N1186"/>
      <c r="O1186"/>
      <c r="P1186"/>
    </row>
    <row r="1187" spans="2:16">
      <c r="B1187"/>
      <c r="C1187"/>
      <c r="D1187"/>
      <c r="E1187"/>
      <c r="F1187"/>
      <c r="G1187"/>
      <c r="H1187"/>
      <c r="I1187"/>
      <c r="J1187"/>
      <c r="K1187"/>
      <c r="L1187"/>
      <c r="M1187"/>
      <c r="N1187"/>
      <c r="O1187"/>
      <c r="P1187"/>
    </row>
    <row r="1188" spans="2:16">
      <c r="B1188"/>
      <c r="C1188"/>
      <c r="D1188"/>
      <c r="E1188"/>
      <c r="F1188"/>
      <c r="G1188"/>
      <c r="H1188"/>
      <c r="I1188"/>
      <c r="J1188"/>
      <c r="K1188"/>
      <c r="L1188"/>
      <c r="M1188"/>
      <c r="N1188"/>
      <c r="O1188"/>
      <c r="P1188"/>
    </row>
    <row r="1189" spans="2:16">
      <c r="B1189"/>
      <c r="C1189"/>
      <c r="D1189"/>
      <c r="E1189"/>
      <c r="F1189"/>
      <c r="G1189"/>
      <c r="H1189"/>
      <c r="I1189"/>
      <c r="J1189"/>
      <c r="K1189"/>
      <c r="L1189"/>
      <c r="M1189"/>
      <c r="N1189"/>
      <c r="O1189"/>
      <c r="P1189"/>
    </row>
    <row r="1190" spans="2:16">
      <c r="B1190"/>
      <c r="C1190"/>
      <c r="D1190"/>
      <c r="E1190"/>
      <c r="F1190"/>
      <c r="G1190"/>
      <c r="H1190"/>
      <c r="I1190"/>
      <c r="J1190"/>
      <c r="K1190"/>
      <c r="L1190"/>
      <c r="M1190"/>
      <c r="N1190"/>
      <c r="O1190"/>
      <c r="P1190"/>
    </row>
    <row r="1191" spans="2:16">
      <c r="B1191"/>
      <c r="C1191"/>
      <c r="D1191"/>
      <c r="E1191"/>
      <c r="F1191"/>
      <c r="G1191"/>
      <c r="H1191"/>
      <c r="I1191"/>
      <c r="J1191"/>
      <c r="K1191"/>
      <c r="L1191"/>
      <c r="M1191"/>
      <c r="N1191"/>
      <c r="O1191"/>
      <c r="P1191"/>
    </row>
    <row r="1192" spans="2:16">
      <c r="B1192"/>
      <c r="C1192"/>
      <c r="D1192"/>
      <c r="E1192"/>
      <c r="F1192"/>
      <c r="G1192"/>
      <c r="H1192"/>
      <c r="I1192"/>
      <c r="J1192"/>
      <c r="K1192"/>
      <c r="L1192"/>
      <c r="M1192"/>
      <c r="N1192"/>
      <c r="O1192"/>
      <c r="P1192"/>
    </row>
    <row r="1193" spans="2:16">
      <c r="B1193"/>
      <c r="C1193"/>
      <c r="D1193"/>
      <c r="E1193"/>
      <c r="F1193"/>
      <c r="G1193"/>
      <c r="H1193"/>
      <c r="I1193"/>
      <c r="J1193"/>
      <c r="K1193"/>
      <c r="L1193"/>
      <c r="M1193"/>
      <c r="N1193"/>
      <c r="O1193"/>
      <c r="P1193"/>
    </row>
    <row r="1194" spans="2:16">
      <c r="B1194"/>
      <c r="C1194"/>
      <c r="D1194"/>
      <c r="E1194"/>
      <c r="F1194"/>
      <c r="G1194"/>
      <c r="H1194"/>
      <c r="I1194"/>
      <c r="J1194"/>
      <c r="K1194"/>
      <c r="L1194"/>
      <c r="M1194"/>
      <c r="N1194"/>
      <c r="O1194"/>
      <c r="P1194"/>
    </row>
    <row r="1195" spans="2:16">
      <c r="B1195"/>
      <c r="C1195"/>
      <c r="D1195"/>
      <c r="E1195"/>
      <c r="F1195"/>
      <c r="G1195"/>
      <c r="H1195"/>
      <c r="I1195"/>
      <c r="J1195"/>
      <c r="K1195"/>
      <c r="L1195"/>
      <c r="M1195"/>
      <c r="N1195"/>
      <c r="O1195"/>
      <c r="P1195"/>
    </row>
    <row r="1196" spans="2:16">
      <c r="B1196"/>
      <c r="C1196"/>
      <c r="D1196"/>
      <c r="E1196"/>
      <c r="F1196"/>
      <c r="G1196"/>
      <c r="H1196"/>
      <c r="I1196"/>
      <c r="J1196"/>
      <c r="K1196"/>
      <c r="L1196"/>
      <c r="M1196"/>
      <c r="N1196"/>
      <c r="O1196"/>
      <c r="P1196"/>
    </row>
    <row r="1197" spans="2:16">
      <c r="B1197"/>
      <c r="C1197"/>
      <c r="D1197"/>
      <c r="E1197"/>
      <c r="F1197"/>
      <c r="G1197"/>
      <c r="H1197"/>
      <c r="I1197"/>
      <c r="J1197"/>
      <c r="K1197"/>
      <c r="L1197"/>
      <c r="M1197"/>
      <c r="N1197"/>
      <c r="O1197"/>
      <c r="P1197"/>
    </row>
    <row r="1198" spans="2:16">
      <c r="B1198"/>
      <c r="C1198"/>
      <c r="D1198"/>
      <c r="E1198"/>
      <c r="F1198"/>
      <c r="G1198"/>
      <c r="H1198"/>
      <c r="I1198"/>
      <c r="J1198"/>
      <c r="K1198"/>
      <c r="L1198"/>
      <c r="M1198"/>
      <c r="N1198"/>
      <c r="O1198"/>
      <c r="P1198"/>
    </row>
    <row r="1199" spans="2:16">
      <c r="B1199"/>
      <c r="C1199"/>
      <c r="D1199"/>
      <c r="E1199"/>
      <c r="F1199"/>
      <c r="G1199"/>
      <c r="H1199"/>
      <c r="I1199"/>
      <c r="J1199"/>
      <c r="K1199"/>
      <c r="L1199"/>
      <c r="M1199"/>
      <c r="N1199"/>
      <c r="O1199"/>
      <c r="P1199"/>
    </row>
    <row r="1200" spans="2:16">
      <c r="B1200"/>
      <c r="C1200"/>
      <c r="D1200"/>
      <c r="E1200"/>
      <c r="F1200"/>
      <c r="G1200"/>
      <c r="H1200"/>
      <c r="I1200"/>
      <c r="J1200"/>
      <c r="K1200"/>
      <c r="L1200"/>
      <c r="M1200"/>
      <c r="N1200"/>
      <c r="O1200"/>
      <c r="P1200"/>
    </row>
    <row r="1201" spans="2:16">
      <c r="B1201"/>
      <c r="C1201"/>
      <c r="D1201"/>
      <c r="E1201"/>
      <c r="F1201"/>
      <c r="G1201"/>
      <c r="H1201"/>
      <c r="I1201"/>
      <c r="J1201"/>
      <c r="K1201"/>
      <c r="L1201"/>
      <c r="M1201"/>
      <c r="N1201"/>
      <c r="O1201"/>
      <c r="P1201"/>
    </row>
    <row r="1202" spans="2:16">
      <c r="B1202"/>
      <c r="C1202"/>
      <c r="D1202"/>
      <c r="E1202"/>
      <c r="F1202"/>
      <c r="G1202"/>
      <c r="H1202"/>
      <c r="I1202"/>
      <c r="J1202"/>
      <c r="K1202"/>
      <c r="L1202"/>
      <c r="M1202"/>
      <c r="N1202"/>
      <c r="O1202"/>
      <c r="P1202"/>
    </row>
    <row r="1203" spans="2:16">
      <c r="B1203"/>
      <c r="C1203"/>
      <c r="D1203"/>
      <c r="E1203"/>
      <c r="F1203"/>
      <c r="G1203"/>
      <c r="H1203"/>
      <c r="I1203"/>
      <c r="J1203"/>
      <c r="K1203"/>
      <c r="L1203"/>
      <c r="M1203"/>
      <c r="N1203"/>
      <c r="O1203"/>
      <c r="P1203"/>
    </row>
    <row r="1204" spans="2:16">
      <c r="B1204"/>
      <c r="C1204"/>
      <c r="D1204"/>
      <c r="E1204"/>
      <c r="F1204"/>
      <c r="G1204"/>
      <c r="H1204"/>
      <c r="I1204"/>
      <c r="J1204"/>
      <c r="K1204"/>
      <c r="L1204"/>
      <c r="M1204"/>
      <c r="N1204"/>
      <c r="O1204"/>
      <c r="P1204"/>
    </row>
    <row r="1205" spans="2:16">
      <c r="B1205"/>
      <c r="C1205"/>
      <c r="D1205"/>
      <c r="E1205"/>
      <c r="F1205"/>
      <c r="G1205"/>
      <c r="H1205"/>
      <c r="I1205"/>
      <c r="J1205"/>
      <c r="K1205"/>
      <c r="L1205"/>
      <c r="M1205"/>
      <c r="N1205"/>
      <c r="O1205"/>
      <c r="P1205"/>
    </row>
    <row r="1206" spans="2:16">
      <c r="B1206"/>
      <c r="C1206"/>
      <c r="D1206"/>
      <c r="E1206"/>
      <c r="F1206"/>
      <c r="G1206"/>
      <c r="H1206"/>
      <c r="I1206"/>
      <c r="J1206"/>
      <c r="K1206"/>
      <c r="L1206"/>
      <c r="M1206"/>
      <c r="N1206"/>
      <c r="O1206"/>
      <c r="P1206"/>
    </row>
    <row r="1207" spans="2:16">
      <c r="B1207"/>
      <c r="C1207"/>
      <c r="D1207"/>
      <c r="E1207"/>
      <c r="F1207"/>
      <c r="G1207"/>
      <c r="H1207"/>
      <c r="I1207"/>
      <c r="J1207"/>
      <c r="K1207"/>
      <c r="L1207"/>
      <c r="M1207"/>
      <c r="N1207"/>
      <c r="O1207"/>
      <c r="P1207"/>
    </row>
    <row r="1208" spans="2:16">
      <c r="B1208"/>
      <c r="C1208"/>
      <c r="D1208"/>
      <c r="E1208"/>
      <c r="F1208"/>
      <c r="G1208"/>
      <c r="H1208"/>
      <c r="I1208"/>
      <c r="J1208"/>
      <c r="K1208"/>
      <c r="L1208"/>
      <c r="M1208"/>
      <c r="N1208"/>
      <c r="O1208"/>
      <c r="P1208"/>
    </row>
    <row r="1209" spans="2:16">
      <c r="B1209"/>
      <c r="C1209"/>
      <c r="D1209"/>
      <c r="E1209"/>
      <c r="F1209"/>
      <c r="G1209"/>
      <c r="H1209"/>
      <c r="I1209"/>
      <c r="J1209"/>
      <c r="K1209"/>
      <c r="L1209"/>
      <c r="M1209"/>
      <c r="N1209"/>
      <c r="O1209"/>
      <c r="P1209"/>
    </row>
    <row r="1210" spans="2:16">
      <c r="B1210"/>
      <c r="C1210"/>
      <c r="D1210"/>
      <c r="E1210"/>
      <c r="F1210"/>
      <c r="G1210"/>
      <c r="H1210"/>
      <c r="I1210"/>
      <c r="J1210"/>
      <c r="K1210"/>
      <c r="L1210"/>
      <c r="M1210"/>
      <c r="N1210"/>
      <c r="O1210"/>
      <c r="P1210"/>
    </row>
    <row r="1211" spans="2:16">
      <c r="B1211"/>
      <c r="C1211"/>
      <c r="D1211"/>
      <c r="E1211"/>
      <c r="F1211"/>
      <c r="G1211"/>
      <c r="H1211"/>
      <c r="I1211"/>
      <c r="J1211"/>
      <c r="K1211"/>
      <c r="L1211"/>
      <c r="M1211"/>
      <c r="N1211"/>
      <c r="O1211"/>
      <c r="P1211"/>
    </row>
    <row r="1212" spans="2:16">
      <c r="B1212"/>
      <c r="C1212"/>
      <c r="D1212"/>
      <c r="E1212"/>
      <c r="F1212"/>
      <c r="G1212"/>
      <c r="H1212"/>
      <c r="I1212"/>
      <c r="J1212"/>
      <c r="K1212"/>
      <c r="L1212"/>
      <c r="M1212"/>
      <c r="N1212"/>
      <c r="O1212"/>
      <c r="P1212"/>
    </row>
    <row r="1213" spans="2:16">
      <c r="B1213"/>
      <c r="C1213"/>
      <c r="D1213"/>
      <c r="E1213"/>
      <c r="F1213"/>
      <c r="G1213"/>
      <c r="H1213"/>
      <c r="I1213"/>
      <c r="J1213"/>
      <c r="K1213"/>
      <c r="L1213"/>
      <c r="M1213"/>
      <c r="N1213"/>
      <c r="O1213"/>
      <c r="P1213"/>
    </row>
    <row r="1214" spans="2:16">
      <c r="B1214"/>
      <c r="C1214"/>
      <c r="D1214"/>
      <c r="E1214"/>
      <c r="F1214"/>
      <c r="G1214"/>
      <c r="H1214"/>
      <c r="I1214"/>
      <c r="J1214"/>
      <c r="K1214"/>
      <c r="L1214"/>
      <c r="M1214"/>
      <c r="N1214"/>
      <c r="O1214"/>
      <c r="P1214"/>
    </row>
    <row r="1215" spans="2:16">
      <c r="B1215"/>
      <c r="C1215"/>
      <c r="D1215"/>
      <c r="E1215"/>
      <c r="F1215"/>
      <c r="G1215"/>
      <c r="H1215"/>
      <c r="I1215"/>
      <c r="J1215"/>
      <c r="K1215"/>
      <c r="L1215"/>
      <c r="M1215"/>
      <c r="N1215"/>
      <c r="O1215"/>
      <c r="P1215"/>
    </row>
    <row r="1216" spans="2:16">
      <c r="B1216"/>
      <c r="C1216"/>
      <c r="D1216"/>
      <c r="E1216"/>
      <c r="F1216"/>
      <c r="G1216"/>
      <c r="H1216"/>
      <c r="I1216"/>
      <c r="J1216"/>
      <c r="K1216"/>
      <c r="L1216"/>
      <c r="M1216"/>
      <c r="N1216"/>
      <c r="O1216"/>
      <c r="P1216"/>
    </row>
    <row r="1217" spans="2:16">
      <c r="B1217"/>
      <c r="C1217"/>
      <c r="D1217"/>
      <c r="E1217"/>
      <c r="F1217"/>
      <c r="G1217"/>
      <c r="H1217"/>
      <c r="I1217"/>
      <c r="J1217"/>
      <c r="K1217"/>
      <c r="L1217"/>
      <c r="M1217"/>
      <c r="N1217"/>
      <c r="O1217"/>
      <c r="P1217"/>
    </row>
    <row r="1218" spans="2:16">
      <c r="B1218"/>
      <c r="C1218"/>
      <c r="D1218"/>
      <c r="E1218"/>
      <c r="F1218"/>
      <c r="G1218"/>
      <c r="H1218"/>
      <c r="I1218"/>
      <c r="J1218"/>
      <c r="K1218"/>
      <c r="L1218"/>
      <c r="M1218"/>
      <c r="N1218"/>
      <c r="O1218"/>
      <c r="P1218"/>
    </row>
    <row r="1219" spans="2:16">
      <c r="B1219"/>
      <c r="C1219"/>
      <c r="D1219"/>
      <c r="E1219"/>
      <c r="F1219"/>
      <c r="G1219"/>
      <c r="H1219"/>
      <c r="I1219"/>
      <c r="J1219"/>
      <c r="K1219"/>
      <c r="L1219"/>
      <c r="M1219"/>
      <c r="N1219"/>
      <c r="O1219"/>
      <c r="P1219"/>
    </row>
    <row r="1220" spans="2:16">
      <c r="B1220"/>
      <c r="C1220"/>
      <c r="D1220"/>
      <c r="E1220"/>
      <c r="F1220"/>
      <c r="G1220"/>
      <c r="H1220"/>
      <c r="I1220"/>
      <c r="J1220"/>
      <c r="K1220"/>
      <c r="L1220"/>
      <c r="M1220"/>
      <c r="N1220"/>
      <c r="O1220"/>
      <c r="P1220"/>
    </row>
    <row r="1221" spans="2:16">
      <c r="B1221"/>
      <c r="C1221"/>
      <c r="D1221"/>
      <c r="E1221"/>
      <c r="F1221"/>
      <c r="G1221"/>
      <c r="H1221"/>
      <c r="I1221"/>
      <c r="J1221"/>
      <c r="K1221"/>
      <c r="L1221"/>
      <c r="M1221"/>
      <c r="N1221"/>
      <c r="O1221"/>
      <c r="P1221"/>
    </row>
    <row r="1222" spans="2:16">
      <c r="B1222"/>
      <c r="C1222"/>
      <c r="D1222"/>
      <c r="E1222"/>
      <c r="F1222"/>
      <c r="G1222"/>
      <c r="H1222"/>
      <c r="I1222"/>
      <c r="J1222"/>
      <c r="K1222"/>
      <c r="L1222"/>
      <c r="M1222"/>
      <c r="N1222"/>
      <c r="O1222"/>
      <c r="P1222"/>
    </row>
    <row r="1223" spans="2:16">
      <c r="B1223"/>
      <c r="C1223"/>
      <c r="D1223"/>
      <c r="E1223"/>
      <c r="F1223"/>
      <c r="G1223"/>
      <c r="H1223"/>
      <c r="I1223"/>
      <c r="J1223"/>
      <c r="K1223"/>
      <c r="L1223"/>
      <c r="M1223"/>
      <c r="N1223"/>
      <c r="O1223"/>
      <c r="P1223"/>
    </row>
    <row r="1224" spans="2:16">
      <c r="B1224"/>
      <c r="C1224"/>
      <c r="D1224"/>
      <c r="E1224"/>
      <c r="F1224"/>
      <c r="G1224"/>
      <c r="H1224"/>
      <c r="I1224"/>
      <c r="J1224"/>
      <c r="K1224"/>
      <c r="L1224"/>
      <c r="M1224"/>
      <c r="N1224"/>
      <c r="O1224"/>
      <c r="P1224"/>
    </row>
    <row r="1225" spans="2:16">
      <c r="B1225"/>
      <c r="C1225"/>
      <c r="D1225"/>
      <c r="E1225"/>
      <c r="F1225"/>
      <c r="G1225"/>
      <c r="H1225"/>
      <c r="I1225"/>
      <c r="J1225"/>
      <c r="K1225"/>
      <c r="L1225"/>
      <c r="M1225"/>
      <c r="N1225"/>
      <c r="O1225"/>
      <c r="P1225"/>
    </row>
    <row r="1226" spans="2:16">
      <c r="B1226"/>
      <c r="C1226"/>
      <c r="D1226"/>
      <c r="E1226"/>
      <c r="F1226"/>
      <c r="G1226"/>
      <c r="H1226"/>
      <c r="I1226"/>
      <c r="J1226"/>
      <c r="K1226"/>
      <c r="L1226"/>
      <c r="M1226"/>
      <c r="N1226"/>
      <c r="O1226"/>
      <c r="P1226"/>
    </row>
    <row r="1227" spans="2:16">
      <c r="B1227"/>
      <c r="C1227"/>
      <c r="D1227"/>
      <c r="E1227"/>
      <c r="F1227"/>
      <c r="G1227"/>
      <c r="H1227"/>
      <c r="I1227"/>
      <c r="J1227"/>
      <c r="K1227"/>
      <c r="L1227"/>
      <c r="M1227"/>
      <c r="N1227"/>
      <c r="O1227"/>
      <c r="P1227"/>
    </row>
    <row r="1228" spans="2:16">
      <c r="B1228"/>
      <c r="C1228"/>
      <c r="D1228"/>
      <c r="E1228"/>
      <c r="F1228"/>
      <c r="G1228"/>
      <c r="H1228"/>
      <c r="I1228"/>
      <c r="J1228"/>
      <c r="K1228"/>
      <c r="L1228"/>
      <c r="M1228"/>
      <c r="N1228"/>
      <c r="O1228"/>
      <c r="P1228"/>
    </row>
    <row r="1229" spans="2:16">
      <c r="B1229"/>
      <c r="C1229"/>
      <c r="D1229"/>
      <c r="E1229"/>
      <c r="F1229"/>
      <c r="G1229"/>
      <c r="H1229"/>
      <c r="I1229"/>
      <c r="J1229"/>
      <c r="K1229"/>
      <c r="L1229"/>
      <c r="M1229"/>
      <c r="N1229"/>
      <c r="O1229"/>
      <c r="P1229"/>
    </row>
    <row r="1230" spans="2:16">
      <c r="B1230"/>
      <c r="C1230"/>
      <c r="D1230"/>
      <c r="E1230"/>
      <c r="F1230"/>
      <c r="G1230"/>
      <c r="H1230"/>
      <c r="I1230"/>
      <c r="J1230"/>
      <c r="K1230"/>
      <c r="L1230"/>
      <c r="M1230"/>
      <c r="N1230"/>
      <c r="O1230"/>
      <c r="P1230"/>
    </row>
    <row r="1231" spans="2:16">
      <c r="B1231"/>
      <c r="C1231"/>
      <c r="D1231"/>
      <c r="E1231"/>
      <c r="F1231"/>
      <c r="G1231"/>
      <c r="H1231"/>
      <c r="I1231"/>
      <c r="J1231"/>
      <c r="K1231"/>
      <c r="L1231"/>
      <c r="M1231"/>
      <c r="N1231"/>
      <c r="O1231"/>
      <c r="P1231"/>
    </row>
    <row r="1232" spans="2:16">
      <c r="B1232"/>
      <c r="C1232"/>
      <c r="D1232"/>
      <c r="E1232"/>
      <c r="F1232"/>
      <c r="G1232"/>
      <c r="H1232"/>
      <c r="I1232"/>
      <c r="J1232"/>
      <c r="K1232"/>
      <c r="L1232"/>
      <c r="M1232"/>
      <c r="N1232"/>
      <c r="O1232"/>
      <c r="P1232"/>
    </row>
    <row r="1233" spans="2:16">
      <c r="B1233"/>
      <c r="C1233"/>
      <c r="D1233"/>
      <c r="E1233"/>
      <c r="F1233"/>
      <c r="G1233"/>
      <c r="H1233"/>
      <c r="I1233"/>
      <c r="J1233"/>
      <c r="K1233"/>
      <c r="L1233"/>
      <c r="M1233"/>
      <c r="N1233"/>
      <c r="O1233"/>
      <c r="P1233"/>
    </row>
    <row r="1234" spans="2:16">
      <c r="B1234"/>
      <c r="C1234"/>
      <c r="D1234"/>
      <c r="E1234"/>
      <c r="F1234"/>
      <c r="G1234"/>
      <c r="H1234"/>
      <c r="I1234"/>
      <c r="J1234"/>
      <c r="K1234"/>
      <c r="L1234"/>
      <c r="M1234"/>
      <c r="N1234"/>
      <c r="O1234"/>
      <c r="P1234"/>
    </row>
    <row r="1235" spans="2:16">
      <c r="B1235"/>
      <c r="C1235"/>
      <c r="D1235"/>
      <c r="E1235"/>
      <c r="F1235"/>
      <c r="G1235"/>
      <c r="H1235"/>
      <c r="I1235"/>
      <c r="J1235"/>
      <c r="K1235"/>
      <c r="L1235"/>
      <c r="M1235"/>
      <c r="N1235"/>
      <c r="O1235"/>
      <c r="P1235"/>
    </row>
    <row r="1236" spans="2:16">
      <c r="B1236"/>
      <c r="C1236"/>
      <c r="D1236"/>
      <c r="E1236"/>
      <c r="F1236"/>
      <c r="G1236"/>
      <c r="H1236"/>
      <c r="I1236"/>
      <c r="J1236"/>
      <c r="K1236"/>
      <c r="L1236"/>
      <c r="M1236"/>
      <c r="N1236"/>
      <c r="O1236"/>
      <c r="P1236"/>
    </row>
    <row r="1237" spans="2:16">
      <c r="B1237"/>
      <c r="C1237"/>
      <c r="D1237"/>
      <c r="E1237"/>
      <c r="F1237"/>
      <c r="G1237"/>
      <c r="H1237"/>
      <c r="I1237"/>
      <c r="J1237"/>
      <c r="K1237"/>
      <c r="L1237"/>
      <c r="M1237"/>
      <c r="N1237"/>
      <c r="O1237"/>
      <c r="P1237"/>
    </row>
    <row r="1238" spans="2:16">
      <c r="B1238"/>
      <c r="C1238"/>
      <c r="D1238"/>
      <c r="E1238"/>
      <c r="F1238"/>
      <c r="G1238"/>
      <c r="H1238"/>
      <c r="I1238"/>
      <c r="J1238"/>
      <c r="K1238"/>
      <c r="L1238"/>
      <c r="M1238"/>
      <c r="N1238"/>
      <c r="O1238"/>
      <c r="P1238"/>
    </row>
    <row r="1239" spans="2:16">
      <c r="B1239"/>
      <c r="C1239"/>
      <c r="D1239"/>
      <c r="E1239"/>
      <c r="F1239"/>
      <c r="G1239"/>
      <c r="H1239"/>
      <c r="I1239"/>
      <c r="J1239"/>
      <c r="K1239"/>
      <c r="L1239"/>
      <c r="M1239"/>
      <c r="N1239"/>
      <c r="O1239"/>
      <c r="P1239"/>
    </row>
    <row r="1240" spans="2:16">
      <c r="B1240"/>
      <c r="C1240"/>
      <c r="D1240"/>
      <c r="E1240"/>
      <c r="F1240"/>
      <c r="G1240"/>
      <c r="H1240"/>
      <c r="I1240"/>
      <c r="J1240"/>
      <c r="K1240"/>
      <c r="L1240"/>
      <c r="M1240"/>
      <c r="N1240"/>
      <c r="O1240"/>
      <c r="P1240"/>
    </row>
    <row r="1241" spans="2:16">
      <c r="B1241"/>
      <c r="C1241"/>
      <c r="D1241"/>
      <c r="E1241"/>
      <c r="F1241"/>
      <c r="G1241"/>
      <c r="H1241"/>
      <c r="I1241"/>
      <c r="J1241"/>
      <c r="K1241"/>
      <c r="L1241"/>
      <c r="M1241"/>
      <c r="N1241"/>
      <c r="O1241"/>
      <c r="P1241"/>
    </row>
    <row r="1242" spans="2:16">
      <c r="B1242"/>
      <c r="C1242"/>
      <c r="D1242"/>
      <c r="E1242"/>
      <c r="F1242"/>
      <c r="G1242"/>
      <c r="H1242"/>
      <c r="I1242"/>
      <c r="J1242"/>
      <c r="K1242"/>
      <c r="L1242"/>
      <c r="M1242"/>
      <c r="N1242"/>
      <c r="O1242"/>
      <c r="P1242"/>
    </row>
    <row r="1243" spans="2:16">
      <c r="B1243"/>
      <c r="C1243"/>
      <c r="D1243"/>
      <c r="E1243"/>
      <c r="F1243"/>
      <c r="G1243"/>
      <c r="H1243"/>
      <c r="I1243"/>
      <c r="J1243"/>
      <c r="K1243"/>
      <c r="L1243"/>
      <c r="M1243"/>
      <c r="N1243"/>
      <c r="O1243"/>
      <c r="P1243"/>
    </row>
    <row r="1244" spans="2:16">
      <c r="B1244"/>
      <c r="C1244"/>
      <c r="D1244"/>
      <c r="E1244"/>
      <c r="F1244"/>
      <c r="G1244"/>
      <c r="H1244"/>
      <c r="I1244"/>
      <c r="J1244"/>
      <c r="K1244"/>
      <c r="L1244"/>
      <c r="M1244"/>
      <c r="N1244"/>
      <c r="O1244"/>
      <c r="P1244"/>
    </row>
    <row r="1245" spans="2:16">
      <c r="B1245"/>
      <c r="C1245"/>
      <c r="D1245"/>
      <c r="E1245"/>
      <c r="F1245"/>
      <c r="G1245"/>
      <c r="H1245"/>
      <c r="I1245"/>
      <c r="J1245"/>
      <c r="K1245"/>
      <c r="L1245"/>
      <c r="M1245"/>
      <c r="N1245"/>
      <c r="O1245"/>
      <c r="P1245"/>
    </row>
    <row r="1246" spans="2:16">
      <c r="B1246"/>
      <c r="C1246"/>
      <c r="D1246"/>
      <c r="E1246"/>
      <c r="F1246"/>
      <c r="G1246"/>
      <c r="H1246"/>
      <c r="I1246"/>
      <c r="J1246"/>
      <c r="K1246"/>
      <c r="L1246"/>
      <c r="M1246"/>
      <c r="N1246"/>
      <c r="O1246"/>
      <c r="P1246"/>
    </row>
    <row r="1247" spans="2:16">
      <c r="B1247"/>
      <c r="C1247"/>
      <c r="D1247"/>
      <c r="E1247"/>
      <c r="F1247"/>
      <c r="G1247"/>
      <c r="H1247"/>
      <c r="I1247"/>
      <c r="J1247"/>
      <c r="K1247"/>
      <c r="L1247"/>
      <c r="M1247"/>
      <c r="N1247"/>
      <c r="O1247"/>
      <c r="P1247"/>
    </row>
    <row r="1248" spans="2:16">
      <c r="B1248"/>
      <c r="C1248"/>
      <c r="D1248"/>
      <c r="E1248"/>
      <c r="F1248"/>
      <c r="G1248"/>
      <c r="H1248"/>
      <c r="I1248"/>
      <c r="J1248"/>
      <c r="K1248"/>
      <c r="L1248"/>
      <c r="M1248"/>
      <c r="N1248"/>
      <c r="O1248"/>
      <c r="P1248"/>
    </row>
    <row r="1249" spans="2:16">
      <c r="B1249"/>
      <c r="C1249"/>
      <c r="D1249"/>
      <c r="E1249"/>
      <c r="F1249"/>
      <c r="G1249"/>
      <c r="H1249"/>
      <c r="I1249"/>
      <c r="J1249"/>
      <c r="K1249"/>
      <c r="L1249"/>
      <c r="M1249"/>
      <c r="N1249"/>
      <c r="O1249"/>
      <c r="P1249"/>
    </row>
    <row r="1250" spans="2:16">
      <c r="B1250"/>
      <c r="C1250"/>
      <c r="D1250"/>
      <c r="E1250"/>
      <c r="F1250"/>
      <c r="G1250"/>
      <c r="H1250"/>
      <c r="I1250"/>
      <c r="J1250"/>
      <c r="K1250"/>
      <c r="L1250"/>
      <c r="M1250"/>
      <c r="N1250"/>
      <c r="O1250"/>
      <c r="P1250"/>
    </row>
    <row r="1251" spans="2:16">
      <c r="B1251"/>
      <c r="C1251"/>
      <c r="D1251"/>
      <c r="E1251"/>
      <c r="F1251"/>
      <c r="G1251"/>
      <c r="H1251"/>
      <c r="I1251"/>
      <c r="J1251"/>
      <c r="K1251"/>
      <c r="L1251"/>
      <c r="M1251"/>
      <c r="N1251"/>
      <c r="O1251"/>
      <c r="P1251"/>
    </row>
    <row r="1252" spans="2:16">
      <c r="B1252"/>
      <c r="C1252"/>
      <c r="D1252"/>
      <c r="E1252"/>
      <c r="F1252"/>
      <c r="G1252"/>
      <c r="H1252"/>
      <c r="I1252"/>
      <c r="J1252"/>
      <c r="K1252"/>
      <c r="L1252"/>
      <c r="M1252"/>
      <c r="N1252"/>
      <c r="O1252"/>
      <c r="P1252"/>
    </row>
    <row r="1253" spans="2:16">
      <c r="B1253"/>
      <c r="C1253"/>
      <c r="D1253"/>
      <c r="E1253"/>
      <c r="F1253"/>
      <c r="G1253"/>
      <c r="H1253"/>
      <c r="I1253"/>
      <c r="J1253"/>
      <c r="K1253"/>
      <c r="L1253"/>
      <c r="M1253"/>
      <c r="N1253"/>
      <c r="O1253"/>
      <c r="P1253"/>
    </row>
    <row r="1254" spans="2:16">
      <c r="B1254"/>
      <c r="C1254"/>
      <c r="D1254"/>
      <c r="E1254"/>
      <c r="F1254"/>
      <c r="G1254"/>
      <c r="H1254"/>
      <c r="I1254"/>
      <c r="J1254"/>
      <c r="K1254"/>
      <c r="L1254"/>
      <c r="M1254"/>
      <c r="N1254"/>
      <c r="O1254"/>
      <c r="P1254"/>
    </row>
    <row r="1255" spans="2:16">
      <c r="B1255"/>
      <c r="C1255"/>
      <c r="D1255"/>
      <c r="E1255"/>
      <c r="F1255"/>
      <c r="G1255"/>
      <c r="H1255"/>
      <c r="I1255"/>
      <c r="J1255"/>
      <c r="K1255"/>
      <c r="L1255"/>
      <c r="M1255"/>
      <c r="N1255"/>
      <c r="O1255"/>
      <c r="P1255"/>
    </row>
    <row r="1256" spans="2:16">
      <c r="B1256"/>
      <c r="C1256"/>
      <c r="D1256"/>
      <c r="E1256"/>
      <c r="F1256"/>
      <c r="G1256"/>
      <c r="H1256"/>
      <c r="I1256"/>
      <c r="J1256"/>
      <c r="K1256"/>
      <c r="L1256"/>
      <c r="M1256"/>
      <c r="N1256"/>
      <c r="O1256"/>
      <c r="P1256"/>
    </row>
    <row r="1257" spans="2:16">
      <c r="B1257"/>
      <c r="C1257"/>
      <c r="D1257"/>
      <c r="E1257"/>
      <c r="F1257"/>
      <c r="G1257"/>
      <c r="H1257"/>
      <c r="I1257"/>
      <c r="J1257"/>
      <c r="K1257"/>
      <c r="L1257"/>
      <c r="M1257"/>
      <c r="N1257"/>
      <c r="O1257"/>
      <c r="P1257"/>
    </row>
    <row r="1258" spans="2:16">
      <c r="B1258"/>
      <c r="C1258"/>
      <c r="D1258"/>
      <c r="E1258"/>
      <c r="F1258"/>
      <c r="G1258"/>
      <c r="H1258"/>
      <c r="I1258"/>
      <c r="J1258"/>
      <c r="K1258"/>
      <c r="L1258"/>
      <c r="M1258"/>
      <c r="N1258"/>
      <c r="O1258"/>
      <c r="P1258"/>
    </row>
    <row r="1259" spans="2:16">
      <c r="B1259"/>
      <c r="C1259"/>
      <c r="D1259"/>
      <c r="E1259"/>
      <c r="F1259"/>
      <c r="G1259"/>
      <c r="H1259"/>
      <c r="I1259"/>
      <c r="J1259"/>
      <c r="K1259"/>
      <c r="L1259"/>
      <c r="M1259"/>
      <c r="N1259"/>
      <c r="O1259"/>
      <c r="P1259"/>
    </row>
    <row r="1260" spans="2:16">
      <c r="B1260"/>
      <c r="C1260"/>
      <c r="D1260"/>
      <c r="E1260"/>
      <c r="F1260"/>
      <c r="G1260"/>
      <c r="H1260"/>
      <c r="I1260"/>
      <c r="J1260"/>
      <c r="K1260"/>
      <c r="L1260"/>
      <c r="M1260"/>
      <c r="N1260"/>
      <c r="O1260"/>
      <c r="P1260"/>
    </row>
    <row r="1261" spans="2:16">
      <c r="B1261"/>
      <c r="C1261"/>
      <c r="D1261"/>
      <c r="E1261"/>
      <c r="F1261"/>
      <c r="G1261"/>
      <c r="H1261"/>
      <c r="I1261"/>
      <c r="J1261"/>
      <c r="K1261"/>
      <c r="L1261"/>
      <c r="M1261"/>
      <c r="N1261"/>
      <c r="O1261"/>
      <c r="P1261"/>
    </row>
    <row r="1262" spans="2:16">
      <c r="B1262"/>
      <c r="C1262"/>
      <c r="D1262"/>
      <c r="E1262"/>
      <c r="F1262"/>
      <c r="G1262"/>
      <c r="H1262"/>
      <c r="I1262"/>
      <c r="J1262"/>
      <c r="K1262"/>
      <c r="L1262"/>
      <c r="M1262"/>
      <c r="N1262"/>
      <c r="O1262"/>
      <c r="P1262"/>
    </row>
    <row r="1263" spans="2:16">
      <c r="B1263"/>
      <c r="C1263"/>
      <c r="D1263"/>
      <c r="E1263"/>
      <c r="F1263"/>
      <c r="G1263"/>
      <c r="H1263"/>
      <c r="I1263"/>
      <c r="J1263"/>
      <c r="K1263"/>
      <c r="L1263"/>
      <c r="M1263"/>
      <c r="N1263"/>
      <c r="O1263"/>
      <c r="P1263"/>
    </row>
    <row r="1264" spans="2:16">
      <c r="B1264"/>
      <c r="C1264"/>
      <c r="D1264"/>
      <c r="E1264"/>
      <c r="F1264"/>
      <c r="G1264"/>
      <c r="H1264"/>
      <c r="I1264"/>
      <c r="J1264"/>
      <c r="K1264"/>
      <c r="L1264"/>
      <c r="M1264"/>
      <c r="N1264"/>
      <c r="O1264"/>
      <c r="P1264"/>
    </row>
    <row r="1265" spans="2:16">
      <c r="B1265"/>
      <c r="C1265"/>
      <c r="D1265"/>
      <c r="E1265"/>
      <c r="F1265"/>
      <c r="G1265"/>
      <c r="H1265"/>
      <c r="I1265"/>
      <c r="J1265"/>
      <c r="K1265"/>
      <c r="L1265"/>
      <c r="M1265"/>
      <c r="N1265"/>
      <c r="O1265"/>
      <c r="P1265"/>
    </row>
    <row r="1266" spans="2:16">
      <c r="B1266"/>
      <c r="C1266"/>
      <c r="D1266"/>
      <c r="E1266"/>
      <c r="F1266"/>
      <c r="G1266"/>
      <c r="H1266"/>
      <c r="I1266"/>
      <c r="J1266"/>
      <c r="K1266"/>
      <c r="L1266"/>
      <c r="M1266"/>
      <c r="N1266"/>
      <c r="O1266"/>
      <c r="P1266"/>
    </row>
    <row r="1267" spans="2:16">
      <c r="B1267"/>
      <c r="C1267"/>
      <c r="D1267"/>
      <c r="E1267"/>
      <c r="F1267"/>
      <c r="G1267"/>
      <c r="H1267"/>
      <c r="I1267"/>
      <c r="J1267"/>
      <c r="K1267"/>
      <c r="L1267"/>
      <c r="M1267"/>
      <c r="N1267"/>
      <c r="O1267"/>
      <c r="P1267"/>
    </row>
    <row r="1268" spans="2:16">
      <c r="B1268"/>
      <c r="C1268"/>
      <c r="D1268"/>
      <c r="E1268"/>
      <c r="F1268"/>
      <c r="G1268"/>
      <c r="H1268"/>
      <c r="I1268"/>
      <c r="J1268"/>
      <c r="K1268"/>
      <c r="L1268"/>
      <c r="M1268"/>
      <c r="N1268"/>
      <c r="O1268"/>
      <c r="P1268"/>
    </row>
    <row r="1269" spans="2:16">
      <c r="B1269"/>
      <c r="C1269"/>
      <c r="D1269"/>
      <c r="E1269"/>
      <c r="F1269"/>
      <c r="G1269"/>
      <c r="H1269"/>
      <c r="I1269"/>
      <c r="J1269"/>
      <c r="K1269"/>
      <c r="L1269"/>
      <c r="M1269"/>
      <c r="N1269"/>
      <c r="O1269"/>
      <c r="P1269"/>
    </row>
    <row r="1270" spans="2:16">
      <c r="B1270"/>
      <c r="C1270"/>
      <c r="D1270"/>
      <c r="E1270"/>
      <c r="F1270"/>
      <c r="G1270"/>
      <c r="H1270"/>
      <c r="I1270"/>
      <c r="J1270"/>
      <c r="K1270"/>
      <c r="L1270"/>
      <c r="M1270"/>
      <c r="N1270"/>
      <c r="O1270"/>
      <c r="P1270"/>
    </row>
    <row r="1271" spans="2:16">
      <c r="B1271"/>
      <c r="C1271"/>
      <c r="D1271"/>
      <c r="E1271"/>
      <c r="F1271"/>
      <c r="G1271"/>
      <c r="H1271"/>
      <c r="I1271"/>
      <c r="J1271"/>
      <c r="K1271"/>
      <c r="L1271"/>
      <c r="M1271"/>
      <c r="N1271"/>
      <c r="O1271"/>
      <c r="P1271"/>
    </row>
    <row r="1272" spans="2:16">
      <c r="B1272"/>
      <c r="C1272"/>
      <c r="D1272"/>
      <c r="E1272"/>
      <c r="F1272"/>
      <c r="G1272"/>
      <c r="H1272"/>
      <c r="I1272"/>
      <c r="J1272"/>
      <c r="K1272"/>
      <c r="L1272"/>
      <c r="M1272"/>
      <c r="N1272"/>
      <c r="O1272"/>
      <c r="P1272"/>
    </row>
    <row r="1273" spans="2:16">
      <c r="B1273"/>
      <c r="C1273"/>
      <c r="D1273"/>
      <c r="E1273"/>
      <c r="F1273"/>
      <c r="G1273"/>
      <c r="H1273"/>
      <c r="I1273"/>
      <c r="J1273"/>
      <c r="K1273"/>
      <c r="L1273"/>
      <c r="M1273"/>
      <c r="N1273"/>
      <c r="O1273"/>
      <c r="P1273"/>
    </row>
    <row r="1274" spans="2:16">
      <c r="B1274"/>
      <c r="C1274"/>
      <c r="D1274"/>
      <c r="E1274"/>
      <c r="F1274"/>
      <c r="G1274"/>
      <c r="H1274"/>
      <c r="I1274"/>
      <c r="J1274"/>
      <c r="K1274"/>
      <c r="L1274"/>
      <c r="M1274"/>
      <c r="N1274"/>
      <c r="O1274"/>
      <c r="P1274"/>
    </row>
    <row r="1275" spans="2:16">
      <c r="B1275"/>
      <c r="C1275"/>
      <c r="D1275"/>
      <c r="E1275"/>
      <c r="F1275"/>
      <c r="G1275"/>
      <c r="H1275"/>
      <c r="I1275"/>
      <c r="J1275"/>
      <c r="K1275"/>
      <c r="L1275"/>
      <c r="M1275"/>
      <c r="N1275"/>
      <c r="O1275"/>
      <c r="P1275"/>
    </row>
    <row r="1276" spans="2:16">
      <c r="B1276"/>
      <c r="C1276"/>
      <c r="D1276"/>
      <c r="E1276"/>
      <c r="F1276"/>
      <c r="G1276"/>
      <c r="H1276"/>
      <c r="I1276"/>
      <c r="J1276"/>
      <c r="K1276"/>
      <c r="L1276"/>
      <c r="M1276"/>
      <c r="N1276"/>
      <c r="O1276"/>
      <c r="P1276"/>
    </row>
    <row r="1277" spans="2:16">
      <c r="B1277"/>
      <c r="C1277"/>
      <c r="D1277"/>
      <c r="E1277"/>
      <c r="F1277"/>
      <c r="G1277"/>
      <c r="H1277"/>
      <c r="I1277"/>
      <c r="J1277"/>
      <c r="K1277"/>
      <c r="L1277"/>
      <c r="M1277"/>
      <c r="N1277"/>
      <c r="O1277"/>
      <c r="P1277"/>
    </row>
    <row r="1278" spans="2:16">
      <c r="B1278"/>
      <c r="C1278"/>
      <c r="D1278"/>
      <c r="E1278"/>
      <c r="F1278"/>
      <c r="G1278"/>
      <c r="H1278"/>
      <c r="I1278"/>
      <c r="J1278"/>
      <c r="K1278"/>
      <c r="L1278"/>
      <c r="M1278"/>
      <c r="N1278"/>
      <c r="O1278"/>
      <c r="P1278"/>
    </row>
    <row r="1279" spans="2:16">
      <c r="B1279"/>
      <c r="C1279"/>
      <c r="D1279"/>
      <c r="E1279"/>
      <c r="F1279"/>
      <c r="G1279"/>
      <c r="H1279"/>
      <c r="I1279"/>
      <c r="J1279"/>
      <c r="K1279"/>
      <c r="L1279"/>
      <c r="M1279"/>
      <c r="N1279"/>
      <c r="O1279"/>
      <c r="P1279"/>
    </row>
    <row r="1280" spans="2:16">
      <c r="B1280"/>
      <c r="C1280"/>
      <c r="D1280"/>
      <c r="E1280"/>
      <c r="F1280"/>
      <c r="G1280"/>
      <c r="H1280"/>
      <c r="I1280"/>
      <c r="J1280"/>
      <c r="K1280"/>
      <c r="L1280"/>
      <c r="M1280"/>
      <c r="N1280"/>
      <c r="O1280"/>
      <c r="P1280"/>
    </row>
    <row r="1281" spans="2:16">
      <c r="B1281"/>
      <c r="C1281"/>
      <c r="D1281"/>
      <c r="E1281"/>
      <c r="F1281"/>
      <c r="G1281"/>
      <c r="H1281"/>
      <c r="I1281"/>
      <c r="J1281"/>
      <c r="K1281"/>
      <c r="L1281"/>
      <c r="M1281"/>
      <c r="N1281"/>
      <c r="O1281"/>
      <c r="P1281"/>
    </row>
    <row r="1282" spans="2:16">
      <c r="B1282"/>
      <c r="C1282"/>
      <c r="D1282"/>
      <c r="E1282"/>
      <c r="F1282"/>
      <c r="G1282"/>
      <c r="H1282"/>
      <c r="I1282"/>
      <c r="J1282"/>
      <c r="K1282"/>
      <c r="L1282"/>
      <c r="M1282"/>
      <c r="N1282"/>
      <c r="O1282"/>
      <c r="P1282"/>
    </row>
    <row r="1283" spans="2:16">
      <c r="B1283"/>
      <c r="C1283"/>
      <c r="D1283"/>
      <c r="E1283"/>
      <c r="F1283"/>
      <c r="G1283"/>
      <c r="H1283"/>
      <c r="I1283"/>
      <c r="J1283"/>
      <c r="K1283"/>
      <c r="L1283"/>
      <c r="M1283"/>
      <c r="N1283"/>
      <c r="O1283"/>
      <c r="P1283"/>
    </row>
    <row r="1284" spans="2:16">
      <c r="B1284"/>
      <c r="C1284"/>
      <c r="D1284"/>
      <c r="E1284"/>
      <c r="F1284"/>
      <c r="G1284"/>
      <c r="H1284"/>
      <c r="I1284"/>
      <c r="J1284"/>
      <c r="K1284"/>
      <c r="L1284"/>
      <c r="M1284"/>
      <c r="N1284"/>
      <c r="O1284"/>
      <c r="P1284"/>
    </row>
    <row r="1285" spans="2:16">
      <c r="B1285"/>
      <c r="C1285"/>
      <c r="D1285"/>
      <c r="E1285"/>
      <c r="F1285"/>
      <c r="G1285"/>
      <c r="H1285"/>
      <c r="I1285"/>
      <c r="J1285"/>
      <c r="K1285"/>
      <c r="L1285"/>
      <c r="M1285"/>
      <c r="N1285"/>
      <c r="O1285"/>
      <c r="P1285"/>
    </row>
    <row r="1286" spans="2:16">
      <c r="B1286"/>
      <c r="C1286"/>
      <c r="D1286"/>
      <c r="E1286"/>
      <c r="F1286"/>
      <c r="G1286"/>
      <c r="H1286"/>
      <c r="I1286"/>
      <c r="J1286"/>
      <c r="K1286"/>
      <c r="L1286"/>
      <c r="M1286"/>
      <c r="N1286"/>
      <c r="O1286"/>
      <c r="P1286"/>
    </row>
    <row r="1287" spans="2:16">
      <c r="B1287"/>
      <c r="C1287"/>
      <c r="D1287"/>
      <c r="E1287"/>
      <c r="F1287"/>
      <c r="G1287"/>
      <c r="H1287"/>
      <c r="I1287"/>
      <c r="J1287"/>
      <c r="K1287"/>
      <c r="L1287"/>
      <c r="M1287"/>
      <c r="N1287"/>
      <c r="O1287"/>
      <c r="P1287"/>
    </row>
    <row r="1288" spans="2:16">
      <c r="B1288"/>
      <c r="C1288"/>
      <c r="D1288"/>
      <c r="E1288"/>
      <c r="F1288"/>
      <c r="G1288"/>
      <c r="H1288"/>
      <c r="I1288"/>
      <c r="J1288"/>
      <c r="K1288"/>
      <c r="L1288"/>
      <c r="M1288"/>
      <c r="N1288"/>
      <c r="O1288"/>
      <c r="P1288"/>
    </row>
    <row r="1289" spans="2:16">
      <c r="B1289"/>
      <c r="C1289"/>
      <c r="D1289"/>
      <c r="E1289"/>
      <c r="F1289"/>
      <c r="G1289"/>
      <c r="H1289"/>
      <c r="I1289"/>
      <c r="J1289"/>
      <c r="K1289"/>
      <c r="L1289"/>
      <c r="M1289"/>
      <c r="N1289"/>
      <c r="O1289"/>
      <c r="P1289"/>
    </row>
    <row r="1290" spans="2:16">
      <c r="B1290"/>
      <c r="C1290"/>
      <c r="D1290"/>
      <c r="E1290"/>
      <c r="F1290"/>
      <c r="G1290"/>
      <c r="H1290"/>
      <c r="I1290"/>
      <c r="J1290"/>
      <c r="K1290"/>
      <c r="L1290"/>
      <c r="M1290"/>
      <c r="N1290"/>
      <c r="O1290"/>
      <c r="P1290"/>
    </row>
    <row r="1291" spans="2:16">
      <c r="B1291"/>
      <c r="C1291"/>
      <c r="D1291"/>
      <c r="E1291"/>
      <c r="F1291"/>
      <c r="G1291"/>
      <c r="H1291"/>
      <c r="I1291"/>
      <c r="J1291"/>
      <c r="K1291"/>
      <c r="L1291"/>
      <c r="M1291"/>
      <c r="N1291"/>
      <c r="O1291"/>
      <c r="P1291"/>
    </row>
    <row r="1292" spans="2:16">
      <c r="B1292"/>
      <c r="C1292"/>
      <c r="D1292"/>
      <c r="E1292"/>
      <c r="F1292"/>
      <c r="G1292"/>
      <c r="H1292"/>
      <c r="I1292"/>
      <c r="J1292"/>
      <c r="K1292"/>
      <c r="L1292"/>
      <c r="M1292"/>
      <c r="N1292"/>
      <c r="O1292"/>
      <c r="P1292"/>
    </row>
    <row r="1293" spans="2:16">
      <c r="B1293"/>
      <c r="C1293"/>
      <c r="D1293"/>
      <c r="E1293"/>
      <c r="F1293"/>
      <c r="G1293"/>
      <c r="H1293"/>
      <c r="I1293"/>
      <c r="J1293"/>
      <c r="K1293"/>
      <c r="L1293"/>
      <c r="M1293"/>
      <c r="N1293"/>
      <c r="O1293"/>
      <c r="P1293"/>
    </row>
    <row r="1294" spans="2:16">
      <c r="B1294"/>
      <c r="C1294"/>
      <c r="D1294"/>
      <c r="E1294"/>
      <c r="F1294"/>
      <c r="G1294"/>
      <c r="H1294"/>
      <c r="I1294"/>
      <c r="J1294"/>
      <c r="K1294"/>
      <c r="L1294"/>
      <c r="M1294"/>
      <c r="N1294"/>
      <c r="O1294"/>
      <c r="P1294"/>
    </row>
    <row r="1295" spans="2:16">
      <c r="B1295"/>
      <c r="C1295"/>
      <c r="D1295"/>
      <c r="E1295"/>
      <c r="F1295"/>
      <c r="G1295"/>
      <c r="H1295"/>
      <c r="I1295"/>
      <c r="J1295"/>
      <c r="K1295"/>
      <c r="L1295"/>
      <c r="M1295"/>
      <c r="N1295"/>
      <c r="O1295"/>
      <c r="P1295"/>
    </row>
    <row r="1296" spans="2:16">
      <c r="B1296"/>
      <c r="C1296"/>
      <c r="D1296"/>
      <c r="E1296"/>
      <c r="F1296"/>
      <c r="G1296"/>
      <c r="H1296"/>
      <c r="I1296"/>
      <c r="J1296"/>
      <c r="K1296"/>
      <c r="L1296"/>
      <c r="M1296"/>
      <c r="N1296"/>
      <c r="O1296"/>
      <c r="P1296"/>
    </row>
    <row r="1297" spans="2:16">
      <c r="B1297"/>
      <c r="C1297"/>
      <c r="D1297"/>
      <c r="E1297"/>
      <c r="F1297"/>
      <c r="G1297"/>
      <c r="H1297"/>
      <c r="I1297"/>
      <c r="J1297"/>
      <c r="K1297"/>
      <c r="L1297"/>
      <c r="M1297"/>
      <c r="N1297"/>
      <c r="O1297"/>
      <c r="P1297"/>
    </row>
    <row r="1298" spans="2:16">
      <c r="B1298"/>
      <c r="C1298"/>
      <c r="D1298"/>
      <c r="E1298"/>
      <c r="F1298"/>
      <c r="G1298"/>
      <c r="H1298"/>
      <c r="I1298"/>
      <c r="J1298"/>
      <c r="K1298"/>
      <c r="L1298"/>
      <c r="M1298"/>
      <c r="N1298"/>
      <c r="O1298"/>
      <c r="P1298"/>
    </row>
    <row r="1299" spans="2:16">
      <c r="B1299"/>
      <c r="C1299"/>
      <c r="D1299"/>
      <c r="E1299"/>
      <c r="F1299"/>
      <c r="G1299"/>
      <c r="H1299"/>
      <c r="I1299"/>
      <c r="J1299"/>
      <c r="K1299"/>
      <c r="L1299"/>
      <c r="M1299"/>
      <c r="N1299"/>
      <c r="O1299"/>
      <c r="P1299"/>
    </row>
    <row r="1300" spans="2:16">
      <c r="B1300"/>
      <c r="C1300"/>
      <c r="D1300"/>
      <c r="E1300"/>
      <c r="F1300"/>
      <c r="G1300"/>
      <c r="H1300"/>
      <c r="I1300"/>
      <c r="J1300"/>
      <c r="K1300"/>
      <c r="L1300"/>
      <c r="M1300"/>
      <c r="N1300"/>
      <c r="O1300"/>
      <c r="P1300"/>
    </row>
    <row r="1301" spans="2:16">
      <c r="B1301"/>
      <c r="C1301"/>
      <c r="D1301"/>
      <c r="E1301"/>
      <c r="F1301"/>
      <c r="G1301"/>
      <c r="H1301"/>
      <c r="I1301"/>
      <c r="J1301"/>
      <c r="K1301"/>
      <c r="L1301"/>
      <c r="M1301"/>
      <c r="N1301"/>
      <c r="O1301"/>
      <c r="P1301"/>
    </row>
    <row r="1302" spans="2:16">
      <c r="B1302"/>
      <c r="C1302"/>
      <c r="D1302"/>
      <c r="E1302"/>
      <c r="F1302"/>
      <c r="G1302"/>
      <c r="H1302"/>
      <c r="I1302"/>
      <c r="J1302"/>
      <c r="K1302"/>
      <c r="L1302"/>
      <c r="M1302"/>
      <c r="N1302"/>
      <c r="O1302"/>
      <c r="P1302"/>
    </row>
    <row r="1303" spans="2:16">
      <c r="B1303"/>
      <c r="C1303"/>
      <c r="D1303"/>
      <c r="E1303"/>
      <c r="F1303"/>
      <c r="G1303"/>
      <c r="H1303"/>
      <c r="I1303"/>
      <c r="J1303"/>
      <c r="K1303"/>
      <c r="L1303"/>
      <c r="M1303"/>
      <c r="N1303"/>
      <c r="O1303"/>
      <c r="P1303"/>
    </row>
    <row r="1304" spans="2:16">
      <c r="B1304"/>
      <c r="C1304"/>
      <c r="D1304"/>
      <c r="E1304"/>
      <c r="F1304"/>
      <c r="G1304"/>
      <c r="H1304"/>
      <c r="I1304"/>
      <c r="J1304"/>
      <c r="K1304"/>
      <c r="L1304"/>
      <c r="M1304"/>
      <c r="N1304"/>
      <c r="O1304"/>
      <c r="P1304"/>
    </row>
    <row r="1305" spans="2:16">
      <c r="B1305"/>
      <c r="C1305"/>
      <c r="D1305"/>
      <c r="E1305"/>
      <c r="F1305"/>
      <c r="G1305"/>
      <c r="H1305"/>
      <c r="I1305"/>
      <c r="J1305"/>
      <c r="K1305"/>
      <c r="L1305"/>
      <c r="M1305"/>
      <c r="N1305"/>
      <c r="O1305"/>
      <c r="P1305"/>
    </row>
    <row r="1306" spans="2:16">
      <c r="B1306"/>
      <c r="C1306"/>
      <c r="D1306"/>
      <c r="E1306"/>
      <c r="F1306"/>
      <c r="G1306"/>
      <c r="H1306"/>
      <c r="I1306"/>
      <c r="J1306"/>
      <c r="K1306"/>
      <c r="L1306"/>
      <c r="M1306"/>
      <c r="N1306"/>
      <c r="O1306"/>
      <c r="P1306"/>
    </row>
    <row r="1307" spans="2:16">
      <c r="B1307"/>
      <c r="C1307"/>
      <c r="D1307"/>
      <c r="E1307"/>
      <c r="F1307"/>
      <c r="G1307"/>
      <c r="H1307"/>
      <c r="I1307"/>
      <c r="J1307"/>
      <c r="K1307"/>
      <c r="L1307"/>
      <c r="M1307"/>
      <c r="N1307"/>
      <c r="O1307"/>
      <c r="P1307"/>
    </row>
    <row r="1308" spans="2:16">
      <c r="B1308"/>
      <c r="C1308"/>
      <c r="D1308"/>
      <c r="E1308"/>
      <c r="F1308"/>
      <c r="G1308"/>
      <c r="H1308"/>
      <c r="I1308"/>
      <c r="J1308"/>
      <c r="K1308"/>
      <c r="L1308"/>
      <c r="M1308"/>
      <c r="N1308"/>
      <c r="O1308"/>
      <c r="P1308"/>
    </row>
    <row r="1309" spans="2:16">
      <c r="B1309"/>
      <c r="C1309"/>
      <c r="D1309"/>
      <c r="E1309"/>
      <c r="F1309"/>
      <c r="G1309"/>
      <c r="H1309"/>
      <c r="I1309"/>
      <c r="J1309"/>
      <c r="K1309"/>
      <c r="L1309"/>
      <c r="M1309"/>
      <c r="N1309"/>
      <c r="O1309"/>
      <c r="P1309"/>
    </row>
    <row r="1310" spans="2:16">
      <c r="B1310"/>
      <c r="C1310"/>
      <c r="D1310"/>
      <c r="E1310"/>
      <c r="F1310"/>
      <c r="G1310"/>
      <c r="H1310"/>
      <c r="I1310"/>
      <c r="J1310"/>
      <c r="K1310"/>
      <c r="L1310"/>
      <c r="M1310"/>
      <c r="N1310"/>
      <c r="O1310"/>
      <c r="P1310"/>
    </row>
    <row r="1311" spans="2:16">
      <c r="B1311"/>
      <c r="C1311"/>
      <c r="D1311"/>
      <c r="E1311"/>
      <c r="F1311"/>
      <c r="G1311"/>
      <c r="H1311"/>
      <c r="I1311"/>
      <c r="J1311"/>
      <c r="K1311"/>
      <c r="L1311"/>
      <c r="M1311"/>
      <c r="N1311"/>
      <c r="O1311"/>
      <c r="P1311"/>
    </row>
    <row r="1312" spans="2:16">
      <c r="B1312"/>
      <c r="C1312"/>
      <c r="D1312"/>
      <c r="E1312"/>
      <c r="F1312"/>
      <c r="G1312"/>
      <c r="H1312"/>
      <c r="I1312"/>
      <c r="J1312"/>
      <c r="K1312"/>
      <c r="L1312"/>
      <c r="M1312"/>
      <c r="N1312"/>
      <c r="O1312"/>
      <c r="P1312"/>
    </row>
    <row r="1313" spans="2:16">
      <c r="B1313"/>
      <c r="C1313"/>
      <c r="D1313"/>
      <c r="E1313"/>
      <c r="F1313"/>
      <c r="G1313"/>
      <c r="H1313"/>
      <c r="I1313"/>
      <c r="J1313"/>
      <c r="K1313"/>
      <c r="L1313"/>
      <c r="M1313"/>
      <c r="N1313"/>
      <c r="O1313"/>
      <c r="P1313"/>
    </row>
    <row r="1314" spans="2:16">
      <c r="B1314"/>
      <c r="C1314"/>
      <c r="D1314"/>
      <c r="E1314"/>
      <c r="F1314"/>
      <c r="G1314"/>
      <c r="H1314"/>
      <c r="I1314"/>
      <c r="J1314"/>
      <c r="K1314"/>
      <c r="L1314"/>
      <c r="M1314"/>
      <c r="N1314"/>
      <c r="O1314"/>
      <c r="P1314"/>
    </row>
    <row r="1315" spans="2:16">
      <c r="B1315"/>
      <c r="C1315"/>
      <c r="D1315"/>
      <c r="E1315"/>
      <c r="F1315"/>
      <c r="G1315"/>
      <c r="H1315"/>
      <c r="I1315"/>
      <c r="J1315"/>
      <c r="K1315"/>
      <c r="L1315"/>
      <c r="M1315"/>
      <c r="N1315"/>
      <c r="O1315"/>
      <c r="P1315"/>
    </row>
    <row r="1316" spans="2:16">
      <c r="B1316"/>
      <c r="C1316"/>
      <c r="D1316"/>
      <c r="E1316"/>
      <c r="F1316"/>
      <c r="G1316"/>
      <c r="H1316"/>
      <c r="I1316"/>
      <c r="J1316"/>
      <c r="K1316"/>
      <c r="L1316"/>
      <c r="M1316"/>
      <c r="N1316"/>
      <c r="O1316"/>
      <c r="P1316"/>
    </row>
    <row r="1317" spans="2:16">
      <c r="B1317"/>
      <c r="C1317"/>
      <c r="D1317"/>
      <c r="E1317"/>
      <c r="F1317"/>
      <c r="G1317"/>
      <c r="H1317"/>
      <c r="I1317"/>
      <c r="J1317"/>
      <c r="K1317"/>
      <c r="L1317"/>
      <c r="M1317"/>
      <c r="N1317"/>
      <c r="O1317"/>
      <c r="P1317"/>
    </row>
    <row r="1318" spans="2:16">
      <c r="B1318"/>
      <c r="C1318"/>
      <c r="D1318"/>
      <c r="E1318"/>
      <c r="F1318"/>
      <c r="G1318"/>
      <c r="H1318"/>
      <c r="I1318"/>
      <c r="J1318"/>
      <c r="K1318"/>
      <c r="L1318"/>
      <c r="M1318"/>
      <c r="N1318"/>
      <c r="O1318"/>
      <c r="P1318"/>
    </row>
    <row r="1319" spans="2:16">
      <c r="B1319"/>
      <c r="C1319"/>
      <c r="D1319"/>
      <c r="E1319"/>
      <c r="F1319"/>
      <c r="G1319"/>
      <c r="H1319"/>
      <c r="I1319"/>
      <c r="J1319"/>
      <c r="K1319"/>
      <c r="L1319"/>
      <c r="M1319"/>
      <c r="N1319"/>
      <c r="O1319"/>
      <c r="P1319"/>
    </row>
    <row r="1320" spans="2:16">
      <c r="B1320"/>
      <c r="C1320"/>
      <c r="D1320"/>
      <c r="E1320"/>
      <c r="F1320"/>
      <c r="G1320"/>
      <c r="H1320"/>
      <c r="I1320"/>
      <c r="J1320"/>
      <c r="K1320"/>
      <c r="L1320"/>
      <c r="M1320"/>
      <c r="N1320"/>
      <c r="O1320"/>
      <c r="P1320"/>
    </row>
    <row r="1321" spans="2:16">
      <c r="B1321"/>
      <c r="C1321"/>
      <c r="D1321"/>
      <c r="E1321"/>
      <c r="F1321"/>
      <c r="G1321"/>
      <c r="H1321"/>
      <c r="I1321"/>
      <c r="J1321"/>
      <c r="K1321"/>
      <c r="L1321"/>
      <c r="M1321"/>
      <c r="N1321"/>
      <c r="O1321"/>
      <c r="P1321"/>
    </row>
    <row r="1322" spans="2:16">
      <c r="B1322"/>
      <c r="C1322"/>
      <c r="D1322"/>
      <c r="E1322"/>
      <c r="F1322"/>
      <c r="G1322"/>
      <c r="H1322"/>
      <c r="I1322"/>
      <c r="J1322"/>
      <c r="K1322"/>
      <c r="L1322"/>
      <c r="M1322"/>
      <c r="N1322"/>
      <c r="O1322"/>
      <c r="P1322"/>
    </row>
    <row r="1323" spans="2:16">
      <c r="B1323"/>
      <c r="C1323"/>
      <c r="D1323"/>
      <c r="E1323"/>
      <c r="F1323"/>
      <c r="G1323"/>
      <c r="H1323"/>
      <c r="I1323"/>
      <c r="J1323"/>
      <c r="K1323"/>
      <c r="L1323"/>
      <c r="M1323"/>
      <c r="N1323"/>
      <c r="O1323"/>
      <c r="P1323"/>
    </row>
    <row r="1324" spans="2:16">
      <c r="B1324"/>
      <c r="C1324"/>
      <c r="D1324"/>
      <c r="E1324"/>
      <c r="F1324"/>
      <c r="G1324"/>
      <c r="H1324"/>
      <c r="I1324"/>
      <c r="J1324"/>
      <c r="K1324"/>
      <c r="L1324"/>
      <c r="M1324"/>
      <c r="N1324"/>
      <c r="O1324"/>
      <c r="P1324"/>
    </row>
    <row r="1325" spans="2:16">
      <c r="B1325"/>
      <c r="C1325"/>
      <c r="D1325"/>
      <c r="E1325"/>
      <c r="F1325"/>
      <c r="G1325"/>
      <c r="H1325"/>
      <c r="I1325"/>
      <c r="J1325"/>
      <c r="K1325"/>
      <c r="L1325"/>
      <c r="M1325"/>
      <c r="N1325"/>
      <c r="O1325"/>
      <c r="P1325"/>
    </row>
    <row r="1326" spans="2:16">
      <c r="B1326"/>
      <c r="C1326"/>
      <c r="D1326"/>
      <c r="E1326"/>
      <c r="F1326"/>
      <c r="G1326"/>
      <c r="H1326"/>
      <c r="I1326"/>
      <c r="J1326"/>
      <c r="K1326"/>
      <c r="L1326"/>
      <c r="M1326"/>
      <c r="N1326"/>
      <c r="O1326"/>
      <c r="P1326"/>
    </row>
    <row r="1327" spans="2:16">
      <c r="B1327"/>
      <c r="C1327"/>
      <c r="D1327"/>
      <c r="E1327"/>
      <c r="F1327"/>
      <c r="G1327"/>
      <c r="H1327"/>
      <c r="I1327"/>
      <c r="J1327"/>
      <c r="K1327"/>
      <c r="L1327"/>
      <c r="M1327"/>
      <c r="N1327"/>
      <c r="O1327"/>
      <c r="P1327"/>
    </row>
    <row r="1328" spans="2:16">
      <c r="B1328"/>
      <c r="C1328"/>
      <c r="D1328"/>
      <c r="E1328"/>
      <c r="F1328"/>
      <c r="G1328"/>
      <c r="H1328"/>
      <c r="I1328"/>
      <c r="J1328"/>
      <c r="K1328"/>
      <c r="L1328"/>
      <c r="M1328"/>
      <c r="N1328"/>
      <c r="O1328"/>
      <c r="P1328"/>
    </row>
    <row r="1329" spans="2:16">
      <c r="B1329"/>
      <c r="C1329"/>
      <c r="D1329"/>
      <c r="E1329"/>
      <c r="F1329"/>
      <c r="G1329"/>
      <c r="H1329"/>
      <c r="I1329"/>
      <c r="J1329"/>
      <c r="K1329"/>
      <c r="L1329"/>
      <c r="M1329"/>
      <c r="N1329"/>
      <c r="O1329"/>
      <c r="P1329"/>
    </row>
    <row r="1330" spans="2:16">
      <c r="B1330"/>
      <c r="C1330"/>
      <c r="D1330"/>
      <c r="E1330"/>
      <c r="F1330"/>
      <c r="G1330"/>
      <c r="H1330"/>
      <c r="I1330"/>
      <c r="J1330"/>
      <c r="K1330"/>
      <c r="L1330"/>
      <c r="M1330"/>
      <c r="N1330"/>
      <c r="O1330"/>
      <c r="P1330"/>
    </row>
    <row r="1331" spans="2:16">
      <c r="B1331"/>
      <c r="C1331"/>
      <c r="D1331"/>
      <c r="E1331"/>
      <c r="F1331"/>
      <c r="G1331"/>
      <c r="H1331"/>
      <c r="I1331"/>
      <c r="J1331"/>
      <c r="K1331"/>
      <c r="L1331"/>
      <c r="M1331"/>
      <c r="N1331"/>
      <c r="O1331"/>
      <c r="P1331"/>
    </row>
    <row r="1332" spans="2:16">
      <c r="B1332"/>
      <c r="C1332"/>
      <c r="D1332"/>
      <c r="E1332"/>
      <c r="F1332"/>
      <c r="G1332"/>
      <c r="H1332"/>
      <c r="I1332"/>
      <c r="J1332"/>
      <c r="K1332"/>
      <c r="L1332"/>
      <c r="M1332"/>
      <c r="N1332"/>
      <c r="O1332"/>
      <c r="P1332"/>
    </row>
    <row r="1333" spans="2:16">
      <c r="B1333"/>
      <c r="C1333"/>
      <c r="D1333"/>
      <c r="E1333"/>
      <c r="F1333"/>
      <c r="G1333"/>
      <c r="H1333"/>
      <c r="I1333"/>
      <c r="J1333"/>
      <c r="K1333"/>
      <c r="L1333"/>
      <c r="M1333"/>
      <c r="N1333"/>
      <c r="O1333"/>
      <c r="P1333"/>
    </row>
    <row r="1334" spans="2:16">
      <c r="B1334"/>
      <c r="C1334"/>
      <c r="D1334"/>
      <c r="E1334"/>
      <c r="F1334"/>
      <c r="G1334"/>
      <c r="H1334"/>
      <c r="I1334"/>
      <c r="J1334"/>
      <c r="K1334"/>
      <c r="L1334"/>
      <c r="M1334"/>
      <c r="N1334"/>
      <c r="O1334"/>
      <c r="P1334"/>
    </row>
    <row r="1335" spans="2:16">
      <c r="B1335"/>
      <c r="C1335"/>
      <c r="D1335"/>
      <c r="E1335"/>
      <c r="F1335"/>
      <c r="G1335"/>
      <c r="H1335"/>
      <c r="I1335"/>
      <c r="J1335"/>
      <c r="K1335"/>
      <c r="L1335"/>
      <c r="M1335"/>
      <c r="N1335"/>
      <c r="O1335"/>
      <c r="P1335"/>
    </row>
    <row r="1336" spans="2:16">
      <c r="B1336"/>
      <c r="C1336"/>
      <c r="D1336"/>
      <c r="E1336"/>
      <c r="F1336"/>
      <c r="G1336"/>
      <c r="H1336"/>
      <c r="I1336"/>
      <c r="J1336"/>
      <c r="K1336"/>
      <c r="L1336"/>
      <c r="M1336"/>
      <c r="N1336"/>
      <c r="O1336"/>
      <c r="P1336"/>
    </row>
    <row r="1337" spans="2:16">
      <c r="B1337"/>
      <c r="C1337"/>
      <c r="D1337"/>
      <c r="E1337"/>
      <c r="F1337"/>
      <c r="G1337"/>
      <c r="H1337"/>
      <c r="I1337"/>
      <c r="J1337"/>
      <c r="K1337"/>
      <c r="L1337"/>
      <c r="M1337"/>
      <c r="N1337"/>
      <c r="O1337"/>
      <c r="P1337"/>
    </row>
    <row r="1338" spans="2:16">
      <c r="B1338"/>
      <c r="C1338"/>
      <c r="D1338"/>
      <c r="E1338"/>
      <c r="F1338"/>
      <c r="G1338"/>
      <c r="H1338"/>
      <c r="I1338"/>
      <c r="J1338"/>
      <c r="K1338"/>
      <c r="L1338"/>
      <c r="M1338"/>
      <c r="N1338"/>
      <c r="O1338"/>
      <c r="P1338"/>
    </row>
    <row r="1339" spans="2:16">
      <c r="B1339"/>
      <c r="C1339"/>
      <c r="D1339"/>
      <c r="E1339"/>
      <c r="F1339"/>
      <c r="G1339"/>
      <c r="H1339"/>
      <c r="I1339"/>
      <c r="J1339"/>
      <c r="K1339"/>
      <c r="L1339"/>
      <c r="M1339"/>
      <c r="N1339"/>
      <c r="O1339"/>
      <c r="P1339"/>
    </row>
    <row r="1340" spans="2:16">
      <c r="B1340"/>
      <c r="C1340"/>
      <c r="D1340"/>
      <c r="E1340"/>
      <c r="F1340"/>
      <c r="G1340"/>
      <c r="H1340"/>
      <c r="I1340"/>
      <c r="J1340"/>
      <c r="K1340"/>
      <c r="L1340"/>
      <c r="M1340"/>
      <c r="N1340"/>
      <c r="O1340"/>
      <c r="P1340"/>
    </row>
    <row r="1341" spans="2:16">
      <c r="B1341"/>
      <c r="C1341"/>
      <c r="D1341"/>
      <c r="E1341"/>
      <c r="F1341"/>
      <c r="G1341"/>
      <c r="H1341"/>
      <c r="I1341"/>
      <c r="J1341"/>
      <c r="K1341"/>
      <c r="L1341"/>
      <c r="M1341"/>
      <c r="N1341"/>
      <c r="O1341"/>
      <c r="P1341"/>
    </row>
    <row r="1342" spans="2:16">
      <c r="B1342"/>
      <c r="C1342"/>
      <c r="D1342"/>
      <c r="E1342"/>
      <c r="F1342"/>
      <c r="G1342"/>
      <c r="H1342"/>
      <c r="I1342"/>
      <c r="J1342"/>
      <c r="K1342"/>
      <c r="L1342"/>
      <c r="M1342"/>
      <c r="N1342"/>
      <c r="O1342"/>
      <c r="P1342"/>
    </row>
    <row r="1343" spans="2:16">
      <c r="B1343"/>
      <c r="C1343"/>
      <c r="D1343"/>
      <c r="E1343"/>
      <c r="F1343"/>
      <c r="G1343"/>
      <c r="H1343"/>
      <c r="I1343"/>
      <c r="J1343"/>
      <c r="K1343"/>
      <c r="L1343"/>
      <c r="M1343"/>
      <c r="N1343"/>
      <c r="O1343"/>
      <c r="P1343"/>
    </row>
    <row r="1344" spans="2:16">
      <c r="B1344"/>
      <c r="C1344"/>
      <c r="D1344"/>
      <c r="E1344"/>
      <c r="F1344"/>
      <c r="G1344"/>
      <c r="H1344"/>
      <c r="I1344"/>
      <c r="J1344"/>
      <c r="K1344"/>
      <c r="L1344"/>
      <c r="M1344"/>
      <c r="N1344"/>
      <c r="O1344"/>
      <c r="P1344"/>
    </row>
    <row r="1345" spans="2:16">
      <c r="B1345"/>
      <c r="C1345"/>
      <c r="D1345"/>
      <c r="E1345"/>
      <c r="F1345"/>
      <c r="G1345"/>
      <c r="H1345"/>
      <c r="I1345"/>
      <c r="J1345"/>
      <c r="K1345"/>
      <c r="L1345"/>
      <c r="M1345"/>
      <c r="N1345"/>
      <c r="O1345"/>
      <c r="P1345"/>
    </row>
    <row r="1346" spans="2:16">
      <c r="B1346"/>
      <c r="C1346"/>
      <c r="D1346"/>
      <c r="E1346"/>
      <c r="F1346"/>
      <c r="G1346"/>
      <c r="H1346"/>
      <c r="I1346"/>
      <c r="J1346"/>
      <c r="K1346"/>
      <c r="L1346"/>
      <c r="M1346"/>
      <c r="N1346"/>
      <c r="O1346"/>
      <c r="P1346"/>
    </row>
    <row r="1347" spans="2:16">
      <c r="B1347"/>
      <c r="C1347"/>
      <c r="D1347"/>
      <c r="E1347"/>
      <c r="F1347"/>
      <c r="G1347"/>
      <c r="H1347"/>
      <c r="I1347"/>
      <c r="J1347"/>
      <c r="K1347"/>
      <c r="L1347"/>
      <c r="M1347"/>
      <c r="N1347"/>
      <c r="O1347"/>
      <c r="P1347"/>
    </row>
    <row r="1348" spans="2:16">
      <c r="B1348"/>
      <c r="C1348"/>
      <c r="D1348"/>
      <c r="E1348"/>
      <c r="F1348"/>
      <c r="G1348"/>
      <c r="H1348"/>
      <c r="I1348"/>
      <c r="J1348"/>
      <c r="K1348"/>
      <c r="L1348"/>
      <c r="M1348"/>
      <c r="N1348"/>
      <c r="O1348"/>
      <c r="P1348"/>
    </row>
    <row r="1349" spans="2:16">
      <c r="B1349"/>
      <c r="C1349"/>
      <c r="D1349"/>
      <c r="E1349"/>
      <c r="F1349"/>
      <c r="G1349"/>
      <c r="H1349"/>
      <c r="I1349"/>
      <c r="J1349"/>
      <c r="K1349"/>
      <c r="L1349"/>
      <c r="M1349"/>
      <c r="N1349"/>
      <c r="O1349"/>
      <c r="P1349"/>
    </row>
    <row r="1350" spans="2:16">
      <c r="B1350"/>
      <c r="C1350"/>
      <c r="D1350"/>
      <c r="E1350"/>
      <c r="F1350"/>
      <c r="G1350"/>
      <c r="H1350"/>
      <c r="I1350"/>
      <c r="J1350"/>
      <c r="K1350"/>
      <c r="L1350"/>
      <c r="M1350"/>
      <c r="N1350"/>
      <c r="O1350"/>
      <c r="P1350"/>
    </row>
    <row r="1351" spans="2:16">
      <c r="B1351"/>
      <c r="C1351"/>
      <c r="D1351"/>
      <c r="E1351"/>
      <c r="F1351"/>
      <c r="G1351"/>
      <c r="H1351"/>
      <c r="I1351"/>
      <c r="J1351"/>
      <c r="K1351"/>
      <c r="L1351"/>
      <c r="M1351"/>
      <c r="N1351"/>
      <c r="O1351"/>
      <c r="P1351"/>
    </row>
    <row r="1352" spans="2:16">
      <c r="B1352"/>
      <c r="C1352"/>
      <c r="D1352"/>
      <c r="E1352"/>
      <c r="F1352"/>
      <c r="G1352"/>
      <c r="H1352"/>
      <c r="I1352"/>
      <c r="J1352"/>
      <c r="K1352"/>
      <c r="L1352"/>
      <c r="M1352"/>
      <c r="N1352"/>
      <c r="O1352"/>
      <c r="P1352"/>
    </row>
    <row r="1353" spans="2:16">
      <c r="B1353"/>
      <c r="C1353"/>
      <c r="D1353"/>
      <c r="E1353"/>
      <c r="F1353"/>
      <c r="G1353"/>
      <c r="H1353"/>
      <c r="I1353"/>
      <c r="J1353"/>
      <c r="K1353"/>
      <c r="L1353"/>
      <c r="M1353"/>
      <c r="N1353"/>
      <c r="O1353"/>
      <c r="P1353"/>
    </row>
    <row r="1354" spans="2:16">
      <c r="B1354"/>
      <c r="C1354"/>
      <c r="D1354"/>
      <c r="E1354"/>
      <c r="F1354"/>
      <c r="G1354"/>
      <c r="H1354"/>
      <c r="I1354"/>
      <c r="J1354"/>
      <c r="K1354"/>
      <c r="L1354"/>
      <c r="M1354"/>
      <c r="N1354"/>
      <c r="O1354"/>
      <c r="P1354"/>
    </row>
    <row r="1355" spans="2:16">
      <c r="B1355"/>
      <c r="C1355"/>
      <c r="D1355"/>
      <c r="E1355"/>
      <c r="F1355"/>
      <c r="G1355"/>
      <c r="H1355"/>
      <c r="I1355"/>
      <c r="J1355"/>
      <c r="K1355"/>
      <c r="L1355"/>
      <c r="M1355"/>
      <c r="N1355"/>
      <c r="O1355"/>
      <c r="P1355"/>
    </row>
    <row r="1356" spans="2:16">
      <c r="B1356"/>
      <c r="C1356"/>
      <c r="D1356"/>
      <c r="E1356"/>
      <c r="F1356"/>
      <c r="G1356"/>
      <c r="H1356"/>
      <c r="I1356"/>
      <c r="J1356"/>
      <c r="K1356"/>
      <c r="L1356"/>
      <c r="M1356"/>
      <c r="N1356"/>
      <c r="O1356"/>
      <c r="P1356"/>
    </row>
    <row r="1357" spans="2:16">
      <c r="B1357"/>
      <c r="C1357"/>
      <c r="D1357"/>
      <c r="E1357"/>
      <c r="F1357"/>
      <c r="G1357"/>
      <c r="H1357"/>
      <c r="I1357"/>
      <c r="J1357"/>
      <c r="K1357"/>
      <c r="L1357"/>
      <c r="M1357"/>
      <c r="N1357"/>
      <c r="O1357"/>
      <c r="P1357"/>
    </row>
    <row r="1358" spans="2:16">
      <c r="B1358"/>
      <c r="C1358"/>
      <c r="D1358"/>
      <c r="E1358"/>
      <c r="F1358"/>
      <c r="G1358"/>
      <c r="H1358"/>
      <c r="I1358"/>
      <c r="J1358"/>
      <c r="K1358"/>
      <c r="L1358"/>
      <c r="M1358"/>
      <c r="N1358"/>
      <c r="O1358"/>
      <c r="P1358"/>
    </row>
    <row r="1359" spans="2:16">
      <c r="B1359"/>
      <c r="C1359"/>
      <c r="D1359"/>
      <c r="E1359"/>
      <c r="F1359"/>
      <c r="G1359"/>
      <c r="H1359"/>
      <c r="I1359"/>
      <c r="J1359"/>
      <c r="K1359"/>
      <c r="L1359"/>
      <c r="M1359"/>
      <c r="N1359"/>
      <c r="O1359"/>
      <c r="P1359"/>
    </row>
    <row r="1360" spans="2:16">
      <c r="B1360"/>
      <c r="C1360"/>
      <c r="D1360"/>
      <c r="E1360"/>
      <c r="F1360"/>
      <c r="G1360"/>
      <c r="H1360"/>
      <c r="I1360"/>
      <c r="J1360"/>
      <c r="K1360"/>
      <c r="L1360"/>
      <c r="M1360"/>
      <c r="N1360"/>
      <c r="O1360"/>
      <c r="P1360"/>
    </row>
    <row r="1361" spans="2:16">
      <c r="B1361"/>
      <c r="C1361"/>
      <c r="D1361"/>
      <c r="E1361"/>
      <c r="F1361"/>
      <c r="G1361"/>
      <c r="H1361"/>
      <c r="I1361"/>
      <c r="J1361"/>
      <c r="K1361"/>
      <c r="L1361"/>
      <c r="M1361"/>
      <c r="N1361"/>
      <c r="O1361"/>
      <c r="P1361"/>
    </row>
    <row r="1362" spans="2:16">
      <c r="B1362"/>
      <c r="C1362"/>
      <c r="D1362"/>
      <c r="E1362"/>
      <c r="F1362"/>
      <c r="G1362"/>
      <c r="H1362"/>
      <c r="I1362"/>
      <c r="J1362"/>
      <c r="K1362"/>
      <c r="L1362"/>
      <c r="M1362"/>
      <c r="N1362"/>
      <c r="O1362"/>
      <c r="P1362"/>
    </row>
    <row r="1363" spans="2:16">
      <c r="B1363"/>
      <c r="C1363"/>
      <c r="D1363"/>
      <c r="E1363"/>
      <c r="F1363"/>
      <c r="G1363"/>
      <c r="H1363"/>
      <c r="I1363"/>
      <c r="J1363"/>
      <c r="K1363"/>
      <c r="L1363"/>
      <c r="M1363"/>
      <c r="N1363"/>
      <c r="O1363"/>
      <c r="P1363"/>
    </row>
    <row r="1364" spans="2:16">
      <c r="B1364"/>
      <c r="C1364"/>
      <c r="D1364"/>
      <c r="E1364"/>
      <c r="F1364"/>
      <c r="G1364"/>
      <c r="H1364"/>
      <c r="I1364"/>
      <c r="J1364"/>
      <c r="K1364"/>
      <c r="L1364"/>
      <c r="M1364"/>
      <c r="N1364"/>
      <c r="O1364"/>
      <c r="P1364"/>
    </row>
    <row r="1365" spans="2:16">
      <c r="B1365"/>
      <c r="C1365"/>
      <c r="D1365"/>
      <c r="E1365"/>
      <c r="F1365"/>
      <c r="G1365"/>
      <c r="H1365"/>
      <c r="I1365"/>
      <c r="J1365"/>
      <c r="K1365"/>
      <c r="L1365"/>
      <c r="M1365"/>
      <c r="N1365"/>
      <c r="O1365"/>
      <c r="P1365"/>
    </row>
    <row r="1366" spans="2:16">
      <c r="B1366"/>
      <c r="C1366"/>
      <c r="D1366"/>
      <c r="E1366"/>
      <c r="F1366"/>
      <c r="G1366"/>
      <c r="H1366"/>
      <c r="I1366"/>
      <c r="J1366"/>
      <c r="K1366"/>
      <c r="L1366"/>
      <c r="M1366"/>
      <c r="N1366"/>
      <c r="O1366"/>
      <c r="P1366"/>
    </row>
    <row r="1367" spans="2:16">
      <c r="B1367"/>
      <c r="C1367"/>
      <c r="D1367"/>
      <c r="E1367"/>
      <c r="F1367"/>
      <c r="G1367"/>
      <c r="H1367"/>
      <c r="I1367"/>
      <c r="J1367"/>
      <c r="K1367"/>
      <c r="L1367"/>
      <c r="M1367"/>
      <c r="N1367"/>
      <c r="O1367"/>
      <c r="P1367"/>
    </row>
    <row r="1368" spans="2:16">
      <c r="B1368"/>
      <c r="C1368"/>
      <c r="D1368"/>
      <c r="E1368"/>
      <c r="F1368"/>
      <c r="G1368"/>
      <c r="H1368"/>
      <c r="I1368"/>
      <c r="J1368"/>
      <c r="K1368"/>
      <c r="L1368"/>
      <c r="M1368"/>
      <c r="N1368"/>
      <c r="O1368"/>
      <c r="P1368"/>
    </row>
    <row r="1369" spans="2:16">
      <c r="B1369"/>
      <c r="C1369"/>
      <c r="D1369"/>
      <c r="E1369"/>
      <c r="F1369"/>
      <c r="G1369"/>
      <c r="H1369"/>
      <c r="I1369"/>
      <c r="J1369"/>
      <c r="K1369"/>
      <c r="L1369"/>
      <c r="M1369"/>
      <c r="N1369"/>
      <c r="O1369"/>
      <c r="P1369"/>
    </row>
    <row r="1370" spans="2:16">
      <c r="B1370"/>
      <c r="C1370"/>
      <c r="D1370"/>
      <c r="E1370"/>
      <c r="F1370"/>
      <c r="G1370"/>
      <c r="H1370"/>
      <c r="I1370"/>
      <c r="J1370"/>
      <c r="K1370"/>
      <c r="L1370"/>
      <c r="M1370"/>
      <c r="N1370"/>
      <c r="O1370"/>
      <c r="P1370"/>
    </row>
    <row r="1371" spans="2:16">
      <c r="B1371"/>
      <c r="C1371"/>
      <c r="D1371"/>
      <c r="E1371"/>
      <c r="F1371"/>
      <c r="G1371"/>
      <c r="H1371"/>
      <c r="I1371"/>
      <c r="J1371"/>
      <c r="K1371"/>
      <c r="L1371"/>
      <c r="M1371"/>
      <c r="N1371"/>
      <c r="O1371"/>
      <c r="P1371"/>
    </row>
    <row r="1372" spans="2:16">
      <c r="B1372"/>
      <c r="C1372"/>
      <c r="D1372"/>
      <c r="E1372"/>
      <c r="F1372"/>
      <c r="G1372"/>
      <c r="H1372"/>
      <c r="I1372"/>
      <c r="J1372"/>
      <c r="K1372"/>
      <c r="L1372"/>
      <c r="M1372"/>
      <c r="N1372"/>
      <c r="O1372"/>
      <c r="P1372"/>
    </row>
    <row r="1373" spans="2:16">
      <c r="B1373"/>
      <c r="C1373"/>
      <c r="D1373"/>
      <c r="E1373"/>
      <c r="F1373"/>
      <c r="G1373"/>
      <c r="H1373"/>
      <c r="I1373"/>
      <c r="J1373"/>
      <c r="K1373"/>
      <c r="L1373"/>
      <c r="M1373"/>
      <c r="N1373"/>
      <c r="O1373"/>
      <c r="P1373"/>
    </row>
    <row r="1374" spans="2:16">
      <c r="B1374"/>
      <c r="C1374"/>
      <c r="D1374"/>
      <c r="E1374"/>
      <c r="F1374"/>
      <c r="G1374"/>
      <c r="H1374"/>
      <c r="I1374"/>
      <c r="J1374"/>
      <c r="K1374"/>
      <c r="L1374"/>
      <c r="M1374"/>
      <c r="N1374"/>
      <c r="O1374"/>
      <c r="P1374"/>
    </row>
    <row r="1375" spans="2:16">
      <c r="B1375"/>
      <c r="C1375"/>
      <c r="D1375"/>
      <c r="E1375"/>
      <c r="F1375"/>
      <c r="G1375"/>
      <c r="H1375"/>
      <c r="I1375"/>
      <c r="J1375"/>
      <c r="K1375"/>
      <c r="L1375"/>
      <c r="M1375"/>
      <c r="N1375"/>
      <c r="O1375"/>
      <c r="P1375"/>
    </row>
    <row r="1376" spans="2:16">
      <c r="B1376"/>
      <c r="C1376"/>
      <c r="D1376"/>
      <c r="E1376"/>
      <c r="F1376"/>
      <c r="G1376"/>
      <c r="H1376"/>
      <c r="I1376"/>
      <c r="J1376"/>
      <c r="K1376"/>
      <c r="L1376"/>
      <c r="M1376"/>
      <c r="N1376"/>
      <c r="O1376"/>
      <c r="P1376"/>
    </row>
    <row r="1377" spans="2:16">
      <c r="B1377"/>
      <c r="C1377"/>
      <c r="D1377"/>
      <c r="E1377"/>
      <c r="F1377"/>
      <c r="G1377"/>
      <c r="H1377"/>
      <c r="I1377"/>
      <c r="J1377"/>
      <c r="K1377"/>
      <c r="L1377"/>
      <c r="M1377"/>
      <c r="N1377"/>
      <c r="O1377"/>
      <c r="P1377"/>
    </row>
    <row r="1378" spans="2:16">
      <c r="B1378"/>
      <c r="C1378"/>
      <c r="D1378"/>
      <c r="E1378"/>
      <c r="F1378"/>
      <c r="G1378"/>
      <c r="H1378"/>
      <c r="I1378"/>
      <c r="J1378"/>
      <c r="K1378"/>
      <c r="L1378"/>
      <c r="M1378"/>
      <c r="N1378"/>
      <c r="O1378"/>
      <c r="P1378"/>
    </row>
    <row r="1379" spans="2:16">
      <c r="B1379"/>
      <c r="C1379"/>
      <c r="D1379"/>
      <c r="E1379"/>
      <c r="F1379"/>
      <c r="G1379"/>
      <c r="H1379"/>
      <c r="I1379"/>
      <c r="J1379"/>
      <c r="K1379"/>
      <c r="L1379"/>
      <c r="M1379"/>
      <c r="N1379"/>
      <c r="O1379"/>
      <c r="P1379"/>
    </row>
    <row r="1380" spans="2:16">
      <c r="B1380"/>
      <c r="C1380"/>
      <c r="D1380"/>
      <c r="E1380"/>
      <c r="F1380"/>
      <c r="G1380"/>
      <c r="H1380"/>
      <c r="I1380"/>
      <c r="J1380"/>
      <c r="K1380"/>
      <c r="L1380"/>
      <c r="M1380"/>
      <c r="N1380"/>
      <c r="O1380"/>
      <c r="P1380"/>
    </row>
    <row r="1381" spans="2:16">
      <c r="B1381"/>
      <c r="C1381"/>
      <c r="D1381"/>
      <c r="E1381"/>
      <c r="F1381"/>
      <c r="G1381"/>
      <c r="H1381"/>
      <c r="I1381"/>
      <c r="J1381"/>
      <c r="K1381"/>
      <c r="L1381"/>
      <c r="M1381"/>
      <c r="N1381"/>
      <c r="O1381"/>
      <c r="P1381"/>
    </row>
    <row r="1382" spans="2:16">
      <c r="B1382"/>
      <c r="C1382"/>
      <c r="D1382"/>
      <c r="E1382"/>
      <c r="F1382"/>
      <c r="G1382"/>
      <c r="H1382"/>
      <c r="I1382"/>
      <c r="J1382"/>
      <c r="K1382"/>
      <c r="L1382"/>
      <c r="M1382"/>
      <c r="N1382"/>
      <c r="O1382"/>
      <c r="P1382"/>
    </row>
    <row r="1383" spans="2:16">
      <c r="B1383"/>
      <c r="C1383"/>
      <c r="D1383"/>
      <c r="E1383"/>
      <c r="F1383"/>
      <c r="G1383"/>
      <c r="H1383"/>
      <c r="I1383"/>
      <c r="J1383"/>
      <c r="K1383"/>
      <c r="L1383"/>
      <c r="M1383"/>
      <c r="N1383"/>
      <c r="O1383"/>
      <c r="P1383"/>
    </row>
    <row r="1384" spans="2:16">
      <c r="B1384"/>
      <c r="C1384"/>
      <c r="D1384"/>
      <c r="E1384"/>
      <c r="F1384"/>
      <c r="G1384"/>
      <c r="H1384"/>
      <c r="I1384"/>
      <c r="J1384"/>
      <c r="K1384"/>
      <c r="L1384"/>
      <c r="M1384"/>
      <c r="N1384"/>
      <c r="O1384"/>
      <c r="P1384"/>
    </row>
    <row r="1385" spans="2:16">
      <c r="B1385"/>
      <c r="C1385"/>
      <c r="D1385"/>
      <c r="E1385"/>
      <c r="F1385"/>
      <c r="G1385"/>
      <c r="H1385"/>
      <c r="I1385"/>
      <c r="J1385"/>
      <c r="K1385"/>
      <c r="L1385"/>
      <c r="M1385"/>
      <c r="N1385"/>
      <c r="O1385"/>
      <c r="P1385"/>
    </row>
    <row r="1386" spans="2:16">
      <c r="B1386"/>
      <c r="C1386"/>
      <c r="D1386"/>
      <c r="E1386"/>
      <c r="F1386"/>
      <c r="G1386"/>
      <c r="H1386"/>
      <c r="I1386"/>
      <c r="J1386"/>
      <c r="K1386"/>
      <c r="L1386"/>
      <c r="M1386"/>
      <c r="N1386"/>
      <c r="O1386"/>
      <c r="P1386"/>
    </row>
    <row r="1387" spans="2:16">
      <c r="B1387"/>
      <c r="C1387"/>
      <c r="D1387"/>
      <c r="E1387"/>
      <c r="F1387"/>
      <c r="G1387"/>
      <c r="H1387"/>
      <c r="I1387"/>
      <c r="J1387"/>
      <c r="K1387"/>
      <c r="L1387"/>
      <c r="M1387"/>
      <c r="N1387"/>
      <c r="O1387"/>
      <c r="P1387"/>
    </row>
    <row r="1388" spans="2:16">
      <c r="B1388"/>
      <c r="C1388"/>
      <c r="D1388"/>
      <c r="E1388"/>
      <c r="F1388"/>
      <c r="G1388"/>
      <c r="H1388"/>
      <c r="I1388"/>
      <c r="J1388"/>
      <c r="K1388"/>
      <c r="L1388"/>
      <c r="M1388"/>
      <c r="N1388"/>
      <c r="O1388"/>
      <c r="P1388"/>
    </row>
    <row r="1389" spans="2:16">
      <c r="B1389"/>
      <c r="C1389"/>
      <c r="D1389"/>
      <c r="E1389"/>
      <c r="F1389"/>
      <c r="G1389"/>
      <c r="H1389"/>
      <c r="I1389"/>
      <c r="J1389"/>
      <c r="K1389"/>
      <c r="L1389"/>
      <c r="M1389"/>
      <c r="N1389"/>
      <c r="O1389"/>
      <c r="P1389"/>
    </row>
    <row r="1390" spans="2:16">
      <c r="B1390"/>
      <c r="C1390"/>
      <c r="D1390"/>
      <c r="E1390"/>
      <c r="F1390"/>
      <c r="G1390"/>
      <c r="H1390"/>
      <c r="I1390"/>
      <c r="J1390"/>
      <c r="K1390"/>
      <c r="L1390"/>
      <c r="M1390"/>
      <c r="N1390"/>
      <c r="O1390"/>
      <c r="P1390"/>
    </row>
    <row r="1391" spans="2:16">
      <c r="B1391"/>
      <c r="C1391"/>
      <c r="D1391"/>
      <c r="E1391"/>
      <c r="F1391"/>
      <c r="G1391"/>
      <c r="H1391"/>
      <c r="I1391"/>
      <c r="J1391"/>
      <c r="K1391"/>
      <c r="L1391"/>
      <c r="M1391"/>
      <c r="N1391"/>
      <c r="O1391"/>
      <c r="P1391"/>
    </row>
    <row r="1392" spans="2:16">
      <c r="B1392"/>
      <c r="C1392"/>
      <c r="D1392"/>
      <c r="E1392"/>
      <c r="F1392"/>
      <c r="G1392"/>
      <c r="H1392"/>
      <c r="I1392"/>
      <c r="J1392"/>
      <c r="K1392"/>
      <c r="L1392"/>
      <c r="M1392"/>
      <c r="N1392"/>
      <c r="O1392"/>
      <c r="P1392"/>
    </row>
    <row r="1393" spans="2:16">
      <c r="B1393"/>
      <c r="C1393"/>
      <c r="D1393"/>
      <c r="E1393"/>
      <c r="F1393"/>
      <c r="G1393"/>
      <c r="H1393"/>
      <c r="I1393"/>
      <c r="J1393"/>
      <c r="K1393"/>
      <c r="L1393"/>
      <c r="M1393"/>
      <c r="N1393"/>
      <c r="O1393"/>
      <c r="P1393"/>
    </row>
    <row r="1394" spans="2:16">
      <c r="B1394"/>
      <c r="C1394"/>
      <c r="D1394"/>
      <c r="E1394"/>
      <c r="F1394"/>
      <c r="G1394"/>
      <c r="H1394"/>
      <c r="I1394"/>
      <c r="J1394"/>
      <c r="K1394"/>
      <c r="L1394"/>
      <c r="M1394"/>
      <c r="N1394"/>
      <c r="O1394"/>
      <c r="P1394"/>
    </row>
    <row r="1395" spans="2:16">
      <c r="B1395"/>
      <c r="C1395"/>
      <c r="D1395"/>
      <c r="E1395"/>
      <c r="F1395"/>
      <c r="G1395"/>
      <c r="H1395"/>
      <c r="I1395"/>
      <c r="J1395"/>
      <c r="K1395"/>
      <c r="L1395"/>
      <c r="M1395"/>
      <c r="N1395"/>
      <c r="O1395"/>
      <c r="P1395"/>
    </row>
    <row r="1396" spans="2:16">
      <c r="B1396"/>
      <c r="C1396"/>
      <c r="D1396"/>
      <c r="E1396"/>
      <c r="F1396"/>
      <c r="G1396"/>
      <c r="H1396"/>
      <c r="I1396"/>
      <c r="J1396"/>
      <c r="K1396"/>
      <c r="L1396"/>
      <c r="M1396"/>
      <c r="N1396"/>
      <c r="O1396"/>
      <c r="P1396"/>
    </row>
    <row r="1397" spans="2:16">
      <c r="B1397"/>
      <c r="C1397"/>
      <c r="D1397"/>
      <c r="E1397"/>
      <c r="F1397"/>
      <c r="G1397"/>
      <c r="H1397"/>
      <c r="I1397"/>
      <c r="J1397"/>
      <c r="K1397"/>
      <c r="L1397"/>
      <c r="M1397"/>
      <c r="N1397"/>
      <c r="O1397"/>
      <c r="P1397"/>
    </row>
    <row r="1398" spans="2:16">
      <c r="B1398"/>
      <c r="C1398"/>
      <c r="D1398"/>
      <c r="E1398"/>
      <c r="F1398"/>
      <c r="G1398"/>
      <c r="H1398"/>
      <c r="I1398"/>
      <c r="J1398"/>
      <c r="K1398"/>
      <c r="L1398"/>
      <c r="M1398"/>
      <c r="N1398"/>
      <c r="O1398"/>
      <c r="P1398"/>
    </row>
    <row r="1399" spans="2:16">
      <c r="B1399"/>
      <c r="C1399"/>
      <c r="D1399"/>
      <c r="E1399"/>
      <c r="F1399"/>
      <c r="G1399"/>
      <c r="H1399"/>
      <c r="I1399"/>
      <c r="J1399"/>
      <c r="K1399"/>
      <c r="L1399"/>
      <c r="M1399"/>
      <c r="N1399"/>
      <c r="O1399"/>
      <c r="P1399"/>
    </row>
    <row r="1400" spans="2:16">
      <c r="B1400"/>
      <c r="C1400"/>
      <c r="D1400"/>
      <c r="E1400"/>
      <c r="F1400"/>
      <c r="G1400"/>
      <c r="H1400"/>
      <c r="I1400"/>
      <c r="J1400"/>
      <c r="K1400"/>
      <c r="L1400"/>
      <c r="M1400"/>
      <c r="N1400"/>
      <c r="O1400"/>
      <c r="P1400"/>
    </row>
    <row r="1401" spans="2:16">
      <c r="B1401"/>
      <c r="C1401"/>
      <c r="D1401"/>
      <c r="E1401"/>
      <c r="F1401"/>
      <c r="G1401"/>
      <c r="H1401"/>
      <c r="I1401"/>
      <c r="J1401"/>
      <c r="K1401"/>
      <c r="L1401"/>
      <c r="M1401"/>
      <c r="N1401"/>
      <c r="O1401"/>
      <c r="P1401"/>
    </row>
    <row r="1402" spans="2:16">
      <c r="B1402"/>
      <c r="C1402"/>
      <c r="D1402"/>
      <c r="E1402"/>
      <c r="F1402"/>
      <c r="G1402"/>
      <c r="H1402"/>
      <c r="I1402"/>
      <c r="J1402"/>
      <c r="K1402"/>
      <c r="L1402"/>
      <c r="M1402"/>
      <c r="N1402"/>
      <c r="O1402"/>
      <c r="P1402"/>
    </row>
    <row r="1403" spans="2:16">
      <c r="B1403"/>
      <c r="C1403"/>
      <c r="D1403"/>
      <c r="E1403"/>
      <c r="F1403"/>
      <c r="G1403"/>
      <c r="H1403"/>
      <c r="I1403"/>
      <c r="J1403"/>
      <c r="K1403"/>
      <c r="L1403"/>
      <c r="M1403"/>
      <c r="N1403"/>
      <c r="O1403"/>
      <c r="P1403"/>
    </row>
    <row r="1404" spans="2:16">
      <c r="B1404"/>
      <c r="C1404"/>
      <c r="D1404"/>
      <c r="E1404"/>
      <c r="F1404"/>
      <c r="G1404"/>
      <c r="H1404"/>
      <c r="I1404"/>
      <c r="J1404"/>
      <c r="K1404"/>
      <c r="L1404"/>
      <c r="M1404"/>
      <c r="N1404"/>
      <c r="O1404"/>
      <c r="P1404"/>
    </row>
    <row r="1405" spans="2:16">
      <c r="B1405"/>
      <c r="C1405"/>
      <c r="D1405"/>
      <c r="E1405"/>
      <c r="F1405"/>
      <c r="G1405"/>
      <c r="H1405"/>
      <c r="I1405"/>
      <c r="J1405"/>
      <c r="K1405"/>
      <c r="L1405"/>
      <c r="M1405"/>
      <c r="N1405"/>
      <c r="O1405"/>
      <c r="P1405"/>
    </row>
    <row r="1406" spans="2:16">
      <c r="B1406"/>
      <c r="C1406"/>
      <c r="D1406"/>
      <c r="E1406"/>
      <c r="F1406"/>
      <c r="G1406"/>
      <c r="H1406"/>
      <c r="I1406"/>
      <c r="J1406"/>
      <c r="K1406"/>
      <c r="L1406"/>
      <c r="M1406"/>
      <c r="N1406"/>
      <c r="O1406"/>
      <c r="P1406"/>
    </row>
    <row r="1407" spans="2:16">
      <c r="B1407"/>
      <c r="C1407"/>
      <c r="D1407"/>
      <c r="E1407"/>
      <c r="F1407"/>
      <c r="G1407"/>
      <c r="H1407"/>
      <c r="I1407"/>
      <c r="J1407"/>
      <c r="K1407"/>
      <c r="L1407"/>
      <c r="M1407"/>
      <c r="N1407"/>
      <c r="O1407"/>
      <c r="P1407"/>
    </row>
    <row r="1408" spans="2:16">
      <c r="B1408"/>
      <c r="C1408"/>
      <c r="D1408"/>
      <c r="E1408"/>
      <c r="F1408"/>
      <c r="G1408"/>
      <c r="H1408"/>
      <c r="I1408"/>
      <c r="J1408"/>
      <c r="K1408"/>
      <c r="L1408"/>
      <c r="M1408"/>
      <c r="N1408"/>
      <c r="O1408"/>
      <c r="P1408"/>
    </row>
    <row r="1409" spans="2:16">
      <c r="B1409"/>
      <c r="C1409"/>
      <c r="D1409"/>
      <c r="E1409"/>
      <c r="F1409"/>
      <c r="G1409"/>
      <c r="H1409"/>
      <c r="I1409"/>
      <c r="J1409"/>
      <c r="K1409"/>
      <c r="L1409"/>
      <c r="M1409"/>
      <c r="N1409"/>
      <c r="O1409"/>
      <c r="P1409"/>
    </row>
    <row r="1410" spans="2:16">
      <c r="B1410"/>
      <c r="C1410"/>
      <c r="D1410"/>
      <c r="E1410"/>
      <c r="F1410"/>
      <c r="G1410"/>
      <c r="H1410"/>
      <c r="I1410"/>
      <c r="J1410"/>
      <c r="K1410"/>
      <c r="L1410"/>
      <c r="M1410"/>
      <c r="N1410"/>
      <c r="O1410"/>
      <c r="P1410"/>
    </row>
    <row r="1411" spans="2:16">
      <c r="B1411"/>
      <c r="C1411"/>
      <c r="D1411"/>
      <c r="E1411"/>
      <c r="F1411"/>
      <c r="G1411"/>
      <c r="H1411"/>
      <c r="I1411"/>
      <c r="J1411"/>
      <c r="K1411"/>
      <c r="L1411"/>
      <c r="M1411"/>
      <c r="N1411"/>
      <c r="O1411"/>
      <c r="P1411"/>
    </row>
    <row r="1412" spans="2:16">
      <c r="B1412"/>
      <c r="C1412"/>
      <c r="D1412"/>
      <c r="E1412"/>
      <c r="F1412"/>
      <c r="G1412"/>
      <c r="H1412"/>
      <c r="I1412"/>
      <c r="J1412"/>
      <c r="K1412"/>
      <c r="L1412"/>
      <c r="M1412"/>
      <c r="N1412"/>
      <c r="O1412"/>
      <c r="P1412"/>
    </row>
    <row r="1413" spans="2:16">
      <c r="B1413"/>
      <c r="C1413"/>
      <c r="D1413"/>
      <c r="E1413"/>
      <c r="F1413"/>
      <c r="G1413"/>
      <c r="H1413"/>
      <c r="I1413"/>
      <c r="J1413"/>
      <c r="K1413"/>
      <c r="L1413"/>
      <c r="M1413"/>
      <c r="N1413"/>
      <c r="O1413"/>
      <c r="P1413"/>
    </row>
    <row r="1414" spans="2:16">
      <c r="B1414"/>
      <c r="C1414"/>
      <c r="D1414"/>
      <c r="E1414"/>
      <c r="F1414"/>
      <c r="G1414"/>
      <c r="H1414"/>
      <c r="I1414"/>
      <c r="J1414"/>
      <c r="K1414"/>
      <c r="L1414"/>
      <c r="M1414"/>
      <c r="N1414"/>
      <c r="O1414"/>
      <c r="P1414"/>
    </row>
    <row r="1415" spans="2:16">
      <c r="B1415"/>
      <c r="C1415"/>
      <c r="D1415"/>
      <c r="E1415"/>
      <c r="F1415"/>
      <c r="G1415"/>
      <c r="H1415"/>
      <c r="I1415"/>
      <c r="J1415"/>
      <c r="K1415"/>
      <c r="L1415"/>
      <c r="M1415"/>
      <c r="N1415"/>
      <c r="O1415"/>
      <c r="P1415"/>
    </row>
    <row r="1416" spans="2:16">
      <c r="B1416"/>
      <c r="C1416"/>
      <c r="D1416"/>
      <c r="E1416"/>
      <c r="F1416"/>
      <c r="G1416"/>
      <c r="H1416"/>
      <c r="I1416"/>
      <c r="J1416"/>
      <c r="K1416"/>
      <c r="L1416"/>
      <c r="M1416"/>
      <c r="N1416"/>
      <c r="O1416"/>
      <c r="P1416"/>
    </row>
    <row r="1417" spans="2:16">
      <c r="B1417"/>
      <c r="C1417"/>
      <c r="D1417"/>
      <c r="E1417"/>
      <c r="F1417"/>
      <c r="G1417"/>
      <c r="H1417"/>
      <c r="I1417"/>
      <c r="J1417"/>
      <c r="K1417"/>
      <c r="L1417"/>
      <c r="M1417"/>
      <c r="N1417"/>
      <c r="O1417"/>
      <c r="P1417"/>
    </row>
    <row r="1418" spans="2:16">
      <c r="B1418"/>
      <c r="C1418"/>
      <c r="D1418"/>
      <c r="E1418"/>
      <c r="F1418"/>
      <c r="G1418"/>
      <c r="H1418"/>
      <c r="I1418"/>
      <c r="J1418"/>
      <c r="K1418"/>
      <c r="L1418"/>
      <c r="M1418"/>
      <c r="N1418"/>
      <c r="O1418"/>
      <c r="P1418"/>
    </row>
    <row r="1419" spans="2:16">
      <c r="B1419"/>
      <c r="C1419"/>
      <c r="D1419"/>
      <c r="E1419"/>
      <c r="F1419"/>
      <c r="G1419"/>
      <c r="H1419"/>
      <c r="I1419"/>
      <c r="J1419"/>
      <c r="K1419"/>
      <c r="L1419"/>
      <c r="M1419"/>
      <c r="N1419"/>
      <c r="O1419"/>
      <c r="P1419"/>
    </row>
    <row r="1420" spans="2:16">
      <c r="B1420"/>
      <c r="C1420"/>
      <c r="D1420"/>
      <c r="E1420"/>
      <c r="F1420"/>
      <c r="G1420"/>
      <c r="H1420"/>
      <c r="I1420"/>
      <c r="J1420"/>
      <c r="K1420"/>
      <c r="L1420"/>
      <c r="M1420"/>
      <c r="N1420"/>
      <c r="O1420"/>
      <c r="P1420"/>
    </row>
    <row r="1421" spans="2:16">
      <c r="B1421"/>
      <c r="C1421"/>
      <c r="D1421"/>
      <c r="E1421"/>
      <c r="F1421"/>
      <c r="G1421"/>
      <c r="H1421"/>
      <c r="I1421"/>
      <c r="J1421"/>
      <c r="K1421"/>
      <c r="L1421"/>
      <c r="M1421"/>
      <c r="N1421"/>
      <c r="O1421"/>
      <c r="P1421"/>
    </row>
    <row r="1422" spans="2:16">
      <c r="B1422"/>
      <c r="C1422"/>
      <c r="D1422"/>
      <c r="E1422"/>
      <c r="F1422"/>
      <c r="G1422"/>
      <c r="H1422"/>
      <c r="I1422"/>
      <c r="J1422"/>
      <c r="K1422"/>
      <c r="L1422"/>
      <c r="M1422"/>
      <c r="N1422"/>
      <c r="O1422"/>
      <c r="P1422"/>
    </row>
    <row r="1423" spans="2:16">
      <c r="B1423"/>
      <c r="C1423"/>
      <c r="D1423"/>
      <c r="E1423"/>
      <c r="F1423"/>
      <c r="G1423"/>
      <c r="H1423"/>
      <c r="I1423"/>
      <c r="J1423"/>
      <c r="K1423"/>
      <c r="L1423"/>
      <c r="M1423"/>
      <c r="N1423"/>
      <c r="O1423"/>
      <c r="P1423"/>
    </row>
    <row r="1424" spans="2:16">
      <c r="B1424"/>
      <c r="C1424"/>
      <c r="D1424"/>
      <c r="E1424"/>
      <c r="F1424"/>
      <c r="G1424"/>
      <c r="H1424"/>
      <c r="I1424"/>
      <c r="J1424"/>
      <c r="K1424"/>
      <c r="L1424"/>
      <c r="M1424"/>
      <c r="N1424"/>
      <c r="O1424"/>
      <c r="P1424"/>
    </row>
    <row r="1425" spans="2:16">
      <c r="B1425"/>
      <c r="C1425"/>
      <c r="D1425"/>
      <c r="E1425"/>
      <c r="F1425"/>
      <c r="G1425"/>
      <c r="H1425"/>
      <c r="I1425"/>
      <c r="J1425"/>
      <c r="K1425"/>
      <c r="L1425"/>
      <c r="M1425"/>
      <c r="N1425"/>
      <c r="O1425"/>
      <c r="P1425"/>
    </row>
    <row r="1426" spans="2:16">
      <c r="B1426"/>
      <c r="C1426"/>
      <c r="D1426"/>
      <c r="E1426"/>
      <c r="F1426"/>
      <c r="G1426"/>
      <c r="H1426"/>
      <c r="I1426"/>
      <c r="J1426"/>
      <c r="K1426"/>
      <c r="L1426"/>
      <c r="M1426"/>
      <c r="N1426"/>
      <c r="O1426"/>
      <c r="P1426"/>
    </row>
    <row r="1427" spans="2:16">
      <c r="B1427"/>
      <c r="C1427"/>
      <c r="D1427"/>
      <c r="E1427"/>
      <c r="F1427"/>
      <c r="G1427"/>
      <c r="H1427"/>
      <c r="I1427"/>
      <c r="J1427"/>
      <c r="K1427"/>
      <c r="L1427"/>
      <c r="M1427"/>
      <c r="N1427"/>
      <c r="O1427"/>
      <c r="P1427"/>
    </row>
    <row r="1428" spans="2:16">
      <c r="B1428"/>
      <c r="C1428"/>
      <c r="D1428"/>
      <c r="E1428"/>
      <c r="F1428"/>
      <c r="G1428"/>
      <c r="H1428"/>
      <c r="I1428"/>
      <c r="J1428"/>
      <c r="K1428"/>
      <c r="L1428"/>
      <c r="M1428"/>
      <c r="N1428"/>
      <c r="O1428"/>
      <c r="P1428"/>
    </row>
    <row r="1429" spans="2:16">
      <c r="B1429"/>
      <c r="C1429"/>
      <c r="D1429"/>
      <c r="E1429"/>
      <c r="F1429"/>
      <c r="G1429"/>
      <c r="H1429"/>
      <c r="I1429"/>
      <c r="J1429"/>
      <c r="K1429"/>
      <c r="L1429"/>
      <c r="M1429"/>
      <c r="N1429"/>
      <c r="O1429"/>
      <c r="P1429"/>
    </row>
    <row r="1430" spans="2:16">
      <c r="B1430"/>
      <c r="C1430"/>
      <c r="D1430"/>
      <c r="E1430"/>
      <c r="F1430"/>
      <c r="G1430"/>
      <c r="H1430"/>
      <c r="I1430"/>
      <c r="J1430"/>
      <c r="K1430"/>
      <c r="L1430"/>
      <c r="M1430"/>
      <c r="N1430"/>
      <c r="O1430"/>
      <c r="P1430"/>
    </row>
    <row r="1431" spans="2:16">
      <c r="B1431"/>
      <c r="C1431"/>
      <c r="D1431"/>
      <c r="E1431"/>
      <c r="F1431"/>
      <c r="G1431"/>
      <c r="H1431"/>
      <c r="I1431"/>
      <c r="J1431"/>
      <c r="K1431"/>
      <c r="L1431"/>
      <c r="M1431"/>
      <c r="N1431"/>
      <c r="O1431"/>
      <c r="P1431"/>
    </row>
    <row r="1432" spans="2:16">
      <c r="B1432"/>
      <c r="C1432"/>
      <c r="D1432"/>
      <c r="E1432"/>
      <c r="F1432"/>
      <c r="G1432"/>
      <c r="H1432"/>
      <c r="I1432"/>
      <c r="J1432"/>
      <c r="K1432"/>
      <c r="L1432"/>
      <c r="M1432"/>
      <c r="N1432"/>
      <c r="O1432"/>
      <c r="P1432"/>
    </row>
    <row r="1433" spans="2:16">
      <c r="B1433"/>
      <c r="C1433"/>
      <c r="D1433"/>
      <c r="E1433"/>
      <c r="F1433"/>
      <c r="G1433"/>
      <c r="H1433"/>
      <c r="I1433"/>
      <c r="J1433"/>
      <c r="K1433"/>
      <c r="L1433"/>
      <c r="M1433"/>
      <c r="N1433"/>
      <c r="O1433"/>
      <c r="P1433"/>
    </row>
    <row r="1434" spans="2:16">
      <c r="B1434"/>
      <c r="C1434"/>
      <c r="D1434"/>
      <c r="E1434"/>
      <c r="F1434"/>
      <c r="G1434"/>
      <c r="H1434"/>
      <c r="I1434"/>
      <c r="J1434"/>
      <c r="K1434"/>
      <c r="L1434"/>
      <c r="M1434"/>
      <c r="N1434"/>
      <c r="O1434"/>
      <c r="P1434"/>
    </row>
    <row r="1435" spans="2:16">
      <c r="B1435"/>
      <c r="C1435"/>
      <c r="D1435"/>
      <c r="E1435"/>
      <c r="F1435"/>
      <c r="G1435"/>
      <c r="H1435"/>
      <c r="I1435"/>
      <c r="J1435"/>
      <c r="K1435"/>
      <c r="L1435"/>
      <c r="M1435"/>
      <c r="N1435"/>
      <c r="O1435"/>
      <c r="P1435"/>
    </row>
    <row r="1436" spans="2:16">
      <c r="B1436"/>
      <c r="C1436"/>
      <c r="D1436"/>
      <c r="E1436"/>
      <c r="F1436"/>
      <c r="G1436"/>
      <c r="H1436"/>
      <c r="I1436"/>
      <c r="J1436"/>
      <c r="K1436"/>
      <c r="L1436"/>
      <c r="M1436"/>
      <c r="N1436"/>
      <c r="O1436"/>
      <c r="P1436"/>
    </row>
    <row r="1437" spans="2:16">
      <c r="B1437"/>
      <c r="C1437"/>
      <c r="D1437"/>
      <c r="E1437"/>
      <c r="F1437"/>
      <c r="G1437"/>
      <c r="H1437"/>
      <c r="I1437"/>
      <c r="J1437"/>
      <c r="K1437"/>
      <c r="L1437"/>
      <c r="M1437"/>
      <c r="N1437"/>
      <c r="O1437"/>
      <c r="P1437"/>
    </row>
    <row r="1438" spans="2:16">
      <c r="B1438"/>
      <c r="C1438"/>
      <c r="D1438"/>
      <c r="E1438"/>
      <c r="F1438"/>
      <c r="G1438"/>
      <c r="H1438"/>
      <c r="I1438"/>
      <c r="J1438"/>
      <c r="K1438"/>
      <c r="L1438"/>
      <c r="M1438"/>
      <c r="N1438"/>
      <c r="O1438"/>
      <c r="P1438"/>
    </row>
    <row r="1439" spans="2:16">
      <c r="B1439"/>
      <c r="C1439"/>
      <c r="D1439"/>
      <c r="E1439"/>
      <c r="F1439"/>
      <c r="G1439"/>
      <c r="H1439"/>
      <c r="I1439"/>
      <c r="J1439"/>
      <c r="K1439"/>
      <c r="L1439"/>
      <c r="M1439"/>
      <c r="N1439"/>
      <c r="O1439"/>
      <c r="P1439"/>
    </row>
    <row r="1440" spans="2:16">
      <c r="B1440"/>
      <c r="C1440"/>
      <c r="D1440"/>
      <c r="E1440"/>
      <c r="F1440"/>
      <c r="G1440"/>
      <c r="H1440"/>
      <c r="I1440"/>
      <c r="J1440"/>
      <c r="K1440"/>
      <c r="L1440"/>
      <c r="M1440"/>
      <c r="N1440"/>
      <c r="O1440"/>
      <c r="P1440"/>
    </row>
    <row r="1441" spans="2:16">
      <c r="B1441"/>
      <c r="C1441"/>
      <c r="D1441"/>
      <c r="E1441"/>
      <c r="F1441"/>
      <c r="G1441"/>
      <c r="H1441"/>
      <c r="I1441"/>
      <c r="J1441"/>
      <c r="K1441"/>
      <c r="L1441"/>
      <c r="M1441"/>
      <c r="N1441"/>
      <c r="O1441"/>
      <c r="P1441"/>
    </row>
    <row r="1442" spans="2:16">
      <c r="B1442"/>
      <c r="C1442"/>
      <c r="D1442"/>
      <c r="E1442"/>
      <c r="F1442"/>
      <c r="G1442"/>
      <c r="H1442"/>
      <c r="I1442"/>
      <c r="J1442"/>
      <c r="K1442"/>
      <c r="L1442"/>
      <c r="M1442"/>
      <c r="N1442"/>
      <c r="O1442"/>
      <c r="P1442"/>
    </row>
    <row r="1443" spans="2:16">
      <c r="B1443"/>
      <c r="C1443"/>
      <c r="D1443"/>
      <c r="E1443"/>
      <c r="F1443"/>
      <c r="G1443"/>
      <c r="H1443"/>
      <c r="I1443"/>
      <c r="J1443"/>
      <c r="K1443"/>
      <c r="L1443"/>
      <c r="M1443"/>
      <c r="N1443"/>
      <c r="O1443"/>
      <c r="P1443"/>
    </row>
    <row r="1444" spans="2:16">
      <c r="B1444"/>
      <c r="C1444"/>
      <c r="D1444"/>
      <c r="E1444"/>
      <c r="F1444"/>
      <c r="G1444"/>
      <c r="H1444"/>
      <c r="I1444"/>
      <c r="J1444"/>
      <c r="K1444"/>
      <c r="L1444"/>
      <c r="M1444"/>
      <c r="N1444"/>
      <c r="O1444"/>
      <c r="P1444"/>
    </row>
    <row r="1445" spans="2:16">
      <c r="B1445"/>
      <c r="C1445"/>
      <c r="D1445"/>
      <c r="E1445"/>
      <c r="F1445"/>
      <c r="G1445"/>
      <c r="H1445"/>
      <c r="I1445"/>
      <c r="J1445"/>
      <c r="K1445"/>
      <c r="L1445"/>
      <c r="M1445"/>
      <c r="N1445"/>
      <c r="O1445"/>
      <c r="P1445"/>
    </row>
    <row r="1446" spans="2:16">
      <c r="B1446"/>
      <c r="C1446"/>
      <c r="D1446"/>
      <c r="E1446"/>
      <c r="F1446"/>
      <c r="G1446"/>
      <c r="H1446"/>
      <c r="I1446"/>
      <c r="J1446"/>
      <c r="K1446"/>
      <c r="L1446"/>
      <c r="M1446"/>
      <c r="N1446"/>
      <c r="O1446"/>
      <c r="P1446"/>
    </row>
    <row r="1447" spans="2:16">
      <c r="B1447"/>
      <c r="C1447"/>
      <c r="D1447"/>
      <c r="E1447"/>
      <c r="F1447"/>
      <c r="G1447"/>
      <c r="H1447"/>
      <c r="I1447"/>
      <c r="J1447"/>
      <c r="K1447"/>
      <c r="L1447"/>
      <c r="M1447"/>
      <c r="N1447"/>
      <c r="O1447"/>
      <c r="P1447"/>
    </row>
    <row r="1448" spans="2:16">
      <c r="B1448"/>
      <c r="C1448"/>
      <c r="D1448"/>
      <c r="E1448"/>
      <c r="F1448"/>
      <c r="G1448"/>
      <c r="H1448"/>
      <c r="I1448"/>
      <c r="J1448"/>
      <c r="K1448"/>
      <c r="L1448"/>
      <c r="M1448"/>
      <c r="N1448"/>
      <c r="O1448"/>
      <c r="P1448"/>
    </row>
    <row r="1449" spans="2:16">
      <c r="B1449"/>
      <c r="C1449"/>
      <c r="D1449"/>
      <c r="E1449"/>
      <c r="F1449"/>
      <c r="G1449"/>
      <c r="H1449"/>
      <c r="I1449"/>
      <c r="J1449"/>
      <c r="K1449"/>
      <c r="L1449"/>
      <c r="M1449"/>
      <c r="N1449"/>
      <c r="O1449"/>
      <c r="P1449"/>
    </row>
    <row r="1450" spans="2:16">
      <c r="B1450"/>
      <c r="C1450"/>
      <c r="D1450"/>
      <c r="E1450"/>
      <c r="F1450"/>
      <c r="G1450"/>
      <c r="H1450"/>
      <c r="I1450"/>
      <c r="J1450"/>
      <c r="K1450"/>
      <c r="L1450"/>
      <c r="M1450"/>
      <c r="N1450"/>
      <c r="O1450"/>
      <c r="P1450"/>
    </row>
    <row r="1451" spans="2:16">
      <c r="B1451"/>
      <c r="C1451"/>
      <c r="D1451"/>
      <c r="E1451"/>
      <c r="F1451"/>
      <c r="G1451"/>
      <c r="H1451"/>
      <c r="I1451"/>
      <c r="J1451"/>
      <c r="K1451"/>
      <c r="L1451"/>
      <c r="M1451"/>
      <c r="N1451"/>
      <c r="O1451"/>
      <c r="P1451"/>
    </row>
    <row r="1452" spans="2:16">
      <c r="B1452"/>
      <c r="C1452"/>
      <c r="D1452"/>
      <c r="E1452"/>
      <c r="F1452"/>
      <c r="G1452"/>
      <c r="H1452"/>
      <c r="I1452"/>
      <c r="J1452"/>
      <c r="K1452"/>
      <c r="L1452"/>
      <c r="M1452"/>
      <c r="N1452"/>
      <c r="O1452"/>
      <c r="P1452"/>
    </row>
    <row r="1453" spans="2:16">
      <c r="B1453"/>
      <c r="C1453"/>
      <c r="D1453"/>
      <c r="E1453"/>
      <c r="F1453"/>
      <c r="G1453"/>
      <c r="H1453"/>
      <c r="I1453"/>
      <c r="J1453"/>
      <c r="K1453"/>
      <c r="L1453"/>
      <c r="M1453"/>
      <c r="N1453"/>
      <c r="O1453"/>
      <c r="P1453"/>
    </row>
    <row r="1454" spans="2:16">
      <c r="B1454"/>
      <c r="C1454"/>
      <c r="D1454"/>
      <c r="E1454"/>
      <c r="F1454"/>
      <c r="G1454"/>
      <c r="H1454"/>
      <c r="I1454"/>
      <c r="J1454"/>
      <c r="K1454"/>
      <c r="L1454"/>
      <c r="M1454"/>
      <c r="N1454"/>
      <c r="O1454"/>
      <c r="P1454"/>
    </row>
    <row r="1455" spans="2:16">
      <c r="B1455"/>
      <c r="C1455"/>
      <c r="D1455"/>
      <c r="E1455"/>
      <c r="F1455"/>
      <c r="G1455"/>
      <c r="H1455"/>
      <c r="I1455"/>
      <c r="J1455"/>
      <c r="K1455"/>
      <c r="L1455"/>
      <c r="M1455"/>
      <c r="N1455"/>
      <c r="O1455"/>
      <c r="P1455"/>
    </row>
    <row r="1456" spans="2:16">
      <c r="B1456"/>
      <c r="C1456"/>
      <c r="D1456"/>
      <c r="E1456"/>
      <c r="F1456"/>
      <c r="G1456"/>
      <c r="H1456"/>
      <c r="I1456"/>
      <c r="J1456"/>
      <c r="K1456"/>
      <c r="L1456"/>
      <c r="M1456"/>
      <c r="N1456"/>
      <c r="O1456"/>
      <c r="P1456"/>
    </row>
    <row r="1457" spans="2:16">
      <c r="B1457"/>
      <c r="C1457"/>
      <c r="D1457"/>
      <c r="E1457"/>
      <c r="F1457"/>
      <c r="G1457"/>
      <c r="H1457"/>
      <c r="I1457"/>
      <c r="J1457"/>
      <c r="K1457"/>
      <c r="L1457"/>
      <c r="M1457"/>
      <c r="N1457"/>
      <c r="O1457"/>
      <c r="P1457"/>
    </row>
    <row r="1458" spans="2:16">
      <c r="B1458"/>
      <c r="C1458"/>
      <c r="D1458"/>
      <c r="E1458"/>
      <c r="F1458"/>
      <c r="G1458"/>
      <c r="H1458"/>
      <c r="I1458"/>
      <c r="J1458"/>
      <c r="K1458"/>
      <c r="L1458"/>
      <c r="M1458"/>
      <c r="N1458"/>
      <c r="O1458"/>
      <c r="P1458"/>
    </row>
    <row r="1459" spans="2:16">
      <c r="B1459"/>
      <c r="C1459"/>
      <c r="D1459"/>
      <c r="E1459"/>
      <c r="F1459"/>
      <c r="G1459"/>
      <c r="H1459"/>
      <c r="I1459"/>
      <c r="J1459"/>
      <c r="K1459"/>
      <c r="L1459"/>
      <c r="M1459"/>
      <c r="N1459"/>
      <c r="O1459"/>
      <c r="P1459"/>
    </row>
    <row r="1460" spans="2:16">
      <c r="B1460"/>
      <c r="C1460"/>
      <c r="D1460"/>
      <c r="E1460"/>
      <c r="F1460"/>
      <c r="G1460"/>
      <c r="H1460"/>
      <c r="I1460"/>
      <c r="J1460"/>
      <c r="K1460"/>
      <c r="L1460"/>
      <c r="M1460"/>
      <c r="N1460"/>
      <c r="O1460"/>
      <c r="P1460"/>
    </row>
    <row r="1461" spans="2:16">
      <c r="B1461"/>
      <c r="C1461"/>
      <c r="D1461"/>
      <c r="E1461"/>
      <c r="F1461"/>
      <c r="G1461"/>
      <c r="H1461"/>
      <c r="I1461"/>
      <c r="J1461"/>
      <c r="K1461"/>
      <c r="L1461"/>
      <c r="M1461"/>
      <c r="N1461"/>
      <c r="O1461"/>
      <c r="P1461"/>
    </row>
    <row r="1462" spans="2:16">
      <c r="B1462"/>
      <c r="C1462"/>
      <c r="D1462"/>
      <c r="E1462"/>
      <c r="F1462"/>
      <c r="G1462"/>
      <c r="H1462"/>
      <c r="I1462"/>
      <c r="J1462"/>
      <c r="K1462"/>
      <c r="L1462"/>
      <c r="M1462"/>
      <c r="N1462"/>
      <c r="O1462"/>
      <c r="P1462"/>
    </row>
    <row r="1463" spans="2:16">
      <c r="B1463"/>
      <c r="C1463"/>
      <c r="D1463"/>
      <c r="E1463"/>
      <c r="F1463"/>
      <c r="G1463"/>
      <c r="H1463"/>
      <c r="I1463"/>
      <c r="J1463"/>
      <c r="K1463"/>
      <c r="L1463"/>
      <c r="M1463"/>
      <c r="N1463"/>
      <c r="O1463"/>
      <c r="P1463"/>
    </row>
    <row r="1464" spans="2:16">
      <c r="B1464"/>
      <c r="C1464"/>
      <c r="D1464"/>
      <c r="E1464"/>
      <c r="F1464"/>
      <c r="G1464"/>
      <c r="H1464"/>
      <c r="I1464"/>
      <c r="J1464"/>
      <c r="K1464"/>
      <c r="L1464"/>
      <c r="M1464"/>
      <c r="N1464"/>
      <c r="O1464"/>
      <c r="P1464"/>
    </row>
    <row r="1465" spans="2:16">
      <c r="B1465"/>
      <c r="C1465"/>
      <c r="D1465"/>
      <c r="E1465"/>
      <c r="F1465"/>
      <c r="G1465"/>
      <c r="H1465"/>
      <c r="I1465"/>
      <c r="J1465"/>
      <c r="K1465"/>
      <c r="L1465"/>
      <c r="M1465"/>
      <c r="N1465"/>
      <c r="O1465"/>
      <c r="P1465"/>
    </row>
    <row r="1466" spans="2:16">
      <c r="B1466"/>
      <c r="C1466"/>
      <c r="D1466"/>
      <c r="E1466"/>
      <c r="F1466"/>
      <c r="G1466"/>
      <c r="H1466"/>
      <c r="I1466"/>
      <c r="J1466"/>
      <c r="K1466"/>
      <c r="L1466"/>
      <c r="M1466"/>
      <c r="N1466"/>
      <c r="O1466"/>
      <c r="P1466"/>
    </row>
    <row r="1467" spans="2:16">
      <c r="B1467"/>
      <c r="C1467"/>
      <c r="D1467"/>
      <c r="E1467"/>
      <c r="F1467"/>
      <c r="G1467"/>
      <c r="H1467"/>
      <c r="I1467"/>
      <c r="J1467"/>
      <c r="K1467"/>
      <c r="L1467"/>
      <c r="M1467"/>
      <c r="N1467"/>
      <c r="O1467"/>
      <c r="P1467"/>
    </row>
    <row r="1468" spans="2:16">
      <c r="B1468"/>
      <c r="C1468"/>
      <c r="D1468"/>
      <c r="E1468"/>
      <c r="F1468"/>
      <c r="G1468"/>
      <c r="H1468"/>
      <c r="I1468"/>
      <c r="J1468"/>
      <c r="K1468"/>
      <c r="L1468"/>
      <c r="M1468"/>
      <c r="N1468"/>
      <c r="O1468"/>
      <c r="P1468"/>
    </row>
    <row r="1469" spans="2:16">
      <c r="B1469"/>
      <c r="C1469"/>
      <c r="D1469"/>
      <c r="E1469"/>
      <c r="F1469"/>
      <c r="G1469"/>
      <c r="H1469"/>
      <c r="I1469"/>
      <c r="J1469"/>
      <c r="K1469"/>
      <c r="L1469"/>
      <c r="M1469"/>
      <c r="N1469"/>
      <c r="O1469"/>
      <c r="P1469"/>
    </row>
    <row r="1470" spans="2:16">
      <c r="B1470"/>
      <c r="C1470"/>
      <c r="D1470"/>
      <c r="E1470"/>
      <c r="F1470"/>
      <c r="G1470"/>
      <c r="H1470"/>
      <c r="I1470"/>
      <c r="J1470"/>
      <c r="K1470"/>
      <c r="L1470"/>
      <c r="M1470"/>
      <c r="N1470"/>
      <c r="O1470"/>
      <c r="P1470"/>
    </row>
    <row r="1471" spans="2:16">
      <c r="B1471"/>
      <c r="C1471"/>
      <c r="D1471"/>
      <c r="E1471"/>
      <c r="F1471"/>
      <c r="G1471"/>
      <c r="H1471"/>
      <c r="I1471"/>
      <c r="J1471"/>
      <c r="K1471"/>
      <c r="L1471"/>
      <c r="M1471"/>
      <c r="N1471"/>
      <c r="O1471"/>
      <c r="P1471"/>
    </row>
    <row r="1472" spans="2:16">
      <c r="B1472"/>
      <c r="C1472"/>
      <c r="D1472"/>
      <c r="E1472"/>
      <c r="F1472"/>
      <c r="G1472"/>
      <c r="H1472"/>
      <c r="I1472"/>
      <c r="J1472"/>
      <c r="K1472"/>
      <c r="L1472"/>
      <c r="M1472"/>
      <c r="N1472"/>
      <c r="O1472"/>
      <c r="P1472"/>
    </row>
    <row r="1473" spans="2:16">
      <c r="B1473"/>
      <c r="C1473"/>
      <c r="D1473"/>
      <c r="E1473"/>
      <c r="F1473"/>
      <c r="G1473"/>
      <c r="H1473"/>
      <c r="I1473"/>
      <c r="J1473"/>
      <c r="K1473"/>
      <c r="L1473"/>
      <c r="M1473"/>
      <c r="N1473"/>
      <c r="O1473"/>
      <c r="P1473"/>
    </row>
    <row r="1474" spans="2:16">
      <c r="B1474"/>
      <c r="C1474"/>
      <c r="D1474"/>
      <c r="E1474"/>
      <c r="F1474"/>
      <c r="G1474"/>
      <c r="H1474"/>
      <c r="I1474"/>
      <c r="J1474"/>
      <c r="K1474"/>
      <c r="L1474"/>
      <c r="M1474"/>
      <c r="N1474"/>
      <c r="O1474"/>
      <c r="P1474"/>
    </row>
    <row r="1475" spans="2:16">
      <c r="B1475"/>
      <c r="C1475"/>
      <c r="D1475"/>
      <c r="E1475"/>
      <c r="F1475"/>
      <c r="G1475"/>
      <c r="H1475"/>
      <c r="I1475"/>
      <c r="J1475"/>
      <c r="K1475"/>
      <c r="L1475"/>
      <c r="M1475"/>
      <c r="N1475"/>
      <c r="O1475"/>
      <c r="P1475"/>
    </row>
    <row r="1476" spans="2:16">
      <c r="B1476"/>
      <c r="C1476"/>
      <c r="D1476"/>
      <c r="E1476"/>
      <c r="F1476"/>
      <c r="G1476"/>
      <c r="H1476"/>
      <c r="I1476"/>
      <c r="J1476"/>
      <c r="K1476"/>
      <c r="L1476"/>
      <c r="M1476"/>
      <c r="N1476"/>
      <c r="O1476"/>
      <c r="P1476"/>
    </row>
    <row r="1477" spans="2:16">
      <c r="B1477"/>
      <c r="C1477"/>
      <c r="D1477"/>
      <c r="E1477"/>
      <c r="F1477"/>
      <c r="G1477"/>
      <c r="H1477"/>
      <c r="I1477"/>
      <c r="J1477"/>
      <c r="K1477"/>
      <c r="L1477"/>
      <c r="M1477"/>
      <c r="N1477"/>
      <c r="O1477"/>
      <c r="P1477"/>
    </row>
    <row r="1478" spans="2:16">
      <c r="B1478"/>
      <c r="C1478"/>
      <c r="D1478"/>
      <c r="E1478"/>
      <c r="F1478"/>
      <c r="G1478"/>
      <c r="H1478"/>
      <c r="I1478"/>
      <c r="J1478"/>
      <c r="K1478"/>
      <c r="L1478"/>
      <c r="M1478"/>
      <c r="N1478"/>
      <c r="O1478"/>
      <c r="P1478"/>
    </row>
    <row r="1479" spans="2:16">
      <c r="B1479"/>
      <c r="C1479"/>
      <c r="D1479"/>
      <c r="E1479"/>
      <c r="F1479"/>
      <c r="G1479"/>
      <c r="H1479"/>
      <c r="I1479"/>
      <c r="J1479"/>
      <c r="K1479"/>
      <c r="L1479"/>
      <c r="M1479"/>
      <c r="N1479"/>
      <c r="O1479"/>
      <c r="P1479"/>
    </row>
    <row r="1480" spans="2:16">
      <c r="B1480"/>
      <c r="C1480"/>
      <c r="D1480"/>
      <c r="E1480"/>
      <c r="F1480"/>
      <c r="G1480"/>
      <c r="H1480"/>
      <c r="I1480"/>
      <c r="J1480"/>
      <c r="K1480"/>
      <c r="L1480"/>
      <c r="M1480"/>
      <c r="N1480"/>
      <c r="O1480"/>
      <c r="P1480"/>
    </row>
    <row r="1481" spans="2:16">
      <c r="B1481"/>
      <c r="C1481"/>
      <c r="D1481"/>
      <c r="E1481"/>
      <c r="F1481"/>
      <c r="G1481"/>
      <c r="H1481"/>
      <c r="I1481"/>
      <c r="J1481"/>
      <c r="K1481"/>
      <c r="L1481"/>
      <c r="M1481"/>
      <c r="N1481"/>
      <c r="O1481"/>
      <c r="P1481"/>
    </row>
    <row r="1482" spans="2:16">
      <c r="B1482"/>
      <c r="C1482"/>
      <c r="D1482"/>
      <c r="E1482"/>
      <c r="F1482"/>
      <c r="G1482"/>
      <c r="H1482"/>
      <c r="I1482"/>
      <c r="J1482"/>
      <c r="K1482"/>
      <c r="L1482"/>
      <c r="M1482"/>
      <c r="N1482"/>
      <c r="O1482"/>
      <c r="P1482"/>
    </row>
    <row r="1483" spans="2:16">
      <c r="B1483"/>
      <c r="C1483"/>
      <c r="D1483"/>
      <c r="E1483"/>
      <c r="F1483"/>
      <c r="G1483"/>
      <c r="H1483"/>
      <c r="I1483"/>
      <c r="J1483"/>
      <c r="K1483"/>
      <c r="L1483"/>
      <c r="M1483"/>
      <c r="N1483"/>
      <c r="O1483"/>
      <c r="P1483"/>
    </row>
    <row r="1484" spans="2:16">
      <c r="B1484"/>
      <c r="C1484"/>
      <c r="D1484"/>
      <c r="E1484"/>
      <c r="F1484"/>
      <c r="G1484"/>
      <c r="H1484"/>
      <c r="I1484"/>
      <c r="J1484"/>
      <c r="K1484"/>
      <c r="L1484"/>
      <c r="M1484"/>
      <c r="N1484"/>
      <c r="O1484"/>
      <c r="P1484"/>
    </row>
    <row r="1485" spans="2:16">
      <c r="B1485"/>
      <c r="C1485"/>
      <c r="D1485"/>
      <c r="E1485"/>
      <c r="F1485"/>
      <c r="G1485"/>
      <c r="H1485"/>
      <c r="I1485"/>
      <c r="J1485"/>
      <c r="K1485"/>
      <c r="L1485"/>
      <c r="M1485"/>
      <c r="N1485"/>
      <c r="O1485"/>
      <c r="P1485"/>
    </row>
    <row r="1486" spans="2:16">
      <c r="B1486"/>
      <c r="C1486"/>
      <c r="D1486"/>
      <c r="E1486"/>
      <c r="F1486"/>
      <c r="G1486"/>
      <c r="H1486"/>
      <c r="I1486"/>
      <c r="J1486"/>
      <c r="K1486"/>
      <c r="L1486"/>
      <c r="M1486"/>
      <c r="N1486"/>
      <c r="O1486"/>
      <c r="P1486"/>
    </row>
    <row r="1487" spans="2:16">
      <c r="B1487"/>
      <c r="C1487"/>
      <c r="D1487"/>
      <c r="E1487"/>
      <c r="F1487"/>
      <c r="G1487"/>
      <c r="H1487"/>
      <c r="I1487"/>
      <c r="J1487"/>
      <c r="K1487"/>
      <c r="L1487"/>
      <c r="M1487"/>
      <c r="N1487"/>
      <c r="O1487"/>
      <c r="P1487"/>
    </row>
    <row r="1488" spans="2:16">
      <c r="B1488"/>
      <c r="C1488"/>
      <c r="D1488"/>
      <c r="E1488"/>
      <c r="F1488"/>
      <c r="G1488"/>
      <c r="H1488"/>
      <c r="I1488"/>
      <c r="J1488"/>
      <c r="K1488"/>
      <c r="L1488"/>
      <c r="M1488"/>
      <c r="N1488"/>
      <c r="O1488"/>
      <c r="P1488"/>
    </row>
    <row r="1489" spans="2:16">
      <c r="B1489"/>
      <c r="C1489"/>
      <c r="D1489"/>
      <c r="E1489"/>
      <c r="F1489"/>
      <c r="G1489"/>
      <c r="H1489"/>
      <c r="I1489"/>
      <c r="J1489"/>
      <c r="K1489"/>
      <c r="L1489"/>
      <c r="M1489"/>
      <c r="N1489"/>
      <c r="O1489"/>
      <c r="P1489"/>
    </row>
    <row r="1490" spans="2:16">
      <c r="B1490"/>
      <c r="C1490"/>
      <c r="D1490"/>
      <c r="E1490"/>
      <c r="F1490"/>
      <c r="G1490"/>
      <c r="H1490"/>
      <c r="I1490"/>
      <c r="J1490"/>
      <c r="K1490"/>
      <c r="L1490"/>
      <c r="M1490"/>
      <c r="N1490"/>
      <c r="O1490"/>
      <c r="P1490"/>
    </row>
    <row r="1491" spans="2:16">
      <c r="B1491"/>
      <c r="C1491"/>
      <c r="D1491"/>
      <c r="E1491"/>
      <c r="F1491"/>
      <c r="G1491"/>
      <c r="H1491"/>
      <c r="I1491"/>
      <c r="J1491"/>
      <c r="K1491"/>
      <c r="L1491"/>
      <c r="M1491"/>
      <c r="N1491"/>
      <c r="O1491"/>
      <c r="P1491"/>
    </row>
    <row r="1492" spans="2:16">
      <c r="B1492"/>
      <c r="C1492"/>
      <c r="D1492"/>
      <c r="E1492"/>
      <c r="F1492"/>
      <c r="G1492"/>
      <c r="H1492"/>
      <c r="I1492"/>
      <c r="J1492"/>
      <c r="K1492"/>
      <c r="L1492"/>
      <c r="M1492"/>
      <c r="N1492"/>
      <c r="O1492"/>
      <c r="P1492"/>
    </row>
    <row r="1493" spans="2:16">
      <c r="B1493"/>
      <c r="C1493"/>
      <c r="D1493"/>
      <c r="E1493"/>
      <c r="F1493"/>
      <c r="G1493"/>
      <c r="H1493"/>
      <c r="I1493"/>
      <c r="J1493"/>
      <c r="K1493"/>
      <c r="L1493"/>
      <c r="M1493"/>
      <c r="N1493"/>
      <c r="O1493"/>
      <c r="P1493"/>
    </row>
    <row r="1494" spans="2:16">
      <c r="B1494"/>
      <c r="C1494"/>
      <c r="D1494"/>
      <c r="E1494"/>
      <c r="F1494"/>
      <c r="G1494"/>
      <c r="H1494"/>
      <c r="I1494"/>
      <c r="J1494"/>
      <c r="K1494"/>
      <c r="L1494"/>
      <c r="M1494"/>
      <c r="N1494"/>
      <c r="O1494"/>
      <c r="P1494"/>
    </row>
    <row r="1495" spans="2:16">
      <c r="B1495"/>
      <c r="C1495"/>
      <c r="D1495"/>
      <c r="E1495"/>
      <c r="F1495"/>
      <c r="G1495"/>
      <c r="H1495"/>
      <c r="I1495"/>
      <c r="J1495"/>
      <c r="K1495"/>
      <c r="L1495"/>
      <c r="M1495"/>
      <c r="N1495"/>
      <c r="O1495"/>
      <c r="P1495"/>
    </row>
    <row r="1496" spans="2:16">
      <c r="B1496"/>
      <c r="C1496"/>
      <c r="D1496"/>
      <c r="E1496"/>
      <c r="F1496"/>
      <c r="G1496"/>
      <c r="H1496"/>
      <c r="I1496"/>
      <c r="J1496"/>
      <c r="K1496"/>
      <c r="L1496"/>
      <c r="M1496"/>
      <c r="N1496"/>
      <c r="O1496"/>
      <c r="P1496"/>
    </row>
    <row r="1497" spans="2:16">
      <c r="B1497"/>
      <c r="C1497"/>
      <c r="D1497"/>
      <c r="E1497"/>
      <c r="F1497"/>
      <c r="G1497"/>
      <c r="H1497"/>
      <c r="I1497"/>
      <c r="J1497"/>
      <c r="K1497"/>
      <c r="L1497"/>
      <c r="M1497"/>
      <c r="N1497"/>
      <c r="O1497"/>
      <c r="P1497"/>
    </row>
    <row r="1498" spans="2:16">
      <c r="B1498"/>
      <c r="C1498"/>
      <c r="D1498"/>
      <c r="E1498"/>
      <c r="F1498"/>
      <c r="G1498"/>
      <c r="H1498"/>
      <c r="I1498"/>
      <c r="J1498"/>
      <c r="K1498"/>
      <c r="L1498"/>
      <c r="M1498"/>
      <c r="N1498"/>
      <c r="O1498"/>
      <c r="P1498"/>
    </row>
    <row r="1499" spans="2:16">
      <c r="B1499"/>
      <c r="C1499"/>
      <c r="D1499"/>
      <c r="E1499"/>
      <c r="F1499"/>
      <c r="G1499"/>
      <c r="H1499"/>
      <c r="I1499"/>
      <c r="J1499"/>
      <c r="K1499"/>
      <c r="L1499"/>
      <c r="M1499"/>
      <c r="N1499"/>
      <c r="O1499"/>
      <c r="P1499"/>
    </row>
    <row r="1500" spans="2:16">
      <c r="B1500"/>
      <c r="C1500"/>
      <c r="D1500"/>
      <c r="E1500"/>
      <c r="F1500"/>
      <c r="G1500"/>
      <c r="H1500"/>
      <c r="I1500"/>
      <c r="J1500"/>
      <c r="K1500"/>
      <c r="L1500"/>
      <c r="M1500"/>
      <c r="N1500"/>
      <c r="O1500"/>
      <c r="P1500"/>
    </row>
    <row r="1501" spans="2:16">
      <c r="B1501"/>
      <c r="C1501"/>
      <c r="D1501"/>
      <c r="E1501"/>
      <c r="F1501"/>
      <c r="G1501"/>
      <c r="H1501"/>
      <c r="I1501"/>
      <c r="J1501"/>
      <c r="K1501"/>
      <c r="L1501"/>
      <c r="M1501"/>
      <c r="N1501"/>
      <c r="O1501"/>
      <c r="P1501"/>
    </row>
    <row r="1502" spans="2:16">
      <c r="B1502"/>
      <c r="C1502"/>
      <c r="D1502"/>
      <c r="E1502"/>
      <c r="F1502"/>
      <c r="G1502"/>
      <c r="H1502"/>
      <c r="I1502"/>
      <c r="J1502"/>
      <c r="K1502"/>
      <c r="L1502"/>
      <c r="M1502"/>
      <c r="N1502"/>
      <c r="O1502"/>
      <c r="P1502"/>
    </row>
    <row r="1503" spans="2:16">
      <c r="B1503"/>
      <c r="C1503"/>
      <c r="D1503"/>
      <c r="E1503"/>
      <c r="F1503"/>
      <c r="G1503"/>
      <c r="H1503"/>
      <c r="I1503"/>
      <c r="J1503"/>
      <c r="K1503"/>
      <c r="L1503"/>
      <c r="M1503"/>
      <c r="N1503"/>
      <c r="O1503"/>
      <c r="P1503"/>
    </row>
    <row r="1504" spans="2:16">
      <c r="B1504"/>
      <c r="C1504"/>
      <c r="D1504"/>
      <c r="E1504"/>
      <c r="F1504"/>
      <c r="G1504"/>
      <c r="H1504"/>
      <c r="I1504"/>
      <c r="J1504"/>
      <c r="K1504"/>
      <c r="L1504"/>
      <c r="M1504"/>
      <c r="N1504"/>
      <c r="O1504"/>
      <c r="P1504"/>
    </row>
    <row r="1505" spans="2:16">
      <c r="B1505"/>
      <c r="C1505"/>
      <c r="D1505"/>
      <c r="E1505"/>
      <c r="F1505"/>
      <c r="G1505"/>
      <c r="H1505"/>
      <c r="I1505"/>
      <c r="J1505"/>
      <c r="K1505"/>
      <c r="L1505"/>
      <c r="M1505"/>
      <c r="N1505"/>
      <c r="O1505"/>
      <c r="P1505"/>
    </row>
    <row r="1506" spans="2:16">
      <c r="B1506"/>
      <c r="C1506"/>
      <c r="D1506"/>
      <c r="E1506"/>
      <c r="F1506"/>
      <c r="G1506"/>
      <c r="H1506"/>
      <c r="I1506"/>
      <c r="J1506"/>
      <c r="K1506"/>
      <c r="L1506"/>
      <c r="M1506"/>
      <c r="N1506"/>
      <c r="O1506"/>
      <c r="P1506"/>
    </row>
    <row r="1507" spans="2:16">
      <c r="B1507"/>
      <c r="C1507"/>
      <c r="D1507"/>
      <c r="E1507"/>
      <c r="F1507"/>
      <c r="G1507"/>
      <c r="H1507"/>
      <c r="I1507"/>
      <c r="J1507"/>
      <c r="K1507"/>
      <c r="L1507"/>
      <c r="M1507"/>
      <c r="N1507"/>
      <c r="O1507"/>
      <c r="P1507"/>
    </row>
    <row r="1508" spans="2:16">
      <c r="B1508"/>
      <c r="C1508"/>
      <c r="D1508"/>
      <c r="E1508"/>
      <c r="F1508"/>
      <c r="G1508"/>
      <c r="H1508"/>
      <c r="I1508"/>
      <c r="J1508"/>
      <c r="K1508"/>
      <c r="L1508"/>
      <c r="M1508"/>
      <c r="N1508"/>
      <c r="O1508"/>
      <c r="P1508"/>
    </row>
    <row r="1509" spans="2:16">
      <c r="B1509"/>
      <c r="C1509"/>
      <c r="D1509"/>
      <c r="E1509"/>
      <c r="F1509"/>
      <c r="G1509"/>
      <c r="H1509"/>
      <c r="I1509"/>
      <c r="J1509"/>
      <c r="K1509"/>
      <c r="L1509"/>
      <c r="M1509"/>
      <c r="N1509"/>
      <c r="O1509"/>
      <c r="P1509"/>
    </row>
    <row r="1510" spans="2:16">
      <c r="B1510"/>
      <c r="C1510"/>
      <c r="D1510"/>
      <c r="E1510"/>
      <c r="F1510"/>
      <c r="G1510"/>
      <c r="H1510"/>
      <c r="I1510"/>
      <c r="J1510"/>
      <c r="K1510"/>
      <c r="L1510"/>
      <c r="M1510"/>
      <c r="N1510"/>
      <c r="O1510"/>
      <c r="P1510"/>
    </row>
    <row r="1511" spans="2:16">
      <c r="B1511"/>
      <c r="C1511"/>
      <c r="D1511"/>
      <c r="E1511"/>
      <c r="F1511"/>
      <c r="G1511"/>
      <c r="H1511"/>
      <c r="I1511"/>
      <c r="J1511"/>
      <c r="K1511"/>
      <c r="L1511"/>
      <c r="M1511"/>
      <c r="N1511"/>
      <c r="O1511"/>
      <c r="P1511"/>
    </row>
    <row r="1512" spans="2:16">
      <c r="B1512"/>
      <c r="C1512"/>
      <c r="D1512"/>
      <c r="E1512"/>
      <c r="F1512"/>
      <c r="G1512"/>
      <c r="H1512"/>
      <c r="I1512"/>
      <c r="J1512"/>
      <c r="K1512"/>
      <c r="L1512"/>
      <c r="M1512"/>
      <c r="N1512"/>
      <c r="O1512"/>
      <c r="P1512"/>
    </row>
    <row r="1513" spans="2:16">
      <c r="B1513"/>
      <c r="C1513"/>
      <c r="D1513"/>
      <c r="E1513"/>
      <c r="F1513"/>
      <c r="G1513"/>
      <c r="H1513"/>
      <c r="I1513"/>
      <c r="J1513"/>
      <c r="K1513"/>
      <c r="L1513"/>
      <c r="M1513"/>
      <c r="N1513"/>
      <c r="O1513"/>
      <c r="P1513"/>
    </row>
    <row r="1514" spans="2:16">
      <c r="B1514"/>
      <c r="C1514"/>
      <c r="D1514"/>
      <c r="E1514"/>
      <c r="F1514"/>
      <c r="G1514"/>
      <c r="H1514"/>
      <c r="I1514"/>
      <c r="J1514"/>
      <c r="K1514"/>
      <c r="L1514"/>
      <c r="M1514"/>
      <c r="N1514"/>
      <c r="O1514"/>
      <c r="P1514"/>
    </row>
    <row r="1515" spans="2:16">
      <c r="B1515"/>
      <c r="C1515"/>
      <c r="D1515"/>
      <c r="E1515"/>
      <c r="F1515"/>
      <c r="G1515"/>
      <c r="H1515"/>
      <c r="I1515"/>
      <c r="J1515"/>
      <c r="K1515"/>
      <c r="L1515"/>
      <c r="M1515"/>
      <c r="N1515"/>
      <c r="O1515"/>
      <c r="P1515"/>
    </row>
    <row r="1516" spans="2:16">
      <c r="B1516"/>
      <c r="C1516"/>
      <c r="D1516"/>
      <c r="E1516"/>
      <c r="F1516"/>
      <c r="G1516"/>
      <c r="H1516"/>
      <c r="I1516"/>
      <c r="J1516"/>
      <c r="K1516"/>
      <c r="L1516"/>
      <c r="M1516"/>
      <c r="N1516"/>
      <c r="O1516"/>
      <c r="P1516"/>
    </row>
    <row r="1517" spans="2:16">
      <c r="B1517"/>
      <c r="C1517"/>
      <c r="D1517"/>
      <c r="E1517"/>
      <c r="F1517"/>
      <c r="G1517"/>
      <c r="H1517"/>
      <c r="I1517"/>
      <c r="J1517"/>
      <c r="K1517"/>
      <c r="L1517"/>
      <c r="M1517"/>
      <c r="N1517"/>
      <c r="O1517"/>
      <c r="P1517"/>
    </row>
    <row r="1518" spans="2:16">
      <c r="B1518"/>
      <c r="C1518"/>
      <c r="D1518"/>
      <c r="E1518"/>
      <c r="F1518"/>
      <c r="G1518"/>
      <c r="H1518"/>
      <c r="I1518"/>
      <c r="J1518"/>
      <c r="K1518"/>
      <c r="L1518"/>
      <c r="M1518"/>
      <c r="N1518"/>
      <c r="O1518"/>
      <c r="P1518"/>
    </row>
    <row r="1519" spans="2:16">
      <c r="B1519"/>
      <c r="C1519"/>
      <c r="D1519"/>
      <c r="E1519"/>
      <c r="F1519"/>
      <c r="G1519"/>
      <c r="H1519"/>
      <c r="I1519"/>
      <c r="J1519"/>
      <c r="K1519"/>
      <c r="L1519"/>
      <c r="M1519"/>
      <c r="N1519"/>
      <c r="O1519"/>
      <c r="P1519"/>
    </row>
    <row r="1520" spans="2:16">
      <c r="B1520"/>
      <c r="C1520"/>
      <c r="D1520"/>
      <c r="E1520"/>
      <c r="F1520"/>
      <c r="G1520"/>
      <c r="H1520"/>
      <c r="I1520"/>
      <c r="J1520"/>
      <c r="K1520"/>
      <c r="L1520"/>
      <c r="M1520"/>
      <c r="N1520"/>
      <c r="O1520"/>
      <c r="P1520"/>
    </row>
    <row r="1521" spans="2:16">
      <c r="B1521"/>
      <c r="C1521"/>
      <c r="D1521"/>
      <c r="E1521"/>
      <c r="F1521"/>
      <c r="G1521"/>
      <c r="H1521"/>
      <c r="I1521"/>
      <c r="J1521"/>
      <c r="K1521"/>
      <c r="L1521"/>
      <c r="M1521"/>
      <c r="N1521"/>
      <c r="O1521"/>
      <c r="P1521"/>
    </row>
    <row r="1522" spans="2:16">
      <c r="B1522"/>
      <c r="C1522"/>
      <c r="D1522"/>
      <c r="E1522"/>
      <c r="F1522"/>
      <c r="G1522"/>
      <c r="H1522"/>
      <c r="I1522"/>
      <c r="J1522"/>
      <c r="K1522"/>
      <c r="L1522"/>
      <c r="M1522"/>
      <c r="N1522"/>
      <c r="O1522"/>
      <c r="P1522"/>
    </row>
    <row r="1523" spans="2:16">
      <c r="B1523"/>
      <c r="C1523"/>
      <c r="D1523"/>
      <c r="E1523"/>
      <c r="F1523"/>
      <c r="G1523"/>
      <c r="H1523"/>
      <c r="I1523"/>
      <c r="J1523"/>
      <c r="K1523"/>
      <c r="L1523"/>
      <c r="M1523"/>
      <c r="N1523"/>
      <c r="O1523"/>
      <c r="P1523"/>
    </row>
    <row r="1524" spans="2:16">
      <c r="B1524"/>
      <c r="C1524"/>
      <c r="D1524"/>
      <c r="E1524"/>
      <c r="F1524"/>
      <c r="G1524"/>
      <c r="H1524"/>
      <c r="I1524"/>
      <c r="J1524"/>
      <c r="K1524"/>
      <c r="L1524"/>
      <c r="M1524"/>
      <c r="N1524"/>
      <c r="O1524"/>
      <c r="P1524"/>
    </row>
    <row r="1525" spans="2:16">
      <c r="B1525"/>
      <c r="C1525"/>
      <c r="D1525"/>
      <c r="E1525"/>
      <c r="F1525"/>
      <c r="G1525"/>
      <c r="H1525"/>
      <c r="I1525"/>
      <c r="J1525"/>
      <c r="K1525"/>
      <c r="L1525"/>
      <c r="M1525"/>
      <c r="N1525"/>
      <c r="O1525"/>
      <c r="P1525"/>
    </row>
    <row r="1526" spans="2:16">
      <c r="B1526"/>
      <c r="C1526"/>
      <c r="D1526"/>
      <c r="E1526"/>
      <c r="F1526"/>
      <c r="G1526"/>
      <c r="H1526"/>
      <c r="I1526"/>
      <c r="J1526"/>
      <c r="K1526"/>
      <c r="L1526"/>
      <c r="M1526"/>
      <c r="N1526"/>
      <c r="O1526"/>
      <c r="P1526"/>
    </row>
    <row r="1527" spans="2:16">
      <c r="B1527"/>
      <c r="C1527"/>
      <c r="D1527"/>
      <c r="E1527"/>
      <c r="F1527"/>
      <c r="G1527"/>
      <c r="H1527"/>
      <c r="I1527"/>
      <c r="J1527"/>
      <c r="K1527"/>
      <c r="L1527"/>
      <c r="M1527"/>
      <c r="N1527"/>
      <c r="O1527"/>
      <c r="P1527"/>
    </row>
    <row r="1528" spans="2:16">
      <c r="B1528"/>
      <c r="C1528"/>
      <c r="D1528"/>
      <c r="E1528"/>
      <c r="F1528"/>
      <c r="G1528"/>
      <c r="H1528"/>
      <c r="I1528"/>
      <c r="J1528"/>
      <c r="K1528"/>
      <c r="L1528"/>
      <c r="M1528"/>
      <c r="N1528"/>
      <c r="O1528"/>
      <c r="P1528"/>
    </row>
    <row r="1529" spans="2:16">
      <c r="B1529"/>
      <c r="C1529"/>
      <c r="D1529"/>
      <c r="E1529"/>
      <c r="F1529"/>
      <c r="G1529"/>
      <c r="H1529"/>
      <c r="I1529"/>
      <c r="J1529"/>
      <c r="K1529"/>
      <c r="L1529"/>
      <c r="M1529"/>
      <c r="N1529"/>
      <c r="O1529"/>
      <c r="P1529"/>
    </row>
    <row r="1530" spans="2:16">
      <c r="B1530"/>
      <c r="C1530"/>
      <c r="D1530"/>
      <c r="E1530"/>
      <c r="F1530"/>
      <c r="G1530"/>
      <c r="H1530"/>
      <c r="I1530"/>
      <c r="J1530"/>
      <c r="K1530"/>
      <c r="L1530"/>
      <c r="M1530"/>
      <c r="N1530"/>
      <c r="O1530"/>
      <c r="P1530"/>
    </row>
    <row r="1531" spans="2:16">
      <c r="B1531"/>
      <c r="C1531"/>
      <c r="D1531"/>
      <c r="E1531"/>
      <c r="F1531"/>
      <c r="G1531"/>
      <c r="H1531"/>
      <c r="I1531"/>
      <c r="J1531"/>
      <c r="K1531"/>
      <c r="L1531"/>
      <c r="M1531"/>
      <c r="N1531"/>
      <c r="O1531"/>
      <c r="P1531"/>
    </row>
    <row r="1532" spans="2:16">
      <c r="B1532"/>
      <c r="C1532"/>
      <c r="D1532"/>
      <c r="E1532"/>
      <c r="F1532"/>
      <c r="G1532"/>
      <c r="H1532"/>
      <c r="I1532"/>
      <c r="J1532"/>
      <c r="K1532"/>
      <c r="L1532"/>
      <c r="M1532"/>
      <c r="N1532"/>
      <c r="O1532"/>
      <c r="P1532"/>
    </row>
    <row r="1533" spans="2:16">
      <c r="B1533"/>
      <c r="C1533"/>
      <c r="D1533"/>
      <c r="E1533"/>
      <c r="F1533"/>
      <c r="G1533"/>
      <c r="H1533"/>
      <c r="I1533"/>
      <c r="J1533"/>
      <c r="K1533"/>
      <c r="L1533"/>
      <c r="M1533"/>
      <c r="N1533"/>
      <c r="O1533"/>
      <c r="P1533"/>
    </row>
    <row r="1534" spans="2:16">
      <c r="B1534"/>
      <c r="C1534"/>
      <c r="D1534"/>
      <c r="E1534"/>
      <c r="F1534"/>
      <c r="G1534"/>
      <c r="H1534"/>
      <c r="I1534"/>
      <c r="J1534"/>
      <c r="K1534"/>
      <c r="L1534"/>
      <c r="M1534"/>
      <c r="N1534"/>
      <c r="O1534"/>
      <c r="P1534"/>
    </row>
    <row r="1535" spans="2:16">
      <c r="B1535"/>
      <c r="C1535"/>
      <c r="D1535"/>
      <c r="E1535"/>
      <c r="F1535"/>
      <c r="G1535"/>
      <c r="H1535"/>
      <c r="I1535"/>
      <c r="J1535"/>
      <c r="K1535"/>
      <c r="L1535"/>
      <c r="M1535"/>
      <c r="N1535"/>
      <c r="O1535"/>
      <c r="P1535"/>
    </row>
    <row r="1536" spans="2:16">
      <c r="B1536"/>
      <c r="C1536"/>
      <c r="D1536"/>
      <c r="E1536"/>
      <c r="F1536"/>
      <c r="G1536"/>
      <c r="H1536"/>
      <c r="I1536"/>
      <c r="J1536"/>
      <c r="K1536"/>
      <c r="L1536"/>
      <c r="M1536"/>
      <c r="N1536"/>
      <c r="O1536"/>
      <c r="P1536"/>
    </row>
    <row r="1537" spans="2:16">
      <c r="B1537"/>
      <c r="C1537"/>
      <c r="D1537"/>
      <c r="E1537"/>
      <c r="F1537"/>
      <c r="G1537"/>
      <c r="H1537"/>
      <c r="I1537"/>
      <c r="J1537"/>
      <c r="K1537"/>
      <c r="L1537"/>
      <c r="M1537"/>
      <c r="N1537"/>
      <c r="O1537"/>
      <c r="P1537"/>
    </row>
    <row r="1538" spans="2:16">
      <c r="B1538"/>
      <c r="C1538"/>
      <c r="D1538"/>
      <c r="E1538"/>
      <c r="F1538"/>
      <c r="G1538"/>
      <c r="H1538"/>
      <c r="I1538"/>
      <c r="J1538"/>
      <c r="K1538"/>
      <c r="L1538"/>
      <c r="M1538"/>
      <c r="N1538"/>
      <c r="O1538"/>
      <c r="P1538"/>
    </row>
    <row r="1539" spans="2:16">
      <c r="B1539"/>
      <c r="C1539"/>
      <c r="D1539"/>
      <c r="E1539"/>
      <c r="F1539"/>
      <c r="G1539"/>
      <c r="H1539"/>
      <c r="I1539"/>
      <c r="J1539"/>
      <c r="K1539"/>
      <c r="L1539"/>
      <c r="M1539"/>
      <c r="N1539"/>
      <c r="O1539"/>
      <c r="P1539"/>
    </row>
    <row r="1540" spans="2:16">
      <c r="B1540"/>
      <c r="C1540"/>
      <c r="D1540"/>
      <c r="E1540"/>
      <c r="F1540"/>
      <c r="G1540"/>
      <c r="H1540"/>
      <c r="I1540"/>
      <c r="J1540"/>
      <c r="K1540"/>
      <c r="L1540"/>
      <c r="M1540"/>
      <c r="N1540"/>
      <c r="O1540"/>
      <c r="P1540"/>
    </row>
    <row r="1541" spans="2:16">
      <c r="B1541"/>
      <c r="C1541"/>
      <c r="D1541"/>
      <c r="E1541"/>
      <c r="F1541"/>
      <c r="G1541"/>
      <c r="H1541"/>
      <c r="I1541"/>
      <c r="J1541"/>
      <c r="K1541"/>
      <c r="L1541"/>
      <c r="M1541"/>
      <c r="N1541"/>
      <c r="O1541"/>
      <c r="P1541"/>
    </row>
    <row r="1542" spans="2:16">
      <c r="B1542"/>
      <c r="C1542"/>
      <c r="D1542"/>
      <c r="E1542"/>
      <c r="F1542"/>
      <c r="G1542"/>
      <c r="H1542"/>
      <c r="I1542"/>
      <c r="J1542"/>
      <c r="K1542"/>
      <c r="L1542"/>
      <c r="M1542"/>
      <c r="N1542"/>
      <c r="O1542"/>
      <c r="P1542"/>
    </row>
    <row r="1543" spans="2:16">
      <c r="B1543"/>
      <c r="C1543"/>
      <c r="D1543"/>
      <c r="E1543"/>
      <c r="F1543"/>
      <c r="G1543"/>
      <c r="H1543"/>
      <c r="I1543"/>
      <c r="J1543"/>
      <c r="K1543"/>
      <c r="L1543"/>
      <c r="M1543"/>
      <c r="N1543"/>
      <c r="O1543"/>
      <c r="P1543"/>
    </row>
    <row r="1544" spans="2:16">
      <c r="B1544"/>
      <c r="C1544"/>
      <c r="D1544"/>
      <c r="E1544"/>
      <c r="F1544"/>
      <c r="G1544"/>
      <c r="H1544"/>
      <c r="I1544"/>
      <c r="J1544"/>
      <c r="K1544"/>
      <c r="L1544"/>
      <c r="M1544"/>
      <c r="N1544"/>
      <c r="O1544"/>
      <c r="P1544"/>
    </row>
    <row r="1545" spans="2:16">
      <c r="B1545"/>
      <c r="C1545"/>
      <c r="D1545"/>
      <c r="E1545"/>
      <c r="F1545"/>
      <c r="G1545"/>
      <c r="H1545"/>
      <c r="I1545"/>
      <c r="J1545"/>
      <c r="K1545"/>
      <c r="L1545"/>
      <c r="M1545"/>
      <c r="N1545"/>
      <c r="O1545"/>
      <c r="P1545"/>
    </row>
    <row r="1546" spans="2:16">
      <c r="B1546"/>
      <c r="C1546"/>
      <c r="D1546"/>
      <c r="E1546"/>
      <c r="F1546"/>
      <c r="G1546"/>
      <c r="H1546"/>
      <c r="I1546"/>
      <c r="J1546"/>
      <c r="K1546"/>
      <c r="L1546"/>
      <c r="M1546"/>
      <c r="N1546"/>
      <c r="O1546"/>
      <c r="P1546"/>
    </row>
    <row r="1547" spans="2:16">
      <c r="B1547"/>
      <c r="C1547"/>
      <c r="D1547"/>
      <c r="E1547"/>
      <c r="F1547"/>
      <c r="G1547"/>
      <c r="H1547"/>
      <c r="I1547"/>
      <c r="J1547"/>
      <c r="K1547"/>
      <c r="L1547"/>
      <c r="M1547"/>
      <c r="N1547"/>
      <c r="O1547"/>
      <c r="P1547"/>
    </row>
    <row r="1548" spans="2:16">
      <c r="B1548"/>
      <c r="C1548"/>
      <c r="D1548"/>
      <c r="E1548"/>
      <c r="F1548"/>
      <c r="G1548"/>
      <c r="H1548"/>
      <c r="I1548"/>
      <c r="J1548"/>
      <c r="K1548"/>
      <c r="L1548"/>
      <c r="M1548"/>
      <c r="N1548"/>
      <c r="O1548"/>
      <c r="P1548"/>
    </row>
    <row r="1549" spans="2:16">
      <c r="B1549"/>
      <c r="C1549"/>
      <c r="D1549"/>
      <c r="E1549"/>
      <c r="F1549"/>
      <c r="G1549"/>
      <c r="H1549"/>
      <c r="I1549"/>
      <c r="J1549"/>
      <c r="K1549"/>
      <c r="L1549"/>
      <c r="M1549"/>
      <c r="N1549"/>
      <c r="O1549"/>
      <c r="P1549"/>
    </row>
    <row r="1550" spans="2:16">
      <c r="B1550"/>
      <c r="C1550"/>
      <c r="D1550"/>
      <c r="E1550"/>
      <c r="F1550"/>
      <c r="G1550"/>
      <c r="H1550"/>
      <c r="I1550"/>
      <c r="J1550"/>
      <c r="K1550"/>
      <c r="L1550"/>
      <c r="M1550"/>
      <c r="N1550"/>
      <c r="O1550"/>
      <c r="P1550"/>
    </row>
    <row r="1551" spans="2:16">
      <c r="B1551"/>
      <c r="C1551"/>
      <c r="D1551"/>
      <c r="E1551"/>
      <c r="F1551"/>
      <c r="G1551"/>
      <c r="H1551"/>
      <c r="I1551"/>
      <c r="J1551"/>
      <c r="K1551"/>
      <c r="L1551"/>
      <c r="M1551"/>
      <c r="N1551"/>
      <c r="O1551"/>
      <c r="P1551"/>
    </row>
    <row r="1552" spans="2:16">
      <c r="B1552"/>
      <c r="C1552"/>
      <c r="D1552"/>
      <c r="E1552"/>
      <c r="F1552"/>
      <c r="G1552"/>
      <c r="H1552"/>
      <c r="I1552"/>
      <c r="J1552"/>
      <c r="K1552"/>
      <c r="L1552"/>
      <c r="M1552"/>
      <c r="N1552"/>
      <c r="O1552"/>
      <c r="P1552"/>
    </row>
    <row r="1553" spans="2:16">
      <c r="B1553"/>
      <c r="C1553"/>
      <c r="D1553"/>
      <c r="E1553"/>
      <c r="F1553"/>
      <c r="G1553"/>
      <c r="H1553"/>
      <c r="I1553"/>
      <c r="J1553"/>
      <c r="K1553"/>
      <c r="L1553"/>
      <c r="M1553"/>
      <c r="N1553"/>
      <c r="O1553"/>
      <c r="P1553"/>
    </row>
    <row r="1554" spans="2:16">
      <c r="B1554"/>
      <c r="C1554"/>
      <c r="D1554"/>
      <c r="E1554"/>
      <c r="F1554"/>
      <c r="G1554"/>
      <c r="H1554"/>
      <c r="I1554"/>
      <c r="J1554"/>
      <c r="K1554"/>
      <c r="L1554"/>
      <c r="M1554"/>
      <c r="N1554"/>
      <c r="O1554"/>
      <c r="P1554"/>
    </row>
    <row r="1555" spans="2:16">
      <c r="B1555"/>
      <c r="C1555"/>
      <c r="D1555"/>
      <c r="E1555"/>
      <c r="F1555"/>
      <c r="G1555"/>
      <c r="H1555"/>
      <c r="I1555"/>
      <c r="J1555"/>
      <c r="K1555"/>
      <c r="L1555"/>
      <c r="M1555"/>
      <c r="N1555"/>
      <c r="O1555"/>
      <c r="P1555"/>
    </row>
    <row r="1556" spans="2:16">
      <c r="B1556"/>
      <c r="C1556"/>
      <c r="D1556"/>
      <c r="E1556"/>
      <c r="F1556"/>
      <c r="G1556"/>
      <c r="H1556"/>
      <c r="I1556"/>
      <c r="J1556"/>
      <c r="K1556"/>
      <c r="L1556"/>
      <c r="M1556"/>
      <c r="N1556"/>
      <c r="O1556"/>
      <c r="P1556"/>
    </row>
    <row r="1557" spans="2:16">
      <c r="B1557"/>
      <c r="C1557"/>
      <c r="D1557"/>
      <c r="E1557"/>
      <c r="F1557"/>
      <c r="G1557"/>
      <c r="H1557"/>
      <c r="I1557"/>
      <c r="J1557"/>
      <c r="K1557"/>
      <c r="L1557"/>
      <c r="M1557"/>
      <c r="N1557"/>
      <c r="O1557"/>
      <c r="P1557"/>
    </row>
    <row r="1558" spans="2:16">
      <c r="B1558"/>
      <c r="C1558"/>
      <c r="D1558"/>
      <c r="E1558"/>
      <c r="F1558"/>
      <c r="G1558"/>
      <c r="H1558"/>
      <c r="I1558"/>
      <c r="J1558"/>
      <c r="K1558"/>
      <c r="L1558"/>
      <c r="M1558"/>
      <c r="N1558"/>
      <c r="O1558"/>
      <c r="P1558"/>
    </row>
    <row r="1559" spans="2:16">
      <c r="B1559"/>
      <c r="C1559"/>
      <c r="D1559"/>
      <c r="E1559"/>
      <c r="F1559"/>
      <c r="G1559"/>
      <c r="H1559"/>
      <c r="I1559"/>
      <c r="J1559"/>
      <c r="K1559"/>
      <c r="L1559"/>
      <c r="M1559"/>
      <c r="N1559"/>
      <c r="O1559"/>
      <c r="P1559"/>
    </row>
    <row r="1560" spans="2:16">
      <c r="B1560"/>
      <c r="C1560"/>
      <c r="D1560"/>
      <c r="E1560"/>
      <c r="F1560"/>
      <c r="G1560"/>
      <c r="H1560"/>
      <c r="I1560"/>
      <c r="J1560"/>
      <c r="K1560"/>
      <c r="L1560"/>
      <c r="M1560"/>
      <c r="N1560"/>
      <c r="O1560"/>
      <c r="P1560"/>
    </row>
    <row r="1561" spans="2:16">
      <c r="B1561"/>
      <c r="C1561"/>
      <c r="D1561"/>
      <c r="E1561"/>
      <c r="F1561"/>
      <c r="G1561"/>
      <c r="H1561"/>
      <c r="I1561"/>
      <c r="J1561"/>
      <c r="K1561"/>
      <c r="L1561"/>
      <c r="M1561"/>
      <c r="N1561"/>
      <c r="O1561"/>
      <c r="P1561"/>
    </row>
    <row r="1562" spans="2:16">
      <c r="B1562"/>
      <c r="C1562"/>
      <c r="D1562"/>
      <c r="E1562"/>
      <c r="F1562"/>
      <c r="G1562"/>
      <c r="H1562"/>
      <c r="I1562"/>
      <c r="J1562"/>
      <c r="K1562"/>
      <c r="L1562"/>
      <c r="M1562"/>
      <c r="N1562"/>
      <c r="O1562"/>
      <c r="P1562"/>
    </row>
    <row r="1563" spans="2:16">
      <c r="B1563"/>
      <c r="C1563"/>
      <c r="D1563"/>
      <c r="E1563"/>
      <c r="F1563"/>
      <c r="G1563"/>
      <c r="H1563"/>
      <c r="I1563"/>
      <c r="J1563"/>
      <c r="K1563"/>
      <c r="L1563"/>
      <c r="M1563"/>
      <c r="N1563"/>
      <c r="O1563"/>
      <c r="P1563"/>
    </row>
    <row r="1564" spans="2:16">
      <c r="B1564"/>
      <c r="C1564"/>
      <c r="D1564"/>
      <c r="E1564"/>
      <c r="F1564"/>
      <c r="G1564"/>
      <c r="H1564"/>
      <c r="I1564"/>
      <c r="J1564"/>
      <c r="K1564"/>
      <c r="L1564"/>
      <c r="M1564"/>
      <c r="N1564"/>
      <c r="O1564"/>
      <c r="P1564"/>
    </row>
    <row r="1565" spans="2:16">
      <c r="B1565"/>
      <c r="C1565"/>
      <c r="D1565"/>
      <c r="E1565"/>
      <c r="F1565"/>
      <c r="G1565"/>
      <c r="H1565"/>
      <c r="I1565"/>
      <c r="J1565"/>
      <c r="K1565"/>
      <c r="L1565"/>
      <c r="M1565"/>
      <c r="N1565"/>
      <c r="O1565"/>
      <c r="P1565"/>
    </row>
    <row r="1566" spans="2:16">
      <c r="B1566"/>
      <c r="C1566"/>
      <c r="D1566"/>
      <c r="E1566"/>
      <c r="F1566"/>
      <c r="G1566"/>
      <c r="H1566"/>
      <c r="I1566"/>
      <c r="J1566"/>
      <c r="K1566"/>
      <c r="L1566"/>
      <c r="M1566"/>
      <c r="N1566"/>
      <c r="O1566"/>
      <c r="P1566"/>
    </row>
    <row r="1567" spans="2:16">
      <c r="B1567"/>
      <c r="C1567"/>
      <c r="D1567"/>
      <c r="E1567"/>
      <c r="F1567"/>
      <c r="G1567"/>
      <c r="H1567"/>
      <c r="I1567"/>
      <c r="J1567"/>
      <c r="K1567"/>
      <c r="L1567"/>
      <c r="M1567"/>
      <c r="N1567"/>
      <c r="O1567"/>
      <c r="P1567"/>
    </row>
    <row r="1568" spans="2:16">
      <c r="B1568"/>
      <c r="C1568"/>
      <c r="D1568"/>
      <c r="E1568"/>
      <c r="F1568"/>
      <c r="G1568"/>
      <c r="H1568"/>
      <c r="I1568"/>
      <c r="J1568"/>
      <c r="K1568"/>
      <c r="L1568"/>
      <c r="M1568"/>
      <c r="N1568"/>
      <c r="O1568"/>
      <c r="P1568"/>
    </row>
    <row r="1569" spans="2:16">
      <c r="B1569"/>
      <c r="C1569"/>
      <c r="D1569"/>
      <c r="E1569"/>
      <c r="F1569"/>
      <c r="G1569"/>
      <c r="H1569"/>
      <c r="I1569"/>
      <c r="J1569"/>
      <c r="K1569"/>
      <c r="L1569"/>
      <c r="M1569"/>
      <c r="N1569"/>
      <c r="O1569"/>
      <c r="P1569"/>
    </row>
    <row r="1570" spans="2:16">
      <c r="B1570"/>
      <c r="C1570"/>
      <c r="D1570"/>
      <c r="E1570"/>
      <c r="F1570"/>
      <c r="G1570"/>
      <c r="H1570"/>
      <c r="I1570"/>
      <c r="J1570"/>
      <c r="K1570"/>
      <c r="L1570"/>
      <c r="M1570"/>
      <c r="N1570"/>
      <c r="O1570"/>
      <c r="P1570"/>
    </row>
    <row r="1571" spans="2:16">
      <c r="B1571"/>
      <c r="C1571"/>
      <c r="D1571"/>
      <c r="E1571"/>
      <c r="F1571"/>
      <c r="G1571"/>
      <c r="H1571"/>
      <c r="I1571"/>
      <c r="J1571"/>
      <c r="K1571"/>
      <c r="L1571"/>
      <c r="M1571"/>
      <c r="N1571"/>
      <c r="O1571"/>
      <c r="P1571"/>
    </row>
    <row r="1572" spans="2:16">
      <c r="B1572"/>
      <c r="C1572"/>
      <c r="D1572"/>
      <c r="E1572"/>
      <c r="F1572"/>
      <c r="G1572"/>
      <c r="H1572"/>
      <c r="I1572"/>
      <c r="J1572"/>
      <c r="K1572"/>
      <c r="L1572"/>
      <c r="M1572"/>
      <c r="N1572"/>
      <c r="O1572"/>
      <c r="P1572"/>
    </row>
    <row r="1573" spans="2:16">
      <c r="B1573"/>
      <c r="C1573"/>
      <c r="D1573"/>
      <c r="E1573"/>
      <c r="F1573"/>
      <c r="G1573"/>
      <c r="H1573"/>
      <c r="I1573"/>
      <c r="J1573"/>
      <c r="K1573"/>
      <c r="L1573"/>
      <c r="M1573"/>
      <c r="N1573"/>
      <c r="O1573"/>
      <c r="P1573"/>
    </row>
    <row r="1574" spans="2:16">
      <c r="B1574"/>
      <c r="C1574"/>
      <c r="D1574"/>
      <c r="E1574"/>
      <c r="F1574"/>
      <c r="G1574"/>
      <c r="H1574"/>
      <c r="I1574"/>
      <c r="J1574"/>
      <c r="K1574"/>
      <c r="L1574"/>
      <c r="M1574"/>
      <c r="N1574"/>
      <c r="O1574"/>
      <c r="P1574"/>
    </row>
    <row r="1575" spans="2:16">
      <c r="B1575"/>
      <c r="C1575"/>
      <c r="D1575"/>
      <c r="E1575"/>
      <c r="F1575"/>
      <c r="G1575"/>
      <c r="H1575"/>
      <c r="I1575"/>
      <c r="J1575"/>
      <c r="K1575"/>
      <c r="L1575"/>
      <c r="M1575"/>
      <c r="N1575"/>
      <c r="O1575"/>
      <c r="P1575"/>
    </row>
    <row r="1576" spans="2:16">
      <c r="B1576"/>
      <c r="C1576"/>
      <c r="D1576"/>
      <c r="E1576"/>
      <c r="F1576"/>
      <c r="G1576"/>
      <c r="H1576"/>
      <c r="I1576"/>
      <c r="J1576"/>
      <c r="K1576"/>
      <c r="L1576"/>
      <c r="M1576"/>
      <c r="N1576"/>
      <c r="O1576"/>
      <c r="P1576"/>
    </row>
    <row r="1577" spans="2:16">
      <c r="B1577"/>
      <c r="C1577"/>
      <c r="D1577"/>
      <c r="E1577"/>
      <c r="F1577"/>
      <c r="G1577"/>
      <c r="H1577"/>
      <c r="I1577"/>
      <c r="J1577"/>
      <c r="K1577"/>
      <c r="L1577"/>
      <c r="M1577"/>
      <c r="N1577"/>
      <c r="O1577"/>
      <c r="P1577"/>
    </row>
    <row r="1578" spans="2:16">
      <c r="B1578"/>
      <c r="C1578"/>
      <c r="D1578"/>
      <c r="E1578"/>
      <c r="F1578"/>
      <c r="G1578"/>
      <c r="H1578"/>
      <c r="I1578"/>
      <c r="J1578"/>
      <c r="K1578"/>
      <c r="L1578"/>
      <c r="M1578"/>
      <c r="N1578"/>
      <c r="O1578"/>
      <c r="P1578"/>
    </row>
    <row r="1579" spans="2:16">
      <c r="B1579"/>
      <c r="C1579"/>
      <c r="D1579"/>
      <c r="E1579"/>
      <c r="F1579"/>
      <c r="G1579"/>
      <c r="H1579"/>
      <c r="I1579"/>
      <c r="J1579"/>
      <c r="K1579"/>
      <c r="L1579"/>
      <c r="M1579"/>
      <c r="N1579"/>
      <c r="O1579"/>
      <c r="P1579"/>
    </row>
    <row r="1580" spans="2:16">
      <c r="B1580"/>
      <c r="C1580"/>
      <c r="D1580"/>
      <c r="E1580"/>
      <c r="F1580"/>
      <c r="G1580"/>
      <c r="H1580"/>
      <c r="I1580"/>
      <c r="J1580"/>
      <c r="K1580"/>
      <c r="L1580"/>
      <c r="M1580"/>
      <c r="N1580"/>
      <c r="O1580"/>
      <c r="P1580"/>
    </row>
    <row r="1581" spans="2:16">
      <c r="B1581"/>
      <c r="C1581"/>
      <c r="D1581"/>
      <c r="E1581"/>
      <c r="F1581"/>
      <c r="G1581"/>
      <c r="H1581"/>
      <c r="I1581"/>
      <c r="J1581"/>
      <c r="K1581"/>
      <c r="L1581"/>
      <c r="M1581"/>
      <c r="N1581"/>
      <c r="O1581"/>
      <c r="P1581"/>
    </row>
    <row r="1582" spans="2:16">
      <c r="B1582"/>
      <c r="C1582"/>
      <c r="D1582"/>
      <c r="E1582"/>
      <c r="F1582"/>
      <c r="G1582"/>
      <c r="H1582"/>
      <c r="I1582"/>
      <c r="J1582"/>
      <c r="K1582"/>
      <c r="L1582"/>
      <c r="M1582"/>
      <c r="N1582"/>
      <c r="O1582"/>
      <c r="P1582"/>
    </row>
    <row r="1583" spans="2:16">
      <c r="B1583"/>
      <c r="C1583"/>
      <c r="D1583"/>
      <c r="E1583"/>
      <c r="F1583"/>
      <c r="G1583"/>
      <c r="H1583"/>
      <c r="I1583"/>
      <c r="J1583"/>
      <c r="K1583"/>
      <c r="L1583"/>
      <c r="M1583"/>
      <c r="N1583"/>
      <c r="O1583"/>
      <c r="P1583"/>
    </row>
    <row r="1584" spans="2:16">
      <c r="B1584"/>
      <c r="C1584"/>
      <c r="D1584"/>
      <c r="E1584"/>
      <c r="F1584"/>
      <c r="G1584"/>
      <c r="H1584"/>
      <c r="I1584"/>
      <c r="J1584"/>
      <c r="K1584"/>
      <c r="L1584"/>
      <c r="M1584"/>
      <c r="N1584"/>
      <c r="O1584"/>
      <c r="P1584"/>
    </row>
    <row r="1585" spans="2:16">
      <c r="B1585"/>
      <c r="C1585"/>
      <c r="D1585"/>
      <c r="E1585"/>
      <c r="F1585"/>
      <c r="G1585"/>
      <c r="H1585"/>
      <c r="I1585"/>
      <c r="J1585"/>
      <c r="K1585"/>
      <c r="L1585"/>
      <c r="M1585"/>
      <c r="N1585"/>
      <c r="O1585"/>
      <c r="P1585"/>
    </row>
    <row r="1586" spans="2:16">
      <c r="B1586"/>
      <c r="C1586"/>
      <c r="D1586"/>
      <c r="E1586"/>
      <c r="F1586"/>
      <c r="G1586"/>
      <c r="H1586"/>
      <c r="I1586"/>
      <c r="J1586"/>
      <c r="K1586"/>
      <c r="L1586"/>
      <c r="M1586"/>
      <c r="N1586"/>
      <c r="O1586"/>
      <c r="P1586"/>
    </row>
    <row r="1587" spans="2:16">
      <c r="B1587"/>
      <c r="C1587"/>
      <c r="D1587"/>
      <c r="E1587"/>
      <c r="F1587"/>
      <c r="G1587"/>
      <c r="H1587"/>
      <c r="I1587"/>
      <c r="J1587"/>
      <c r="K1587"/>
      <c r="L1587"/>
      <c r="M1587"/>
      <c r="N1587"/>
      <c r="O1587"/>
      <c r="P1587"/>
    </row>
    <row r="1588" spans="2:16">
      <c r="B1588"/>
      <c r="C1588"/>
      <c r="D1588"/>
      <c r="E1588"/>
      <c r="F1588"/>
      <c r="G1588"/>
      <c r="H1588"/>
      <c r="I1588"/>
      <c r="J1588"/>
      <c r="K1588"/>
      <c r="L1588"/>
      <c r="M1588"/>
      <c r="N1588"/>
      <c r="O1588"/>
      <c r="P1588"/>
    </row>
    <row r="1589" spans="2:16">
      <c r="B1589"/>
      <c r="C1589"/>
      <c r="D1589"/>
      <c r="E1589"/>
      <c r="F1589"/>
      <c r="G1589"/>
      <c r="H1589"/>
      <c r="I1589"/>
      <c r="J1589"/>
      <c r="K1589"/>
      <c r="L1589"/>
      <c r="M1589"/>
      <c r="N1589"/>
      <c r="O1589"/>
      <c r="P1589"/>
    </row>
    <row r="1590" spans="2:16">
      <c r="B1590"/>
      <c r="C1590"/>
      <c r="D1590"/>
      <c r="E1590"/>
      <c r="F1590"/>
      <c r="G1590"/>
      <c r="H1590"/>
      <c r="I1590"/>
      <c r="J1590"/>
      <c r="K1590"/>
      <c r="L1590"/>
      <c r="M1590"/>
      <c r="N1590"/>
      <c r="O1590"/>
      <c r="P1590"/>
    </row>
    <row r="1591" spans="2:16">
      <c r="B1591"/>
      <c r="C1591"/>
      <c r="D1591"/>
      <c r="E1591"/>
      <c r="F1591"/>
      <c r="G1591"/>
      <c r="H1591"/>
      <c r="I1591"/>
      <c r="J1591"/>
      <c r="K1591"/>
      <c r="L1591"/>
      <c r="M1591"/>
      <c r="N1591"/>
      <c r="O1591"/>
      <c r="P1591"/>
    </row>
    <row r="1592" spans="2:16">
      <c r="B1592"/>
      <c r="C1592"/>
      <c r="D1592"/>
      <c r="E1592"/>
      <c r="F1592"/>
      <c r="G1592"/>
      <c r="H1592"/>
      <c r="I1592"/>
      <c r="J1592"/>
      <c r="K1592"/>
      <c r="L1592"/>
      <c r="M1592"/>
      <c r="N1592"/>
      <c r="O1592"/>
      <c r="P1592"/>
    </row>
    <row r="1593" spans="2:16">
      <c r="B1593"/>
      <c r="C1593"/>
      <c r="D1593"/>
      <c r="E1593"/>
      <c r="F1593"/>
      <c r="G1593"/>
      <c r="H1593"/>
      <c r="I1593"/>
      <c r="J1593"/>
      <c r="K1593"/>
      <c r="L1593"/>
      <c r="M1593"/>
      <c r="N1593"/>
      <c r="O1593"/>
      <c r="P1593"/>
    </row>
    <row r="1594" spans="2:16">
      <c r="B1594"/>
      <c r="C1594"/>
      <c r="D1594"/>
      <c r="E1594"/>
      <c r="F1594"/>
      <c r="G1594"/>
      <c r="H1594"/>
      <c r="I1594"/>
      <c r="J1594"/>
      <c r="K1594"/>
      <c r="L1594"/>
      <c r="M1594"/>
      <c r="N1594"/>
      <c r="O1594"/>
      <c r="P1594"/>
    </row>
    <row r="1595" spans="2:16">
      <c r="B1595"/>
      <c r="C1595"/>
      <c r="D1595"/>
      <c r="E1595"/>
      <c r="F1595"/>
      <c r="G1595"/>
      <c r="H1595"/>
      <c r="I1595"/>
      <c r="J1595"/>
      <c r="K1595"/>
      <c r="L1595"/>
      <c r="M1595"/>
      <c r="N1595"/>
      <c r="O1595"/>
      <c r="P1595"/>
    </row>
    <row r="1596" spans="2:16">
      <c r="B1596"/>
      <c r="C1596"/>
      <c r="D1596"/>
      <c r="E1596"/>
      <c r="F1596"/>
      <c r="G1596"/>
      <c r="H1596"/>
      <c r="I1596"/>
      <c r="J1596"/>
      <c r="K1596"/>
      <c r="L1596"/>
      <c r="M1596"/>
      <c r="N1596"/>
      <c r="O1596"/>
      <c r="P1596"/>
    </row>
    <row r="1597" spans="2:16">
      <c r="B1597"/>
      <c r="C1597"/>
      <c r="D1597"/>
      <c r="E1597"/>
      <c r="F1597"/>
      <c r="G1597"/>
      <c r="H1597"/>
      <c r="I1597"/>
      <c r="J1597"/>
      <c r="K1597"/>
      <c r="L1597"/>
      <c r="M1597"/>
      <c r="N1597"/>
      <c r="O1597"/>
      <c r="P1597"/>
    </row>
    <row r="1598" spans="2:16">
      <c r="B1598"/>
      <c r="C1598"/>
      <c r="D1598"/>
      <c r="E1598"/>
      <c r="F1598"/>
      <c r="G1598"/>
      <c r="H1598"/>
      <c r="I1598"/>
      <c r="J1598"/>
      <c r="K1598"/>
      <c r="L1598"/>
      <c r="M1598"/>
      <c r="N1598"/>
      <c r="O1598"/>
      <c r="P1598"/>
    </row>
    <row r="1599" spans="2:16">
      <c r="B1599"/>
      <c r="C1599"/>
      <c r="D1599"/>
      <c r="E1599"/>
      <c r="F1599"/>
      <c r="G1599"/>
      <c r="H1599"/>
      <c r="I1599"/>
      <c r="J1599"/>
      <c r="K1599"/>
      <c r="L1599"/>
      <c r="M1599"/>
      <c r="N1599"/>
      <c r="O1599"/>
      <c r="P1599"/>
    </row>
    <row r="1600" spans="2:16">
      <c r="B1600"/>
      <c r="C1600"/>
      <c r="D1600"/>
      <c r="E1600"/>
      <c r="F1600"/>
      <c r="G1600"/>
      <c r="H1600"/>
      <c r="I1600"/>
      <c r="J1600"/>
      <c r="K1600"/>
      <c r="L1600"/>
      <c r="M1600"/>
      <c r="N1600"/>
      <c r="O1600"/>
      <c r="P1600"/>
    </row>
    <row r="1601" spans="2:16">
      <c r="B1601"/>
      <c r="C1601"/>
      <c r="D1601"/>
      <c r="E1601"/>
      <c r="F1601"/>
      <c r="G1601"/>
      <c r="H1601"/>
      <c r="I1601"/>
      <c r="J1601"/>
      <c r="K1601"/>
      <c r="L1601"/>
      <c r="M1601"/>
      <c r="N1601"/>
      <c r="O1601"/>
      <c r="P1601"/>
    </row>
    <row r="1602" spans="2:16">
      <c r="B1602"/>
      <c r="C1602"/>
      <c r="D1602"/>
      <c r="E1602"/>
      <c r="F1602"/>
      <c r="G1602"/>
      <c r="H1602"/>
      <c r="I1602"/>
      <c r="J1602"/>
      <c r="K1602"/>
      <c r="L1602"/>
      <c r="M1602"/>
      <c r="N1602"/>
      <c r="O1602"/>
      <c r="P1602"/>
    </row>
    <row r="1603" spans="2:16">
      <c r="B1603"/>
      <c r="C1603"/>
      <c r="D1603"/>
      <c r="E1603"/>
      <c r="F1603"/>
      <c r="G1603"/>
      <c r="H1603"/>
      <c r="I1603"/>
      <c r="J1603"/>
      <c r="K1603"/>
      <c r="L1603"/>
      <c r="M1603"/>
      <c r="N1603"/>
      <c r="O1603"/>
      <c r="P1603"/>
    </row>
    <row r="1604" spans="2:16">
      <c r="B1604"/>
      <c r="C1604"/>
      <c r="D1604"/>
      <c r="E1604"/>
      <c r="F1604"/>
      <c r="G1604"/>
      <c r="H1604"/>
      <c r="I1604"/>
      <c r="J1604"/>
      <c r="K1604"/>
      <c r="L1604"/>
      <c r="M1604"/>
      <c r="N1604"/>
      <c r="O1604"/>
      <c r="P1604"/>
    </row>
    <row r="1605" spans="2:16">
      <c r="B1605"/>
      <c r="C1605"/>
      <c r="D1605"/>
      <c r="E1605"/>
      <c r="F1605"/>
      <c r="G1605"/>
      <c r="H1605"/>
      <c r="I1605"/>
      <c r="J1605"/>
      <c r="K1605"/>
      <c r="L1605"/>
      <c r="M1605"/>
      <c r="N1605"/>
      <c r="O1605"/>
      <c r="P1605"/>
    </row>
    <row r="1606" spans="2:16">
      <c r="B1606"/>
      <c r="C1606"/>
      <c r="D1606"/>
      <c r="E1606"/>
      <c r="F1606"/>
      <c r="G1606"/>
      <c r="H1606"/>
      <c r="I1606"/>
      <c r="J1606"/>
      <c r="K1606"/>
      <c r="L1606"/>
      <c r="M1606"/>
      <c r="N1606"/>
      <c r="O1606"/>
      <c r="P1606"/>
    </row>
    <row r="1607" spans="2:16">
      <c r="B1607"/>
      <c r="C1607"/>
      <c r="D1607"/>
      <c r="E1607"/>
      <c r="F1607"/>
      <c r="G1607"/>
      <c r="H1607"/>
      <c r="I1607"/>
      <c r="J1607"/>
      <c r="K1607"/>
      <c r="L1607"/>
      <c r="M1607"/>
      <c r="N1607"/>
      <c r="O1607"/>
      <c r="P1607"/>
    </row>
    <row r="1608" spans="2:16">
      <c r="B1608"/>
      <c r="C1608"/>
      <c r="D1608"/>
      <c r="E1608"/>
      <c r="F1608"/>
      <c r="G1608"/>
      <c r="H1608"/>
      <c r="I1608"/>
      <c r="J1608"/>
      <c r="K1608"/>
      <c r="L1608"/>
      <c r="M1608"/>
      <c r="N1608"/>
      <c r="O1608"/>
      <c r="P1608"/>
    </row>
    <row r="1609" spans="2:16">
      <c r="B1609"/>
      <c r="C1609"/>
      <c r="D1609"/>
      <c r="E1609"/>
      <c r="F1609"/>
      <c r="G1609"/>
      <c r="H1609"/>
      <c r="I1609"/>
      <c r="J1609"/>
      <c r="K1609"/>
      <c r="L1609"/>
      <c r="M1609"/>
      <c r="N1609"/>
      <c r="O1609"/>
      <c r="P1609"/>
    </row>
    <row r="1610" spans="2:16">
      <c r="B1610"/>
      <c r="C1610"/>
      <c r="D1610"/>
      <c r="E1610"/>
      <c r="F1610"/>
      <c r="G1610"/>
      <c r="H1610"/>
      <c r="I1610"/>
      <c r="J1610"/>
      <c r="K1610"/>
      <c r="L1610"/>
      <c r="M1610"/>
      <c r="N1610"/>
      <c r="O1610"/>
      <c r="P1610"/>
    </row>
    <row r="1611" spans="2:16">
      <c r="B1611"/>
      <c r="C1611"/>
      <c r="D1611"/>
      <c r="E1611"/>
      <c r="F1611"/>
      <c r="G1611"/>
      <c r="H1611"/>
      <c r="I1611"/>
      <c r="J1611"/>
      <c r="K1611"/>
      <c r="L1611"/>
      <c r="M1611"/>
      <c r="N1611"/>
      <c r="O1611"/>
      <c r="P1611"/>
    </row>
    <row r="1612" spans="2:16">
      <c r="B1612"/>
      <c r="C1612"/>
      <c r="D1612"/>
      <c r="E1612"/>
      <c r="F1612"/>
      <c r="G1612"/>
      <c r="H1612"/>
      <c r="I1612"/>
      <c r="J1612"/>
      <c r="K1612"/>
      <c r="L1612"/>
      <c r="M1612"/>
      <c r="N1612"/>
      <c r="O1612"/>
      <c r="P1612"/>
    </row>
    <row r="1613" spans="2:16">
      <c r="B1613"/>
      <c r="C1613"/>
      <c r="D1613"/>
      <c r="E1613"/>
      <c r="F1613"/>
      <c r="G1613"/>
      <c r="H1613"/>
      <c r="I1613"/>
      <c r="J1613"/>
      <c r="K1613"/>
      <c r="L1613"/>
      <c r="M1613"/>
      <c r="N1613"/>
      <c r="O1613"/>
      <c r="P1613"/>
    </row>
    <row r="1614" spans="2:16">
      <c r="B1614"/>
      <c r="C1614"/>
      <c r="D1614"/>
      <c r="E1614"/>
      <c r="F1614"/>
      <c r="G1614"/>
      <c r="H1614"/>
      <c r="I1614"/>
      <c r="J1614"/>
      <c r="K1614"/>
      <c r="L1614"/>
      <c r="M1614"/>
      <c r="N1614"/>
      <c r="O1614"/>
      <c r="P1614"/>
    </row>
    <row r="1615" spans="2:16">
      <c r="B1615"/>
      <c r="C1615"/>
      <c r="D1615"/>
      <c r="E1615"/>
      <c r="F1615"/>
      <c r="G1615"/>
      <c r="H1615"/>
      <c r="I1615"/>
      <c r="J1615"/>
      <c r="K1615"/>
      <c r="L1615"/>
      <c r="M1615"/>
      <c r="N1615"/>
      <c r="O1615"/>
      <c r="P1615"/>
    </row>
    <row r="1616" spans="2:16">
      <c r="B1616"/>
      <c r="C1616"/>
      <c r="D1616"/>
      <c r="E1616"/>
      <c r="F1616"/>
      <c r="G1616"/>
      <c r="H1616"/>
      <c r="I1616"/>
      <c r="J1616"/>
      <c r="K1616"/>
      <c r="L1616"/>
      <c r="M1616"/>
      <c r="N1616"/>
      <c r="O1616"/>
      <c r="P1616"/>
    </row>
    <row r="1617" spans="2:16">
      <c r="B1617"/>
      <c r="C1617"/>
      <c r="D1617"/>
      <c r="E1617"/>
      <c r="F1617"/>
      <c r="G1617"/>
      <c r="H1617"/>
      <c r="I1617"/>
      <c r="J1617"/>
      <c r="K1617"/>
      <c r="L1617"/>
      <c r="M1617"/>
      <c r="N1617"/>
      <c r="O1617"/>
      <c r="P1617"/>
    </row>
    <row r="1618" spans="2:16">
      <c r="B1618"/>
      <c r="C1618"/>
      <c r="D1618"/>
      <c r="E1618"/>
      <c r="F1618"/>
      <c r="G1618"/>
      <c r="H1618"/>
      <c r="I1618"/>
      <c r="J1618"/>
      <c r="K1618"/>
      <c r="L1618"/>
      <c r="M1618"/>
      <c r="N1618"/>
      <c r="O1618"/>
      <c r="P1618"/>
    </row>
    <row r="1619" spans="2:16">
      <c r="B1619"/>
      <c r="C1619"/>
      <c r="D1619"/>
      <c r="E1619"/>
      <c r="F1619"/>
      <c r="G1619"/>
      <c r="H1619"/>
      <c r="I1619"/>
      <c r="J1619"/>
      <c r="K1619"/>
      <c r="L1619"/>
      <c r="M1619"/>
      <c r="N1619"/>
      <c r="O1619"/>
      <c r="P1619"/>
    </row>
    <row r="1620" spans="2:16">
      <c r="B1620"/>
      <c r="C1620"/>
      <c r="D1620"/>
      <c r="E1620"/>
      <c r="F1620"/>
      <c r="G1620"/>
      <c r="H1620"/>
      <c r="I1620"/>
      <c r="J1620"/>
      <c r="K1620"/>
      <c r="L1620"/>
      <c r="M1620"/>
      <c r="N1620"/>
      <c r="O1620"/>
      <c r="P1620"/>
    </row>
    <row r="1621" spans="2:16">
      <c r="B1621"/>
      <c r="C1621"/>
      <c r="D1621"/>
      <c r="E1621"/>
      <c r="F1621"/>
      <c r="G1621"/>
      <c r="H1621"/>
      <c r="I1621"/>
      <c r="J1621"/>
      <c r="K1621"/>
      <c r="L1621"/>
      <c r="M1621"/>
      <c r="N1621"/>
      <c r="O1621"/>
      <c r="P1621"/>
    </row>
    <row r="1622" spans="2:16">
      <c r="B1622"/>
      <c r="C1622"/>
      <c r="D1622"/>
      <c r="E1622"/>
      <c r="F1622"/>
      <c r="G1622"/>
      <c r="H1622"/>
      <c r="I1622"/>
      <c r="J1622"/>
      <c r="K1622"/>
      <c r="L1622"/>
      <c r="M1622"/>
      <c r="N1622"/>
      <c r="O1622"/>
      <c r="P1622"/>
    </row>
    <row r="1623" spans="2:16">
      <c r="B1623"/>
      <c r="C1623"/>
      <c r="D1623"/>
      <c r="E1623"/>
      <c r="F1623"/>
      <c r="G1623"/>
      <c r="H1623"/>
      <c r="I1623"/>
      <c r="J1623"/>
      <c r="K1623"/>
      <c r="L1623"/>
      <c r="M1623"/>
      <c r="N1623"/>
      <c r="O1623"/>
      <c r="P1623"/>
    </row>
    <row r="1624" spans="2:16">
      <c r="B1624"/>
      <c r="C1624"/>
      <c r="D1624"/>
      <c r="E1624"/>
      <c r="F1624"/>
      <c r="G1624"/>
      <c r="H1624"/>
      <c r="I1624"/>
      <c r="J1624"/>
      <c r="K1624"/>
      <c r="L1624"/>
      <c r="M1624"/>
      <c r="N1624"/>
      <c r="O1624"/>
      <c r="P1624"/>
    </row>
    <row r="1625" spans="2:16">
      <c r="B1625"/>
      <c r="C1625"/>
      <c r="D1625"/>
      <c r="E1625"/>
      <c r="F1625"/>
      <c r="G1625"/>
      <c r="H1625"/>
      <c r="I1625"/>
      <c r="J1625"/>
      <c r="K1625"/>
      <c r="L1625"/>
      <c r="M1625"/>
      <c r="N1625"/>
      <c r="O1625"/>
      <c r="P1625"/>
    </row>
    <row r="1626" spans="2:16">
      <c r="B1626"/>
      <c r="C1626"/>
      <c r="D1626"/>
      <c r="E1626"/>
      <c r="F1626"/>
      <c r="G1626"/>
      <c r="H1626"/>
      <c r="I1626"/>
      <c r="J1626"/>
      <c r="K1626"/>
      <c r="L1626"/>
      <c r="M1626"/>
      <c r="N1626"/>
      <c r="O1626"/>
      <c r="P1626"/>
    </row>
    <row r="1627" spans="2:16">
      <c r="B1627"/>
      <c r="C1627"/>
      <c r="D1627"/>
      <c r="E1627"/>
      <c r="F1627"/>
      <c r="G1627"/>
      <c r="H1627"/>
      <c r="I1627"/>
      <c r="J1627"/>
      <c r="K1627"/>
      <c r="L1627"/>
      <c r="M1627"/>
      <c r="N1627"/>
      <c r="O1627"/>
      <c r="P1627"/>
    </row>
    <row r="1628" spans="2:16">
      <c r="B1628"/>
      <c r="C1628"/>
      <c r="D1628"/>
      <c r="E1628"/>
      <c r="F1628"/>
      <c r="G1628"/>
      <c r="H1628"/>
      <c r="I1628"/>
      <c r="J1628"/>
      <c r="K1628"/>
      <c r="L1628"/>
      <c r="M1628"/>
      <c r="N1628"/>
      <c r="O1628"/>
      <c r="P1628"/>
    </row>
    <row r="1629" spans="2:16">
      <c r="B1629"/>
      <c r="C1629"/>
      <c r="D1629"/>
      <c r="E1629"/>
      <c r="F1629"/>
      <c r="G1629"/>
      <c r="H1629"/>
      <c r="I1629"/>
      <c r="J1629"/>
      <c r="K1629"/>
      <c r="L1629"/>
      <c r="M1629"/>
      <c r="N1629"/>
      <c r="O1629"/>
      <c r="P1629"/>
    </row>
    <row r="1630" spans="2:16">
      <c r="B1630"/>
      <c r="C1630"/>
      <c r="D1630"/>
      <c r="E1630"/>
      <c r="F1630"/>
      <c r="G1630"/>
      <c r="H1630"/>
      <c r="I1630"/>
      <c r="J1630"/>
      <c r="K1630"/>
      <c r="L1630"/>
      <c r="M1630"/>
      <c r="N1630"/>
      <c r="O1630"/>
      <c r="P1630"/>
    </row>
    <row r="1631" spans="2:16">
      <c r="B1631"/>
      <c r="C1631"/>
      <c r="D1631"/>
      <c r="E1631"/>
      <c r="F1631"/>
      <c r="G1631"/>
      <c r="H1631"/>
      <c r="I1631"/>
      <c r="J1631"/>
      <c r="K1631"/>
      <c r="L1631"/>
      <c r="M1631"/>
      <c r="N1631"/>
      <c r="O1631"/>
      <c r="P1631"/>
    </row>
    <row r="1632" spans="2:16">
      <c r="B1632"/>
      <c r="C1632"/>
      <c r="D1632"/>
      <c r="E1632"/>
      <c r="F1632"/>
      <c r="G1632"/>
      <c r="H1632"/>
      <c r="I1632"/>
      <c r="J1632"/>
      <c r="K1632"/>
      <c r="L1632"/>
      <c r="M1632"/>
      <c r="N1632"/>
      <c r="O1632"/>
      <c r="P1632"/>
    </row>
    <row r="1633" spans="2:16">
      <c r="B1633"/>
      <c r="C1633"/>
      <c r="D1633"/>
      <c r="E1633"/>
      <c r="F1633"/>
      <c r="G1633"/>
      <c r="H1633"/>
      <c r="I1633"/>
      <c r="J1633"/>
      <c r="K1633"/>
      <c r="L1633"/>
      <c r="M1633"/>
      <c r="N1633"/>
      <c r="O1633"/>
      <c r="P1633"/>
    </row>
    <row r="1634" spans="2:16">
      <c r="B1634"/>
      <c r="C1634"/>
      <c r="D1634"/>
      <c r="E1634"/>
      <c r="F1634"/>
      <c r="G1634"/>
      <c r="H1634"/>
      <c r="I1634"/>
      <c r="J1634"/>
      <c r="K1634"/>
      <c r="L1634"/>
      <c r="M1634"/>
      <c r="N1634"/>
      <c r="O1634"/>
      <c r="P1634"/>
    </row>
    <row r="1635" spans="2:16">
      <c r="B1635"/>
      <c r="C1635"/>
      <c r="D1635"/>
      <c r="E1635"/>
      <c r="F1635"/>
      <c r="G1635"/>
      <c r="H1635"/>
      <c r="I1635"/>
      <c r="J1635"/>
      <c r="K1635"/>
      <c r="L1635"/>
      <c r="M1635"/>
      <c r="N1635"/>
      <c r="O1635"/>
      <c r="P1635"/>
    </row>
    <row r="1636" spans="2:16">
      <c r="B1636"/>
      <c r="C1636"/>
      <c r="D1636"/>
      <c r="E1636"/>
      <c r="F1636"/>
      <c r="G1636"/>
      <c r="H1636"/>
      <c r="I1636"/>
      <c r="J1636"/>
      <c r="K1636"/>
      <c r="L1636"/>
      <c r="M1636"/>
      <c r="N1636"/>
      <c r="O1636"/>
      <c r="P1636"/>
    </row>
    <row r="1637" spans="2:16">
      <c r="B1637"/>
      <c r="C1637"/>
      <c r="D1637"/>
      <c r="E1637"/>
      <c r="F1637"/>
      <c r="G1637"/>
      <c r="H1637"/>
      <c r="I1637"/>
      <c r="J1637"/>
      <c r="K1637"/>
      <c r="L1637"/>
      <c r="M1637"/>
      <c r="N1637"/>
      <c r="O1637"/>
      <c r="P1637"/>
    </row>
    <row r="1638" spans="2:16">
      <c r="B1638"/>
      <c r="C1638"/>
      <c r="D1638"/>
      <c r="E1638"/>
      <c r="F1638"/>
      <c r="G1638"/>
      <c r="H1638"/>
      <c r="I1638"/>
      <c r="J1638"/>
      <c r="K1638"/>
      <c r="L1638"/>
      <c r="M1638"/>
      <c r="N1638"/>
      <c r="O1638"/>
      <c r="P1638"/>
    </row>
    <row r="1639" spans="2:16">
      <c r="B1639"/>
      <c r="C1639"/>
      <c r="D1639"/>
      <c r="E1639"/>
      <c r="F1639"/>
      <c r="G1639"/>
      <c r="H1639"/>
      <c r="I1639"/>
      <c r="J1639"/>
      <c r="K1639"/>
      <c r="L1639"/>
      <c r="M1639"/>
      <c r="N1639"/>
      <c r="O1639"/>
      <c r="P1639"/>
    </row>
    <row r="1640" spans="2:16">
      <c r="B1640"/>
      <c r="C1640"/>
      <c r="D1640"/>
      <c r="E1640"/>
      <c r="F1640"/>
      <c r="G1640"/>
      <c r="H1640"/>
      <c r="I1640"/>
      <c r="J1640"/>
      <c r="K1640"/>
      <c r="L1640"/>
      <c r="M1640"/>
      <c r="N1640"/>
      <c r="O1640"/>
      <c r="P1640"/>
    </row>
    <row r="1641" spans="2:16">
      <c r="B1641"/>
      <c r="C1641"/>
      <c r="D1641"/>
      <c r="E1641"/>
      <c r="F1641"/>
      <c r="G1641"/>
      <c r="H1641"/>
      <c r="I1641"/>
      <c r="J1641"/>
      <c r="K1641"/>
      <c r="L1641"/>
      <c r="M1641"/>
      <c r="N1641"/>
      <c r="O1641"/>
      <c r="P1641"/>
    </row>
    <row r="1642" spans="2:16">
      <c r="B1642"/>
      <c r="C1642"/>
      <c r="D1642"/>
      <c r="E1642"/>
      <c r="F1642"/>
      <c r="G1642"/>
      <c r="H1642"/>
      <c r="I1642"/>
      <c r="J1642"/>
      <c r="K1642"/>
      <c r="L1642"/>
      <c r="M1642"/>
      <c r="N1642"/>
      <c r="O1642"/>
      <c r="P1642"/>
    </row>
    <row r="1643" spans="2:16">
      <c r="B1643"/>
      <c r="C1643"/>
      <c r="D1643"/>
      <c r="E1643"/>
      <c r="F1643"/>
      <c r="G1643"/>
      <c r="H1643"/>
      <c r="I1643"/>
      <c r="J1643"/>
      <c r="K1643"/>
      <c r="L1643"/>
      <c r="M1643"/>
      <c r="N1643"/>
      <c r="O1643"/>
      <c r="P1643"/>
    </row>
    <row r="1644" spans="2:16">
      <c r="B1644"/>
      <c r="C1644"/>
      <c r="D1644"/>
      <c r="E1644"/>
      <c r="F1644"/>
      <c r="G1644"/>
      <c r="H1644"/>
      <c r="I1644"/>
      <c r="J1644"/>
      <c r="K1644"/>
      <c r="L1644"/>
      <c r="M1644"/>
      <c r="N1644"/>
      <c r="O1644"/>
      <c r="P1644"/>
    </row>
    <row r="1645" spans="2:16">
      <c r="B1645"/>
      <c r="C1645"/>
      <c r="D1645"/>
      <c r="E1645"/>
      <c r="F1645"/>
      <c r="G1645"/>
      <c r="H1645"/>
      <c r="I1645"/>
      <c r="J1645"/>
      <c r="K1645"/>
      <c r="L1645"/>
      <c r="M1645"/>
      <c r="N1645"/>
      <c r="O1645"/>
      <c r="P1645"/>
    </row>
    <row r="1646" spans="2:16">
      <c r="B1646"/>
      <c r="C1646"/>
      <c r="D1646"/>
      <c r="E1646"/>
      <c r="F1646"/>
      <c r="G1646"/>
      <c r="H1646"/>
      <c r="I1646"/>
      <c r="J1646"/>
      <c r="K1646"/>
      <c r="L1646"/>
      <c r="M1646"/>
      <c r="N1646"/>
      <c r="O1646"/>
      <c r="P1646"/>
    </row>
    <row r="1647" spans="2:16">
      <c r="B1647"/>
      <c r="C1647"/>
      <c r="D1647"/>
      <c r="E1647"/>
      <c r="F1647"/>
      <c r="G1647"/>
      <c r="H1647"/>
      <c r="I1647"/>
      <c r="J1647"/>
      <c r="K1647"/>
      <c r="L1647"/>
      <c r="M1647"/>
      <c r="N1647"/>
      <c r="O1647"/>
      <c r="P1647"/>
    </row>
    <row r="1648" spans="2:16">
      <c r="B1648"/>
      <c r="C1648"/>
      <c r="D1648"/>
      <c r="E1648"/>
      <c r="F1648"/>
      <c r="G1648"/>
      <c r="H1648"/>
      <c r="I1648"/>
      <c r="J1648"/>
      <c r="K1648"/>
      <c r="L1648"/>
      <c r="M1648"/>
      <c r="N1648"/>
      <c r="O1648"/>
      <c r="P1648"/>
    </row>
    <row r="1649" spans="2:16">
      <c r="B1649"/>
      <c r="C1649"/>
      <c r="D1649"/>
      <c r="E1649"/>
      <c r="F1649"/>
      <c r="G1649"/>
      <c r="H1649"/>
      <c r="I1649"/>
      <c r="J1649"/>
      <c r="K1649"/>
      <c r="L1649"/>
      <c r="M1649"/>
      <c r="N1649"/>
      <c r="O1649"/>
      <c r="P1649"/>
    </row>
    <row r="1650" spans="2:16">
      <c r="B1650"/>
      <c r="C1650"/>
      <c r="D1650"/>
      <c r="E1650"/>
      <c r="F1650"/>
      <c r="G1650"/>
      <c r="H1650"/>
      <c r="I1650"/>
      <c r="J1650"/>
      <c r="K1650"/>
      <c r="L1650"/>
      <c r="M1650"/>
      <c r="N1650"/>
      <c r="O1650"/>
      <c r="P1650"/>
    </row>
    <row r="1651" spans="2:16">
      <c r="B1651"/>
      <c r="C1651"/>
      <c r="D1651"/>
      <c r="E1651"/>
      <c r="F1651"/>
      <c r="G1651"/>
      <c r="H1651"/>
      <c r="I1651"/>
      <c r="J1651"/>
      <c r="K1651"/>
      <c r="L1651"/>
      <c r="M1651"/>
      <c r="N1651"/>
      <c r="O1651"/>
      <c r="P1651"/>
    </row>
    <row r="1652" spans="2:16">
      <c r="B1652"/>
      <c r="C1652"/>
      <c r="D1652"/>
      <c r="E1652"/>
      <c r="F1652"/>
      <c r="G1652"/>
      <c r="H1652"/>
      <c r="I1652"/>
      <c r="J1652"/>
      <c r="K1652"/>
      <c r="L1652"/>
      <c r="M1652"/>
      <c r="N1652"/>
      <c r="O1652"/>
      <c r="P1652"/>
    </row>
    <row r="1653" spans="2:16">
      <c r="B1653"/>
      <c r="C1653"/>
      <c r="D1653"/>
      <c r="E1653"/>
      <c r="F1653"/>
      <c r="G1653"/>
      <c r="H1653"/>
      <c r="I1653"/>
      <c r="J1653"/>
      <c r="K1653"/>
      <c r="L1653"/>
      <c r="M1653"/>
      <c r="N1653"/>
      <c r="O1653"/>
      <c r="P1653"/>
    </row>
    <row r="1654" spans="2:16">
      <c r="B1654"/>
      <c r="C1654"/>
      <c r="D1654"/>
      <c r="E1654"/>
      <c r="F1654"/>
      <c r="G1654"/>
      <c r="H1654"/>
      <c r="I1654"/>
      <c r="J1654"/>
      <c r="K1654"/>
      <c r="L1654"/>
      <c r="M1654"/>
      <c r="N1654"/>
      <c r="O1654"/>
      <c r="P1654"/>
    </row>
    <row r="1655" spans="2:16">
      <c r="B1655"/>
      <c r="C1655"/>
      <c r="D1655"/>
      <c r="E1655"/>
      <c r="F1655"/>
      <c r="G1655"/>
      <c r="H1655"/>
      <c r="I1655"/>
      <c r="J1655"/>
      <c r="K1655"/>
      <c r="L1655"/>
      <c r="M1655"/>
      <c r="N1655"/>
      <c r="O1655"/>
      <c r="P1655"/>
    </row>
    <row r="1656" spans="2:16">
      <c r="B1656"/>
      <c r="C1656"/>
      <c r="D1656"/>
      <c r="E1656"/>
      <c r="F1656"/>
      <c r="G1656"/>
      <c r="H1656"/>
      <c r="I1656"/>
      <c r="J1656"/>
      <c r="K1656"/>
      <c r="L1656"/>
      <c r="M1656"/>
      <c r="N1656"/>
      <c r="O1656"/>
      <c r="P1656"/>
    </row>
    <row r="1657" spans="2:16">
      <c r="B1657"/>
      <c r="C1657"/>
      <c r="D1657"/>
      <c r="E1657"/>
      <c r="F1657"/>
      <c r="G1657"/>
      <c r="H1657"/>
      <c r="I1657"/>
      <c r="J1657"/>
      <c r="K1657"/>
      <c r="L1657"/>
      <c r="M1657"/>
      <c r="N1657"/>
      <c r="O1657"/>
      <c r="P1657"/>
    </row>
    <row r="1658" spans="2:16">
      <c r="B1658"/>
      <c r="C1658"/>
      <c r="D1658"/>
      <c r="E1658"/>
      <c r="F1658"/>
      <c r="G1658"/>
      <c r="H1658"/>
      <c r="I1658"/>
      <c r="J1658"/>
      <c r="K1658"/>
      <c r="L1658"/>
      <c r="M1658"/>
      <c r="N1658"/>
      <c r="O1658"/>
      <c r="P1658"/>
    </row>
    <row r="1659" spans="2:16">
      <c r="B1659"/>
      <c r="C1659"/>
      <c r="D1659"/>
      <c r="E1659"/>
      <c r="F1659"/>
      <c r="G1659"/>
      <c r="H1659"/>
      <c r="I1659"/>
      <c r="J1659"/>
      <c r="K1659"/>
      <c r="L1659"/>
      <c r="M1659"/>
      <c r="N1659"/>
      <c r="O1659"/>
      <c r="P1659"/>
    </row>
    <row r="1660" spans="2:16">
      <c r="B1660"/>
      <c r="C1660"/>
      <c r="D1660"/>
      <c r="E1660"/>
      <c r="F1660"/>
      <c r="G1660"/>
      <c r="H1660"/>
      <c r="I1660"/>
      <c r="J1660"/>
      <c r="K1660"/>
      <c r="L1660"/>
      <c r="M1660"/>
      <c r="N1660"/>
      <c r="O1660"/>
      <c r="P1660"/>
    </row>
    <row r="1661" spans="2:16">
      <c r="B1661"/>
      <c r="C1661"/>
      <c r="D1661"/>
      <c r="E1661"/>
      <c r="F1661"/>
      <c r="G1661"/>
      <c r="H1661"/>
      <c r="I1661"/>
      <c r="J1661"/>
      <c r="K1661"/>
      <c r="L1661"/>
      <c r="M1661"/>
      <c r="N1661"/>
      <c r="O1661"/>
      <c r="P1661"/>
    </row>
    <row r="1662" spans="2:16">
      <c r="B1662"/>
      <c r="C1662"/>
      <c r="D1662"/>
      <c r="E1662"/>
      <c r="F1662"/>
      <c r="G1662"/>
      <c r="H1662"/>
      <c r="I1662"/>
      <c r="J1662"/>
      <c r="K1662"/>
      <c r="L1662"/>
      <c r="M1662"/>
      <c r="N1662"/>
      <c r="O1662"/>
      <c r="P1662"/>
    </row>
    <row r="1663" spans="2:16">
      <c r="B1663"/>
      <c r="C1663"/>
      <c r="D1663"/>
      <c r="E1663"/>
      <c r="F1663"/>
      <c r="G1663"/>
      <c r="H1663"/>
      <c r="I1663"/>
      <c r="J1663"/>
      <c r="K1663"/>
      <c r="L1663"/>
      <c r="M1663"/>
      <c r="N1663"/>
      <c r="O1663"/>
      <c r="P1663"/>
    </row>
    <row r="1664" spans="2:16">
      <c r="B1664"/>
      <c r="C1664"/>
      <c r="D1664"/>
      <c r="E1664"/>
      <c r="F1664"/>
      <c r="G1664"/>
      <c r="H1664"/>
      <c r="I1664"/>
      <c r="J1664"/>
      <c r="K1664"/>
      <c r="L1664"/>
      <c r="M1664"/>
      <c r="N1664"/>
      <c r="O1664"/>
      <c r="P1664"/>
    </row>
    <row r="1665" spans="2:16">
      <c r="B1665"/>
      <c r="C1665"/>
      <c r="D1665"/>
      <c r="E1665"/>
      <c r="F1665"/>
      <c r="G1665"/>
      <c r="H1665"/>
      <c r="I1665"/>
      <c r="J1665"/>
      <c r="K1665"/>
      <c r="L1665"/>
      <c r="M1665"/>
      <c r="N1665"/>
      <c r="O1665"/>
      <c r="P1665"/>
    </row>
    <row r="1666" spans="2:16">
      <c r="B1666"/>
      <c r="C1666"/>
      <c r="D1666"/>
      <c r="E1666"/>
      <c r="F1666"/>
      <c r="G1666"/>
      <c r="H1666"/>
      <c r="I1666"/>
      <c r="J1666"/>
      <c r="K1666"/>
      <c r="L1666"/>
      <c r="M1666"/>
      <c r="N1666"/>
      <c r="O1666"/>
      <c r="P1666"/>
    </row>
    <row r="1667" spans="2:16">
      <c r="B1667"/>
      <c r="C1667"/>
      <c r="D1667"/>
      <c r="E1667"/>
      <c r="F1667"/>
      <c r="G1667"/>
      <c r="H1667"/>
      <c r="I1667"/>
      <c r="J1667"/>
      <c r="K1667"/>
      <c r="L1667"/>
      <c r="M1667"/>
      <c r="N1667"/>
      <c r="O1667"/>
      <c r="P1667"/>
    </row>
    <row r="1668" spans="2:16">
      <c r="B1668"/>
      <c r="C1668"/>
      <c r="D1668"/>
      <c r="E1668"/>
      <c r="F1668"/>
      <c r="G1668"/>
      <c r="H1668"/>
      <c r="I1668"/>
      <c r="J1668"/>
      <c r="K1668"/>
      <c r="L1668"/>
      <c r="M1668"/>
      <c r="N1668"/>
      <c r="O1668"/>
      <c r="P1668"/>
    </row>
    <row r="1669" spans="2:16">
      <c r="B1669"/>
      <c r="C1669"/>
      <c r="D1669"/>
      <c r="E1669"/>
      <c r="F1669"/>
      <c r="G1669"/>
      <c r="H1669"/>
      <c r="I1669"/>
      <c r="J1669"/>
      <c r="K1669"/>
      <c r="L1669"/>
      <c r="M1669"/>
      <c r="N1669"/>
      <c r="O1669"/>
      <c r="P1669"/>
    </row>
    <row r="1670" spans="2:16">
      <c r="B1670"/>
      <c r="C1670"/>
      <c r="D1670"/>
      <c r="E1670"/>
      <c r="F1670"/>
      <c r="G1670"/>
      <c r="H1670"/>
      <c r="I1670"/>
      <c r="J1670"/>
      <c r="K1670"/>
      <c r="L1670"/>
      <c r="M1670"/>
      <c r="N1670"/>
      <c r="O1670"/>
      <c r="P1670"/>
    </row>
    <row r="1671" spans="2:16">
      <c r="B1671"/>
      <c r="C1671"/>
      <c r="D1671"/>
      <c r="E1671"/>
      <c r="F1671"/>
      <c r="G1671"/>
      <c r="H1671"/>
      <c r="I1671"/>
      <c r="J1671"/>
      <c r="K1671"/>
      <c r="L1671"/>
      <c r="M1671"/>
      <c r="N1671"/>
      <c r="O1671"/>
      <c r="P1671"/>
    </row>
    <row r="1672" spans="2:16">
      <c r="B1672"/>
      <c r="C1672"/>
      <c r="D1672"/>
      <c r="E1672"/>
      <c r="F1672"/>
      <c r="G1672"/>
      <c r="H1672"/>
      <c r="I1672"/>
      <c r="J1672"/>
      <c r="K1672"/>
      <c r="L1672"/>
      <c r="M1672"/>
      <c r="N1672"/>
      <c r="O1672"/>
      <c r="P1672"/>
    </row>
    <row r="1673" spans="2:16">
      <c r="B1673"/>
      <c r="C1673"/>
      <c r="D1673"/>
      <c r="E1673"/>
      <c r="F1673"/>
      <c r="G1673"/>
      <c r="H1673"/>
      <c r="I1673"/>
      <c r="J1673"/>
      <c r="K1673"/>
      <c r="L1673"/>
      <c r="M1673"/>
      <c r="N1673"/>
      <c r="O1673"/>
      <c r="P1673"/>
    </row>
    <row r="1674" spans="2:16">
      <c r="B1674"/>
      <c r="C1674"/>
      <c r="D1674"/>
      <c r="E1674"/>
      <c r="F1674"/>
      <c r="G1674"/>
      <c r="H1674"/>
      <c r="I1674"/>
      <c r="J1674"/>
      <c r="K1674"/>
      <c r="L1674"/>
      <c r="M1674"/>
      <c r="N1674"/>
      <c r="O1674"/>
      <c r="P1674"/>
    </row>
    <row r="1675" spans="2:16">
      <c r="B1675"/>
      <c r="C1675"/>
      <c r="D1675"/>
      <c r="E1675"/>
      <c r="F1675"/>
      <c r="G1675"/>
      <c r="H1675"/>
      <c r="I1675"/>
      <c r="J1675"/>
      <c r="K1675"/>
      <c r="L1675"/>
      <c r="M1675"/>
      <c r="N1675"/>
      <c r="O1675"/>
      <c r="P1675"/>
    </row>
    <row r="1676" spans="2:16">
      <c r="B1676"/>
      <c r="C1676"/>
      <c r="D1676"/>
      <c r="E1676"/>
      <c r="F1676"/>
      <c r="G1676"/>
      <c r="H1676"/>
      <c r="I1676"/>
      <c r="J1676"/>
      <c r="K1676"/>
      <c r="L1676"/>
      <c r="M1676"/>
      <c r="N1676"/>
      <c r="O1676"/>
      <c r="P1676"/>
    </row>
    <row r="1677" spans="2:16">
      <c r="B1677"/>
      <c r="C1677"/>
      <c r="D1677"/>
      <c r="E1677"/>
      <c r="F1677"/>
      <c r="G1677"/>
      <c r="H1677"/>
      <c r="I1677"/>
      <c r="J1677"/>
      <c r="K1677"/>
      <c r="L1677"/>
      <c r="M1677"/>
      <c r="N1677"/>
      <c r="O1677"/>
      <c r="P1677"/>
    </row>
    <row r="1678" spans="2:16">
      <c r="B1678"/>
      <c r="C1678"/>
      <c r="D1678"/>
      <c r="E1678"/>
      <c r="F1678"/>
      <c r="G1678"/>
      <c r="H1678"/>
      <c r="I1678"/>
      <c r="J1678"/>
      <c r="K1678"/>
      <c r="L1678"/>
      <c r="M1678"/>
      <c r="N1678"/>
      <c r="O1678"/>
      <c r="P1678"/>
    </row>
    <row r="1679" spans="2:16">
      <c r="B1679"/>
      <c r="C1679"/>
      <c r="D1679"/>
      <c r="E1679"/>
      <c r="F1679"/>
      <c r="G1679"/>
      <c r="H1679"/>
      <c r="I1679"/>
      <c r="J1679"/>
      <c r="K1679"/>
      <c r="L1679"/>
      <c r="M1679"/>
      <c r="N1679"/>
      <c r="O1679"/>
      <c r="P1679"/>
    </row>
    <row r="1680" spans="2:16">
      <c r="B1680"/>
      <c r="C1680"/>
      <c r="D1680"/>
      <c r="E1680"/>
      <c r="F1680"/>
      <c r="G1680"/>
      <c r="H1680"/>
      <c r="I1680"/>
      <c r="J1680"/>
      <c r="K1680"/>
      <c r="L1680"/>
      <c r="M1680"/>
      <c r="N1680"/>
      <c r="O1680"/>
      <c r="P1680"/>
    </row>
    <row r="1681" spans="2:16">
      <c r="B1681"/>
      <c r="C1681"/>
      <c r="D1681"/>
      <c r="E1681"/>
      <c r="F1681"/>
      <c r="G1681"/>
      <c r="H1681"/>
      <c r="I1681"/>
      <c r="J1681"/>
      <c r="K1681"/>
      <c r="L1681"/>
      <c r="M1681"/>
      <c r="N1681"/>
      <c r="O1681"/>
      <c r="P1681"/>
    </row>
    <row r="1682" spans="2:16">
      <c r="B1682"/>
      <c r="C1682"/>
      <c r="D1682"/>
      <c r="E1682"/>
      <c r="F1682"/>
      <c r="G1682"/>
      <c r="H1682"/>
      <c r="I1682"/>
      <c r="J1682"/>
      <c r="K1682"/>
      <c r="L1682"/>
      <c r="M1682"/>
      <c r="N1682"/>
      <c r="O1682"/>
      <c r="P1682"/>
    </row>
    <row r="1683" spans="2:16">
      <c r="B1683"/>
      <c r="C1683"/>
      <c r="D1683"/>
      <c r="E1683"/>
      <c r="F1683"/>
      <c r="G1683"/>
      <c r="H1683"/>
      <c r="I1683"/>
      <c r="J1683"/>
      <c r="K1683"/>
      <c r="L1683"/>
      <c r="M1683"/>
      <c r="N1683"/>
      <c r="O1683"/>
      <c r="P1683"/>
    </row>
    <row r="1684" spans="2:16">
      <c r="B1684"/>
      <c r="C1684"/>
      <c r="D1684"/>
      <c r="E1684"/>
      <c r="F1684"/>
      <c r="G1684"/>
      <c r="H1684"/>
      <c r="I1684"/>
      <c r="J1684"/>
      <c r="K1684"/>
      <c r="L1684"/>
      <c r="M1684"/>
      <c r="N1684"/>
      <c r="O1684"/>
      <c r="P1684"/>
    </row>
    <row r="1685" spans="2:16">
      <c r="B1685"/>
      <c r="C1685"/>
      <c r="D1685"/>
      <c r="E1685"/>
      <c r="F1685"/>
      <c r="G1685"/>
      <c r="H1685"/>
      <c r="I1685"/>
      <c r="J1685"/>
      <c r="K1685"/>
      <c r="L1685"/>
      <c r="M1685"/>
      <c r="N1685"/>
      <c r="O1685"/>
      <c r="P1685"/>
    </row>
    <row r="1686" spans="2:16">
      <c r="B1686"/>
      <c r="C1686"/>
      <c r="D1686"/>
      <c r="E1686"/>
      <c r="F1686"/>
      <c r="G1686"/>
      <c r="H1686"/>
      <c r="I1686"/>
      <c r="J1686"/>
      <c r="K1686"/>
      <c r="L1686"/>
      <c r="M1686"/>
      <c r="N1686"/>
      <c r="O1686"/>
      <c r="P1686"/>
    </row>
    <row r="1687" spans="2:16">
      <c r="B1687"/>
      <c r="C1687"/>
      <c r="D1687"/>
      <c r="E1687"/>
      <c r="F1687"/>
      <c r="G1687"/>
      <c r="H1687"/>
      <c r="I1687"/>
      <c r="J1687"/>
      <c r="K1687"/>
      <c r="L1687"/>
      <c r="M1687"/>
      <c r="N1687"/>
      <c r="O1687"/>
      <c r="P1687"/>
    </row>
    <row r="1688" spans="2:16">
      <c r="B1688"/>
      <c r="C1688"/>
      <c r="D1688"/>
      <c r="E1688"/>
      <c r="F1688"/>
      <c r="G1688"/>
      <c r="H1688"/>
      <c r="I1688"/>
      <c r="J1688"/>
      <c r="K1688"/>
      <c r="L1688"/>
      <c r="M1688"/>
      <c r="N1688"/>
      <c r="O1688"/>
      <c r="P1688"/>
    </row>
    <row r="1689" spans="2:16">
      <c r="B1689"/>
      <c r="C1689"/>
      <c r="D1689"/>
      <c r="E1689"/>
      <c r="F1689"/>
      <c r="G1689"/>
      <c r="H1689"/>
      <c r="I1689"/>
      <c r="J1689"/>
      <c r="K1689"/>
      <c r="L1689"/>
      <c r="M1689"/>
      <c r="N1689"/>
      <c r="O1689"/>
      <c r="P1689"/>
    </row>
    <row r="1690" spans="2:16">
      <c r="B1690"/>
      <c r="C1690"/>
      <c r="D1690"/>
      <c r="E1690"/>
      <c r="F1690"/>
      <c r="G1690"/>
      <c r="H1690"/>
      <c r="I1690"/>
      <c r="J1690"/>
      <c r="K1690"/>
      <c r="L1690"/>
      <c r="M1690"/>
      <c r="N1690"/>
      <c r="O1690"/>
      <c r="P1690"/>
    </row>
    <row r="1691" spans="2:16">
      <c r="B1691"/>
      <c r="C1691"/>
      <c r="D1691"/>
      <c r="E1691"/>
      <c r="F1691"/>
      <c r="G1691"/>
      <c r="H1691"/>
      <c r="I1691"/>
      <c r="J1691"/>
      <c r="K1691"/>
      <c r="L1691"/>
      <c r="M1691"/>
      <c r="N1691"/>
      <c r="O1691"/>
      <c r="P1691"/>
    </row>
    <row r="1692" spans="2:16">
      <c r="B1692"/>
      <c r="C1692"/>
      <c r="D1692"/>
      <c r="E1692"/>
      <c r="F1692"/>
      <c r="G1692"/>
      <c r="H1692"/>
      <c r="I1692"/>
      <c r="J1692"/>
      <c r="K1692"/>
      <c r="L1692"/>
      <c r="M1692"/>
      <c r="N1692"/>
      <c r="O1692"/>
      <c r="P1692"/>
    </row>
    <row r="1693" spans="2:16">
      <c r="B1693"/>
      <c r="C1693"/>
      <c r="D1693"/>
      <c r="E1693"/>
      <c r="F1693"/>
      <c r="G1693"/>
      <c r="H1693"/>
      <c r="I1693"/>
      <c r="J1693"/>
      <c r="K1693"/>
      <c r="L1693"/>
      <c r="M1693"/>
      <c r="N1693"/>
      <c r="O1693"/>
      <c r="P1693"/>
    </row>
    <row r="1694" spans="2:16">
      <c r="B1694"/>
      <c r="C1694"/>
      <c r="D1694"/>
      <c r="E1694"/>
      <c r="F1694"/>
      <c r="G1694"/>
      <c r="H1694"/>
      <c r="I1694"/>
      <c r="J1694"/>
      <c r="K1694"/>
      <c r="L1694"/>
      <c r="M1694"/>
      <c r="N1694"/>
      <c r="O1694"/>
      <c r="P1694"/>
    </row>
    <row r="1695" spans="2:16">
      <c r="B1695"/>
      <c r="C1695"/>
      <c r="D1695"/>
      <c r="E1695"/>
      <c r="F1695"/>
      <c r="G1695"/>
      <c r="H1695"/>
      <c r="I1695"/>
      <c r="J1695"/>
      <c r="K1695"/>
      <c r="L1695"/>
      <c r="M1695"/>
      <c r="N1695"/>
      <c r="O1695"/>
      <c r="P1695"/>
    </row>
    <row r="1696" spans="2:16">
      <c r="B1696"/>
      <c r="C1696"/>
      <c r="D1696"/>
      <c r="E1696"/>
      <c r="F1696"/>
      <c r="G1696"/>
      <c r="H1696"/>
      <c r="I1696"/>
      <c r="J1696"/>
      <c r="K1696"/>
      <c r="L1696"/>
      <c r="M1696"/>
      <c r="N1696"/>
      <c r="O1696"/>
      <c r="P1696"/>
    </row>
    <row r="1697" spans="2:16">
      <c r="B1697"/>
      <c r="C1697"/>
      <c r="D1697"/>
      <c r="E1697"/>
      <c r="F1697"/>
      <c r="G1697"/>
      <c r="H1697"/>
      <c r="I1697"/>
      <c r="J1697"/>
      <c r="K1697"/>
      <c r="L1697"/>
      <c r="M1697"/>
      <c r="N1697"/>
      <c r="O1697"/>
      <c r="P1697"/>
    </row>
    <row r="1698" spans="2:16">
      <c r="B1698"/>
      <c r="C1698"/>
      <c r="D1698"/>
      <c r="E1698"/>
      <c r="F1698"/>
      <c r="G1698"/>
      <c r="H1698"/>
      <c r="I1698"/>
      <c r="J1698"/>
      <c r="K1698"/>
      <c r="L1698"/>
      <c r="M1698"/>
      <c r="N1698"/>
      <c r="O1698"/>
      <c r="P1698"/>
    </row>
    <row r="1699" spans="2:16">
      <c r="B1699"/>
      <c r="C1699"/>
      <c r="D1699"/>
      <c r="E1699"/>
      <c r="F1699"/>
      <c r="G1699"/>
      <c r="H1699"/>
      <c r="I1699"/>
      <c r="J1699"/>
      <c r="K1699"/>
      <c r="L1699"/>
      <c r="M1699"/>
      <c r="N1699"/>
      <c r="O1699"/>
      <c r="P1699"/>
    </row>
    <row r="1700" spans="2:16">
      <c r="B1700"/>
      <c r="C1700"/>
      <c r="D1700"/>
      <c r="E1700"/>
      <c r="F1700"/>
      <c r="G1700"/>
      <c r="H1700"/>
      <c r="I1700"/>
      <c r="J1700"/>
      <c r="K1700"/>
      <c r="L1700"/>
      <c r="M1700"/>
      <c r="N1700"/>
      <c r="O1700"/>
      <c r="P1700"/>
    </row>
    <row r="1701" spans="2:16">
      <c r="B1701"/>
      <c r="C1701"/>
      <c r="D1701"/>
      <c r="E1701"/>
      <c r="F1701"/>
      <c r="G1701"/>
      <c r="H1701"/>
      <c r="I1701"/>
      <c r="J1701"/>
      <c r="K1701"/>
      <c r="L1701"/>
      <c r="M1701"/>
      <c r="N1701"/>
      <c r="O1701"/>
      <c r="P1701"/>
    </row>
    <row r="1702" spans="2:16">
      <c r="B1702"/>
      <c r="C1702"/>
      <c r="D1702"/>
      <c r="E1702"/>
      <c r="F1702"/>
      <c r="G1702"/>
      <c r="H1702"/>
      <c r="I1702"/>
      <c r="J1702"/>
      <c r="K1702"/>
      <c r="L1702"/>
      <c r="M1702"/>
      <c r="N1702"/>
      <c r="O1702"/>
      <c r="P1702"/>
    </row>
    <row r="1703" spans="2:16">
      <c r="B1703"/>
      <c r="C1703"/>
      <c r="D1703"/>
      <c r="E1703"/>
      <c r="F1703"/>
      <c r="G1703"/>
      <c r="H1703"/>
      <c r="I1703"/>
      <c r="J1703"/>
      <c r="K1703"/>
      <c r="L1703"/>
      <c r="M1703"/>
      <c r="N1703"/>
      <c r="O1703"/>
      <c r="P1703"/>
    </row>
    <row r="1704" spans="2:16">
      <c r="B1704"/>
      <c r="C1704"/>
      <c r="D1704"/>
      <c r="E1704"/>
      <c r="F1704"/>
      <c r="G1704"/>
      <c r="H1704"/>
      <c r="I1704"/>
      <c r="J1704"/>
      <c r="K1704"/>
      <c r="L1704"/>
      <c r="M1704"/>
      <c r="N1704"/>
      <c r="O1704"/>
      <c r="P1704"/>
    </row>
    <row r="1705" spans="2:16">
      <c r="B1705"/>
      <c r="C1705"/>
      <c r="D1705"/>
      <c r="E1705"/>
      <c r="F1705"/>
      <c r="G1705"/>
      <c r="H1705"/>
      <c r="I1705"/>
      <c r="J1705"/>
      <c r="K1705"/>
      <c r="L1705"/>
      <c r="M1705"/>
      <c r="N1705"/>
      <c r="O1705"/>
      <c r="P1705"/>
    </row>
    <row r="1706" spans="2:16">
      <c r="B1706"/>
      <c r="C1706"/>
      <c r="D1706"/>
      <c r="E1706"/>
      <c r="F1706"/>
      <c r="G1706"/>
      <c r="H1706"/>
      <c r="I1706"/>
      <c r="J1706"/>
      <c r="K1706"/>
      <c r="L1706"/>
      <c r="M1706"/>
      <c r="N1706"/>
      <c r="O1706"/>
      <c r="P1706"/>
    </row>
    <row r="1707" spans="2:16">
      <c r="B1707"/>
      <c r="C1707"/>
      <c r="D1707"/>
      <c r="E1707"/>
      <c r="F1707"/>
      <c r="G1707"/>
      <c r="H1707"/>
      <c r="I1707"/>
      <c r="J1707"/>
      <c r="K1707"/>
      <c r="L1707"/>
      <c r="M1707"/>
      <c r="N1707"/>
      <c r="O1707"/>
      <c r="P1707"/>
    </row>
    <row r="1708" spans="2:16">
      <c r="B1708"/>
      <c r="C1708"/>
      <c r="D1708"/>
      <c r="E1708"/>
      <c r="F1708"/>
      <c r="G1708"/>
      <c r="H1708"/>
      <c r="I1708"/>
      <c r="J1708"/>
      <c r="K1708"/>
      <c r="L1708"/>
      <c r="M1708"/>
      <c r="N1708"/>
      <c r="O1708"/>
      <c r="P1708"/>
    </row>
    <row r="1709" spans="2:16">
      <c r="B1709"/>
      <c r="C1709"/>
      <c r="D1709"/>
      <c r="E1709"/>
      <c r="F1709"/>
      <c r="G1709"/>
      <c r="H1709"/>
      <c r="I1709"/>
      <c r="J1709"/>
      <c r="K1709"/>
      <c r="L1709"/>
      <c r="M1709"/>
      <c r="N1709"/>
      <c r="O1709"/>
      <c r="P1709"/>
    </row>
    <row r="1710" spans="2:16">
      <c r="B1710"/>
      <c r="C1710"/>
      <c r="D1710"/>
      <c r="E1710"/>
      <c r="F1710"/>
      <c r="G1710"/>
      <c r="H1710"/>
      <c r="I1710"/>
      <c r="J1710"/>
      <c r="K1710"/>
      <c r="L1710"/>
      <c r="M1710"/>
      <c r="N1710"/>
      <c r="O1710"/>
      <c r="P1710"/>
    </row>
    <row r="1711" spans="2:16">
      <c r="B1711"/>
      <c r="C1711"/>
      <c r="D1711"/>
      <c r="E1711"/>
      <c r="F1711"/>
      <c r="G1711"/>
      <c r="H1711"/>
      <c r="I1711"/>
      <c r="J1711"/>
      <c r="K1711"/>
      <c r="L1711"/>
      <c r="M1711"/>
      <c r="N1711"/>
      <c r="O1711"/>
      <c r="P1711"/>
    </row>
    <row r="1712" spans="2:16">
      <c r="B1712"/>
      <c r="C1712"/>
      <c r="D1712"/>
      <c r="E1712"/>
      <c r="F1712"/>
      <c r="G1712"/>
      <c r="H1712"/>
      <c r="I1712"/>
      <c r="J1712"/>
      <c r="K1712"/>
      <c r="L1712"/>
      <c r="M1712"/>
      <c r="N1712"/>
      <c r="O1712"/>
      <c r="P1712"/>
    </row>
    <row r="1713" spans="2:16">
      <c r="B1713"/>
      <c r="C1713"/>
      <c r="D1713"/>
      <c r="E1713"/>
      <c r="F1713"/>
      <c r="G1713"/>
      <c r="H1713"/>
      <c r="I1713"/>
      <c r="J1713"/>
      <c r="K1713"/>
      <c r="L1713"/>
      <c r="M1713"/>
      <c r="N1713"/>
      <c r="O1713"/>
      <c r="P1713"/>
    </row>
    <row r="1714" spans="2:16">
      <c r="B1714"/>
      <c r="C1714"/>
      <c r="D1714"/>
      <c r="E1714"/>
      <c r="F1714"/>
      <c r="G1714"/>
      <c r="H1714"/>
      <c r="I1714"/>
      <c r="J1714"/>
      <c r="K1714"/>
      <c r="L1714"/>
      <c r="M1714"/>
      <c r="N1714"/>
      <c r="O1714"/>
      <c r="P1714"/>
    </row>
    <row r="1715" spans="2:16">
      <c r="B1715"/>
      <c r="C1715"/>
      <c r="D1715"/>
      <c r="E1715"/>
      <c r="F1715"/>
      <c r="G1715"/>
      <c r="H1715"/>
      <c r="I1715"/>
      <c r="J1715"/>
      <c r="K1715"/>
      <c r="L1715"/>
      <c r="M1715"/>
      <c r="N1715"/>
      <c r="O1715"/>
      <c r="P1715"/>
    </row>
    <row r="1716" spans="2:16">
      <c r="B1716"/>
      <c r="C1716"/>
      <c r="D1716"/>
      <c r="E1716"/>
      <c r="F1716"/>
      <c r="G1716"/>
      <c r="H1716"/>
      <c r="I1716"/>
      <c r="J1716"/>
      <c r="K1716"/>
      <c r="L1716"/>
      <c r="M1716"/>
      <c r="N1716"/>
      <c r="O1716"/>
      <c r="P1716"/>
    </row>
    <row r="1717" spans="2:16">
      <c r="B1717"/>
      <c r="C1717"/>
      <c r="D1717"/>
      <c r="E1717"/>
      <c r="F1717"/>
      <c r="G1717"/>
      <c r="H1717"/>
      <c r="I1717"/>
      <c r="J1717"/>
      <c r="K1717"/>
      <c r="L1717"/>
      <c r="M1717"/>
      <c r="N1717"/>
      <c r="O1717"/>
      <c r="P1717"/>
    </row>
    <row r="1718" spans="2:16">
      <c r="B1718"/>
      <c r="C1718"/>
      <c r="D1718"/>
      <c r="E1718"/>
      <c r="F1718"/>
      <c r="G1718"/>
      <c r="H1718"/>
      <c r="I1718"/>
      <c r="J1718"/>
      <c r="K1718"/>
      <c r="L1718"/>
      <c r="M1718"/>
      <c r="N1718"/>
      <c r="O1718"/>
      <c r="P1718"/>
    </row>
    <row r="1719" spans="2:16">
      <c r="B1719"/>
      <c r="C1719"/>
      <c r="D1719"/>
      <c r="E1719"/>
      <c r="F1719"/>
      <c r="G1719"/>
      <c r="H1719"/>
      <c r="I1719"/>
      <c r="J1719"/>
      <c r="K1719"/>
      <c r="L1719"/>
      <c r="M1719"/>
      <c r="N1719"/>
      <c r="O1719"/>
      <c r="P1719"/>
    </row>
    <row r="1720" spans="2:16">
      <c r="B1720"/>
      <c r="C1720"/>
      <c r="D1720"/>
      <c r="E1720"/>
      <c r="F1720"/>
      <c r="G1720"/>
      <c r="H1720"/>
      <c r="I1720"/>
      <c r="J1720"/>
      <c r="K1720"/>
      <c r="L1720"/>
      <c r="M1720"/>
      <c r="N1720"/>
      <c r="O1720"/>
      <c r="P1720"/>
    </row>
    <row r="1721" spans="2:16">
      <c r="B1721"/>
      <c r="C1721"/>
      <c r="D1721"/>
      <c r="E1721"/>
      <c r="F1721"/>
      <c r="G1721"/>
      <c r="H1721"/>
      <c r="I1721"/>
      <c r="J1721"/>
      <c r="K1721"/>
      <c r="L1721"/>
      <c r="M1721"/>
      <c r="N1721"/>
      <c r="O1721"/>
      <c r="P1721"/>
    </row>
    <row r="1722" spans="2:16">
      <c r="B1722"/>
      <c r="C1722"/>
      <c r="D1722"/>
      <c r="E1722"/>
      <c r="F1722"/>
      <c r="G1722"/>
      <c r="H1722"/>
      <c r="I1722"/>
      <c r="J1722"/>
      <c r="K1722"/>
      <c r="L1722"/>
      <c r="M1722"/>
      <c r="N1722"/>
      <c r="O1722"/>
      <c r="P1722"/>
    </row>
    <row r="1723" spans="2:16">
      <c r="B1723"/>
      <c r="C1723"/>
      <c r="D1723"/>
      <c r="E1723"/>
      <c r="F1723"/>
      <c r="G1723"/>
      <c r="H1723"/>
      <c r="I1723"/>
      <c r="J1723"/>
      <c r="K1723"/>
      <c r="L1723"/>
      <c r="M1723"/>
      <c r="N1723"/>
      <c r="O1723"/>
      <c r="P1723"/>
    </row>
    <row r="1724" spans="2:16">
      <c r="B1724"/>
      <c r="C1724"/>
      <c r="D1724"/>
      <c r="E1724"/>
      <c r="F1724"/>
      <c r="G1724"/>
      <c r="H1724"/>
      <c r="I1724"/>
      <c r="J1724"/>
      <c r="K1724"/>
      <c r="L1724"/>
      <c r="M1724"/>
      <c r="N1724"/>
      <c r="O1724"/>
      <c r="P1724"/>
    </row>
    <row r="1725" spans="2:16">
      <c r="B1725"/>
      <c r="C1725"/>
      <c r="D1725"/>
      <c r="E1725"/>
      <c r="F1725"/>
      <c r="G1725"/>
      <c r="H1725"/>
      <c r="I1725"/>
      <c r="J1725"/>
      <c r="K1725"/>
      <c r="L1725"/>
      <c r="M1725"/>
      <c r="N1725"/>
      <c r="O1725"/>
      <c r="P1725"/>
    </row>
    <row r="1726" spans="2:16">
      <c r="B1726"/>
      <c r="C1726"/>
      <c r="D1726"/>
      <c r="E1726"/>
      <c r="F1726"/>
      <c r="G1726"/>
      <c r="H1726"/>
      <c r="I1726"/>
      <c r="J1726"/>
      <c r="K1726"/>
      <c r="L1726"/>
      <c r="M1726"/>
      <c r="N1726"/>
      <c r="O1726"/>
      <c r="P1726"/>
    </row>
    <row r="1727" spans="2:16">
      <c r="B1727"/>
      <c r="C1727"/>
      <c r="D1727"/>
      <c r="E1727"/>
      <c r="F1727"/>
      <c r="G1727"/>
      <c r="H1727"/>
      <c r="I1727"/>
      <c r="J1727"/>
      <c r="K1727"/>
      <c r="L1727"/>
      <c r="M1727"/>
      <c r="N1727"/>
      <c r="O1727"/>
      <c r="P1727"/>
    </row>
    <row r="1728" spans="2:16">
      <c r="B1728"/>
      <c r="C1728"/>
      <c r="D1728"/>
      <c r="E1728"/>
      <c r="F1728"/>
      <c r="G1728"/>
      <c r="H1728"/>
      <c r="I1728"/>
      <c r="J1728"/>
      <c r="K1728"/>
      <c r="L1728"/>
      <c r="M1728"/>
      <c r="N1728"/>
      <c r="O1728"/>
      <c r="P1728"/>
    </row>
    <row r="1729" spans="2:16">
      <c r="B1729"/>
      <c r="C1729"/>
      <c r="D1729"/>
      <c r="E1729"/>
      <c r="F1729"/>
      <c r="G1729"/>
      <c r="H1729"/>
      <c r="I1729"/>
      <c r="J1729"/>
      <c r="K1729"/>
      <c r="L1729"/>
      <c r="M1729"/>
      <c r="N1729"/>
      <c r="O1729"/>
      <c r="P1729"/>
    </row>
    <row r="1730" spans="2:16">
      <c r="B1730"/>
      <c r="C1730"/>
      <c r="D1730"/>
      <c r="E1730"/>
      <c r="F1730"/>
      <c r="G1730"/>
      <c r="H1730"/>
      <c r="I1730"/>
      <c r="J1730"/>
      <c r="K1730"/>
      <c r="L1730"/>
      <c r="M1730"/>
      <c r="N1730"/>
      <c r="O1730"/>
      <c r="P1730"/>
    </row>
    <row r="1731" spans="2:16">
      <c r="B1731"/>
      <c r="C1731"/>
      <c r="D1731"/>
      <c r="E1731"/>
      <c r="F1731"/>
      <c r="G1731"/>
      <c r="H1731"/>
      <c r="I1731"/>
      <c r="J1731"/>
      <c r="K1731"/>
      <c r="L1731"/>
      <c r="M1731"/>
      <c r="N1731"/>
      <c r="O1731"/>
      <c r="P1731"/>
    </row>
    <row r="1732" spans="2:16">
      <c r="B1732"/>
      <c r="C1732"/>
      <c r="D1732"/>
      <c r="E1732"/>
      <c r="F1732"/>
      <c r="G1732"/>
      <c r="H1732"/>
      <c r="I1732"/>
      <c r="J1732"/>
      <c r="K1732"/>
      <c r="L1732"/>
      <c r="M1732"/>
      <c r="N1732"/>
      <c r="O1732"/>
      <c r="P1732"/>
    </row>
    <row r="1733" spans="2:16">
      <c r="B1733"/>
      <c r="C1733"/>
      <c r="D1733"/>
      <c r="E1733"/>
      <c r="F1733"/>
      <c r="G1733"/>
      <c r="H1733"/>
      <c r="I1733"/>
      <c r="J1733"/>
      <c r="K1733"/>
      <c r="L1733"/>
      <c r="M1733"/>
      <c r="N1733"/>
      <c r="O1733"/>
      <c r="P1733"/>
    </row>
    <row r="1734" spans="2:16">
      <c r="B1734"/>
      <c r="C1734"/>
      <c r="D1734"/>
      <c r="E1734"/>
      <c r="F1734"/>
      <c r="G1734"/>
      <c r="H1734"/>
      <c r="I1734"/>
      <c r="J1734"/>
      <c r="K1734"/>
      <c r="L1734"/>
      <c r="M1734"/>
      <c r="N1734"/>
      <c r="O1734"/>
      <c r="P1734"/>
    </row>
    <row r="1735" spans="2:16">
      <c r="B1735"/>
      <c r="C1735"/>
      <c r="D1735"/>
      <c r="E1735"/>
      <c r="F1735"/>
      <c r="G1735"/>
      <c r="H1735"/>
      <c r="I1735"/>
      <c r="J1735"/>
      <c r="K1735"/>
      <c r="L1735"/>
      <c r="M1735"/>
      <c r="N1735"/>
      <c r="O1735"/>
      <c r="P1735"/>
    </row>
    <row r="1736" spans="2:16">
      <c r="B1736"/>
      <c r="C1736"/>
      <c r="D1736"/>
      <c r="E1736"/>
      <c r="F1736"/>
      <c r="G1736"/>
      <c r="H1736"/>
      <c r="I1736"/>
      <c r="J1736"/>
      <c r="K1736"/>
      <c r="L1736"/>
      <c r="M1736"/>
      <c r="N1736"/>
      <c r="O1736"/>
      <c r="P1736"/>
    </row>
    <row r="1737" spans="2:16">
      <c r="B1737"/>
      <c r="C1737"/>
      <c r="D1737"/>
      <c r="E1737"/>
      <c r="F1737"/>
      <c r="G1737"/>
      <c r="H1737"/>
      <c r="I1737"/>
      <c r="J1737"/>
      <c r="K1737"/>
      <c r="L1737"/>
      <c r="M1737"/>
      <c r="N1737"/>
      <c r="O1737"/>
      <c r="P1737"/>
    </row>
    <row r="1738" spans="2:16">
      <c r="B1738"/>
      <c r="C1738"/>
      <c r="D1738"/>
      <c r="E1738"/>
      <c r="F1738"/>
      <c r="G1738"/>
      <c r="H1738"/>
      <c r="I1738"/>
      <c r="J1738"/>
      <c r="K1738"/>
      <c r="L1738"/>
      <c r="M1738"/>
      <c r="N1738"/>
      <c r="O1738"/>
      <c r="P1738"/>
    </row>
    <row r="1739" spans="2:16">
      <c r="B1739"/>
      <c r="C1739"/>
      <c r="D1739"/>
      <c r="E1739"/>
      <c r="F1739"/>
      <c r="G1739"/>
      <c r="H1739"/>
      <c r="I1739"/>
      <c r="J1739"/>
      <c r="K1739"/>
      <c r="L1739"/>
      <c r="M1739"/>
      <c r="N1739"/>
      <c r="O1739"/>
      <c r="P1739"/>
    </row>
    <row r="1740" spans="2:16">
      <c r="B1740"/>
      <c r="C1740"/>
      <c r="D1740"/>
      <c r="E1740"/>
      <c r="F1740"/>
      <c r="G1740"/>
      <c r="H1740"/>
      <c r="I1740"/>
      <c r="J1740"/>
      <c r="K1740"/>
      <c r="L1740"/>
      <c r="M1740"/>
      <c r="N1740"/>
      <c r="O1740"/>
      <c r="P1740"/>
    </row>
    <row r="1741" spans="2:16">
      <c r="B1741"/>
      <c r="C1741"/>
      <c r="D1741"/>
      <c r="E1741"/>
      <c r="F1741"/>
      <c r="G1741"/>
      <c r="H1741"/>
      <c r="I1741"/>
      <c r="J1741"/>
      <c r="K1741"/>
      <c r="L1741"/>
      <c r="M1741"/>
      <c r="N1741"/>
      <c r="O1741"/>
      <c r="P1741"/>
    </row>
    <row r="1742" spans="2:16">
      <c r="B1742"/>
      <c r="C1742"/>
      <c r="D1742"/>
      <c r="E1742"/>
      <c r="F1742"/>
      <c r="G1742"/>
      <c r="H1742"/>
      <c r="I1742"/>
      <c r="J1742"/>
      <c r="K1742"/>
      <c r="L1742"/>
      <c r="M1742"/>
      <c r="N1742"/>
      <c r="O1742"/>
      <c r="P1742"/>
    </row>
    <row r="1743" spans="2:16">
      <c r="B1743"/>
      <c r="C1743"/>
      <c r="D1743"/>
      <c r="E1743"/>
      <c r="F1743"/>
      <c r="G1743"/>
      <c r="H1743"/>
      <c r="I1743"/>
      <c r="J1743"/>
      <c r="K1743"/>
      <c r="L1743"/>
      <c r="M1743"/>
      <c r="N1743"/>
      <c r="O1743"/>
      <c r="P1743"/>
    </row>
    <row r="1744" spans="2:16">
      <c r="B1744"/>
      <c r="C1744"/>
      <c r="D1744"/>
      <c r="E1744"/>
      <c r="F1744"/>
      <c r="G1744"/>
      <c r="H1744"/>
      <c r="I1744"/>
      <c r="J1744"/>
      <c r="K1744"/>
      <c r="L1744"/>
      <c r="M1744"/>
      <c r="N1744"/>
      <c r="O1744"/>
      <c r="P1744"/>
    </row>
    <row r="1745" spans="2:16">
      <c r="B1745"/>
      <c r="C1745"/>
      <c r="D1745"/>
      <c r="E1745"/>
      <c r="F1745"/>
      <c r="G1745"/>
      <c r="H1745"/>
      <c r="I1745"/>
      <c r="J1745"/>
      <c r="K1745"/>
      <c r="L1745"/>
      <c r="M1745"/>
      <c r="N1745"/>
      <c r="O1745"/>
      <c r="P1745"/>
    </row>
    <row r="1746" spans="2:16">
      <c r="B1746"/>
      <c r="C1746"/>
      <c r="D1746"/>
      <c r="E1746"/>
      <c r="F1746"/>
      <c r="G1746"/>
      <c r="H1746"/>
      <c r="I1746"/>
      <c r="J1746"/>
      <c r="K1746"/>
      <c r="L1746"/>
      <c r="M1746"/>
      <c r="N1746"/>
      <c r="O1746"/>
      <c r="P1746"/>
    </row>
    <row r="1747" spans="2:16">
      <c r="B1747"/>
      <c r="C1747"/>
      <c r="D1747"/>
      <c r="E1747"/>
      <c r="F1747"/>
      <c r="G1747"/>
      <c r="H1747"/>
      <c r="I1747"/>
      <c r="J1747"/>
      <c r="K1747"/>
      <c r="L1747"/>
      <c r="M1747"/>
      <c r="N1747"/>
      <c r="O1747"/>
      <c r="P1747"/>
    </row>
    <row r="1748" spans="2:16">
      <c r="B1748"/>
      <c r="C1748"/>
      <c r="D1748"/>
      <c r="E1748"/>
      <c r="F1748"/>
      <c r="G1748"/>
      <c r="H1748"/>
      <c r="I1748"/>
      <c r="J1748"/>
      <c r="K1748"/>
      <c r="L1748"/>
      <c r="M1748"/>
      <c r="N1748"/>
      <c r="O1748"/>
      <c r="P1748"/>
    </row>
    <row r="1749" spans="2:16">
      <c r="B1749"/>
      <c r="C1749"/>
      <c r="D1749"/>
      <c r="E1749"/>
      <c r="F1749"/>
      <c r="G1749"/>
      <c r="H1749"/>
      <c r="I1749"/>
      <c r="J1749"/>
      <c r="K1749"/>
      <c r="L1749"/>
      <c r="M1749"/>
      <c r="N1749"/>
      <c r="O1749"/>
      <c r="P1749"/>
    </row>
    <row r="1750" spans="2:16">
      <c r="B1750"/>
      <c r="C1750"/>
      <c r="D1750"/>
      <c r="E1750"/>
      <c r="F1750"/>
      <c r="G1750"/>
      <c r="H1750"/>
      <c r="I1750"/>
      <c r="J1750"/>
      <c r="K1750"/>
      <c r="L1750"/>
      <c r="M1750"/>
      <c r="N1750"/>
      <c r="O1750"/>
      <c r="P1750"/>
    </row>
    <row r="1751" spans="2:16">
      <c r="B1751"/>
      <c r="C1751"/>
      <c r="D1751"/>
      <c r="E1751"/>
      <c r="F1751"/>
      <c r="G1751"/>
      <c r="H1751"/>
      <c r="I1751"/>
      <c r="J1751"/>
      <c r="K1751"/>
      <c r="L1751"/>
      <c r="M1751"/>
      <c r="N1751"/>
      <c r="O1751"/>
      <c r="P1751"/>
    </row>
    <row r="1752" spans="2:16">
      <c r="B1752"/>
      <c r="C1752"/>
      <c r="D1752"/>
      <c r="E1752"/>
      <c r="F1752"/>
      <c r="G1752"/>
      <c r="H1752"/>
      <c r="I1752"/>
      <c r="J1752"/>
      <c r="K1752"/>
      <c r="L1752"/>
      <c r="M1752"/>
      <c r="N1752"/>
      <c r="O1752"/>
      <c r="P1752"/>
    </row>
    <row r="1753" spans="2:16">
      <c r="B1753"/>
      <c r="C1753"/>
      <c r="D1753"/>
      <c r="E1753"/>
      <c r="F1753"/>
      <c r="G1753"/>
      <c r="H1753"/>
      <c r="I1753"/>
      <c r="J1753"/>
      <c r="K1753"/>
      <c r="L1753"/>
      <c r="M1753"/>
      <c r="N1753"/>
      <c r="O1753"/>
      <c r="P1753"/>
    </row>
    <row r="1754" spans="2:16">
      <c r="B1754"/>
      <c r="C1754"/>
      <c r="D1754"/>
      <c r="E1754"/>
      <c r="F1754"/>
      <c r="G1754"/>
      <c r="H1754"/>
      <c r="I1754"/>
      <c r="J1754"/>
      <c r="K1754"/>
      <c r="L1754"/>
      <c r="M1754"/>
      <c r="N1754"/>
      <c r="O1754"/>
      <c r="P1754"/>
    </row>
    <row r="1755" spans="2:16">
      <c r="B1755"/>
      <c r="C1755"/>
      <c r="D1755"/>
      <c r="E1755"/>
      <c r="F1755"/>
      <c r="G1755"/>
      <c r="H1755"/>
      <c r="I1755"/>
      <c r="J1755"/>
      <c r="K1755"/>
      <c r="L1755"/>
      <c r="M1755"/>
      <c r="N1755"/>
      <c r="O1755"/>
      <c r="P1755"/>
    </row>
    <row r="1756" spans="2:16">
      <c r="B1756"/>
      <c r="C1756"/>
      <c r="D1756"/>
      <c r="E1756"/>
      <c r="F1756"/>
      <c r="G1756"/>
      <c r="H1756"/>
      <c r="I1756"/>
      <c r="J1756"/>
      <c r="K1756"/>
      <c r="L1756"/>
      <c r="M1756"/>
      <c r="N1756"/>
      <c r="O1756"/>
      <c r="P1756"/>
    </row>
    <row r="1757" spans="2:16">
      <c r="B1757"/>
      <c r="C1757"/>
      <c r="D1757"/>
      <c r="E1757"/>
      <c r="F1757"/>
      <c r="G1757"/>
      <c r="H1757"/>
      <c r="I1757"/>
      <c r="J1757"/>
      <c r="K1757"/>
      <c r="L1757"/>
      <c r="M1757"/>
      <c r="N1757"/>
      <c r="O1757"/>
      <c r="P1757"/>
    </row>
    <row r="1758" spans="2:16">
      <c r="B1758"/>
      <c r="C1758"/>
      <c r="D1758"/>
      <c r="E1758"/>
      <c r="F1758"/>
      <c r="G1758"/>
      <c r="H1758"/>
      <c r="I1758"/>
      <c r="J1758"/>
      <c r="K1758"/>
      <c r="L1758"/>
      <c r="M1758"/>
      <c r="N1758"/>
      <c r="O1758"/>
      <c r="P1758"/>
    </row>
    <row r="1759" spans="2:16">
      <c r="B1759"/>
      <c r="C1759"/>
      <c r="D1759"/>
      <c r="E1759"/>
      <c r="F1759"/>
      <c r="G1759"/>
      <c r="H1759"/>
      <c r="I1759"/>
      <c r="J1759"/>
      <c r="K1759"/>
      <c r="L1759"/>
      <c r="M1759"/>
      <c r="N1759"/>
      <c r="O1759"/>
      <c r="P1759"/>
    </row>
    <row r="1760" spans="2:16">
      <c r="B1760"/>
      <c r="C1760"/>
      <c r="D1760"/>
      <c r="E1760"/>
      <c r="F1760"/>
      <c r="G1760"/>
      <c r="H1760"/>
      <c r="I1760"/>
      <c r="J1760"/>
      <c r="K1760"/>
      <c r="L1760"/>
      <c r="M1760"/>
      <c r="N1760"/>
      <c r="O1760"/>
      <c r="P1760"/>
    </row>
    <row r="1761" spans="2:16">
      <c r="B1761"/>
      <c r="C1761"/>
      <c r="D1761"/>
      <c r="E1761"/>
      <c r="F1761"/>
      <c r="G1761"/>
      <c r="H1761"/>
      <c r="I1761"/>
      <c r="J1761"/>
      <c r="K1761"/>
      <c r="L1761"/>
      <c r="M1761"/>
      <c r="N1761"/>
      <c r="O1761"/>
      <c r="P1761"/>
    </row>
    <row r="1762" spans="2:16">
      <c r="B1762"/>
      <c r="C1762"/>
      <c r="D1762"/>
      <c r="E1762"/>
      <c r="F1762"/>
      <c r="G1762"/>
      <c r="H1762"/>
      <c r="I1762"/>
      <c r="J1762"/>
      <c r="K1762"/>
      <c r="L1762"/>
      <c r="M1762"/>
      <c r="N1762"/>
      <c r="O1762"/>
      <c r="P1762"/>
    </row>
    <row r="1763" spans="2:16">
      <c r="B1763"/>
      <c r="C1763"/>
      <c r="D1763"/>
      <c r="E1763"/>
      <c r="F1763"/>
      <c r="G1763"/>
      <c r="H1763"/>
      <c r="I1763"/>
      <c r="J1763"/>
      <c r="K1763"/>
      <c r="L1763"/>
      <c r="M1763"/>
      <c r="N1763"/>
      <c r="O1763"/>
      <c r="P1763"/>
    </row>
    <row r="1764" spans="2:16">
      <c r="B1764"/>
      <c r="C1764"/>
      <c r="D1764"/>
      <c r="E1764"/>
      <c r="F1764"/>
      <c r="G1764"/>
      <c r="H1764"/>
      <c r="I1764"/>
      <c r="J1764"/>
      <c r="K1764"/>
      <c r="L1764"/>
      <c r="M1764"/>
      <c r="N1764"/>
      <c r="O1764"/>
      <c r="P1764"/>
    </row>
    <row r="1765" spans="2:16">
      <c r="B1765"/>
      <c r="C1765"/>
      <c r="D1765"/>
      <c r="E1765"/>
      <c r="F1765"/>
      <c r="G1765"/>
      <c r="H1765"/>
      <c r="I1765"/>
      <c r="J1765"/>
      <c r="K1765"/>
      <c r="L1765"/>
      <c r="M1765"/>
      <c r="N1765"/>
      <c r="O1765"/>
      <c r="P1765"/>
    </row>
    <row r="1766" spans="2:16">
      <c r="B1766"/>
      <c r="C1766"/>
      <c r="D1766"/>
      <c r="E1766"/>
      <c r="F1766"/>
      <c r="G1766"/>
      <c r="H1766"/>
      <c r="I1766"/>
      <c r="J1766"/>
      <c r="K1766"/>
      <c r="L1766"/>
      <c r="M1766"/>
      <c r="N1766"/>
      <c r="O1766"/>
      <c r="P1766"/>
    </row>
    <row r="1767" spans="2:16">
      <c r="B1767"/>
      <c r="C1767"/>
      <c r="D1767"/>
      <c r="E1767"/>
      <c r="F1767"/>
      <c r="G1767"/>
      <c r="H1767"/>
      <c r="I1767"/>
      <c r="J1767"/>
      <c r="K1767"/>
      <c r="L1767"/>
      <c r="M1767"/>
      <c r="N1767"/>
      <c r="O1767"/>
      <c r="P1767"/>
    </row>
    <row r="1768" spans="2:16">
      <c r="B1768"/>
      <c r="C1768"/>
      <c r="D1768"/>
      <c r="E1768"/>
      <c r="F1768"/>
      <c r="G1768"/>
      <c r="H1768"/>
      <c r="I1768"/>
      <c r="J1768"/>
      <c r="K1768"/>
      <c r="L1768"/>
      <c r="M1768"/>
      <c r="N1768"/>
      <c r="O1768"/>
      <c r="P1768"/>
    </row>
    <row r="1769" spans="2:16">
      <c r="B1769"/>
      <c r="C1769"/>
      <c r="D1769"/>
      <c r="E1769"/>
      <c r="F1769"/>
      <c r="G1769"/>
      <c r="H1769"/>
      <c r="I1769"/>
      <c r="J1769"/>
      <c r="K1769"/>
      <c r="L1769"/>
      <c r="M1769"/>
      <c r="N1769"/>
      <c r="O1769"/>
      <c r="P1769"/>
    </row>
    <row r="1770" spans="2:16">
      <c r="B1770"/>
      <c r="C1770"/>
      <c r="D1770"/>
      <c r="E1770"/>
      <c r="F1770"/>
      <c r="G1770"/>
      <c r="H1770"/>
      <c r="I1770"/>
      <c r="J1770"/>
      <c r="K1770"/>
      <c r="L1770"/>
      <c r="M1770"/>
      <c r="N1770"/>
      <c r="O1770"/>
      <c r="P1770"/>
    </row>
    <row r="1771" spans="2:16">
      <c r="B1771"/>
      <c r="C1771"/>
      <c r="D1771"/>
      <c r="E1771"/>
      <c r="F1771"/>
      <c r="G1771"/>
      <c r="H1771"/>
      <c r="I1771"/>
      <c r="J1771"/>
      <c r="K1771"/>
      <c r="L1771"/>
      <c r="M1771"/>
      <c r="N1771"/>
      <c r="O1771"/>
      <c r="P1771"/>
    </row>
    <row r="1772" spans="2:16">
      <c r="B1772"/>
      <c r="C1772"/>
      <c r="D1772"/>
      <c r="E1772"/>
      <c r="F1772"/>
      <c r="G1772"/>
      <c r="H1772"/>
      <c r="I1772"/>
      <c r="J1772"/>
      <c r="K1772"/>
      <c r="L1772"/>
      <c r="M1772"/>
      <c r="N1772"/>
      <c r="O1772"/>
      <c r="P1772"/>
    </row>
    <row r="1773" spans="2:16">
      <c r="B1773"/>
      <c r="C1773"/>
      <c r="D1773"/>
      <c r="E1773"/>
      <c r="F1773"/>
      <c r="G1773"/>
      <c r="H1773"/>
      <c r="I1773"/>
      <c r="J1773"/>
      <c r="K1773"/>
      <c r="L1773"/>
      <c r="M1773"/>
      <c r="N1773"/>
      <c r="O1773"/>
      <c r="P1773"/>
    </row>
    <row r="1774" spans="2:16">
      <c r="B1774"/>
      <c r="C1774"/>
      <c r="D1774"/>
      <c r="E1774"/>
      <c r="F1774"/>
      <c r="G1774"/>
      <c r="H1774"/>
      <c r="I1774"/>
      <c r="J1774"/>
      <c r="K1774"/>
      <c r="L1774"/>
      <c r="M1774"/>
      <c r="N1774"/>
      <c r="O1774"/>
      <c r="P1774"/>
    </row>
    <row r="1775" spans="2:16">
      <c r="B1775"/>
      <c r="C1775"/>
      <c r="D1775"/>
      <c r="E1775"/>
      <c r="F1775"/>
      <c r="G1775"/>
      <c r="H1775"/>
      <c r="I1775"/>
      <c r="J1775"/>
      <c r="K1775"/>
      <c r="L1775"/>
      <c r="M1775"/>
      <c r="N1775"/>
      <c r="O1775"/>
      <c r="P1775"/>
    </row>
    <row r="1776" spans="2:16">
      <c r="B1776"/>
      <c r="C1776"/>
      <c r="D1776"/>
      <c r="E1776"/>
      <c r="F1776"/>
      <c r="G1776"/>
      <c r="H1776"/>
      <c r="I1776"/>
      <c r="J1776"/>
      <c r="K1776"/>
      <c r="L1776"/>
      <c r="M1776"/>
      <c r="N1776"/>
      <c r="O1776"/>
      <c r="P1776"/>
    </row>
    <row r="1777" spans="2:16">
      <c r="B1777"/>
      <c r="C1777"/>
      <c r="D1777"/>
      <c r="E1777"/>
      <c r="F1777"/>
      <c r="G1777"/>
      <c r="H1777"/>
      <c r="I1777"/>
      <c r="J1777"/>
      <c r="K1777"/>
      <c r="L1777"/>
      <c r="M1777"/>
      <c r="N1777"/>
      <c r="O1777"/>
      <c r="P1777"/>
    </row>
    <row r="1778" spans="2:16">
      <c r="B1778"/>
      <c r="C1778"/>
      <c r="D1778"/>
      <c r="E1778"/>
      <c r="F1778"/>
      <c r="G1778"/>
      <c r="H1778"/>
      <c r="I1778"/>
      <c r="J1778"/>
      <c r="K1778"/>
      <c r="L1778"/>
      <c r="M1778"/>
      <c r="N1778"/>
      <c r="O1778"/>
      <c r="P1778"/>
    </row>
    <row r="1779" spans="2:16">
      <c r="B1779"/>
      <c r="C1779"/>
      <c r="D1779"/>
      <c r="E1779"/>
      <c r="F1779"/>
      <c r="G1779"/>
      <c r="H1779"/>
      <c r="I1779"/>
      <c r="J1779"/>
      <c r="K1779"/>
      <c r="L1779"/>
      <c r="M1779"/>
      <c r="N1779"/>
      <c r="O1779"/>
      <c r="P1779"/>
    </row>
    <row r="1780" spans="2:16">
      <c r="B1780"/>
      <c r="C1780"/>
      <c r="D1780"/>
      <c r="E1780"/>
      <c r="F1780"/>
      <c r="G1780"/>
      <c r="H1780"/>
      <c r="I1780"/>
      <c r="J1780"/>
      <c r="K1780"/>
      <c r="L1780"/>
      <c r="M1780"/>
      <c r="N1780"/>
      <c r="O1780"/>
      <c r="P1780"/>
    </row>
    <row r="1781" spans="2:16">
      <c r="B1781"/>
      <c r="C1781"/>
      <c r="D1781"/>
      <c r="E1781"/>
      <c r="F1781"/>
      <c r="G1781"/>
      <c r="H1781"/>
      <c r="I1781"/>
      <c r="J1781"/>
      <c r="K1781"/>
      <c r="L1781"/>
      <c r="M1781"/>
      <c r="N1781"/>
      <c r="O1781"/>
      <c r="P1781"/>
    </row>
    <row r="1782" spans="2:16">
      <c r="B1782"/>
      <c r="C1782"/>
      <c r="D1782"/>
      <c r="E1782"/>
      <c r="F1782"/>
      <c r="G1782"/>
      <c r="H1782"/>
      <c r="I1782"/>
      <c r="J1782"/>
      <c r="K1782"/>
      <c r="L1782"/>
      <c r="M1782"/>
      <c r="N1782"/>
      <c r="O1782"/>
      <c r="P1782"/>
    </row>
    <row r="1783" spans="2:16">
      <c r="B1783"/>
      <c r="C1783"/>
      <c r="D1783"/>
      <c r="E1783"/>
      <c r="F1783"/>
      <c r="G1783"/>
      <c r="H1783"/>
      <c r="I1783"/>
      <c r="J1783"/>
      <c r="K1783"/>
      <c r="L1783"/>
      <c r="M1783"/>
      <c r="N1783"/>
      <c r="O1783"/>
      <c r="P1783"/>
    </row>
    <row r="1784" spans="2:16">
      <c r="B1784"/>
      <c r="C1784"/>
      <c r="D1784"/>
      <c r="E1784"/>
      <c r="F1784"/>
      <c r="G1784"/>
      <c r="H1784"/>
      <c r="I1784"/>
      <c r="J1784"/>
      <c r="K1784"/>
      <c r="L1784"/>
      <c r="M1784"/>
      <c r="N1784"/>
      <c r="O1784"/>
      <c r="P1784"/>
    </row>
    <row r="1785" spans="2:16">
      <c r="B1785"/>
      <c r="C1785"/>
      <c r="D1785"/>
      <c r="E1785"/>
      <c r="F1785"/>
      <c r="G1785"/>
      <c r="H1785"/>
      <c r="I1785"/>
      <c r="J1785"/>
      <c r="K1785"/>
      <c r="L1785"/>
      <c r="M1785"/>
      <c r="N1785"/>
      <c r="O1785"/>
      <c r="P1785"/>
    </row>
    <row r="1786" spans="2:16">
      <c r="B1786"/>
      <c r="C1786"/>
      <c r="D1786"/>
      <c r="E1786"/>
      <c r="F1786"/>
      <c r="G1786"/>
      <c r="H1786"/>
      <c r="I1786"/>
      <c r="J1786"/>
      <c r="K1786"/>
      <c r="L1786"/>
      <c r="M1786"/>
      <c r="N1786"/>
      <c r="O1786"/>
      <c r="P1786"/>
    </row>
    <row r="1787" spans="2:16">
      <c r="B1787"/>
      <c r="C1787"/>
      <c r="D1787"/>
      <c r="E1787"/>
      <c r="F1787"/>
      <c r="G1787"/>
      <c r="H1787"/>
      <c r="I1787"/>
      <c r="J1787"/>
      <c r="K1787"/>
      <c r="L1787"/>
      <c r="M1787"/>
      <c r="N1787"/>
      <c r="O1787"/>
      <c r="P1787"/>
    </row>
    <row r="1788" spans="2:16">
      <c r="B1788"/>
      <c r="C1788"/>
      <c r="D1788"/>
      <c r="E1788"/>
      <c r="F1788"/>
      <c r="G1788"/>
      <c r="H1788"/>
      <c r="I1788"/>
      <c r="J1788"/>
      <c r="K1788"/>
      <c r="L1788"/>
      <c r="M1788"/>
      <c r="N1788"/>
      <c r="O1788"/>
      <c r="P1788"/>
    </row>
    <row r="1789" spans="2:16">
      <c r="B1789"/>
      <c r="C1789"/>
      <c r="D1789"/>
      <c r="E1789"/>
      <c r="F1789"/>
      <c r="G1789"/>
      <c r="H1789"/>
      <c r="I1789"/>
      <c r="J1789"/>
      <c r="K1789"/>
      <c r="L1789"/>
      <c r="M1789"/>
      <c r="N1789"/>
      <c r="O1789"/>
      <c r="P1789"/>
    </row>
    <row r="1790" spans="2:16">
      <c r="B1790"/>
      <c r="C1790"/>
      <c r="D1790"/>
      <c r="E1790"/>
      <c r="F1790"/>
      <c r="G1790"/>
      <c r="H1790"/>
      <c r="I1790"/>
      <c r="J1790"/>
      <c r="K1790"/>
      <c r="L1790"/>
      <c r="M1790"/>
      <c r="N1790"/>
      <c r="O1790"/>
      <c r="P1790"/>
    </row>
    <row r="1791" spans="2:16">
      <c r="B1791"/>
      <c r="C1791"/>
      <c r="D1791"/>
      <c r="E1791"/>
      <c r="F1791"/>
      <c r="G1791"/>
      <c r="H1791"/>
      <c r="I1791"/>
      <c r="J1791"/>
      <c r="K1791"/>
      <c r="L1791"/>
      <c r="M1791"/>
      <c r="N1791"/>
      <c r="O1791"/>
      <c r="P1791"/>
    </row>
    <row r="1792" spans="2:16">
      <c r="B1792"/>
      <c r="C1792"/>
      <c r="D1792"/>
      <c r="E1792"/>
      <c r="F1792"/>
      <c r="G1792"/>
      <c r="H1792"/>
      <c r="I1792"/>
      <c r="J1792"/>
      <c r="K1792"/>
      <c r="L1792"/>
      <c r="M1792"/>
      <c r="N1792"/>
      <c r="O1792"/>
      <c r="P1792"/>
    </row>
    <row r="1793" spans="2:16">
      <c r="B1793"/>
      <c r="C1793"/>
      <c r="D1793"/>
      <c r="E1793"/>
      <c r="F1793"/>
      <c r="G1793"/>
      <c r="H1793"/>
      <c r="I1793"/>
      <c r="J1793"/>
      <c r="K1793"/>
      <c r="L1793"/>
      <c r="M1793"/>
      <c r="N1793"/>
      <c r="O1793"/>
      <c r="P1793"/>
    </row>
    <row r="1794" spans="2:16">
      <c r="B1794"/>
      <c r="C1794"/>
      <c r="D1794"/>
      <c r="E1794"/>
      <c r="F1794"/>
      <c r="G1794"/>
      <c r="H1794"/>
      <c r="I1794"/>
      <c r="J1794"/>
      <c r="K1794"/>
      <c r="L1794"/>
      <c r="M1794"/>
      <c r="N1794"/>
      <c r="O1794"/>
      <c r="P1794"/>
    </row>
    <row r="1795" spans="2:16">
      <c r="B1795"/>
      <c r="C1795"/>
      <c r="D1795"/>
      <c r="E1795"/>
      <c r="F1795"/>
      <c r="G1795"/>
      <c r="H1795"/>
      <c r="I1795"/>
      <c r="J1795"/>
      <c r="K1795"/>
      <c r="L1795"/>
      <c r="M1795"/>
      <c r="N1795"/>
      <c r="O1795"/>
      <c r="P1795"/>
    </row>
    <row r="1796" spans="2:16">
      <c r="B1796"/>
      <c r="C1796"/>
      <c r="D1796"/>
      <c r="E1796"/>
      <c r="F1796"/>
      <c r="G1796"/>
      <c r="H1796"/>
      <c r="I1796"/>
      <c r="J1796"/>
      <c r="K1796"/>
      <c r="L1796"/>
      <c r="M1796"/>
      <c r="N1796"/>
      <c r="O1796"/>
      <c r="P1796"/>
    </row>
    <row r="1797" spans="2:16">
      <c r="B1797"/>
      <c r="C1797"/>
      <c r="D1797"/>
      <c r="E1797"/>
      <c r="F1797"/>
      <c r="G1797"/>
      <c r="H1797"/>
      <c r="I1797"/>
      <c r="J1797"/>
      <c r="K1797"/>
      <c r="L1797"/>
      <c r="M1797"/>
      <c r="N1797"/>
      <c r="O1797"/>
      <c r="P1797"/>
    </row>
    <row r="1798" spans="2:16">
      <c r="B1798"/>
      <c r="C1798"/>
      <c r="D1798"/>
      <c r="E1798"/>
      <c r="F1798"/>
      <c r="G1798"/>
      <c r="H1798"/>
      <c r="I1798"/>
      <c r="J1798"/>
      <c r="K1798"/>
      <c r="L1798"/>
      <c r="M1798"/>
      <c r="N1798"/>
      <c r="O1798"/>
      <c r="P1798"/>
    </row>
    <row r="1799" spans="2:16">
      <c r="B1799"/>
      <c r="C1799"/>
      <c r="D1799"/>
      <c r="E1799"/>
      <c r="F1799"/>
      <c r="G1799"/>
      <c r="H1799"/>
      <c r="I1799"/>
      <c r="J1799"/>
      <c r="K1799"/>
      <c r="L1799"/>
      <c r="M1799"/>
      <c r="N1799"/>
      <c r="O1799"/>
      <c r="P1799"/>
    </row>
    <row r="1800" spans="2:16">
      <c r="B1800"/>
      <c r="C1800"/>
      <c r="D1800"/>
      <c r="E1800"/>
      <c r="F1800"/>
      <c r="G1800"/>
      <c r="H1800"/>
      <c r="I1800"/>
      <c r="J1800"/>
      <c r="K1800"/>
      <c r="L1800"/>
      <c r="M1800"/>
      <c r="N1800"/>
      <c r="O1800"/>
      <c r="P1800"/>
    </row>
    <row r="1801" spans="2:16">
      <c r="B1801"/>
      <c r="C1801"/>
      <c r="D1801"/>
      <c r="E1801"/>
      <c r="F1801"/>
      <c r="G1801"/>
      <c r="H1801"/>
      <c r="I1801"/>
      <c r="J1801"/>
      <c r="K1801"/>
      <c r="L1801"/>
      <c r="M1801"/>
      <c r="N1801"/>
      <c r="O1801"/>
      <c r="P1801"/>
    </row>
    <row r="1802" spans="2:16">
      <c r="B1802"/>
      <c r="C1802"/>
      <c r="D1802"/>
      <c r="E1802"/>
      <c r="F1802"/>
      <c r="G1802"/>
      <c r="H1802"/>
      <c r="I1802"/>
      <c r="J1802"/>
      <c r="K1802"/>
      <c r="L1802"/>
      <c r="M1802"/>
      <c r="N1802"/>
      <c r="O1802"/>
      <c r="P1802"/>
    </row>
    <row r="1803" spans="2:16">
      <c r="B1803"/>
      <c r="C1803"/>
      <c r="D1803"/>
      <c r="E1803"/>
      <c r="F1803"/>
      <c r="G1803"/>
      <c r="H1803"/>
      <c r="I1803"/>
      <c r="J1803"/>
      <c r="K1803"/>
      <c r="L1803"/>
      <c r="M1803"/>
      <c r="N1803"/>
      <c r="O1803"/>
      <c r="P1803"/>
    </row>
    <row r="1804" spans="2:16">
      <c r="B1804"/>
      <c r="C1804"/>
      <c r="D1804"/>
      <c r="E1804"/>
      <c r="F1804"/>
      <c r="G1804"/>
      <c r="H1804"/>
      <c r="I1804"/>
      <c r="J1804"/>
      <c r="K1804"/>
      <c r="L1804"/>
      <c r="M1804"/>
      <c r="N1804"/>
      <c r="O1804"/>
      <c r="P1804"/>
    </row>
    <row r="1805" spans="2:16">
      <c r="B1805"/>
      <c r="C1805"/>
      <c r="D1805"/>
      <c r="E1805"/>
      <c r="F1805"/>
      <c r="G1805"/>
      <c r="H1805"/>
      <c r="I1805"/>
      <c r="J1805"/>
      <c r="K1805"/>
      <c r="L1805"/>
      <c r="M1805"/>
      <c r="N1805"/>
      <c r="O1805"/>
      <c r="P1805"/>
    </row>
    <row r="1806" spans="2:16">
      <c r="B1806"/>
      <c r="C1806"/>
      <c r="D1806"/>
      <c r="E1806"/>
      <c r="F1806"/>
      <c r="G1806"/>
      <c r="H1806"/>
      <c r="I1806"/>
      <c r="J1806"/>
      <c r="K1806"/>
      <c r="L1806"/>
      <c r="M1806"/>
      <c r="N1806"/>
      <c r="O1806"/>
      <c r="P1806"/>
    </row>
    <row r="1807" spans="2:16">
      <c r="B1807"/>
      <c r="C1807"/>
      <c r="D1807"/>
      <c r="E1807"/>
      <c r="F1807"/>
      <c r="G1807"/>
      <c r="H1807"/>
      <c r="I1807"/>
      <c r="J1807"/>
      <c r="K1807"/>
      <c r="L1807"/>
      <c r="M1807"/>
      <c r="N1807"/>
      <c r="O1807"/>
      <c r="P1807"/>
    </row>
    <row r="1808" spans="2:16">
      <c r="B1808"/>
      <c r="C1808"/>
      <c r="D1808"/>
      <c r="E1808"/>
      <c r="F1808"/>
      <c r="G1808"/>
      <c r="H1808"/>
      <c r="I1808"/>
      <c r="J1808"/>
      <c r="K1808"/>
      <c r="L1808"/>
      <c r="M1808"/>
      <c r="N1808"/>
      <c r="O1808"/>
      <c r="P1808"/>
    </row>
    <row r="1809" spans="2:16">
      <c r="B1809"/>
      <c r="C1809"/>
      <c r="D1809"/>
      <c r="E1809"/>
      <c r="F1809"/>
      <c r="G1809"/>
      <c r="H1809"/>
      <c r="I1809"/>
      <c r="J1809"/>
      <c r="K1809"/>
      <c r="L1809"/>
      <c r="M1809"/>
      <c r="N1809"/>
      <c r="O1809"/>
      <c r="P1809"/>
    </row>
    <row r="1810" spans="2:16">
      <c r="B1810"/>
      <c r="C1810"/>
      <c r="D1810"/>
      <c r="E1810"/>
      <c r="F1810"/>
      <c r="G1810"/>
      <c r="H1810"/>
      <c r="I1810"/>
      <c r="J1810"/>
      <c r="K1810"/>
      <c r="L1810"/>
      <c r="M1810"/>
      <c r="N1810"/>
      <c r="O1810"/>
      <c r="P1810"/>
    </row>
    <row r="1811" spans="2:16">
      <c r="B1811"/>
      <c r="C1811"/>
      <c r="D1811"/>
      <c r="E1811"/>
      <c r="F1811"/>
      <c r="G1811"/>
      <c r="H1811"/>
      <c r="I1811"/>
      <c r="J1811"/>
      <c r="K1811"/>
      <c r="L1811"/>
      <c r="M1811"/>
      <c r="N1811"/>
      <c r="O1811"/>
      <c r="P1811"/>
    </row>
    <row r="1812" spans="2:16">
      <c r="B1812"/>
      <c r="C1812"/>
      <c r="D1812"/>
      <c r="E1812"/>
      <c r="F1812"/>
      <c r="G1812"/>
      <c r="H1812"/>
      <c r="I1812"/>
      <c r="J1812"/>
      <c r="K1812"/>
      <c r="L1812"/>
      <c r="M1812"/>
      <c r="N1812"/>
      <c r="O1812"/>
      <c r="P1812"/>
    </row>
    <row r="1813" spans="2:16">
      <c r="B1813"/>
      <c r="C1813"/>
      <c r="D1813"/>
      <c r="E1813"/>
      <c r="F1813"/>
      <c r="G1813"/>
      <c r="H1813"/>
      <c r="I1813"/>
      <c r="J1813"/>
      <c r="K1813"/>
      <c r="L1813"/>
      <c r="M1813"/>
      <c r="N1813"/>
      <c r="O1813"/>
      <c r="P1813"/>
    </row>
    <row r="1814" spans="2:16">
      <c r="B1814"/>
      <c r="C1814"/>
      <c r="D1814"/>
      <c r="E1814"/>
      <c r="F1814"/>
      <c r="G1814"/>
      <c r="H1814"/>
      <c r="I1814"/>
      <c r="J1814"/>
      <c r="K1814"/>
      <c r="L1814"/>
      <c r="M1814"/>
      <c r="N1814"/>
      <c r="O1814"/>
      <c r="P1814"/>
    </row>
    <row r="1815" spans="2:16">
      <c r="B1815"/>
      <c r="C1815"/>
      <c r="D1815"/>
      <c r="E1815"/>
      <c r="F1815"/>
      <c r="G1815"/>
      <c r="H1815"/>
      <c r="I1815"/>
      <c r="J1815"/>
      <c r="K1815"/>
      <c r="L1815"/>
      <c r="M1815"/>
      <c r="N1815"/>
      <c r="O1815"/>
      <c r="P1815"/>
    </row>
    <row r="1816" spans="2:16">
      <c r="B1816"/>
      <c r="C1816"/>
      <c r="D1816"/>
      <c r="E1816"/>
      <c r="F1816"/>
      <c r="G1816"/>
      <c r="H1816"/>
      <c r="I1816"/>
      <c r="J1816"/>
      <c r="K1816"/>
      <c r="L1816"/>
      <c r="M1816"/>
      <c r="N1816"/>
      <c r="O1816"/>
      <c r="P1816"/>
    </row>
    <row r="1817" spans="2:16">
      <c r="B1817"/>
      <c r="C1817"/>
      <c r="D1817"/>
      <c r="E1817"/>
      <c r="F1817"/>
      <c r="G1817"/>
      <c r="H1817"/>
      <c r="I1817"/>
      <c r="J1817"/>
      <c r="K1817"/>
      <c r="L1817"/>
      <c r="M1817"/>
      <c r="N1817"/>
      <c r="O1817"/>
      <c r="P1817"/>
    </row>
    <row r="1818" spans="2:16">
      <c r="B1818"/>
      <c r="C1818"/>
      <c r="D1818"/>
      <c r="E1818"/>
      <c r="F1818"/>
      <c r="G1818"/>
      <c r="H1818"/>
      <c r="I1818"/>
      <c r="J1818"/>
      <c r="K1818"/>
      <c r="L1818"/>
      <c r="M1818"/>
      <c r="N1818"/>
      <c r="O1818"/>
      <c r="P1818"/>
    </row>
    <row r="1819" spans="2:16">
      <c r="B1819"/>
      <c r="C1819"/>
      <c r="D1819"/>
      <c r="E1819"/>
      <c r="F1819"/>
      <c r="G1819"/>
      <c r="H1819"/>
      <c r="I1819"/>
      <c r="J1819"/>
      <c r="K1819"/>
      <c r="L1819"/>
      <c r="M1819"/>
      <c r="N1819"/>
      <c r="O1819"/>
      <c r="P1819"/>
    </row>
    <row r="1820" spans="2:16">
      <c r="B1820"/>
      <c r="C1820"/>
      <c r="D1820"/>
      <c r="E1820"/>
      <c r="F1820"/>
      <c r="G1820"/>
      <c r="H1820"/>
      <c r="I1820"/>
      <c r="J1820"/>
      <c r="K1820"/>
      <c r="L1820"/>
      <c r="M1820"/>
      <c r="N1820"/>
      <c r="O1820"/>
      <c r="P1820"/>
    </row>
    <row r="1821" spans="2:16">
      <c r="B1821"/>
      <c r="C1821"/>
      <c r="D1821"/>
      <c r="E1821"/>
      <c r="F1821"/>
      <c r="G1821"/>
      <c r="H1821"/>
      <c r="I1821"/>
      <c r="J1821"/>
      <c r="K1821"/>
      <c r="L1821"/>
      <c r="M1821"/>
      <c r="N1821"/>
      <c r="O1821"/>
      <c r="P1821"/>
    </row>
    <row r="1822" spans="2:16">
      <c r="B1822"/>
      <c r="C1822"/>
      <c r="D1822"/>
      <c r="E1822"/>
      <c r="F1822"/>
      <c r="G1822"/>
      <c r="H1822"/>
      <c r="I1822"/>
      <c r="J1822"/>
      <c r="K1822"/>
      <c r="L1822"/>
      <c r="M1822"/>
      <c r="N1822"/>
      <c r="O1822"/>
      <c r="P1822"/>
    </row>
    <row r="1823" spans="2:16">
      <c r="B1823"/>
      <c r="C1823"/>
      <c r="D1823"/>
      <c r="E1823"/>
      <c r="F1823"/>
      <c r="G1823"/>
      <c r="H1823"/>
      <c r="I1823"/>
      <c r="J1823"/>
      <c r="K1823"/>
      <c r="L1823"/>
      <c r="M1823"/>
      <c r="N1823"/>
      <c r="O1823"/>
      <c r="P1823"/>
    </row>
    <row r="1824" spans="2:16">
      <c r="B1824"/>
      <c r="C1824"/>
      <c r="D1824"/>
      <c r="E1824"/>
      <c r="F1824"/>
      <c r="G1824"/>
      <c r="H1824"/>
      <c r="I1824"/>
      <c r="J1824"/>
      <c r="K1824"/>
      <c r="L1824"/>
      <c r="M1824"/>
      <c r="N1824"/>
      <c r="O1824"/>
      <c r="P1824"/>
    </row>
    <row r="1825" spans="2:16">
      <c r="B1825"/>
      <c r="C1825"/>
      <c r="D1825"/>
      <c r="E1825"/>
      <c r="F1825"/>
      <c r="G1825"/>
      <c r="H1825"/>
      <c r="I1825"/>
      <c r="J1825"/>
      <c r="K1825"/>
      <c r="L1825"/>
      <c r="M1825"/>
      <c r="N1825"/>
      <c r="O1825"/>
      <c r="P1825"/>
    </row>
    <row r="1826" spans="2:16">
      <c r="B1826"/>
      <c r="C1826"/>
      <c r="D1826"/>
      <c r="E1826"/>
      <c r="F1826"/>
      <c r="G1826"/>
      <c r="H1826"/>
      <c r="I1826"/>
      <c r="J1826"/>
      <c r="K1826"/>
      <c r="L1826"/>
      <c r="M1826"/>
      <c r="N1826"/>
      <c r="O1826"/>
      <c r="P1826"/>
    </row>
    <row r="1827" spans="2:16">
      <c r="B1827"/>
      <c r="C1827"/>
      <c r="D1827"/>
      <c r="E1827"/>
      <c r="F1827"/>
      <c r="G1827"/>
      <c r="H1827"/>
      <c r="I1827"/>
      <c r="J1827"/>
      <c r="K1827"/>
      <c r="L1827"/>
      <c r="M1827"/>
      <c r="N1827"/>
      <c r="O1827"/>
      <c r="P1827"/>
    </row>
    <row r="1828" spans="2:16">
      <c r="B1828"/>
      <c r="C1828"/>
      <c r="D1828"/>
      <c r="E1828"/>
      <c r="F1828"/>
      <c r="G1828"/>
      <c r="H1828"/>
      <c r="I1828"/>
      <c r="J1828"/>
      <c r="K1828"/>
      <c r="L1828"/>
      <c r="M1828"/>
      <c r="N1828"/>
      <c r="O1828"/>
      <c r="P1828"/>
    </row>
    <row r="1829" spans="2:16">
      <c r="B1829"/>
      <c r="C1829"/>
      <c r="D1829"/>
      <c r="E1829"/>
      <c r="F1829"/>
      <c r="G1829"/>
      <c r="H1829"/>
      <c r="I1829"/>
      <c r="J1829"/>
      <c r="K1829"/>
      <c r="L1829"/>
      <c r="M1829"/>
      <c r="N1829"/>
      <c r="O1829"/>
      <c r="P1829"/>
    </row>
    <row r="1830" spans="2:16">
      <c r="B1830"/>
      <c r="C1830"/>
      <c r="D1830"/>
      <c r="E1830"/>
      <c r="F1830"/>
      <c r="G1830"/>
      <c r="H1830"/>
      <c r="I1830"/>
      <c r="J1830"/>
      <c r="K1830"/>
      <c r="L1830"/>
      <c r="M1830"/>
      <c r="N1830"/>
      <c r="O1830"/>
      <c r="P1830"/>
    </row>
    <row r="1831" spans="2:16">
      <c r="B1831"/>
      <c r="C1831"/>
      <c r="D1831"/>
      <c r="E1831"/>
      <c r="F1831"/>
      <c r="G1831"/>
      <c r="H1831"/>
      <c r="I1831"/>
      <c r="J1831"/>
      <c r="K1831"/>
      <c r="L1831"/>
      <c r="M1831"/>
      <c r="N1831"/>
      <c r="O1831"/>
      <c r="P1831"/>
    </row>
    <row r="1832" spans="2:16">
      <c r="B1832"/>
      <c r="C1832"/>
      <c r="D1832"/>
      <c r="E1832"/>
      <c r="F1832"/>
      <c r="G1832"/>
      <c r="H1832"/>
      <c r="I1832"/>
      <c r="J1832"/>
      <c r="K1832"/>
      <c r="L1832"/>
      <c r="M1832"/>
      <c r="N1832"/>
      <c r="O1832"/>
      <c r="P1832"/>
    </row>
    <row r="1833" spans="2:16">
      <c r="B1833"/>
      <c r="C1833"/>
      <c r="D1833"/>
      <c r="E1833"/>
      <c r="F1833"/>
      <c r="G1833"/>
      <c r="H1833"/>
      <c r="I1833"/>
      <c r="J1833"/>
      <c r="K1833"/>
      <c r="L1833"/>
      <c r="M1833"/>
      <c r="N1833"/>
      <c r="O1833"/>
      <c r="P1833"/>
    </row>
    <row r="1834" spans="2:16">
      <c r="B1834"/>
      <c r="C1834"/>
      <c r="D1834"/>
      <c r="E1834"/>
      <c r="F1834"/>
      <c r="G1834"/>
      <c r="H1834"/>
      <c r="I1834"/>
      <c r="J1834"/>
      <c r="K1834"/>
      <c r="L1834"/>
      <c r="M1834"/>
      <c r="N1834"/>
      <c r="O1834"/>
      <c r="P1834"/>
    </row>
    <row r="1835" spans="2:16">
      <c r="B1835"/>
      <c r="C1835"/>
      <c r="D1835"/>
      <c r="E1835"/>
      <c r="F1835"/>
      <c r="G1835"/>
      <c r="H1835"/>
      <c r="I1835"/>
      <c r="J1835"/>
      <c r="K1835"/>
      <c r="L1835"/>
      <c r="M1835"/>
      <c r="N1835"/>
      <c r="O1835"/>
      <c r="P1835"/>
    </row>
    <row r="1836" spans="2:16">
      <c r="B1836"/>
      <c r="C1836"/>
      <c r="D1836"/>
      <c r="E1836"/>
      <c r="F1836"/>
      <c r="G1836"/>
      <c r="H1836"/>
      <c r="I1836"/>
      <c r="J1836"/>
      <c r="K1836"/>
      <c r="L1836"/>
      <c r="M1836"/>
      <c r="N1836"/>
      <c r="O1836"/>
      <c r="P1836"/>
    </row>
    <row r="1837" spans="2:16">
      <c r="B1837"/>
      <c r="C1837"/>
      <c r="D1837"/>
      <c r="E1837"/>
      <c r="F1837"/>
      <c r="G1837"/>
      <c r="H1837"/>
      <c r="I1837"/>
      <c r="J1837"/>
      <c r="K1837"/>
      <c r="L1837"/>
      <c r="M1837"/>
      <c r="N1837"/>
      <c r="O1837"/>
      <c r="P1837"/>
    </row>
    <row r="1838" spans="2:16">
      <c r="B1838"/>
      <c r="C1838"/>
      <c r="D1838"/>
      <c r="E1838"/>
      <c r="F1838"/>
      <c r="G1838"/>
      <c r="H1838"/>
      <c r="I1838"/>
      <c r="J1838"/>
      <c r="K1838"/>
      <c r="L1838"/>
      <c r="M1838"/>
      <c r="N1838"/>
      <c r="O1838"/>
      <c r="P1838"/>
    </row>
    <row r="1839" spans="2:16">
      <c r="B1839"/>
      <c r="C1839"/>
      <c r="D1839"/>
      <c r="E1839"/>
      <c r="F1839"/>
      <c r="G1839"/>
      <c r="H1839"/>
      <c r="I1839"/>
      <c r="J1839"/>
      <c r="K1839"/>
      <c r="L1839"/>
      <c r="M1839"/>
      <c r="N1839"/>
      <c r="O1839"/>
      <c r="P1839"/>
    </row>
    <row r="1840" spans="2:16">
      <c r="B1840"/>
      <c r="C1840"/>
      <c r="D1840"/>
      <c r="E1840"/>
      <c r="F1840"/>
      <c r="G1840"/>
      <c r="H1840"/>
      <c r="I1840"/>
      <c r="J1840"/>
      <c r="K1840"/>
      <c r="L1840"/>
      <c r="M1840"/>
      <c r="N1840"/>
      <c r="O1840"/>
      <c r="P1840"/>
    </row>
    <row r="1841" spans="2:16">
      <c r="B1841"/>
      <c r="C1841"/>
      <c r="D1841"/>
      <c r="E1841"/>
      <c r="F1841"/>
      <c r="G1841"/>
      <c r="H1841"/>
      <c r="I1841"/>
      <c r="J1841"/>
      <c r="K1841"/>
      <c r="L1841"/>
      <c r="M1841"/>
      <c r="N1841"/>
      <c r="O1841"/>
      <c r="P1841"/>
    </row>
    <row r="1842" spans="2:16">
      <c r="B1842"/>
      <c r="C1842"/>
      <c r="D1842"/>
      <c r="E1842"/>
      <c r="F1842"/>
      <c r="G1842"/>
      <c r="H1842"/>
      <c r="I1842"/>
      <c r="J1842"/>
      <c r="K1842"/>
      <c r="L1842"/>
      <c r="M1842"/>
      <c r="N1842"/>
      <c r="O1842"/>
      <c r="P1842"/>
    </row>
    <row r="1843" spans="2:16">
      <c r="B1843"/>
      <c r="C1843"/>
      <c r="D1843"/>
      <c r="E1843"/>
      <c r="F1843"/>
      <c r="G1843"/>
      <c r="H1843"/>
      <c r="I1843"/>
      <c r="J1843"/>
      <c r="K1843"/>
      <c r="L1843"/>
      <c r="M1843"/>
      <c r="N1843"/>
      <c r="O1843"/>
      <c r="P1843"/>
    </row>
    <row r="1844" spans="2:16">
      <c r="B1844"/>
      <c r="C1844"/>
      <c r="D1844"/>
      <c r="E1844"/>
      <c r="F1844"/>
      <c r="G1844"/>
      <c r="H1844"/>
      <c r="I1844"/>
      <c r="J1844"/>
      <c r="K1844"/>
      <c r="L1844"/>
      <c r="M1844"/>
      <c r="N1844"/>
      <c r="O1844"/>
      <c r="P1844"/>
    </row>
    <row r="1845" spans="2:16">
      <c r="B1845"/>
      <c r="C1845"/>
      <c r="D1845"/>
      <c r="E1845"/>
      <c r="F1845"/>
      <c r="G1845"/>
      <c r="H1845"/>
      <c r="I1845"/>
      <c r="J1845"/>
      <c r="K1845"/>
      <c r="L1845"/>
      <c r="M1845"/>
      <c r="N1845"/>
      <c r="O1845"/>
      <c r="P1845"/>
    </row>
    <row r="1846" spans="2:16">
      <c r="B1846"/>
      <c r="C1846"/>
      <c r="D1846"/>
      <c r="E1846"/>
      <c r="F1846"/>
      <c r="G1846"/>
      <c r="H1846"/>
      <c r="I1846"/>
      <c r="J1846"/>
      <c r="K1846"/>
      <c r="L1846"/>
      <c r="M1846"/>
      <c r="N1846"/>
      <c r="O1846"/>
      <c r="P1846"/>
    </row>
    <row r="1847" spans="2:16">
      <c r="B1847"/>
      <c r="C1847"/>
      <c r="D1847"/>
      <c r="E1847"/>
      <c r="F1847"/>
      <c r="G1847"/>
      <c r="H1847"/>
      <c r="I1847"/>
      <c r="J1847"/>
      <c r="K1847"/>
      <c r="L1847"/>
      <c r="M1847"/>
      <c r="N1847"/>
      <c r="O1847"/>
      <c r="P1847"/>
    </row>
    <row r="1848" spans="2:16">
      <c r="B1848"/>
      <c r="C1848"/>
      <c r="D1848"/>
      <c r="E1848"/>
      <c r="F1848"/>
      <c r="G1848"/>
      <c r="H1848"/>
      <c r="I1848"/>
      <c r="J1848"/>
      <c r="K1848"/>
      <c r="L1848"/>
      <c r="M1848"/>
      <c r="N1848"/>
      <c r="O1848"/>
      <c r="P1848"/>
    </row>
    <row r="1849" spans="2:16">
      <c r="B1849"/>
      <c r="C1849"/>
      <c r="D1849"/>
      <c r="E1849"/>
      <c r="F1849"/>
      <c r="G1849"/>
      <c r="H1849"/>
      <c r="I1849"/>
      <c r="J1849"/>
      <c r="K1849"/>
      <c r="L1849"/>
      <c r="M1849"/>
      <c r="N1849"/>
      <c r="O1849"/>
      <c r="P1849"/>
    </row>
    <row r="1850" spans="2:16">
      <c r="B1850"/>
      <c r="C1850"/>
      <c r="D1850"/>
      <c r="E1850"/>
      <c r="F1850"/>
      <c r="G1850"/>
      <c r="H1850"/>
      <c r="I1850"/>
      <c r="J1850"/>
      <c r="K1850"/>
      <c r="L1850"/>
      <c r="M1850"/>
      <c r="N1850"/>
      <c r="O1850"/>
      <c r="P1850"/>
    </row>
    <row r="1851" spans="2:16">
      <c r="B1851"/>
      <c r="C1851"/>
      <c r="D1851"/>
      <c r="E1851"/>
      <c r="F1851"/>
      <c r="G1851"/>
      <c r="H1851"/>
      <c r="I1851"/>
      <c r="J1851"/>
      <c r="K1851"/>
      <c r="L1851"/>
      <c r="M1851"/>
      <c r="N1851"/>
      <c r="O1851"/>
      <c r="P1851"/>
    </row>
    <row r="1852" spans="2:16">
      <c r="B1852"/>
      <c r="C1852"/>
      <c r="D1852"/>
      <c r="E1852"/>
      <c r="F1852"/>
      <c r="G1852"/>
      <c r="H1852"/>
      <c r="I1852"/>
      <c r="J1852"/>
      <c r="K1852"/>
      <c r="L1852"/>
      <c r="M1852"/>
      <c r="N1852"/>
      <c r="O1852"/>
      <c r="P1852"/>
    </row>
    <row r="1853" spans="2:16">
      <c r="B1853"/>
      <c r="C1853"/>
      <c r="D1853"/>
      <c r="E1853"/>
      <c r="F1853"/>
      <c r="G1853"/>
      <c r="H1853"/>
      <c r="I1853"/>
      <c r="J1853"/>
      <c r="K1853"/>
      <c r="L1853"/>
      <c r="M1853"/>
      <c r="N1853"/>
      <c r="O1853"/>
      <c r="P1853"/>
    </row>
    <row r="1854" spans="2:16">
      <c r="B1854"/>
      <c r="C1854"/>
      <c r="D1854"/>
      <c r="E1854"/>
      <c r="F1854"/>
      <c r="G1854"/>
      <c r="H1854"/>
      <c r="I1854"/>
      <c r="J1854"/>
      <c r="K1854"/>
      <c r="L1854"/>
      <c r="M1854"/>
      <c r="N1854"/>
      <c r="O1854"/>
      <c r="P1854"/>
    </row>
    <row r="1855" spans="2:16">
      <c r="B1855"/>
      <c r="C1855"/>
      <c r="D1855"/>
      <c r="E1855"/>
      <c r="F1855"/>
      <c r="G1855"/>
      <c r="H1855"/>
      <c r="I1855"/>
      <c r="J1855"/>
      <c r="K1855"/>
      <c r="L1855"/>
      <c r="M1855"/>
      <c r="N1855"/>
      <c r="O1855"/>
      <c r="P1855"/>
    </row>
    <row r="1856" spans="2:16">
      <c r="B1856"/>
      <c r="C1856"/>
      <c r="D1856"/>
      <c r="E1856"/>
      <c r="F1856"/>
      <c r="G1856"/>
      <c r="H1856"/>
      <c r="I1856"/>
      <c r="J1856"/>
      <c r="K1856"/>
      <c r="L1856"/>
      <c r="M1856"/>
      <c r="N1856"/>
      <c r="O1856"/>
      <c r="P1856"/>
    </row>
    <row r="1857" spans="2:16">
      <c r="B1857"/>
      <c r="C1857"/>
      <c r="D1857"/>
      <c r="E1857"/>
      <c r="F1857"/>
      <c r="G1857"/>
      <c r="H1857"/>
      <c r="I1857"/>
      <c r="J1857"/>
      <c r="K1857"/>
      <c r="L1857"/>
      <c r="M1857"/>
      <c r="N1857"/>
      <c r="O1857"/>
      <c r="P1857"/>
    </row>
    <row r="1858" spans="2:16">
      <c r="B1858"/>
      <c r="C1858"/>
      <c r="D1858"/>
      <c r="E1858"/>
      <c r="F1858"/>
      <c r="G1858"/>
      <c r="H1858"/>
      <c r="I1858"/>
      <c r="J1858"/>
      <c r="K1858"/>
      <c r="L1858"/>
      <c r="M1858"/>
      <c r="N1858"/>
      <c r="O1858"/>
      <c r="P1858"/>
    </row>
    <row r="1859" spans="2:16">
      <c r="B1859"/>
      <c r="C1859"/>
      <c r="D1859"/>
      <c r="E1859"/>
      <c r="F1859"/>
      <c r="G1859"/>
      <c r="H1859"/>
      <c r="I1859"/>
      <c r="J1859"/>
      <c r="K1859"/>
      <c r="L1859"/>
      <c r="M1859"/>
      <c r="N1859"/>
      <c r="O1859"/>
      <c r="P1859"/>
    </row>
    <row r="1860" spans="2:16">
      <c r="B1860"/>
      <c r="C1860"/>
      <c r="D1860"/>
      <c r="E1860"/>
      <c r="F1860"/>
      <c r="G1860"/>
      <c r="H1860"/>
      <c r="I1860"/>
      <c r="J1860"/>
      <c r="K1860"/>
      <c r="L1860"/>
      <c r="M1860"/>
      <c r="N1860"/>
      <c r="O1860"/>
      <c r="P1860"/>
    </row>
    <row r="1861" spans="2:16">
      <c r="B1861"/>
      <c r="C1861"/>
      <c r="D1861"/>
      <c r="E1861"/>
      <c r="F1861"/>
      <c r="G1861"/>
      <c r="H1861"/>
      <c r="I1861"/>
      <c r="J1861"/>
      <c r="K1861"/>
      <c r="L1861"/>
      <c r="M1861"/>
      <c r="N1861"/>
      <c r="O1861"/>
      <c r="P1861"/>
    </row>
    <row r="1862" spans="2:16">
      <c r="B1862"/>
      <c r="C1862"/>
      <c r="D1862"/>
      <c r="E1862"/>
      <c r="F1862"/>
      <c r="G1862"/>
      <c r="H1862"/>
      <c r="I1862"/>
      <c r="J1862"/>
      <c r="K1862"/>
      <c r="L1862"/>
      <c r="M1862"/>
      <c r="N1862"/>
      <c r="O1862"/>
      <c r="P1862"/>
    </row>
    <row r="1863" spans="2:16">
      <c r="B1863"/>
      <c r="C1863"/>
      <c r="D1863"/>
      <c r="E1863"/>
      <c r="F1863"/>
      <c r="G1863"/>
      <c r="H1863"/>
      <c r="I1863"/>
      <c r="J1863"/>
      <c r="K1863"/>
      <c r="L1863"/>
      <c r="M1863"/>
      <c r="N1863"/>
      <c r="O1863"/>
      <c r="P1863"/>
    </row>
    <row r="1864" spans="2:16">
      <c r="B1864"/>
      <c r="C1864"/>
      <c r="D1864"/>
      <c r="E1864"/>
      <c r="F1864"/>
      <c r="G1864"/>
      <c r="H1864"/>
      <c r="I1864"/>
      <c r="J1864"/>
      <c r="K1864"/>
      <c r="L1864"/>
      <c r="M1864"/>
      <c r="N1864"/>
      <c r="O1864"/>
      <c r="P1864"/>
    </row>
    <row r="1865" spans="2:16">
      <c r="B1865"/>
      <c r="C1865"/>
      <c r="D1865"/>
      <c r="E1865"/>
      <c r="F1865"/>
      <c r="G1865"/>
      <c r="H1865"/>
      <c r="I1865"/>
      <c r="J1865"/>
      <c r="K1865"/>
      <c r="L1865"/>
      <c r="M1865"/>
      <c r="N1865"/>
      <c r="O1865"/>
      <c r="P1865"/>
    </row>
    <row r="1866" spans="2:16">
      <c r="B1866"/>
      <c r="C1866"/>
      <c r="D1866"/>
      <c r="E1866"/>
      <c r="F1866"/>
      <c r="G1866"/>
      <c r="H1866"/>
      <c r="I1866"/>
      <c r="J1866"/>
      <c r="K1866"/>
      <c r="L1866"/>
      <c r="M1866"/>
      <c r="N1866"/>
      <c r="O1866"/>
      <c r="P1866"/>
    </row>
    <row r="1867" spans="2:16">
      <c r="B1867"/>
      <c r="C1867"/>
      <c r="D1867"/>
      <c r="E1867"/>
      <c r="F1867"/>
      <c r="G1867"/>
      <c r="H1867"/>
      <c r="I1867"/>
      <c r="J1867"/>
      <c r="K1867"/>
      <c r="L1867"/>
      <c r="M1867"/>
      <c r="N1867"/>
      <c r="O1867"/>
      <c r="P1867"/>
    </row>
    <row r="1868" spans="2:16">
      <c r="B1868"/>
      <c r="C1868"/>
      <c r="D1868"/>
      <c r="E1868"/>
      <c r="F1868"/>
      <c r="G1868"/>
      <c r="H1868"/>
      <c r="I1868"/>
      <c r="J1868"/>
      <c r="K1868"/>
      <c r="L1868"/>
      <c r="M1868"/>
      <c r="N1868"/>
      <c r="O1868"/>
      <c r="P1868"/>
    </row>
    <row r="1869" spans="2:16">
      <c r="B1869"/>
      <c r="C1869"/>
      <c r="D1869"/>
      <c r="E1869"/>
      <c r="F1869"/>
      <c r="G1869"/>
      <c r="H1869"/>
      <c r="I1869"/>
      <c r="J1869"/>
      <c r="K1869"/>
      <c r="L1869"/>
      <c r="M1869"/>
      <c r="N1869"/>
      <c r="O1869"/>
      <c r="P1869"/>
    </row>
    <row r="1870" spans="2:16">
      <c r="B1870"/>
      <c r="C1870"/>
      <c r="D1870"/>
      <c r="E1870"/>
      <c r="F1870"/>
      <c r="G1870"/>
      <c r="H1870"/>
      <c r="I1870"/>
      <c r="J1870"/>
      <c r="K1870"/>
      <c r="L1870"/>
      <c r="M1870"/>
      <c r="N1870"/>
      <c r="O1870"/>
      <c r="P1870"/>
    </row>
    <row r="1871" spans="2:16">
      <c r="B1871"/>
      <c r="C1871"/>
      <c r="D1871"/>
      <c r="E1871"/>
      <c r="F1871"/>
      <c r="G1871"/>
      <c r="H1871"/>
      <c r="I1871"/>
      <c r="J1871"/>
      <c r="K1871"/>
      <c r="L1871"/>
      <c r="M1871"/>
      <c r="N1871"/>
      <c r="O1871"/>
      <c r="P1871"/>
    </row>
    <row r="1872" spans="2:16">
      <c r="B1872"/>
      <c r="C1872"/>
      <c r="D1872"/>
      <c r="E1872"/>
      <c r="F1872"/>
      <c r="G1872"/>
      <c r="H1872"/>
      <c r="I1872"/>
      <c r="J1872"/>
      <c r="K1872"/>
      <c r="L1872"/>
      <c r="M1872"/>
      <c r="N1872"/>
      <c r="O1872"/>
      <c r="P1872"/>
    </row>
    <row r="1873" spans="2:16">
      <c r="B1873"/>
      <c r="C1873"/>
      <c r="D1873"/>
      <c r="E1873"/>
      <c r="F1873"/>
      <c r="G1873"/>
      <c r="H1873"/>
      <c r="I1873"/>
      <c r="J1873"/>
      <c r="K1873"/>
      <c r="L1873"/>
      <c r="M1873"/>
      <c r="N1873"/>
      <c r="O1873"/>
      <c r="P1873"/>
    </row>
    <row r="1874" spans="2:16">
      <c r="B1874"/>
      <c r="C1874"/>
      <c r="D1874"/>
      <c r="E1874"/>
      <c r="F1874"/>
      <c r="G1874"/>
      <c r="H1874"/>
      <c r="I1874"/>
      <c r="J1874"/>
      <c r="K1874"/>
      <c r="L1874"/>
      <c r="M1874"/>
      <c r="N1874"/>
      <c r="O1874"/>
      <c r="P1874"/>
    </row>
    <row r="1875" spans="2:16">
      <c r="B1875"/>
      <c r="C1875"/>
      <c r="D1875"/>
      <c r="E1875"/>
      <c r="F1875"/>
      <c r="G1875"/>
      <c r="H1875"/>
      <c r="I1875"/>
      <c r="J1875"/>
      <c r="K1875"/>
      <c r="L1875"/>
      <c r="M1875"/>
      <c r="N1875"/>
      <c r="O1875"/>
      <c r="P1875"/>
    </row>
    <row r="1876" spans="2:16">
      <c r="B1876"/>
      <c r="C1876"/>
      <c r="D1876"/>
      <c r="E1876"/>
      <c r="F1876"/>
      <c r="G1876"/>
      <c r="H1876"/>
      <c r="I1876"/>
      <c r="J1876"/>
      <c r="K1876"/>
      <c r="L1876"/>
      <c r="M1876"/>
      <c r="N1876"/>
      <c r="O1876"/>
      <c r="P1876"/>
    </row>
    <row r="1877" spans="2:16">
      <c r="B1877"/>
      <c r="C1877"/>
      <c r="D1877"/>
      <c r="E1877"/>
      <c r="F1877"/>
      <c r="G1877"/>
      <c r="H1877"/>
      <c r="I1877"/>
      <c r="J1877"/>
      <c r="K1877"/>
      <c r="L1877"/>
      <c r="M1877"/>
      <c r="N1877"/>
      <c r="O1877"/>
      <c r="P1877"/>
    </row>
    <row r="1878" spans="2:16">
      <c r="B1878"/>
      <c r="C1878"/>
      <c r="D1878"/>
      <c r="E1878"/>
      <c r="F1878"/>
      <c r="G1878"/>
      <c r="H1878"/>
      <c r="I1878"/>
      <c r="J1878"/>
      <c r="K1878"/>
      <c r="L1878"/>
      <c r="M1878"/>
      <c r="N1878"/>
      <c r="O1878"/>
      <c r="P1878"/>
    </row>
    <row r="1879" spans="2:16">
      <c r="B1879"/>
      <c r="C1879"/>
      <c r="D1879"/>
      <c r="E1879"/>
      <c r="F1879"/>
      <c r="G1879"/>
      <c r="H1879"/>
      <c r="I1879"/>
      <c r="J1879"/>
      <c r="K1879"/>
      <c r="L1879"/>
      <c r="M1879"/>
      <c r="N1879"/>
      <c r="O1879"/>
      <c r="P1879"/>
    </row>
    <row r="1880" spans="2:16">
      <c r="B1880"/>
      <c r="C1880"/>
      <c r="D1880"/>
      <c r="E1880"/>
      <c r="F1880"/>
      <c r="G1880"/>
      <c r="H1880"/>
      <c r="I1880"/>
      <c r="J1880"/>
      <c r="K1880"/>
      <c r="L1880"/>
      <c r="M1880"/>
      <c r="N1880"/>
      <c r="O1880"/>
      <c r="P1880"/>
    </row>
    <row r="1881" spans="2:16">
      <c r="B1881"/>
      <c r="C1881"/>
      <c r="D1881"/>
      <c r="E1881"/>
      <c r="F1881"/>
      <c r="G1881"/>
      <c r="H1881"/>
      <c r="I1881"/>
      <c r="J1881"/>
      <c r="K1881"/>
      <c r="L1881"/>
      <c r="M1881"/>
      <c r="N1881"/>
      <c r="O1881"/>
      <c r="P1881"/>
    </row>
    <row r="1882" spans="2:16">
      <c r="B1882"/>
      <c r="C1882"/>
      <c r="D1882"/>
      <c r="E1882"/>
      <c r="F1882"/>
      <c r="G1882"/>
      <c r="H1882"/>
      <c r="I1882"/>
      <c r="J1882"/>
      <c r="K1882"/>
      <c r="L1882"/>
      <c r="M1882"/>
      <c r="N1882"/>
      <c r="O1882"/>
      <c r="P1882"/>
    </row>
    <row r="1883" spans="2:16">
      <c r="B1883"/>
      <c r="C1883"/>
      <c r="D1883"/>
      <c r="E1883"/>
      <c r="F1883"/>
      <c r="G1883"/>
      <c r="H1883"/>
      <c r="I1883"/>
      <c r="J1883"/>
      <c r="K1883"/>
      <c r="L1883"/>
      <c r="M1883"/>
      <c r="N1883"/>
      <c r="O1883"/>
      <c r="P1883"/>
    </row>
    <row r="1884" spans="2:16">
      <c r="B1884"/>
      <c r="C1884"/>
      <c r="D1884"/>
      <c r="E1884"/>
      <c r="F1884"/>
      <c r="G1884"/>
      <c r="H1884"/>
      <c r="I1884"/>
      <c r="J1884"/>
      <c r="K1884"/>
      <c r="L1884"/>
      <c r="M1884"/>
      <c r="N1884"/>
      <c r="O1884"/>
      <c r="P1884"/>
    </row>
    <row r="1885" spans="2:16">
      <c r="B1885"/>
      <c r="C1885"/>
      <c r="D1885"/>
      <c r="E1885"/>
      <c r="F1885"/>
      <c r="G1885"/>
      <c r="H1885"/>
      <c r="I1885"/>
      <c r="J1885"/>
      <c r="K1885"/>
      <c r="L1885"/>
      <c r="M1885"/>
      <c r="N1885"/>
      <c r="O1885"/>
      <c r="P1885"/>
    </row>
    <row r="1886" spans="2:16">
      <c r="B1886"/>
      <c r="C1886"/>
      <c r="D1886"/>
      <c r="E1886"/>
      <c r="F1886"/>
      <c r="G1886"/>
      <c r="H1886"/>
      <c r="I1886"/>
      <c r="J1886"/>
      <c r="K1886"/>
      <c r="L1886"/>
      <c r="M1886"/>
      <c r="N1886"/>
      <c r="O1886"/>
      <c r="P1886"/>
    </row>
    <row r="1887" spans="2:16">
      <c r="B1887"/>
      <c r="C1887"/>
      <c r="D1887"/>
      <c r="E1887"/>
      <c r="F1887"/>
      <c r="G1887"/>
      <c r="H1887"/>
      <c r="I1887"/>
      <c r="J1887"/>
      <c r="K1887"/>
      <c r="L1887"/>
      <c r="M1887"/>
      <c r="N1887"/>
      <c r="O1887"/>
      <c r="P1887"/>
    </row>
    <row r="1888" spans="2:16">
      <c r="B1888"/>
      <c r="C1888"/>
      <c r="D1888"/>
      <c r="E1888"/>
      <c r="F1888"/>
      <c r="G1888"/>
      <c r="H1888"/>
      <c r="I1888"/>
      <c r="J1888"/>
      <c r="K1888"/>
      <c r="L1888"/>
      <c r="M1888"/>
      <c r="N1888"/>
      <c r="O1888"/>
      <c r="P1888"/>
    </row>
    <row r="1889" spans="2:16">
      <c r="B1889"/>
      <c r="C1889"/>
      <c r="D1889"/>
      <c r="E1889"/>
      <c r="F1889"/>
      <c r="G1889"/>
      <c r="H1889"/>
      <c r="I1889"/>
      <c r="J1889"/>
      <c r="K1889"/>
      <c r="L1889"/>
      <c r="M1889"/>
      <c r="N1889"/>
      <c r="O1889"/>
      <c r="P1889"/>
    </row>
    <row r="1890" spans="2:16">
      <c r="B1890"/>
      <c r="C1890"/>
      <c r="D1890"/>
      <c r="E1890"/>
      <c r="F1890"/>
      <c r="G1890"/>
      <c r="H1890"/>
      <c r="I1890"/>
      <c r="J1890"/>
      <c r="K1890"/>
      <c r="L1890"/>
      <c r="M1890"/>
      <c r="N1890"/>
      <c r="O1890"/>
      <c r="P1890"/>
    </row>
    <row r="1891" spans="2:16">
      <c r="B1891"/>
      <c r="C1891"/>
      <c r="D1891"/>
      <c r="E1891"/>
      <c r="F1891"/>
      <c r="G1891"/>
      <c r="H1891"/>
      <c r="I1891"/>
      <c r="J1891"/>
      <c r="K1891"/>
      <c r="L1891"/>
      <c r="M1891"/>
      <c r="N1891"/>
      <c r="O1891"/>
      <c r="P1891"/>
    </row>
    <row r="1892" spans="2:16">
      <c r="B1892"/>
      <c r="C1892"/>
      <c r="D1892"/>
      <c r="E1892"/>
      <c r="F1892"/>
      <c r="G1892"/>
      <c r="H1892"/>
      <c r="I1892"/>
      <c r="J1892"/>
      <c r="K1892"/>
      <c r="L1892"/>
      <c r="M1892"/>
      <c r="N1892"/>
      <c r="O1892"/>
      <c r="P1892"/>
    </row>
    <row r="1893" spans="2:16">
      <c r="B1893"/>
      <c r="C1893"/>
      <c r="D1893"/>
      <c r="E1893"/>
      <c r="F1893"/>
      <c r="G1893"/>
      <c r="H1893"/>
      <c r="I1893"/>
      <c r="J1893"/>
      <c r="K1893"/>
      <c r="L1893"/>
      <c r="M1893"/>
      <c r="N1893"/>
      <c r="O1893"/>
      <c r="P1893"/>
    </row>
    <row r="1894" spans="2:16">
      <c r="B1894"/>
      <c r="C1894"/>
      <c r="D1894"/>
      <c r="E1894"/>
      <c r="F1894"/>
      <c r="G1894"/>
      <c r="H1894"/>
      <c r="I1894"/>
      <c r="J1894"/>
      <c r="K1894"/>
      <c r="L1894"/>
      <c r="M1894"/>
      <c r="N1894"/>
      <c r="O1894"/>
      <c r="P1894"/>
    </row>
    <row r="1895" spans="2:16">
      <c r="B1895"/>
      <c r="C1895"/>
      <c r="D1895"/>
      <c r="E1895"/>
      <c r="F1895"/>
      <c r="G1895"/>
      <c r="H1895"/>
      <c r="I1895"/>
      <c r="J1895"/>
      <c r="K1895"/>
      <c r="L1895"/>
      <c r="M1895"/>
      <c r="N1895"/>
      <c r="O1895"/>
      <c r="P1895"/>
    </row>
    <row r="1896" spans="2:16">
      <c r="B1896"/>
      <c r="C1896"/>
      <c r="D1896"/>
      <c r="E1896"/>
      <c r="F1896"/>
      <c r="G1896"/>
      <c r="H1896"/>
      <c r="I1896"/>
      <c r="J1896"/>
      <c r="K1896"/>
      <c r="L1896"/>
      <c r="M1896"/>
      <c r="N1896"/>
      <c r="O1896"/>
      <c r="P1896"/>
    </row>
    <row r="1897" spans="2:16">
      <c r="B1897"/>
      <c r="C1897"/>
      <c r="D1897"/>
      <c r="E1897"/>
      <c r="F1897"/>
      <c r="G1897"/>
      <c r="H1897"/>
      <c r="I1897"/>
      <c r="J1897"/>
      <c r="K1897"/>
      <c r="L1897"/>
      <c r="M1897"/>
      <c r="N1897"/>
      <c r="O1897"/>
      <c r="P1897"/>
    </row>
    <row r="1898" spans="2:16">
      <c r="B1898"/>
      <c r="C1898"/>
      <c r="D1898"/>
      <c r="E1898"/>
      <c r="F1898"/>
      <c r="G1898"/>
      <c r="H1898"/>
      <c r="I1898"/>
      <c r="J1898"/>
      <c r="K1898"/>
      <c r="L1898"/>
      <c r="M1898"/>
      <c r="N1898"/>
      <c r="O1898"/>
      <c r="P1898"/>
    </row>
    <row r="1899" spans="2:16">
      <c r="B1899"/>
      <c r="C1899"/>
      <c r="D1899"/>
      <c r="E1899"/>
      <c r="F1899"/>
      <c r="G1899"/>
      <c r="H1899"/>
      <c r="I1899"/>
      <c r="J1899"/>
      <c r="K1899"/>
      <c r="L1899"/>
      <c r="M1899"/>
      <c r="N1899"/>
      <c r="O1899"/>
      <c r="P1899"/>
    </row>
    <row r="1900" spans="2:16">
      <c r="B1900"/>
      <c r="C1900"/>
      <c r="D1900"/>
      <c r="E1900"/>
      <c r="F1900"/>
      <c r="G1900"/>
      <c r="H1900"/>
      <c r="I1900"/>
      <c r="J1900"/>
      <c r="K1900"/>
      <c r="L1900"/>
      <c r="M1900"/>
      <c r="N1900"/>
      <c r="O1900"/>
      <c r="P1900"/>
    </row>
    <row r="1901" spans="2:16">
      <c r="B1901"/>
      <c r="C1901"/>
      <c r="D1901"/>
      <c r="E1901"/>
      <c r="F1901"/>
      <c r="G1901"/>
      <c r="H1901"/>
      <c r="I1901"/>
      <c r="J1901"/>
      <c r="K1901"/>
      <c r="L1901"/>
      <c r="M1901"/>
      <c r="N1901"/>
      <c r="O1901"/>
      <c r="P1901"/>
    </row>
    <row r="1902" spans="2:16">
      <c r="B1902"/>
      <c r="C1902"/>
      <c r="D1902"/>
      <c r="E1902"/>
      <c r="F1902"/>
      <c r="G1902"/>
      <c r="H1902"/>
      <c r="I1902"/>
      <c r="J1902"/>
      <c r="K1902"/>
      <c r="L1902"/>
      <c r="M1902"/>
      <c r="N1902"/>
      <c r="O1902"/>
      <c r="P1902"/>
    </row>
    <row r="1903" spans="2:16">
      <c r="B1903"/>
      <c r="C1903"/>
      <c r="D1903"/>
      <c r="E1903"/>
      <c r="F1903"/>
      <c r="G1903"/>
      <c r="H1903"/>
      <c r="I1903"/>
      <c r="J1903"/>
      <c r="K1903"/>
      <c r="L1903"/>
      <c r="M1903"/>
      <c r="N1903"/>
      <c r="O1903"/>
      <c r="P1903"/>
    </row>
    <row r="1904" spans="2:16">
      <c r="B1904"/>
      <c r="C1904"/>
      <c r="D1904"/>
      <c r="E1904"/>
      <c r="F1904"/>
      <c r="G1904"/>
      <c r="H1904"/>
      <c r="I1904"/>
      <c r="J1904"/>
      <c r="K1904"/>
      <c r="L1904"/>
      <c r="M1904"/>
      <c r="N1904"/>
      <c r="O1904"/>
      <c r="P1904"/>
    </row>
    <row r="1905" spans="2:16">
      <c r="B1905"/>
      <c r="C1905"/>
      <c r="D1905"/>
      <c r="E1905"/>
      <c r="F1905"/>
      <c r="G1905"/>
      <c r="H1905"/>
      <c r="I1905"/>
      <c r="J1905"/>
      <c r="K1905"/>
      <c r="L1905"/>
      <c r="M1905"/>
      <c r="N1905"/>
      <c r="O1905"/>
      <c r="P1905"/>
    </row>
    <row r="1906" spans="2:16">
      <c r="B1906"/>
      <c r="C1906"/>
      <c r="D1906"/>
      <c r="E1906"/>
      <c r="F1906"/>
      <c r="G1906"/>
      <c r="H1906"/>
      <c r="I1906"/>
      <c r="J1906"/>
      <c r="K1906"/>
      <c r="L1906"/>
      <c r="M1906"/>
      <c r="N1906"/>
      <c r="O1906"/>
      <c r="P1906"/>
    </row>
    <row r="1907" spans="2:16">
      <c r="B1907"/>
      <c r="C1907"/>
      <c r="D1907"/>
      <c r="E1907"/>
      <c r="F1907"/>
      <c r="G1907"/>
      <c r="H1907"/>
      <c r="I1907"/>
      <c r="J1907"/>
      <c r="K1907"/>
      <c r="L1907"/>
      <c r="M1907"/>
      <c r="N1907"/>
      <c r="O1907"/>
      <c r="P1907"/>
    </row>
    <row r="1908" spans="2:16">
      <c r="B1908"/>
      <c r="C1908"/>
      <c r="D1908"/>
      <c r="E1908"/>
      <c r="F1908"/>
      <c r="G1908"/>
      <c r="H1908"/>
      <c r="I1908"/>
      <c r="J1908"/>
      <c r="K1908"/>
      <c r="L1908"/>
      <c r="M1908"/>
      <c r="N1908"/>
      <c r="O1908"/>
      <c r="P1908"/>
    </row>
    <row r="1909" spans="2:16">
      <c r="B1909"/>
      <c r="C1909"/>
      <c r="D1909"/>
      <c r="E1909"/>
      <c r="F1909"/>
      <c r="G1909"/>
      <c r="H1909"/>
      <c r="I1909"/>
      <c r="J1909"/>
      <c r="K1909"/>
      <c r="L1909"/>
      <c r="M1909"/>
      <c r="N1909"/>
      <c r="O1909"/>
      <c r="P1909"/>
    </row>
    <row r="1910" spans="2:16">
      <c r="B1910"/>
      <c r="C1910"/>
      <c r="D1910"/>
      <c r="E1910"/>
      <c r="F1910"/>
      <c r="G1910"/>
      <c r="H1910"/>
      <c r="I1910"/>
      <c r="J1910"/>
      <c r="K1910"/>
      <c r="L1910"/>
      <c r="M1910"/>
      <c r="N1910"/>
      <c r="O1910"/>
      <c r="P1910"/>
    </row>
    <row r="1911" spans="2:16">
      <c r="B1911"/>
      <c r="C1911"/>
      <c r="D1911"/>
      <c r="E1911"/>
      <c r="F1911"/>
      <c r="G1911"/>
      <c r="H1911"/>
      <c r="I1911"/>
      <c r="J1911"/>
      <c r="K1911"/>
      <c r="L1911"/>
      <c r="M1911"/>
      <c r="N1911"/>
      <c r="O1911"/>
      <c r="P1911"/>
    </row>
    <row r="1912" spans="2:16">
      <c r="B1912"/>
      <c r="C1912"/>
      <c r="D1912"/>
      <c r="E1912"/>
      <c r="F1912"/>
      <c r="G1912"/>
      <c r="H1912"/>
      <c r="I1912"/>
      <c r="J1912"/>
      <c r="K1912"/>
      <c r="L1912"/>
      <c r="M1912"/>
      <c r="N1912"/>
      <c r="O1912"/>
      <c r="P1912"/>
    </row>
    <row r="1913" spans="2:16">
      <c r="B1913"/>
      <c r="C1913"/>
      <c r="D1913"/>
      <c r="E1913"/>
      <c r="F1913"/>
      <c r="G1913"/>
      <c r="H1913"/>
      <c r="I1913"/>
      <c r="J1913"/>
      <c r="K1913"/>
      <c r="L1913"/>
      <c r="M1913"/>
      <c r="N1913"/>
      <c r="O1913"/>
      <c r="P1913"/>
    </row>
    <row r="1914" spans="2:16">
      <c r="B1914"/>
      <c r="C1914"/>
      <c r="D1914"/>
      <c r="E1914"/>
      <c r="F1914"/>
      <c r="G1914"/>
      <c r="H1914"/>
      <c r="I1914"/>
      <c r="J1914"/>
      <c r="K1914"/>
      <c r="L1914"/>
      <c r="M1914"/>
      <c r="N1914"/>
      <c r="O1914"/>
      <c r="P1914"/>
    </row>
    <row r="1915" spans="2:16">
      <c r="B1915"/>
      <c r="C1915"/>
      <c r="D1915"/>
      <c r="E1915"/>
      <c r="F1915"/>
      <c r="G1915"/>
      <c r="H1915"/>
      <c r="I1915"/>
      <c r="J1915"/>
      <c r="K1915"/>
      <c r="L1915"/>
      <c r="M1915"/>
      <c r="N1915"/>
      <c r="O1915"/>
      <c r="P1915"/>
    </row>
    <row r="1916" spans="2:16">
      <c r="B1916"/>
      <c r="C1916"/>
      <c r="D1916"/>
      <c r="E1916"/>
      <c r="F1916"/>
      <c r="G1916"/>
      <c r="H1916"/>
      <c r="I1916"/>
      <c r="J1916"/>
      <c r="K1916"/>
      <c r="L1916"/>
      <c r="M1916"/>
      <c r="N1916"/>
      <c r="O1916"/>
      <c r="P1916"/>
    </row>
    <row r="1917" spans="2:16">
      <c r="B1917"/>
      <c r="C1917"/>
      <c r="D1917"/>
      <c r="E1917"/>
      <c r="F1917"/>
      <c r="G1917"/>
      <c r="H1917"/>
      <c r="I1917"/>
      <c r="J1917"/>
      <c r="K1917"/>
      <c r="L1917"/>
      <c r="M1917"/>
      <c r="N1917"/>
      <c r="O1917"/>
      <c r="P1917"/>
    </row>
    <row r="1918" spans="2:16">
      <c r="B1918"/>
      <c r="C1918"/>
      <c r="D1918"/>
      <c r="E1918"/>
      <c r="F1918"/>
      <c r="G1918"/>
      <c r="H1918"/>
      <c r="I1918"/>
      <c r="J1918"/>
      <c r="K1918"/>
      <c r="L1918"/>
      <c r="M1918"/>
      <c r="N1918"/>
      <c r="O1918"/>
      <c r="P1918"/>
    </row>
    <row r="1919" spans="2:16">
      <c r="B1919"/>
      <c r="C1919"/>
      <c r="D1919"/>
      <c r="E1919"/>
      <c r="F1919"/>
      <c r="G1919"/>
      <c r="H1919"/>
      <c r="I1919"/>
      <c r="J1919"/>
      <c r="K1919"/>
      <c r="L1919"/>
      <c r="M1919"/>
      <c r="N1919"/>
      <c r="O1919"/>
      <c r="P1919"/>
    </row>
    <row r="1920" spans="2:16">
      <c r="B1920"/>
      <c r="C1920"/>
      <c r="D1920"/>
      <c r="E1920"/>
      <c r="F1920"/>
      <c r="G1920"/>
      <c r="H1920"/>
      <c r="I1920"/>
      <c r="J1920"/>
      <c r="K1920"/>
      <c r="L1920"/>
      <c r="M1920"/>
      <c r="N1920"/>
      <c r="O1920"/>
      <c r="P1920"/>
    </row>
    <row r="1921" spans="2:16">
      <c r="B1921"/>
      <c r="C1921"/>
      <c r="D1921"/>
      <c r="E1921"/>
      <c r="F1921"/>
      <c r="G1921"/>
      <c r="H1921"/>
      <c r="I1921"/>
      <c r="J1921"/>
      <c r="K1921"/>
      <c r="L1921"/>
      <c r="M1921"/>
      <c r="N1921"/>
      <c r="O1921"/>
      <c r="P1921"/>
    </row>
    <row r="1922" spans="2:16">
      <c r="B1922"/>
      <c r="C1922"/>
      <c r="D1922"/>
      <c r="E1922"/>
      <c r="F1922"/>
      <c r="G1922"/>
      <c r="H1922"/>
      <c r="I1922"/>
      <c r="J1922"/>
      <c r="K1922"/>
      <c r="L1922"/>
      <c r="M1922"/>
      <c r="N1922"/>
      <c r="O1922"/>
      <c r="P1922"/>
    </row>
    <row r="1923" spans="2:16">
      <c r="B1923"/>
      <c r="C1923"/>
      <c r="D1923"/>
      <c r="E1923"/>
      <c r="F1923"/>
      <c r="G1923"/>
      <c r="H1923"/>
      <c r="I1923"/>
      <c r="J1923"/>
      <c r="K1923"/>
      <c r="L1923"/>
      <c r="M1923"/>
      <c r="N1923"/>
      <c r="O1923"/>
      <c r="P1923"/>
    </row>
    <row r="1924" spans="2:16">
      <c r="B1924"/>
      <c r="C1924"/>
      <c r="D1924"/>
      <c r="E1924"/>
      <c r="F1924"/>
      <c r="G1924"/>
      <c r="H1924"/>
      <c r="I1924"/>
      <c r="J1924"/>
      <c r="K1924"/>
      <c r="L1924"/>
      <c r="M1924"/>
      <c r="N1924"/>
      <c r="O1924"/>
      <c r="P1924"/>
    </row>
    <row r="1925" spans="2:16">
      <c r="B1925"/>
      <c r="C1925"/>
      <c r="D1925"/>
      <c r="E1925"/>
      <c r="F1925"/>
      <c r="G1925"/>
      <c r="H1925"/>
      <c r="I1925"/>
      <c r="J1925"/>
      <c r="K1925"/>
      <c r="L1925"/>
      <c r="M1925"/>
      <c r="N1925"/>
      <c r="O1925"/>
      <c r="P1925"/>
    </row>
    <row r="1926" spans="2:16">
      <c r="B1926"/>
      <c r="C1926"/>
      <c r="D1926"/>
      <c r="E1926"/>
      <c r="F1926"/>
      <c r="G1926"/>
      <c r="H1926"/>
      <c r="I1926"/>
      <c r="J1926"/>
      <c r="K1926"/>
      <c r="L1926"/>
      <c r="M1926"/>
      <c r="N1926"/>
      <c r="O1926"/>
      <c r="P1926"/>
    </row>
    <row r="1927" spans="2:16">
      <c r="B1927"/>
      <c r="C1927"/>
      <c r="D1927"/>
      <c r="E1927"/>
      <c r="F1927"/>
      <c r="G1927"/>
      <c r="H1927"/>
      <c r="I1927"/>
      <c r="J1927"/>
      <c r="K1927"/>
      <c r="L1927"/>
      <c r="M1927"/>
      <c r="N1927"/>
      <c r="O1927"/>
      <c r="P1927"/>
    </row>
    <row r="1928" spans="2:16">
      <c r="B1928"/>
      <c r="C1928"/>
      <c r="D1928"/>
      <c r="E1928"/>
      <c r="F1928"/>
      <c r="G1928"/>
      <c r="H1928"/>
      <c r="I1928"/>
      <c r="J1928"/>
      <c r="K1928"/>
      <c r="L1928"/>
      <c r="M1928"/>
      <c r="N1928"/>
      <c r="O1928"/>
      <c r="P1928"/>
    </row>
    <row r="1929" spans="2:16">
      <c r="B1929"/>
      <c r="C1929"/>
      <c r="D1929"/>
      <c r="E1929"/>
      <c r="F1929"/>
      <c r="G1929"/>
      <c r="H1929"/>
      <c r="I1929"/>
      <c r="J1929"/>
      <c r="K1929"/>
      <c r="L1929"/>
      <c r="M1929"/>
      <c r="N1929"/>
      <c r="O1929"/>
      <c r="P1929"/>
    </row>
    <row r="1930" spans="2:16">
      <c r="B1930"/>
      <c r="C1930"/>
      <c r="D1930"/>
      <c r="E1930"/>
      <c r="F1930"/>
      <c r="G1930"/>
      <c r="H1930"/>
      <c r="I1930"/>
      <c r="J1930"/>
      <c r="K1930"/>
      <c r="L1930"/>
      <c r="M1930"/>
      <c r="N1930"/>
      <c r="O1930"/>
      <c r="P1930"/>
    </row>
    <row r="1931" spans="2:16">
      <c r="B1931"/>
      <c r="C1931"/>
      <c r="D1931"/>
      <c r="E1931"/>
      <c r="F1931"/>
      <c r="G1931"/>
      <c r="H1931"/>
      <c r="I1931"/>
      <c r="J1931"/>
      <c r="K1931"/>
      <c r="L1931"/>
      <c r="M1931"/>
      <c r="N1931"/>
      <c r="O1931"/>
      <c r="P1931"/>
    </row>
    <row r="1932" spans="2:16">
      <c r="B1932"/>
      <c r="C1932"/>
      <c r="D1932"/>
      <c r="E1932"/>
      <c r="F1932"/>
      <c r="G1932"/>
      <c r="H1932"/>
      <c r="I1932"/>
      <c r="J1932"/>
      <c r="K1932"/>
      <c r="L1932"/>
      <c r="M1932"/>
      <c r="N1932"/>
      <c r="O1932"/>
      <c r="P1932"/>
    </row>
    <row r="1933" spans="2:16">
      <c r="B1933"/>
      <c r="C1933"/>
      <c r="D1933"/>
      <c r="E1933"/>
      <c r="F1933"/>
      <c r="G1933"/>
      <c r="H1933"/>
      <c r="I1933"/>
      <c r="J1933"/>
      <c r="K1933"/>
      <c r="L1933"/>
      <c r="M1933"/>
      <c r="N1933"/>
      <c r="O1933"/>
      <c r="P1933"/>
    </row>
    <row r="1934" spans="2:16">
      <c r="B1934"/>
      <c r="C1934"/>
      <c r="D1934"/>
      <c r="E1934"/>
      <c r="F1934"/>
      <c r="G1934"/>
      <c r="H1934"/>
      <c r="I1934"/>
      <c r="J1934"/>
      <c r="K1934"/>
      <c r="L1934"/>
      <c r="M1934"/>
      <c r="N1934"/>
      <c r="O1934"/>
      <c r="P1934"/>
    </row>
    <row r="1935" spans="2:16">
      <c r="B1935"/>
      <c r="C1935"/>
      <c r="D1935"/>
      <c r="E1935"/>
      <c r="F1935"/>
      <c r="G1935"/>
      <c r="H1935"/>
      <c r="I1935"/>
      <c r="J1935"/>
      <c r="K1935"/>
      <c r="L1935"/>
      <c r="M1935"/>
      <c r="N1935"/>
      <c r="O1935"/>
      <c r="P1935"/>
    </row>
    <row r="1936" spans="2:16">
      <c r="B1936"/>
      <c r="C1936"/>
      <c r="D1936"/>
      <c r="E1936"/>
      <c r="F1936"/>
      <c r="G1936"/>
      <c r="H1936"/>
      <c r="I1936"/>
      <c r="J1936"/>
      <c r="K1936"/>
      <c r="L1936"/>
      <c r="M1936"/>
      <c r="N1936"/>
      <c r="O1936"/>
      <c r="P1936"/>
    </row>
    <row r="1937" spans="2:16">
      <c r="B1937"/>
      <c r="C1937"/>
      <c r="D1937"/>
      <c r="E1937"/>
      <c r="F1937"/>
      <c r="G1937"/>
      <c r="H1937"/>
      <c r="I1937"/>
      <c r="J1937"/>
      <c r="K1937"/>
      <c r="L1937"/>
      <c r="M1937"/>
      <c r="N1937"/>
      <c r="O1937"/>
      <c r="P1937"/>
    </row>
    <row r="1938" spans="2:16">
      <c r="B1938"/>
      <c r="C1938"/>
      <c r="D1938"/>
      <c r="E1938"/>
      <c r="F1938"/>
      <c r="G1938"/>
      <c r="H1938"/>
      <c r="I1938"/>
      <c r="J1938"/>
      <c r="K1938"/>
      <c r="L1938"/>
      <c r="M1938"/>
      <c r="N1938"/>
      <c r="O1938"/>
      <c r="P1938"/>
    </row>
    <row r="1939" spans="2:16">
      <c r="B1939"/>
      <c r="C1939"/>
      <c r="D1939"/>
      <c r="E1939"/>
      <c r="F1939"/>
      <c r="G1939"/>
      <c r="H1939"/>
      <c r="I1939"/>
      <c r="J1939"/>
      <c r="K1939"/>
      <c r="L1939"/>
      <c r="M1939"/>
      <c r="N1939"/>
      <c r="O1939"/>
      <c r="P1939"/>
    </row>
    <row r="1940" spans="2:16">
      <c r="B1940"/>
      <c r="C1940"/>
      <c r="D1940"/>
      <c r="E1940"/>
      <c r="F1940"/>
      <c r="G1940"/>
      <c r="H1940"/>
      <c r="I1940"/>
      <c r="J1940"/>
      <c r="K1940"/>
      <c r="L1940"/>
      <c r="M1940"/>
      <c r="N1940"/>
      <c r="O1940"/>
      <c r="P1940"/>
    </row>
    <row r="1941" spans="2:16">
      <c r="B1941"/>
      <c r="C1941"/>
      <c r="D1941"/>
      <c r="E1941"/>
      <c r="F1941"/>
      <c r="G1941"/>
      <c r="H1941"/>
      <c r="I1941"/>
      <c r="J1941"/>
      <c r="K1941"/>
      <c r="L1941"/>
      <c r="M1941"/>
      <c r="N1941"/>
      <c r="O1941"/>
      <c r="P1941"/>
    </row>
    <row r="1942" spans="2:16">
      <c r="B1942"/>
      <c r="C1942"/>
      <c r="D1942"/>
      <c r="E1942"/>
      <c r="F1942"/>
      <c r="G1942"/>
      <c r="H1942"/>
      <c r="I1942"/>
      <c r="J1942"/>
      <c r="K1942"/>
      <c r="L1942"/>
      <c r="M1942"/>
      <c r="N1942"/>
      <c r="O1942"/>
      <c r="P1942"/>
    </row>
    <row r="1943" spans="2:16">
      <c r="B1943"/>
      <c r="C1943"/>
      <c r="D1943"/>
      <c r="E1943"/>
      <c r="F1943"/>
      <c r="G1943"/>
      <c r="H1943"/>
      <c r="I1943"/>
      <c r="J1943"/>
      <c r="K1943"/>
      <c r="L1943"/>
      <c r="M1943"/>
      <c r="N1943"/>
      <c r="O1943"/>
      <c r="P1943"/>
    </row>
    <row r="1944" spans="2:16">
      <c r="B1944"/>
      <c r="C1944"/>
      <c r="D1944"/>
      <c r="E1944"/>
      <c r="F1944"/>
      <c r="G1944"/>
      <c r="H1944"/>
      <c r="I1944"/>
      <c r="J1944"/>
      <c r="K1944"/>
      <c r="L1944"/>
      <c r="M1944"/>
      <c r="N1944"/>
      <c r="O1944"/>
      <c r="P1944"/>
    </row>
    <row r="1945" spans="2:16">
      <c r="B1945"/>
      <c r="C1945"/>
      <c r="D1945"/>
      <c r="E1945"/>
      <c r="F1945"/>
      <c r="G1945"/>
      <c r="H1945"/>
      <c r="I1945"/>
      <c r="J1945"/>
      <c r="K1945"/>
      <c r="L1945"/>
      <c r="M1945"/>
      <c r="N1945"/>
      <c r="O1945"/>
      <c r="P1945"/>
    </row>
    <row r="1946" spans="2:16">
      <c r="B1946"/>
      <c r="C1946"/>
      <c r="D1946"/>
      <c r="E1946"/>
      <c r="F1946"/>
      <c r="G1946"/>
      <c r="H1946"/>
      <c r="I1946"/>
      <c r="J1946"/>
      <c r="K1946"/>
      <c r="L1946"/>
      <c r="M1946"/>
      <c r="N1946"/>
      <c r="O1946"/>
      <c r="P1946"/>
    </row>
    <row r="1947" spans="2:16">
      <c r="B1947"/>
      <c r="C1947"/>
      <c r="D1947"/>
      <c r="E1947"/>
      <c r="F1947"/>
      <c r="G1947"/>
      <c r="H1947"/>
      <c r="I1947"/>
      <c r="J1947"/>
      <c r="K1947"/>
      <c r="L1947"/>
      <c r="M1947"/>
      <c r="N1947"/>
      <c r="O1947"/>
      <c r="P1947"/>
    </row>
    <row r="1948" spans="2:16">
      <c r="B1948"/>
      <c r="C1948"/>
      <c r="D1948"/>
      <c r="E1948"/>
      <c r="F1948"/>
      <c r="G1948"/>
      <c r="H1948"/>
      <c r="I1948"/>
      <c r="J1948"/>
      <c r="K1948"/>
      <c r="L1948"/>
      <c r="M1948"/>
      <c r="N1948"/>
      <c r="O1948"/>
      <c r="P1948"/>
    </row>
    <row r="1949" spans="2:16">
      <c r="B1949"/>
      <c r="C1949"/>
      <c r="D1949"/>
      <c r="E1949"/>
      <c r="F1949"/>
      <c r="G1949"/>
      <c r="H1949"/>
      <c r="I1949"/>
      <c r="J1949"/>
      <c r="K1949"/>
      <c r="L1949"/>
      <c r="M1949"/>
      <c r="N1949"/>
      <c r="O1949"/>
      <c r="P1949"/>
    </row>
    <row r="1950" spans="2:16">
      <c r="B1950"/>
      <c r="C1950"/>
      <c r="D1950"/>
      <c r="E1950"/>
      <c r="F1950"/>
      <c r="G1950"/>
      <c r="H1950"/>
      <c r="I1950"/>
      <c r="J1950"/>
      <c r="K1950"/>
      <c r="L1950"/>
      <c r="M1950"/>
      <c r="N1950"/>
      <c r="O1950"/>
      <c r="P1950"/>
    </row>
    <row r="1951" spans="2:16">
      <c r="B1951"/>
      <c r="C1951"/>
      <c r="D1951"/>
      <c r="E1951"/>
      <c r="F1951"/>
      <c r="G1951"/>
      <c r="H1951"/>
      <c r="I1951"/>
      <c r="J1951"/>
      <c r="K1951"/>
      <c r="L1951"/>
      <c r="M1951"/>
      <c r="N1951"/>
      <c r="O1951"/>
      <c r="P1951"/>
    </row>
    <row r="1952" spans="2:16">
      <c r="B1952"/>
      <c r="C1952"/>
      <c r="D1952"/>
      <c r="E1952"/>
      <c r="F1952"/>
      <c r="G1952"/>
      <c r="H1952"/>
      <c r="I1952"/>
      <c r="J1952"/>
      <c r="K1952"/>
      <c r="L1952"/>
      <c r="M1952"/>
      <c r="N1952"/>
      <c r="O1952"/>
      <c r="P1952"/>
    </row>
    <row r="1953" spans="2:16">
      <c r="B1953"/>
      <c r="C1953"/>
      <c r="D1953"/>
      <c r="E1953"/>
      <c r="F1953"/>
      <c r="G1953"/>
      <c r="H1953"/>
      <c r="I1953"/>
      <c r="J1953"/>
      <c r="K1953"/>
      <c r="L1953"/>
      <c r="M1953"/>
      <c r="N1953"/>
      <c r="O1953"/>
      <c r="P1953"/>
    </row>
    <row r="1954" spans="2:16">
      <c r="B1954"/>
      <c r="C1954"/>
      <c r="D1954"/>
      <c r="E1954"/>
      <c r="F1954"/>
      <c r="G1954"/>
      <c r="H1954"/>
      <c r="I1954"/>
      <c r="J1954"/>
      <c r="K1954"/>
      <c r="L1954"/>
      <c r="M1954"/>
      <c r="N1954"/>
      <c r="O1954"/>
      <c r="P1954"/>
    </row>
    <row r="1955" spans="2:16">
      <c r="B1955"/>
      <c r="C1955"/>
      <c r="D1955"/>
      <c r="E1955"/>
      <c r="F1955"/>
      <c r="G1955"/>
      <c r="H1955"/>
      <c r="I1955"/>
      <c r="J1955"/>
      <c r="K1955"/>
      <c r="L1955"/>
      <c r="M1955"/>
      <c r="N1955"/>
      <c r="O1955"/>
      <c r="P1955"/>
    </row>
    <row r="1956" spans="2:16">
      <c r="B1956"/>
      <c r="C1956"/>
      <c r="D1956"/>
      <c r="E1956"/>
      <c r="F1956"/>
      <c r="G1956"/>
      <c r="H1956"/>
      <c r="I1956"/>
      <c r="J1956"/>
      <c r="K1956"/>
      <c r="L1956"/>
      <c r="M1956"/>
      <c r="N1956"/>
      <c r="O1956"/>
      <c r="P1956"/>
    </row>
    <row r="1957" spans="2:16">
      <c r="B1957"/>
      <c r="C1957"/>
      <c r="D1957"/>
      <c r="E1957"/>
      <c r="F1957"/>
      <c r="G1957"/>
      <c r="H1957"/>
      <c r="I1957"/>
      <c r="J1957"/>
      <c r="K1957"/>
      <c r="L1957"/>
      <c r="M1957"/>
      <c r="N1957"/>
      <c r="O1957"/>
      <c r="P1957"/>
    </row>
    <row r="1958" spans="2:16">
      <c r="B1958"/>
      <c r="C1958"/>
      <c r="D1958"/>
      <c r="E1958"/>
      <c r="F1958"/>
      <c r="G1958"/>
      <c r="H1958"/>
      <c r="I1958"/>
      <c r="J1958"/>
      <c r="K1958"/>
      <c r="L1958"/>
      <c r="M1958"/>
      <c r="N1958"/>
      <c r="O1958"/>
      <c r="P1958"/>
    </row>
    <row r="1959" spans="2:16">
      <c r="B1959"/>
      <c r="C1959"/>
      <c r="D1959"/>
      <c r="E1959"/>
      <c r="F1959"/>
      <c r="G1959"/>
      <c r="H1959"/>
      <c r="I1959"/>
      <c r="J1959"/>
      <c r="K1959"/>
      <c r="L1959"/>
      <c r="M1959"/>
      <c r="N1959"/>
      <c r="O1959"/>
      <c r="P1959"/>
    </row>
    <row r="1960" spans="2:16">
      <c r="B1960"/>
      <c r="C1960"/>
      <c r="D1960"/>
      <c r="E1960"/>
      <c r="F1960"/>
      <c r="G1960"/>
      <c r="H1960"/>
      <c r="I1960"/>
      <c r="J1960"/>
      <c r="K1960"/>
      <c r="L1960"/>
      <c r="M1960"/>
      <c r="N1960"/>
      <c r="O1960"/>
      <c r="P1960"/>
    </row>
    <row r="1961" spans="2:16">
      <c r="B1961"/>
      <c r="C1961"/>
      <c r="D1961"/>
      <c r="E1961"/>
      <c r="F1961"/>
      <c r="G1961"/>
      <c r="H1961"/>
      <c r="I1961"/>
      <c r="J1961"/>
      <c r="K1961"/>
      <c r="L1961"/>
      <c r="M1961"/>
      <c r="N1961"/>
      <c r="O1961"/>
      <c r="P1961"/>
    </row>
    <row r="1962" spans="2:16">
      <c r="B1962"/>
      <c r="C1962"/>
      <c r="D1962"/>
      <c r="E1962"/>
      <c r="F1962"/>
      <c r="G1962"/>
      <c r="H1962"/>
      <c r="I1962"/>
      <c r="J1962"/>
      <c r="K1962"/>
      <c r="L1962"/>
      <c r="M1962"/>
      <c r="N1962"/>
      <c r="O1962"/>
      <c r="P1962"/>
    </row>
    <row r="1963" spans="2:16">
      <c r="B1963"/>
      <c r="C1963"/>
      <c r="D1963"/>
      <c r="E1963"/>
      <c r="F1963"/>
      <c r="G1963"/>
      <c r="H1963"/>
      <c r="I1963"/>
      <c r="J1963"/>
      <c r="K1963"/>
      <c r="L1963"/>
      <c r="M1963"/>
      <c r="N1963"/>
      <c r="O1963"/>
      <c r="P1963"/>
    </row>
    <row r="1964" spans="2:16">
      <c r="B1964"/>
      <c r="C1964"/>
      <c r="D1964"/>
      <c r="E1964"/>
      <c r="F1964"/>
      <c r="G1964"/>
      <c r="H1964"/>
      <c r="I1964"/>
      <c r="J1964"/>
      <c r="K1964"/>
      <c r="L1964"/>
      <c r="M1964"/>
      <c r="N1964"/>
      <c r="O1964"/>
      <c r="P1964"/>
    </row>
    <row r="1965" spans="2:16">
      <c r="B1965"/>
      <c r="C1965"/>
      <c r="D1965"/>
      <c r="E1965"/>
      <c r="F1965"/>
      <c r="G1965"/>
      <c r="H1965"/>
      <c r="I1965"/>
      <c r="J1965"/>
      <c r="K1965"/>
      <c r="L1965"/>
      <c r="M1965"/>
      <c r="N1965"/>
      <c r="O1965"/>
      <c r="P1965"/>
    </row>
    <row r="1966" spans="2:16">
      <c r="B1966"/>
      <c r="C1966"/>
      <c r="D1966"/>
      <c r="E1966"/>
      <c r="F1966"/>
      <c r="G1966"/>
      <c r="H1966"/>
      <c r="I1966"/>
      <c r="J1966"/>
      <c r="K1966"/>
      <c r="L1966"/>
      <c r="M1966"/>
      <c r="N1966"/>
      <c r="O1966"/>
      <c r="P1966"/>
    </row>
    <row r="1967" spans="2:16">
      <c r="B1967"/>
      <c r="C1967"/>
      <c r="D1967"/>
      <c r="E1967"/>
      <c r="F1967"/>
      <c r="G1967"/>
      <c r="H1967"/>
      <c r="I1967"/>
      <c r="J1967"/>
      <c r="K1967"/>
      <c r="L1967"/>
      <c r="M1967"/>
      <c r="N1967"/>
      <c r="O1967"/>
      <c r="P1967"/>
    </row>
    <row r="1968" spans="2:16">
      <c r="B1968"/>
      <c r="C1968"/>
      <c r="D1968"/>
      <c r="E1968"/>
      <c r="F1968"/>
      <c r="G1968"/>
      <c r="H1968"/>
      <c r="I1968"/>
      <c r="J1968"/>
      <c r="K1968"/>
      <c r="L1968"/>
      <c r="M1968"/>
      <c r="N1968"/>
      <c r="O1968"/>
      <c r="P1968"/>
    </row>
    <row r="1969" spans="2:16">
      <c r="B1969"/>
      <c r="C1969"/>
      <c r="D1969"/>
      <c r="E1969"/>
      <c r="F1969"/>
      <c r="G1969"/>
      <c r="H1969"/>
      <c r="I1969"/>
      <c r="J1969"/>
      <c r="K1969"/>
      <c r="L1969"/>
      <c r="M1969"/>
      <c r="N1969"/>
      <c r="O1969"/>
      <c r="P1969"/>
    </row>
    <row r="1970" spans="2:16">
      <c r="B1970"/>
      <c r="C1970"/>
      <c r="D1970"/>
      <c r="E1970"/>
      <c r="F1970"/>
      <c r="G1970"/>
      <c r="H1970"/>
      <c r="I1970"/>
      <c r="J1970"/>
      <c r="K1970"/>
      <c r="L1970"/>
      <c r="M1970"/>
      <c r="N1970"/>
      <c r="O1970"/>
      <c r="P1970"/>
    </row>
    <row r="1971" spans="2:16">
      <c r="B1971"/>
      <c r="C1971"/>
      <c r="D1971"/>
      <c r="E1971"/>
      <c r="F1971"/>
      <c r="G1971"/>
      <c r="H1971"/>
      <c r="I1971"/>
      <c r="J1971"/>
      <c r="K1971"/>
      <c r="L1971"/>
      <c r="M1971"/>
      <c r="N1971"/>
      <c r="O1971"/>
      <c r="P1971"/>
    </row>
    <row r="1972" spans="2:16">
      <c r="B1972"/>
      <c r="C1972"/>
      <c r="D1972"/>
      <c r="E1972"/>
      <c r="F1972"/>
      <c r="G1972"/>
      <c r="H1972"/>
      <c r="I1972"/>
      <c r="J1972"/>
      <c r="K1972"/>
      <c r="L1972"/>
      <c r="M1972"/>
      <c r="N1972"/>
      <c r="O1972"/>
      <c r="P1972"/>
    </row>
    <row r="1973" spans="2:16">
      <c r="B1973"/>
      <c r="C1973"/>
      <c r="D1973"/>
      <c r="E1973"/>
      <c r="F1973"/>
      <c r="G1973"/>
      <c r="H1973"/>
      <c r="I1973"/>
      <c r="J1973"/>
      <c r="K1973"/>
      <c r="L1973"/>
      <c r="M1973"/>
      <c r="N1973"/>
      <c r="O1973"/>
      <c r="P1973"/>
    </row>
    <row r="1974" spans="2:16">
      <c r="B1974"/>
      <c r="C1974"/>
      <c r="D1974"/>
      <c r="E1974"/>
      <c r="F1974"/>
      <c r="G1974"/>
      <c r="H1974"/>
      <c r="I1974"/>
      <c r="J1974"/>
      <c r="K1974"/>
      <c r="L1974"/>
      <c r="M1974"/>
      <c r="N1974"/>
      <c r="O1974"/>
      <c r="P1974"/>
    </row>
    <row r="1975" spans="2:16">
      <c r="B1975"/>
      <c r="C1975"/>
      <c r="D1975"/>
      <c r="E1975"/>
      <c r="F1975"/>
      <c r="G1975"/>
      <c r="H1975"/>
      <c r="I1975"/>
      <c r="J1975"/>
      <c r="K1975"/>
      <c r="L1975"/>
      <c r="M1975"/>
      <c r="N1975"/>
      <c r="O1975"/>
      <c r="P1975"/>
    </row>
    <row r="1976" spans="2:16">
      <c r="B1976"/>
      <c r="C1976"/>
      <c r="D1976"/>
      <c r="E1976"/>
      <c r="F1976"/>
      <c r="G1976"/>
      <c r="H1976"/>
      <c r="I1976"/>
      <c r="J1976"/>
      <c r="K1976"/>
      <c r="L1976"/>
      <c r="M1976"/>
      <c r="N1976"/>
      <c r="O1976"/>
      <c r="P1976"/>
    </row>
    <row r="1977" spans="2:16">
      <c r="B1977"/>
      <c r="C1977"/>
      <c r="D1977"/>
      <c r="E1977"/>
      <c r="F1977"/>
      <c r="G1977"/>
      <c r="H1977"/>
      <c r="I1977"/>
      <c r="J1977"/>
      <c r="K1977"/>
      <c r="L1977"/>
      <c r="M1977"/>
      <c r="N1977"/>
      <c r="O1977"/>
      <c r="P1977"/>
    </row>
    <row r="1978" spans="2:16">
      <c r="B1978"/>
      <c r="C1978"/>
      <c r="D1978"/>
      <c r="E1978"/>
      <c r="F1978"/>
      <c r="G1978"/>
      <c r="H1978"/>
      <c r="I1978"/>
      <c r="J1978"/>
      <c r="K1978"/>
      <c r="L1978"/>
      <c r="M1978"/>
      <c r="N1978"/>
      <c r="O1978"/>
      <c r="P1978"/>
    </row>
    <row r="1979" spans="2:16">
      <c r="B1979"/>
      <c r="C1979"/>
      <c r="D1979"/>
      <c r="E1979"/>
      <c r="F1979"/>
      <c r="G1979"/>
      <c r="H1979"/>
      <c r="I1979"/>
      <c r="J1979"/>
      <c r="K1979"/>
      <c r="L1979"/>
      <c r="M1979"/>
      <c r="N1979"/>
      <c r="O1979"/>
      <c r="P1979"/>
    </row>
    <row r="1980" spans="2:16">
      <c r="B1980"/>
      <c r="C1980"/>
      <c r="D1980"/>
      <c r="E1980"/>
      <c r="F1980"/>
      <c r="G1980"/>
      <c r="H1980"/>
      <c r="I1980"/>
      <c r="J1980"/>
      <c r="K1980"/>
      <c r="L1980"/>
      <c r="M1980"/>
      <c r="N1980"/>
      <c r="O1980"/>
      <c r="P1980"/>
    </row>
    <row r="1981" spans="2:16">
      <c r="B1981"/>
      <c r="C1981"/>
      <c r="D1981"/>
      <c r="E1981"/>
      <c r="F1981"/>
      <c r="G1981"/>
      <c r="H1981"/>
      <c r="I1981"/>
      <c r="J1981"/>
      <c r="K1981"/>
      <c r="L1981"/>
      <c r="M1981"/>
      <c r="N1981"/>
      <c r="O1981"/>
      <c r="P1981"/>
    </row>
    <row r="1982" spans="2:16">
      <c r="B1982"/>
      <c r="C1982"/>
      <c r="D1982"/>
      <c r="E1982"/>
      <c r="F1982"/>
      <c r="G1982"/>
      <c r="H1982"/>
      <c r="I1982"/>
      <c r="J1982"/>
      <c r="K1982"/>
      <c r="L1982"/>
      <c r="M1982"/>
      <c r="N1982"/>
      <c r="O1982"/>
      <c r="P1982"/>
    </row>
    <row r="1983" spans="2:16">
      <c r="B1983"/>
      <c r="C1983"/>
      <c r="D1983"/>
      <c r="E1983"/>
      <c r="F1983"/>
      <c r="G1983"/>
      <c r="H1983"/>
      <c r="I1983"/>
      <c r="J1983"/>
      <c r="K1983"/>
      <c r="L1983"/>
      <c r="M1983"/>
      <c r="N1983"/>
      <c r="O1983"/>
      <c r="P1983"/>
    </row>
    <row r="1984" spans="2:16">
      <c r="B1984"/>
      <c r="C1984"/>
      <c r="D1984"/>
      <c r="E1984"/>
      <c r="F1984"/>
      <c r="G1984"/>
      <c r="H1984"/>
      <c r="I1984"/>
      <c r="J1984"/>
      <c r="K1984"/>
      <c r="L1984"/>
      <c r="M1984"/>
      <c r="N1984"/>
      <c r="O1984"/>
      <c r="P1984"/>
    </row>
    <row r="1985" spans="2:16">
      <c r="B1985"/>
      <c r="C1985"/>
      <c r="D1985"/>
      <c r="E1985"/>
      <c r="F1985"/>
      <c r="G1985"/>
      <c r="H1985"/>
      <c r="I1985"/>
      <c r="J1985"/>
      <c r="K1985"/>
      <c r="L1985"/>
      <c r="M1985"/>
      <c r="N1985"/>
      <c r="O1985"/>
      <c r="P1985"/>
    </row>
    <row r="1986" spans="2:16">
      <c r="B1986"/>
      <c r="C1986"/>
      <c r="D1986"/>
      <c r="E1986"/>
      <c r="F1986"/>
      <c r="G1986"/>
      <c r="H1986"/>
      <c r="I1986"/>
      <c r="J1986"/>
      <c r="K1986"/>
      <c r="L1986"/>
      <c r="M1986"/>
      <c r="N1986"/>
      <c r="O1986"/>
      <c r="P1986"/>
    </row>
    <row r="1987" spans="2:16">
      <c r="B1987"/>
      <c r="C1987"/>
      <c r="D1987"/>
      <c r="E1987"/>
      <c r="F1987"/>
      <c r="G1987"/>
      <c r="H1987"/>
      <c r="I1987"/>
      <c r="J1987"/>
      <c r="K1987"/>
      <c r="L1987"/>
      <c r="M1987"/>
      <c r="N1987"/>
      <c r="O1987"/>
      <c r="P1987"/>
    </row>
    <row r="1988" spans="2:16">
      <c r="B1988"/>
      <c r="C1988"/>
      <c r="D1988"/>
      <c r="E1988"/>
      <c r="F1988"/>
      <c r="G1988"/>
      <c r="H1988"/>
      <c r="I1988"/>
      <c r="J1988"/>
      <c r="K1988"/>
      <c r="L1988"/>
      <c r="M1988"/>
      <c r="N1988"/>
      <c r="O1988"/>
      <c r="P1988"/>
    </row>
    <row r="1989" spans="2:16">
      <c r="B1989"/>
      <c r="C1989"/>
      <c r="D1989"/>
      <c r="E1989"/>
      <c r="F1989"/>
      <c r="G1989"/>
      <c r="H1989"/>
      <c r="I1989"/>
      <c r="J1989"/>
      <c r="K1989"/>
      <c r="L1989"/>
      <c r="M1989"/>
      <c r="N1989"/>
      <c r="O1989"/>
      <c r="P1989"/>
    </row>
    <row r="1990" spans="2:16">
      <c r="B1990"/>
      <c r="C1990"/>
      <c r="D1990"/>
      <c r="E1990"/>
      <c r="F1990"/>
      <c r="G1990"/>
      <c r="H1990"/>
      <c r="I1990"/>
      <c r="J1990"/>
      <c r="K1990"/>
      <c r="L1990"/>
      <c r="M1990"/>
      <c r="N1990"/>
      <c r="O1990"/>
      <c r="P1990"/>
    </row>
    <row r="1991" spans="2:16">
      <c r="B1991"/>
      <c r="C1991"/>
      <c r="D1991"/>
      <c r="E1991"/>
      <c r="F1991"/>
      <c r="G1991"/>
      <c r="H1991"/>
      <c r="I1991"/>
      <c r="J1991"/>
      <c r="K1991"/>
      <c r="L1991"/>
      <c r="M1991"/>
      <c r="N1991"/>
      <c r="O1991"/>
      <c r="P1991"/>
    </row>
    <row r="1992" spans="2:16">
      <c r="B1992"/>
      <c r="C1992"/>
      <c r="D1992"/>
      <c r="E1992"/>
      <c r="F1992"/>
      <c r="G1992"/>
      <c r="H1992"/>
      <c r="I1992"/>
      <c r="J1992"/>
      <c r="K1992"/>
      <c r="L1992"/>
      <c r="M1992"/>
      <c r="N1992"/>
      <c r="O1992"/>
      <c r="P1992"/>
    </row>
    <row r="1993" spans="2:16">
      <c r="B1993"/>
      <c r="C1993"/>
      <c r="D1993"/>
      <c r="E1993"/>
      <c r="F1993"/>
      <c r="G1993"/>
      <c r="H1993"/>
      <c r="I1993"/>
      <c r="J1993"/>
      <c r="K1993"/>
      <c r="L1993"/>
      <c r="M1993"/>
      <c r="N1993"/>
      <c r="O1993"/>
      <c r="P1993"/>
    </row>
    <row r="1994" spans="2:16">
      <c r="B1994"/>
      <c r="C1994"/>
      <c r="D1994"/>
      <c r="E1994"/>
      <c r="F1994"/>
      <c r="G1994"/>
      <c r="H1994"/>
      <c r="I1994"/>
      <c r="J1994"/>
      <c r="K1994"/>
      <c r="L1994"/>
      <c r="M1994"/>
      <c r="N1994"/>
      <c r="O1994"/>
      <c r="P1994"/>
    </row>
    <row r="1995" spans="2:16">
      <c r="B1995"/>
      <c r="C1995"/>
      <c r="D1995"/>
      <c r="E1995"/>
      <c r="F1995"/>
      <c r="G1995"/>
      <c r="H1995"/>
      <c r="I1995"/>
      <c r="J1995"/>
      <c r="K1995"/>
      <c r="L1995"/>
      <c r="M1995"/>
      <c r="N1995"/>
      <c r="O1995"/>
      <c r="P1995"/>
    </row>
    <row r="1996" spans="2:16">
      <c r="B1996"/>
      <c r="C1996"/>
      <c r="D1996"/>
      <c r="E1996"/>
      <c r="F1996"/>
      <c r="G1996"/>
      <c r="H1996"/>
      <c r="I1996"/>
      <c r="J1996"/>
      <c r="K1996"/>
      <c r="L1996"/>
      <c r="M1996"/>
      <c r="N1996"/>
      <c r="O1996"/>
      <c r="P1996"/>
    </row>
    <row r="1997" spans="2:16">
      <c r="B1997"/>
      <c r="C1997"/>
      <c r="D1997"/>
      <c r="E1997"/>
      <c r="F1997"/>
      <c r="G1997"/>
      <c r="H1997"/>
      <c r="I1997"/>
      <c r="J1997"/>
      <c r="K1997"/>
      <c r="L1997"/>
      <c r="M1997"/>
      <c r="N1997"/>
      <c r="O1997"/>
      <c r="P1997"/>
    </row>
    <row r="1998" spans="2:16">
      <c r="B1998"/>
      <c r="C1998"/>
      <c r="D1998"/>
      <c r="E1998"/>
      <c r="F1998"/>
      <c r="G1998"/>
      <c r="H1998"/>
      <c r="I1998"/>
      <c r="J1998"/>
      <c r="K1998"/>
      <c r="L1998"/>
      <c r="M1998"/>
      <c r="N1998"/>
      <c r="O1998"/>
      <c r="P1998"/>
    </row>
    <row r="1999" spans="2:16">
      <c r="B1999"/>
      <c r="C1999"/>
      <c r="D1999"/>
      <c r="E1999"/>
      <c r="F1999"/>
      <c r="G1999"/>
      <c r="H1999"/>
      <c r="I1999"/>
      <c r="J1999"/>
      <c r="K1999"/>
      <c r="L1999"/>
      <c r="M1999"/>
      <c r="N1999"/>
      <c r="O1999"/>
      <c r="P1999"/>
    </row>
    <row r="2000" spans="2:16">
      <c r="B2000"/>
      <c r="C2000"/>
      <c r="D2000"/>
      <c r="E2000"/>
      <c r="F2000"/>
      <c r="G2000"/>
      <c r="H2000"/>
      <c r="I2000"/>
      <c r="J2000"/>
      <c r="K2000"/>
      <c r="L2000"/>
      <c r="M2000"/>
      <c r="N2000"/>
      <c r="O2000"/>
      <c r="P2000"/>
    </row>
    <row r="2001" spans="2:16">
      <c r="B2001"/>
      <c r="C2001"/>
      <c r="D2001"/>
      <c r="E2001"/>
      <c r="F2001"/>
      <c r="G2001"/>
      <c r="H2001"/>
      <c r="I2001"/>
      <c r="J2001"/>
      <c r="K2001"/>
      <c r="L2001"/>
      <c r="M2001"/>
      <c r="N2001"/>
      <c r="O2001"/>
      <c r="P2001"/>
    </row>
    <row r="2002" spans="2:16">
      <c r="B2002"/>
      <c r="C2002"/>
      <c r="D2002"/>
      <c r="E2002"/>
      <c r="F2002"/>
      <c r="G2002"/>
      <c r="H2002"/>
      <c r="I2002"/>
      <c r="J2002"/>
      <c r="K2002"/>
      <c r="L2002"/>
      <c r="M2002"/>
      <c r="N2002"/>
      <c r="O2002"/>
      <c r="P2002"/>
    </row>
    <row r="2003" spans="2:16">
      <c r="B2003"/>
      <c r="C2003"/>
      <c r="D2003"/>
      <c r="E2003"/>
      <c r="F2003"/>
      <c r="G2003"/>
      <c r="H2003"/>
      <c r="I2003"/>
      <c r="J2003"/>
      <c r="K2003"/>
      <c r="L2003"/>
      <c r="M2003"/>
      <c r="N2003"/>
      <c r="O2003"/>
      <c r="P2003"/>
    </row>
    <row r="2004" spans="2:16">
      <c r="B2004"/>
      <c r="C2004"/>
      <c r="D2004"/>
      <c r="E2004"/>
      <c r="F2004"/>
      <c r="G2004"/>
      <c r="H2004"/>
      <c r="I2004"/>
      <c r="J2004"/>
      <c r="K2004"/>
      <c r="L2004"/>
      <c r="M2004"/>
      <c r="N2004"/>
      <c r="O2004"/>
      <c r="P2004"/>
    </row>
    <row r="2005" spans="2:16">
      <c r="B2005"/>
      <c r="C2005"/>
      <c r="D2005"/>
      <c r="E2005"/>
      <c r="F2005"/>
      <c r="G2005"/>
      <c r="H2005"/>
      <c r="I2005"/>
      <c r="J2005"/>
      <c r="K2005"/>
      <c r="L2005"/>
      <c r="M2005"/>
      <c r="N2005"/>
      <c r="O2005"/>
      <c r="P2005"/>
    </row>
    <row r="2006" spans="2:16">
      <c r="B2006"/>
      <c r="C2006"/>
      <c r="D2006"/>
      <c r="E2006"/>
      <c r="F2006"/>
      <c r="G2006"/>
      <c r="H2006"/>
      <c r="I2006"/>
      <c r="J2006"/>
      <c r="K2006"/>
      <c r="L2006"/>
      <c r="M2006"/>
      <c r="N2006"/>
      <c r="O2006"/>
      <c r="P2006"/>
    </row>
    <row r="2007" spans="2:16">
      <c r="B2007"/>
      <c r="C2007"/>
      <c r="D2007"/>
      <c r="E2007"/>
      <c r="F2007"/>
      <c r="G2007"/>
      <c r="H2007"/>
      <c r="I2007"/>
      <c r="J2007"/>
      <c r="K2007"/>
      <c r="L2007"/>
      <c r="M2007"/>
      <c r="N2007"/>
      <c r="O2007"/>
      <c r="P2007"/>
    </row>
    <row r="2008" spans="2:16">
      <c r="B2008"/>
      <c r="C2008"/>
      <c r="D2008"/>
      <c r="E2008"/>
      <c r="F2008"/>
      <c r="G2008"/>
      <c r="H2008"/>
      <c r="I2008"/>
      <c r="J2008"/>
      <c r="K2008"/>
      <c r="L2008"/>
      <c r="M2008"/>
      <c r="N2008"/>
      <c r="O2008"/>
      <c r="P2008"/>
    </row>
    <row r="2009" spans="2:16">
      <c r="B2009"/>
      <c r="C2009"/>
      <c r="D2009"/>
      <c r="E2009"/>
      <c r="F2009"/>
      <c r="G2009"/>
      <c r="H2009"/>
      <c r="I2009"/>
      <c r="J2009"/>
      <c r="K2009"/>
      <c r="L2009"/>
      <c r="M2009"/>
      <c r="N2009"/>
      <c r="O2009"/>
      <c r="P2009"/>
    </row>
    <row r="2010" spans="2:16">
      <c r="B2010"/>
      <c r="C2010"/>
      <c r="D2010"/>
      <c r="E2010"/>
      <c r="F2010"/>
      <c r="G2010"/>
      <c r="H2010"/>
      <c r="I2010"/>
      <c r="J2010"/>
      <c r="K2010"/>
      <c r="L2010"/>
      <c r="M2010"/>
      <c r="N2010"/>
      <c r="O2010"/>
      <c r="P2010"/>
    </row>
    <row r="2011" spans="2:16">
      <c r="B2011"/>
      <c r="C2011"/>
      <c r="D2011"/>
      <c r="E2011"/>
      <c r="F2011"/>
      <c r="G2011"/>
      <c r="H2011"/>
      <c r="I2011"/>
      <c r="J2011"/>
      <c r="K2011"/>
      <c r="L2011"/>
      <c r="M2011"/>
      <c r="N2011"/>
      <c r="O2011"/>
      <c r="P2011"/>
    </row>
    <row r="2012" spans="2:16">
      <c r="B2012"/>
      <c r="C2012"/>
      <c r="D2012"/>
      <c r="E2012"/>
      <c r="F2012"/>
      <c r="G2012"/>
      <c r="H2012"/>
      <c r="I2012"/>
      <c r="J2012"/>
      <c r="K2012"/>
      <c r="L2012"/>
      <c r="M2012"/>
      <c r="N2012"/>
      <c r="O2012"/>
      <c r="P2012"/>
    </row>
    <row r="2013" spans="2:16">
      <c r="B2013"/>
      <c r="C2013"/>
      <c r="D2013"/>
      <c r="E2013"/>
      <c r="F2013"/>
      <c r="G2013"/>
      <c r="H2013"/>
      <c r="I2013"/>
      <c r="J2013"/>
      <c r="K2013"/>
      <c r="L2013"/>
      <c r="M2013"/>
      <c r="N2013"/>
      <c r="O2013"/>
      <c r="P2013"/>
    </row>
    <row r="2014" spans="2:16">
      <c r="B2014"/>
      <c r="C2014"/>
      <c r="D2014"/>
      <c r="E2014"/>
      <c r="F2014"/>
      <c r="G2014"/>
      <c r="H2014"/>
      <c r="I2014"/>
      <c r="J2014"/>
      <c r="K2014"/>
      <c r="L2014"/>
      <c r="M2014"/>
      <c r="N2014"/>
      <c r="O2014"/>
      <c r="P2014"/>
    </row>
    <row r="2015" spans="2:16">
      <c r="B2015"/>
      <c r="C2015"/>
      <c r="D2015"/>
      <c r="E2015"/>
      <c r="F2015"/>
      <c r="G2015"/>
      <c r="H2015"/>
      <c r="I2015"/>
      <c r="J2015"/>
      <c r="K2015"/>
      <c r="L2015"/>
      <c r="M2015"/>
      <c r="N2015"/>
      <c r="O2015"/>
      <c r="P2015"/>
    </row>
    <row r="2016" spans="2:16">
      <c r="B2016"/>
      <c r="C2016"/>
      <c r="D2016"/>
      <c r="E2016"/>
      <c r="F2016"/>
      <c r="G2016"/>
      <c r="H2016"/>
      <c r="I2016"/>
      <c r="J2016"/>
      <c r="K2016"/>
      <c r="L2016"/>
      <c r="M2016"/>
      <c r="N2016"/>
      <c r="O2016"/>
      <c r="P2016"/>
    </row>
    <row r="2017" spans="2:16">
      <c r="B2017"/>
      <c r="C2017"/>
      <c r="D2017"/>
      <c r="E2017"/>
      <c r="F2017"/>
      <c r="G2017"/>
      <c r="H2017"/>
      <c r="I2017"/>
      <c r="J2017"/>
      <c r="K2017"/>
      <c r="L2017"/>
      <c r="M2017"/>
      <c r="N2017"/>
      <c r="O2017"/>
      <c r="P2017"/>
    </row>
    <row r="2018" spans="2:16">
      <c r="B2018"/>
      <c r="C2018"/>
      <c r="D2018"/>
      <c r="E2018"/>
      <c r="F2018"/>
      <c r="G2018"/>
      <c r="H2018"/>
      <c r="I2018"/>
      <c r="J2018"/>
      <c r="K2018"/>
      <c r="L2018"/>
      <c r="M2018"/>
      <c r="N2018"/>
      <c r="O2018"/>
      <c r="P2018"/>
    </row>
    <row r="2019" spans="2:16">
      <c r="B2019"/>
      <c r="C2019"/>
      <c r="D2019"/>
      <c r="E2019"/>
      <c r="F2019"/>
      <c r="G2019"/>
      <c r="H2019"/>
      <c r="I2019"/>
      <c r="J2019"/>
      <c r="K2019"/>
      <c r="L2019"/>
      <c r="M2019"/>
      <c r="N2019"/>
      <c r="O2019"/>
      <c r="P2019"/>
    </row>
    <row r="2020" spans="2:16">
      <c r="B2020"/>
      <c r="C2020"/>
      <c r="D2020"/>
      <c r="E2020"/>
      <c r="F2020"/>
      <c r="G2020"/>
      <c r="H2020"/>
      <c r="I2020"/>
      <c r="J2020"/>
      <c r="K2020"/>
      <c r="L2020"/>
      <c r="M2020"/>
      <c r="N2020"/>
      <c r="O2020"/>
      <c r="P2020"/>
    </row>
    <row r="2021" spans="2:16">
      <c r="B2021"/>
      <c r="C2021"/>
      <c r="D2021"/>
      <c r="E2021"/>
      <c r="F2021"/>
      <c r="G2021"/>
      <c r="H2021"/>
      <c r="I2021"/>
      <c r="J2021"/>
      <c r="K2021"/>
      <c r="L2021"/>
      <c r="M2021"/>
      <c r="N2021"/>
      <c r="O2021"/>
      <c r="P2021"/>
    </row>
    <row r="2022" spans="2:16">
      <c r="B2022"/>
      <c r="C2022"/>
      <c r="D2022"/>
      <c r="E2022"/>
      <c r="F2022"/>
      <c r="G2022"/>
      <c r="H2022"/>
      <c r="I2022"/>
      <c r="J2022"/>
      <c r="K2022"/>
      <c r="L2022"/>
      <c r="M2022"/>
      <c r="N2022"/>
      <c r="O2022"/>
      <c r="P2022"/>
    </row>
    <row r="2023" spans="2:16">
      <c r="B2023"/>
      <c r="C2023"/>
      <c r="D2023"/>
      <c r="E2023"/>
      <c r="F2023"/>
      <c r="G2023"/>
      <c r="H2023"/>
      <c r="I2023"/>
      <c r="J2023"/>
      <c r="K2023"/>
      <c r="L2023"/>
      <c r="M2023"/>
      <c r="N2023"/>
      <c r="O2023"/>
      <c r="P2023"/>
    </row>
    <row r="2024" spans="2:16">
      <c r="B2024"/>
      <c r="C2024"/>
      <c r="D2024"/>
      <c r="E2024"/>
      <c r="F2024"/>
      <c r="G2024"/>
      <c r="H2024"/>
      <c r="I2024"/>
      <c r="J2024"/>
      <c r="K2024"/>
      <c r="L2024"/>
      <c r="M2024"/>
      <c r="N2024"/>
      <c r="O2024"/>
      <c r="P2024"/>
    </row>
    <row r="2025" spans="2:16">
      <c r="B2025"/>
      <c r="C2025"/>
      <c r="D2025"/>
      <c r="E2025"/>
      <c r="F2025"/>
      <c r="G2025"/>
      <c r="H2025"/>
      <c r="I2025"/>
      <c r="J2025"/>
      <c r="K2025"/>
      <c r="L2025"/>
      <c r="M2025"/>
      <c r="N2025"/>
      <c r="O2025"/>
      <c r="P2025"/>
    </row>
    <row r="2026" spans="2:16">
      <c r="B2026"/>
      <c r="C2026"/>
      <c r="D2026"/>
      <c r="E2026"/>
      <c r="F2026"/>
      <c r="G2026"/>
      <c r="H2026"/>
      <c r="I2026"/>
      <c r="J2026"/>
      <c r="K2026"/>
      <c r="L2026"/>
      <c r="M2026"/>
      <c r="N2026"/>
      <c r="O2026"/>
      <c r="P2026"/>
    </row>
    <row r="2027" spans="2:16">
      <c r="B2027"/>
      <c r="C2027"/>
      <c r="D2027"/>
      <c r="E2027"/>
      <c r="F2027"/>
      <c r="G2027"/>
      <c r="H2027"/>
      <c r="I2027"/>
      <c r="J2027"/>
      <c r="K2027"/>
      <c r="L2027"/>
      <c r="M2027"/>
      <c r="N2027"/>
      <c r="O2027"/>
      <c r="P2027"/>
    </row>
    <row r="2028" spans="2:16">
      <c r="B2028"/>
      <c r="C2028"/>
      <c r="D2028"/>
      <c r="E2028"/>
      <c r="F2028"/>
      <c r="G2028"/>
      <c r="H2028"/>
      <c r="I2028"/>
      <c r="J2028"/>
      <c r="K2028"/>
      <c r="L2028"/>
      <c r="M2028"/>
      <c r="N2028"/>
      <c r="O2028"/>
      <c r="P2028"/>
    </row>
    <row r="2029" spans="2:16">
      <c r="B2029"/>
      <c r="C2029"/>
      <c r="D2029"/>
      <c r="E2029"/>
      <c r="F2029"/>
      <c r="G2029"/>
      <c r="H2029"/>
      <c r="I2029"/>
      <c r="J2029"/>
      <c r="K2029"/>
      <c r="L2029"/>
      <c r="M2029"/>
      <c r="N2029"/>
      <c r="O2029"/>
      <c r="P2029"/>
    </row>
    <row r="2030" spans="2:16">
      <c r="B2030"/>
      <c r="C2030"/>
      <c r="D2030"/>
      <c r="E2030"/>
      <c r="F2030"/>
      <c r="G2030"/>
      <c r="H2030"/>
      <c r="I2030"/>
      <c r="J2030"/>
      <c r="K2030"/>
      <c r="L2030"/>
      <c r="M2030"/>
      <c r="N2030"/>
      <c r="O2030"/>
      <c r="P2030"/>
    </row>
    <row r="2031" spans="2:16">
      <c r="B2031"/>
      <c r="C2031"/>
      <c r="D2031"/>
      <c r="E2031"/>
      <c r="F2031"/>
      <c r="G2031"/>
      <c r="H2031"/>
      <c r="I2031"/>
      <c r="J2031"/>
      <c r="K2031"/>
      <c r="L2031"/>
      <c r="M2031"/>
      <c r="N2031"/>
      <c r="O2031"/>
      <c r="P2031"/>
    </row>
    <row r="2032" spans="2:16">
      <c r="B2032"/>
      <c r="C2032"/>
      <c r="D2032"/>
      <c r="E2032"/>
      <c r="F2032"/>
      <c r="G2032"/>
      <c r="H2032"/>
      <c r="I2032"/>
      <c r="J2032"/>
      <c r="K2032"/>
      <c r="L2032"/>
      <c r="M2032"/>
      <c r="N2032"/>
      <c r="O2032"/>
      <c r="P2032"/>
    </row>
    <row r="2033" spans="2:16">
      <c r="B2033"/>
      <c r="C2033"/>
      <c r="D2033"/>
      <c r="E2033"/>
      <c r="F2033"/>
      <c r="G2033"/>
      <c r="H2033"/>
      <c r="I2033"/>
      <c r="J2033"/>
      <c r="K2033"/>
      <c r="L2033"/>
      <c r="M2033"/>
      <c r="N2033"/>
      <c r="O2033"/>
      <c r="P2033"/>
    </row>
    <row r="2034" spans="2:16">
      <c r="B2034"/>
      <c r="C2034"/>
      <c r="D2034"/>
      <c r="E2034"/>
      <c r="F2034"/>
      <c r="G2034"/>
      <c r="H2034"/>
      <c r="I2034"/>
      <c r="J2034"/>
      <c r="K2034"/>
      <c r="L2034"/>
      <c r="M2034"/>
      <c r="N2034"/>
      <c r="O2034"/>
      <c r="P2034"/>
    </row>
    <row r="2035" spans="2:16">
      <c r="B2035"/>
      <c r="C2035"/>
      <c r="D2035"/>
      <c r="E2035"/>
      <c r="F2035"/>
      <c r="G2035"/>
      <c r="H2035"/>
      <c r="I2035"/>
      <c r="J2035"/>
      <c r="K2035"/>
      <c r="L2035"/>
      <c r="M2035"/>
      <c r="N2035"/>
      <c r="O2035"/>
      <c r="P2035"/>
    </row>
    <row r="2036" spans="2:16">
      <c r="B2036"/>
      <c r="C2036"/>
      <c r="D2036"/>
      <c r="E2036"/>
      <c r="F2036"/>
      <c r="G2036"/>
      <c r="H2036"/>
      <c r="I2036"/>
      <c r="J2036"/>
      <c r="K2036"/>
      <c r="L2036"/>
      <c r="M2036"/>
      <c r="N2036"/>
      <c r="O2036"/>
      <c r="P2036"/>
    </row>
    <row r="2037" spans="2:16">
      <c r="B2037"/>
      <c r="C2037"/>
      <c r="D2037"/>
      <c r="E2037"/>
      <c r="F2037"/>
      <c r="G2037"/>
      <c r="H2037"/>
      <c r="I2037"/>
      <c r="J2037"/>
      <c r="K2037"/>
      <c r="L2037"/>
      <c r="M2037"/>
      <c r="N2037"/>
      <c r="O2037"/>
      <c r="P2037"/>
    </row>
    <row r="2038" spans="2:16">
      <c r="B2038"/>
      <c r="C2038"/>
      <c r="D2038"/>
      <c r="E2038"/>
      <c r="F2038"/>
      <c r="G2038"/>
      <c r="H2038"/>
      <c r="I2038"/>
      <c r="J2038"/>
      <c r="K2038"/>
      <c r="L2038"/>
      <c r="M2038"/>
      <c r="N2038"/>
      <c r="O2038"/>
      <c r="P2038"/>
    </row>
    <row r="2039" spans="2:16">
      <c r="B2039"/>
      <c r="C2039"/>
      <c r="D2039"/>
      <c r="E2039"/>
      <c r="F2039"/>
      <c r="G2039"/>
      <c r="H2039"/>
      <c r="I2039"/>
      <c r="J2039"/>
      <c r="K2039"/>
      <c r="L2039"/>
      <c r="M2039"/>
      <c r="N2039"/>
      <c r="O2039"/>
      <c r="P2039"/>
    </row>
    <row r="2040" spans="2:16">
      <c r="B2040"/>
      <c r="C2040"/>
      <c r="D2040"/>
      <c r="E2040"/>
      <c r="F2040"/>
      <c r="G2040"/>
      <c r="H2040"/>
      <c r="I2040"/>
      <c r="J2040"/>
      <c r="K2040"/>
      <c r="L2040"/>
      <c r="M2040"/>
      <c r="N2040"/>
      <c r="O2040"/>
      <c r="P2040"/>
    </row>
    <row r="2041" spans="2:16">
      <c r="B2041"/>
      <c r="C2041"/>
      <c r="D2041"/>
      <c r="E2041"/>
      <c r="F2041"/>
      <c r="G2041"/>
      <c r="H2041"/>
      <c r="I2041"/>
      <c r="J2041"/>
      <c r="K2041"/>
      <c r="L2041"/>
      <c r="M2041"/>
      <c r="N2041"/>
      <c r="O2041"/>
      <c r="P2041"/>
    </row>
    <row r="2042" spans="2:16">
      <c r="B2042"/>
      <c r="C2042"/>
      <c r="D2042"/>
      <c r="E2042"/>
      <c r="F2042"/>
      <c r="G2042"/>
      <c r="H2042"/>
      <c r="I2042"/>
      <c r="J2042"/>
      <c r="K2042"/>
      <c r="L2042"/>
      <c r="M2042"/>
      <c r="N2042"/>
      <c r="O2042"/>
      <c r="P2042"/>
    </row>
    <row r="2043" spans="2:16">
      <c r="B2043"/>
      <c r="C2043"/>
      <c r="D2043"/>
      <c r="E2043"/>
      <c r="F2043"/>
      <c r="G2043"/>
      <c r="H2043"/>
      <c r="I2043"/>
      <c r="J2043"/>
      <c r="K2043"/>
      <c r="L2043"/>
      <c r="M2043"/>
      <c r="N2043"/>
      <c r="O2043"/>
      <c r="P2043"/>
    </row>
    <row r="2044" spans="2:16">
      <c r="B2044"/>
      <c r="C2044"/>
      <c r="D2044"/>
      <c r="E2044"/>
      <c r="F2044"/>
      <c r="G2044"/>
      <c r="H2044"/>
      <c r="I2044"/>
      <c r="J2044"/>
      <c r="K2044"/>
      <c r="L2044"/>
      <c r="M2044"/>
      <c r="N2044"/>
      <c r="O2044"/>
      <c r="P2044"/>
    </row>
    <row r="2045" spans="2:16">
      <c r="B2045"/>
      <c r="C2045"/>
      <c r="D2045"/>
      <c r="E2045"/>
      <c r="F2045"/>
      <c r="G2045"/>
      <c r="H2045"/>
      <c r="I2045"/>
      <c r="J2045"/>
      <c r="K2045"/>
      <c r="L2045"/>
      <c r="M2045"/>
      <c r="N2045"/>
      <c r="O2045"/>
      <c r="P2045"/>
    </row>
    <row r="2046" spans="2:16">
      <c r="B2046"/>
      <c r="C2046"/>
      <c r="D2046"/>
      <c r="E2046"/>
      <c r="F2046"/>
      <c r="G2046"/>
      <c r="H2046"/>
      <c r="I2046"/>
      <c r="J2046"/>
      <c r="K2046"/>
      <c r="L2046"/>
      <c r="M2046"/>
      <c r="N2046"/>
      <c r="O2046"/>
      <c r="P2046"/>
    </row>
    <row r="2047" spans="2:16">
      <c r="B2047"/>
      <c r="C2047"/>
      <c r="D2047"/>
      <c r="E2047"/>
      <c r="F2047"/>
      <c r="G2047"/>
      <c r="H2047"/>
      <c r="I2047"/>
      <c r="J2047"/>
      <c r="K2047"/>
      <c r="L2047"/>
      <c r="M2047"/>
      <c r="N2047"/>
      <c r="O2047"/>
      <c r="P2047"/>
    </row>
    <row r="2048" spans="2:16">
      <c r="B2048"/>
      <c r="C2048"/>
      <c r="D2048"/>
      <c r="E2048"/>
      <c r="F2048"/>
      <c r="G2048"/>
      <c r="H2048"/>
      <c r="I2048"/>
      <c r="J2048"/>
      <c r="K2048"/>
      <c r="L2048"/>
      <c r="M2048"/>
      <c r="N2048"/>
      <c r="O2048"/>
      <c r="P2048"/>
    </row>
    <row r="2049" spans="2:16">
      <c r="B2049"/>
      <c r="C2049"/>
      <c r="D2049"/>
      <c r="E2049"/>
      <c r="F2049"/>
      <c r="G2049"/>
      <c r="H2049"/>
      <c r="I2049"/>
      <c r="J2049"/>
      <c r="K2049"/>
      <c r="L2049"/>
      <c r="M2049"/>
      <c r="N2049"/>
      <c r="O2049"/>
      <c r="P2049"/>
    </row>
    <row r="2050" spans="2:16">
      <c r="B2050"/>
      <c r="C2050"/>
      <c r="D2050"/>
      <c r="E2050"/>
      <c r="F2050"/>
      <c r="G2050"/>
      <c r="H2050"/>
      <c r="I2050"/>
      <c r="J2050"/>
      <c r="K2050"/>
      <c r="L2050"/>
      <c r="M2050"/>
      <c r="N2050"/>
      <c r="O2050"/>
      <c r="P2050"/>
    </row>
    <row r="2051" spans="2:16">
      <c r="B2051"/>
      <c r="C2051"/>
      <c r="D2051"/>
      <c r="E2051"/>
      <c r="F2051"/>
      <c r="G2051"/>
      <c r="H2051"/>
      <c r="I2051"/>
      <c r="J2051"/>
      <c r="K2051"/>
      <c r="L2051"/>
      <c r="M2051"/>
      <c r="N2051"/>
      <c r="O2051"/>
      <c r="P2051"/>
    </row>
    <row r="2052" spans="2:16">
      <c r="B2052"/>
      <c r="C2052"/>
      <c r="D2052"/>
      <c r="E2052"/>
      <c r="F2052"/>
      <c r="G2052"/>
      <c r="H2052"/>
      <c r="I2052"/>
      <c r="J2052"/>
      <c r="K2052"/>
      <c r="L2052"/>
      <c r="M2052"/>
      <c r="N2052"/>
      <c r="O2052"/>
      <c r="P2052"/>
    </row>
    <row r="2053" spans="2:16">
      <c r="B2053"/>
      <c r="C2053"/>
      <c r="D2053"/>
      <c r="E2053"/>
      <c r="F2053"/>
      <c r="G2053"/>
      <c r="H2053"/>
      <c r="I2053"/>
      <c r="J2053"/>
      <c r="K2053"/>
      <c r="L2053"/>
      <c r="M2053"/>
      <c r="N2053"/>
      <c r="O2053"/>
      <c r="P2053"/>
    </row>
    <row r="2054" spans="2:16">
      <c r="B2054"/>
      <c r="C2054"/>
      <c r="D2054"/>
      <c r="E2054"/>
      <c r="F2054"/>
      <c r="G2054"/>
      <c r="H2054"/>
      <c r="I2054"/>
      <c r="J2054"/>
      <c r="K2054"/>
      <c r="L2054"/>
      <c r="M2054"/>
      <c r="N2054"/>
      <c r="O2054"/>
      <c r="P2054"/>
    </row>
    <row r="2055" spans="2:16">
      <c r="B2055"/>
      <c r="C2055"/>
      <c r="D2055"/>
      <c r="E2055"/>
      <c r="F2055"/>
      <c r="G2055"/>
      <c r="H2055"/>
      <c r="I2055"/>
      <c r="J2055"/>
      <c r="K2055"/>
      <c r="L2055"/>
      <c r="M2055"/>
      <c r="N2055"/>
      <c r="O2055"/>
      <c r="P2055"/>
    </row>
    <row r="2056" spans="2:16">
      <c r="B2056"/>
      <c r="C2056"/>
      <c r="D2056"/>
      <c r="E2056"/>
      <c r="F2056"/>
      <c r="G2056"/>
      <c r="H2056"/>
      <c r="I2056"/>
      <c r="J2056"/>
      <c r="K2056"/>
      <c r="L2056"/>
      <c r="M2056"/>
      <c r="N2056"/>
      <c r="O2056"/>
      <c r="P2056"/>
    </row>
    <row r="2057" spans="2:16">
      <c r="B2057"/>
      <c r="C2057"/>
      <c r="D2057"/>
      <c r="E2057"/>
      <c r="F2057"/>
      <c r="G2057"/>
      <c r="H2057"/>
      <c r="I2057"/>
      <c r="J2057"/>
      <c r="K2057"/>
      <c r="L2057"/>
      <c r="M2057"/>
      <c r="N2057"/>
      <c r="O2057"/>
      <c r="P2057"/>
    </row>
    <row r="2058" spans="2:16">
      <c r="B2058"/>
      <c r="C2058"/>
      <c r="D2058"/>
      <c r="E2058"/>
      <c r="F2058"/>
      <c r="G2058"/>
      <c r="H2058"/>
      <c r="I2058"/>
      <c r="J2058"/>
      <c r="K2058"/>
      <c r="L2058"/>
      <c r="M2058"/>
      <c r="N2058"/>
      <c r="O2058"/>
      <c r="P2058"/>
    </row>
    <row r="2059" spans="2:16">
      <c r="B2059"/>
      <c r="C2059"/>
      <c r="D2059"/>
      <c r="E2059"/>
      <c r="F2059"/>
      <c r="G2059"/>
      <c r="H2059"/>
      <c r="I2059"/>
      <c r="J2059"/>
      <c r="K2059"/>
      <c r="L2059"/>
      <c r="M2059"/>
      <c r="N2059"/>
      <c r="O2059"/>
      <c r="P2059"/>
    </row>
    <row r="2060" spans="2:16">
      <c r="B2060"/>
      <c r="C2060"/>
      <c r="D2060"/>
      <c r="E2060"/>
      <c r="F2060"/>
      <c r="G2060"/>
      <c r="H2060"/>
      <c r="I2060"/>
      <c r="J2060"/>
      <c r="K2060"/>
      <c r="L2060"/>
      <c r="M2060"/>
      <c r="N2060"/>
      <c r="O2060"/>
      <c r="P2060"/>
    </row>
    <row r="2061" spans="2:16">
      <c r="B2061"/>
      <c r="C2061"/>
      <c r="D2061"/>
      <c r="E2061"/>
      <c r="F2061"/>
      <c r="G2061"/>
      <c r="H2061"/>
      <c r="I2061"/>
      <c r="J2061"/>
      <c r="K2061"/>
      <c r="L2061"/>
      <c r="M2061"/>
      <c r="N2061"/>
      <c r="O2061"/>
      <c r="P2061"/>
    </row>
    <row r="2062" spans="2:16">
      <c r="B2062"/>
      <c r="C2062"/>
      <c r="D2062"/>
      <c r="E2062"/>
      <c r="F2062"/>
      <c r="G2062"/>
      <c r="H2062"/>
      <c r="I2062"/>
      <c r="J2062"/>
      <c r="K2062"/>
      <c r="L2062"/>
      <c r="M2062"/>
      <c r="N2062"/>
      <c r="O2062"/>
      <c r="P2062"/>
    </row>
    <row r="2063" spans="2:16">
      <c r="B2063"/>
      <c r="C2063"/>
      <c r="D2063"/>
      <c r="E2063"/>
      <c r="F2063"/>
      <c r="G2063"/>
      <c r="H2063"/>
      <c r="I2063"/>
      <c r="J2063"/>
      <c r="K2063"/>
      <c r="L2063"/>
      <c r="M2063"/>
      <c r="N2063"/>
      <c r="O2063"/>
      <c r="P2063"/>
    </row>
    <row r="2064" spans="2:16">
      <c r="B2064"/>
      <c r="C2064"/>
      <c r="D2064"/>
      <c r="E2064"/>
      <c r="F2064"/>
      <c r="G2064"/>
      <c r="H2064"/>
      <c r="I2064"/>
      <c r="J2064"/>
      <c r="K2064"/>
      <c r="L2064"/>
      <c r="M2064"/>
      <c r="N2064"/>
      <c r="O2064"/>
      <c r="P2064"/>
    </row>
    <row r="2065" spans="2:16">
      <c r="B2065"/>
      <c r="C2065"/>
      <c r="D2065"/>
      <c r="E2065"/>
      <c r="F2065"/>
      <c r="G2065"/>
      <c r="H2065"/>
      <c r="I2065"/>
      <c r="J2065"/>
      <c r="K2065"/>
      <c r="L2065"/>
      <c r="M2065"/>
      <c r="N2065"/>
      <c r="O2065"/>
      <c r="P2065"/>
    </row>
    <row r="2066" spans="2:16">
      <c r="B2066"/>
      <c r="C2066"/>
      <c r="D2066"/>
      <c r="E2066"/>
      <c r="F2066"/>
      <c r="G2066"/>
      <c r="H2066"/>
      <c r="I2066"/>
      <c r="J2066"/>
      <c r="K2066"/>
      <c r="L2066"/>
      <c r="M2066"/>
      <c r="N2066"/>
      <c r="O2066"/>
      <c r="P2066"/>
    </row>
    <row r="2067" spans="2:16">
      <c r="B2067"/>
      <c r="C2067"/>
      <c r="D2067"/>
      <c r="E2067"/>
      <c r="F2067"/>
      <c r="G2067"/>
      <c r="H2067"/>
      <c r="I2067"/>
      <c r="J2067"/>
      <c r="K2067"/>
      <c r="L2067"/>
      <c r="M2067"/>
      <c r="N2067"/>
      <c r="O2067"/>
      <c r="P2067"/>
    </row>
    <row r="2068" spans="2:16">
      <c r="B2068"/>
      <c r="C2068"/>
      <c r="D2068"/>
      <c r="E2068"/>
      <c r="F2068"/>
      <c r="G2068"/>
      <c r="H2068"/>
      <c r="I2068"/>
      <c r="J2068"/>
      <c r="K2068"/>
      <c r="L2068"/>
      <c r="M2068"/>
      <c r="N2068"/>
      <c r="O2068"/>
      <c r="P2068"/>
    </row>
    <row r="2069" spans="2:16">
      <c r="B2069"/>
      <c r="C2069"/>
      <c r="D2069"/>
      <c r="E2069"/>
      <c r="F2069"/>
      <c r="G2069"/>
      <c r="H2069"/>
      <c r="I2069"/>
      <c r="J2069"/>
      <c r="K2069"/>
      <c r="L2069"/>
      <c r="M2069"/>
      <c r="N2069"/>
      <c r="O2069"/>
      <c r="P2069"/>
    </row>
    <row r="2070" spans="2:16">
      <c r="B2070"/>
      <c r="C2070"/>
      <c r="D2070"/>
      <c r="E2070"/>
      <c r="F2070"/>
      <c r="G2070"/>
      <c r="H2070"/>
      <c r="I2070"/>
      <c r="J2070"/>
      <c r="K2070"/>
      <c r="L2070"/>
      <c r="M2070"/>
      <c r="N2070"/>
      <c r="O2070"/>
      <c r="P2070"/>
    </row>
    <row r="2071" spans="2:16">
      <c r="B2071"/>
      <c r="C2071"/>
      <c r="D2071"/>
      <c r="E2071"/>
      <c r="F2071"/>
      <c r="G2071"/>
      <c r="H2071"/>
      <c r="I2071"/>
      <c r="J2071"/>
      <c r="K2071"/>
      <c r="L2071"/>
      <c r="M2071"/>
      <c r="N2071"/>
      <c r="O2071"/>
      <c r="P2071"/>
    </row>
    <row r="2072" spans="2:16">
      <c r="B2072"/>
      <c r="C2072"/>
      <c r="D2072"/>
      <c r="E2072"/>
      <c r="F2072"/>
      <c r="G2072"/>
      <c r="H2072"/>
      <c r="I2072"/>
      <c r="J2072"/>
      <c r="K2072"/>
      <c r="L2072"/>
      <c r="M2072"/>
      <c r="N2072"/>
      <c r="O2072"/>
      <c r="P2072"/>
    </row>
    <row r="2073" spans="2:16">
      <c r="B2073"/>
      <c r="C2073"/>
      <c r="D2073"/>
      <c r="E2073"/>
      <c r="F2073"/>
      <c r="G2073"/>
      <c r="H2073"/>
      <c r="I2073"/>
      <c r="J2073"/>
      <c r="K2073"/>
      <c r="L2073"/>
      <c r="M2073"/>
      <c r="N2073"/>
      <c r="O2073"/>
      <c r="P2073"/>
    </row>
    <row r="2074" spans="2:16">
      <c r="B2074"/>
      <c r="C2074"/>
      <c r="D2074"/>
      <c r="E2074"/>
      <c r="F2074"/>
      <c r="G2074"/>
      <c r="H2074"/>
      <c r="I2074"/>
      <c r="J2074"/>
      <c r="K2074"/>
      <c r="L2074"/>
      <c r="M2074"/>
      <c r="N2074"/>
      <c r="O2074"/>
      <c r="P2074"/>
    </row>
    <row r="2075" spans="2:16">
      <c r="B2075"/>
      <c r="C2075"/>
      <c r="D2075"/>
      <c r="E2075"/>
      <c r="F2075"/>
      <c r="G2075"/>
      <c r="H2075"/>
      <c r="I2075"/>
      <c r="J2075"/>
      <c r="K2075"/>
      <c r="L2075"/>
      <c r="M2075"/>
      <c r="N2075"/>
      <c r="O2075"/>
      <c r="P2075"/>
    </row>
    <row r="2076" spans="2:16">
      <c r="B2076"/>
      <c r="C2076"/>
      <c r="D2076"/>
      <c r="E2076"/>
      <c r="F2076"/>
      <c r="G2076"/>
      <c r="H2076"/>
      <c r="I2076"/>
      <c r="J2076"/>
      <c r="K2076"/>
      <c r="L2076"/>
      <c r="M2076"/>
      <c r="N2076"/>
      <c r="O2076"/>
      <c r="P2076"/>
    </row>
    <row r="2077" spans="2:16">
      <c r="B2077"/>
      <c r="C2077"/>
      <c r="D2077"/>
      <c r="E2077"/>
      <c r="F2077"/>
      <c r="G2077"/>
      <c r="H2077"/>
      <c r="I2077"/>
      <c r="J2077"/>
      <c r="K2077"/>
      <c r="L2077"/>
      <c r="M2077"/>
      <c r="N2077"/>
      <c r="O2077"/>
      <c r="P2077"/>
    </row>
    <row r="2078" spans="2:16">
      <c r="B2078"/>
      <c r="C2078"/>
      <c r="D2078"/>
      <c r="E2078"/>
      <c r="F2078"/>
      <c r="G2078"/>
      <c r="H2078"/>
      <c r="I2078"/>
      <c r="J2078"/>
      <c r="K2078"/>
      <c r="L2078"/>
      <c r="M2078"/>
      <c r="N2078"/>
      <c r="O2078"/>
      <c r="P2078"/>
    </row>
    <row r="2079" spans="2:16">
      <c r="B2079"/>
      <c r="C2079"/>
      <c r="D2079"/>
      <c r="E2079"/>
      <c r="F2079"/>
      <c r="G2079"/>
      <c r="H2079"/>
      <c r="I2079"/>
      <c r="J2079"/>
      <c r="K2079"/>
      <c r="L2079"/>
      <c r="M2079"/>
      <c r="N2079"/>
      <c r="O2079"/>
      <c r="P2079"/>
    </row>
    <row r="2080" spans="2:16">
      <c r="B2080"/>
      <c r="C2080"/>
      <c r="D2080"/>
      <c r="E2080"/>
      <c r="F2080"/>
      <c r="G2080"/>
      <c r="H2080"/>
      <c r="I2080"/>
      <c r="J2080"/>
      <c r="K2080"/>
      <c r="L2080"/>
      <c r="M2080"/>
      <c r="N2080"/>
      <c r="O2080"/>
      <c r="P2080"/>
    </row>
    <row r="2081" spans="2:16">
      <c r="B2081"/>
      <c r="C2081"/>
      <c r="D2081"/>
      <c r="E2081"/>
      <c r="F2081"/>
      <c r="G2081"/>
      <c r="H2081"/>
      <c r="I2081"/>
      <c r="J2081"/>
      <c r="K2081"/>
      <c r="L2081"/>
      <c r="M2081"/>
      <c r="N2081"/>
      <c r="O2081"/>
      <c r="P2081"/>
    </row>
    <row r="2082" spans="2:16">
      <c r="B2082"/>
      <c r="C2082"/>
      <c r="D2082"/>
      <c r="E2082"/>
      <c r="F2082"/>
      <c r="G2082"/>
      <c r="H2082"/>
      <c r="I2082"/>
      <c r="J2082"/>
      <c r="K2082"/>
      <c r="L2082"/>
      <c r="M2082"/>
      <c r="N2082"/>
      <c r="O2082"/>
      <c r="P2082"/>
    </row>
    <row r="2083" spans="2:16">
      <c r="B2083"/>
      <c r="C2083"/>
      <c r="D2083"/>
      <c r="E2083"/>
      <c r="F2083"/>
      <c r="G2083"/>
      <c r="H2083"/>
      <c r="I2083"/>
      <c r="J2083"/>
      <c r="K2083"/>
      <c r="L2083"/>
      <c r="M2083"/>
      <c r="N2083"/>
      <c r="O2083"/>
      <c r="P2083"/>
    </row>
    <row r="2084" spans="2:16">
      <c r="B2084"/>
      <c r="C2084"/>
      <c r="D2084"/>
      <c r="E2084"/>
      <c r="F2084"/>
      <c r="G2084"/>
      <c r="H2084"/>
      <c r="I2084"/>
      <c r="J2084"/>
      <c r="K2084"/>
      <c r="L2084"/>
      <c r="M2084"/>
      <c r="N2084"/>
      <c r="O2084"/>
      <c r="P2084"/>
    </row>
    <row r="2085" spans="2:16">
      <c r="B2085"/>
      <c r="C2085"/>
      <c r="D2085"/>
      <c r="E2085"/>
      <c r="F2085"/>
      <c r="G2085"/>
      <c r="H2085"/>
      <c r="I2085"/>
      <c r="J2085"/>
      <c r="K2085"/>
      <c r="L2085"/>
      <c r="M2085"/>
      <c r="N2085"/>
      <c r="O2085"/>
      <c r="P2085"/>
    </row>
    <row r="2086" spans="2:16">
      <c r="B2086"/>
      <c r="C2086"/>
      <c r="D2086"/>
      <c r="E2086"/>
      <c r="F2086"/>
      <c r="G2086"/>
      <c r="H2086"/>
      <c r="I2086"/>
      <c r="J2086"/>
      <c r="K2086"/>
      <c r="L2086"/>
      <c r="M2086"/>
      <c r="N2086"/>
      <c r="O2086"/>
      <c r="P2086"/>
    </row>
    <row r="2087" spans="2:16">
      <c r="B2087"/>
      <c r="C2087"/>
      <c r="D2087"/>
      <c r="E2087"/>
      <c r="F2087"/>
      <c r="G2087"/>
      <c r="H2087"/>
      <c r="I2087"/>
      <c r="J2087"/>
      <c r="K2087"/>
      <c r="L2087"/>
      <c r="M2087"/>
      <c r="N2087"/>
      <c r="O2087"/>
      <c r="P2087"/>
    </row>
    <row r="2088" spans="2:16">
      <c r="B2088"/>
      <c r="C2088"/>
      <c r="D2088"/>
      <c r="E2088"/>
      <c r="F2088"/>
      <c r="G2088"/>
      <c r="H2088"/>
      <c r="I2088"/>
      <c r="J2088"/>
      <c r="K2088"/>
      <c r="L2088"/>
      <c r="M2088"/>
      <c r="N2088"/>
      <c r="O2088"/>
      <c r="P2088"/>
    </row>
    <row r="2089" spans="2:16">
      <c r="B2089"/>
      <c r="C2089"/>
      <c r="D2089"/>
      <c r="E2089"/>
      <c r="F2089"/>
      <c r="G2089"/>
      <c r="H2089"/>
      <c r="I2089"/>
      <c r="J2089"/>
      <c r="K2089"/>
      <c r="L2089"/>
      <c r="M2089"/>
      <c r="N2089"/>
      <c r="O2089"/>
      <c r="P2089"/>
    </row>
    <row r="2090" spans="2:16">
      <c r="B2090"/>
      <c r="C2090"/>
      <c r="D2090"/>
      <c r="E2090"/>
      <c r="F2090"/>
      <c r="G2090"/>
      <c r="H2090"/>
      <c r="I2090"/>
      <c r="J2090"/>
      <c r="K2090"/>
      <c r="L2090"/>
      <c r="M2090"/>
      <c r="N2090"/>
      <c r="O2090"/>
      <c r="P2090"/>
    </row>
    <row r="2091" spans="2:16">
      <c r="B2091"/>
      <c r="C2091"/>
      <c r="D2091"/>
      <c r="E2091"/>
      <c r="F2091"/>
      <c r="G2091"/>
      <c r="H2091"/>
      <c r="I2091"/>
      <c r="J2091"/>
      <c r="K2091"/>
      <c r="L2091"/>
      <c r="M2091"/>
      <c r="N2091"/>
      <c r="O2091"/>
      <c r="P2091"/>
    </row>
    <row r="2092" spans="2:16">
      <c r="B2092"/>
      <c r="C2092"/>
      <c r="D2092"/>
      <c r="E2092"/>
      <c r="F2092"/>
      <c r="G2092"/>
      <c r="H2092"/>
      <c r="I2092"/>
      <c r="J2092"/>
      <c r="K2092"/>
      <c r="L2092"/>
      <c r="M2092"/>
      <c r="N2092"/>
      <c r="O2092"/>
      <c r="P2092"/>
    </row>
    <row r="2093" spans="2:16">
      <c r="B2093"/>
      <c r="C2093"/>
      <c r="D2093"/>
      <c r="E2093"/>
      <c r="F2093"/>
      <c r="G2093"/>
      <c r="H2093"/>
      <c r="I2093"/>
      <c r="J2093"/>
      <c r="K2093"/>
      <c r="L2093"/>
      <c r="M2093"/>
      <c r="N2093"/>
      <c r="O2093"/>
      <c r="P2093"/>
    </row>
    <row r="2094" spans="2:16">
      <c r="B2094"/>
      <c r="C2094"/>
      <c r="D2094"/>
      <c r="E2094"/>
      <c r="F2094"/>
      <c r="G2094"/>
      <c r="H2094"/>
      <c r="I2094"/>
      <c r="J2094"/>
      <c r="K2094"/>
      <c r="L2094"/>
      <c r="M2094"/>
      <c r="N2094"/>
      <c r="O2094"/>
      <c r="P2094"/>
    </row>
    <row r="2095" spans="2:16">
      <c r="B2095"/>
      <c r="C2095"/>
      <c r="D2095"/>
      <c r="E2095"/>
      <c r="F2095"/>
      <c r="G2095"/>
      <c r="H2095"/>
      <c r="I2095"/>
      <c r="J2095"/>
      <c r="K2095"/>
      <c r="L2095"/>
      <c r="M2095"/>
      <c r="N2095"/>
      <c r="O2095"/>
      <c r="P2095"/>
    </row>
    <row r="2096" spans="2:16">
      <c r="B2096"/>
      <c r="C2096"/>
      <c r="D2096"/>
      <c r="E2096"/>
      <c r="F2096"/>
      <c r="G2096"/>
      <c r="H2096"/>
      <c r="I2096"/>
      <c r="J2096"/>
      <c r="K2096"/>
      <c r="L2096"/>
      <c r="M2096"/>
      <c r="N2096"/>
      <c r="O2096"/>
      <c r="P2096"/>
    </row>
    <row r="2097" spans="2:16">
      <c r="B2097"/>
      <c r="C2097"/>
      <c r="D2097"/>
      <c r="E2097"/>
      <c r="F2097"/>
      <c r="G2097"/>
      <c r="H2097"/>
      <c r="I2097"/>
      <c r="J2097"/>
      <c r="K2097"/>
      <c r="L2097"/>
      <c r="M2097"/>
      <c r="N2097"/>
      <c r="O2097"/>
      <c r="P2097"/>
    </row>
    <row r="2098" spans="2:16">
      <c r="B2098"/>
      <c r="C2098"/>
      <c r="D2098"/>
      <c r="E2098"/>
      <c r="F2098"/>
      <c r="G2098"/>
      <c r="H2098"/>
      <c r="I2098"/>
      <c r="J2098"/>
      <c r="K2098"/>
      <c r="L2098"/>
      <c r="M2098"/>
      <c r="N2098"/>
      <c r="O2098"/>
      <c r="P2098"/>
    </row>
    <row r="2099" spans="2:16">
      <c r="B2099"/>
      <c r="C2099"/>
      <c r="D2099"/>
      <c r="E2099"/>
      <c r="F2099"/>
      <c r="G2099"/>
      <c r="H2099"/>
      <c r="I2099"/>
      <c r="J2099"/>
      <c r="K2099"/>
      <c r="L2099"/>
      <c r="M2099"/>
      <c r="N2099"/>
      <c r="O2099"/>
      <c r="P2099"/>
    </row>
    <row r="2100" spans="2:16">
      <c r="B2100"/>
      <c r="C2100"/>
      <c r="D2100"/>
      <c r="E2100"/>
      <c r="F2100"/>
      <c r="G2100"/>
      <c r="H2100"/>
      <c r="I2100"/>
      <c r="J2100"/>
      <c r="K2100"/>
      <c r="L2100"/>
      <c r="M2100"/>
      <c r="N2100"/>
      <c r="O2100"/>
      <c r="P2100"/>
    </row>
    <row r="2101" spans="2:16">
      <c r="B2101"/>
      <c r="C2101"/>
      <c r="D2101"/>
      <c r="E2101"/>
      <c r="F2101"/>
      <c r="G2101"/>
      <c r="H2101"/>
      <c r="I2101"/>
      <c r="J2101"/>
      <c r="K2101"/>
      <c r="L2101"/>
      <c r="M2101"/>
      <c r="N2101"/>
      <c r="O2101"/>
      <c r="P2101"/>
    </row>
    <row r="2102" spans="2:16">
      <c r="B2102"/>
      <c r="C2102"/>
      <c r="D2102"/>
      <c r="E2102"/>
      <c r="F2102"/>
      <c r="G2102"/>
      <c r="H2102"/>
      <c r="I2102"/>
      <c r="J2102"/>
      <c r="K2102"/>
      <c r="L2102"/>
      <c r="M2102"/>
      <c r="N2102"/>
      <c r="O2102"/>
      <c r="P2102"/>
    </row>
    <row r="2103" spans="2:16">
      <c r="B2103"/>
      <c r="C2103"/>
      <c r="D2103"/>
      <c r="E2103"/>
      <c r="F2103"/>
      <c r="G2103"/>
      <c r="H2103"/>
      <c r="I2103"/>
      <c r="J2103"/>
      <c r="K2103"/>
      <c r="L2103"/>
      <c r="M2103"/>
      <c r="N2103"/>
      <c r="O2103"/>
      <c r="P2103"/>
    </row>
    <row r="2104" spans="2:16">
      <c r="B2104"/>
      <c r="C2104"/>
      <c r="D2104"/>
      <c r="E2104"/>
      <c r="F2104"/>
      <c r="G2104"/>
      <c r="H2104"/>
      <c r="I2104"/>
      <c r="J2104"/>
      <c r="K2104"/>
      <c r="L2104"/>
      <c r="M2104"/>
      <c r="N2104"/>
      <c r="O2104"/>
      <c r="P2104"/>
    </row>
    <row r="2105" spans="2:16">
      <c r="B2105"/>
      <c r="C2105"/>
      <c r="D2105"/>
      <c r="E2105"/>
      <c r="F2105"/>
      <c r="G2105"/>
      <c r="H2105"/>
      <c r="I2105"/>
      <c r="J2105"/>
      <c r="K2105"/>
      <c r="L2105"/>
      <c r="M2105"/>
      <c r="N2105"/>
      <c r="O2105"/>
      <c r="P2105"/>
    </row>
    <row r="2106" spans="2:16">
      <c r="B2106"/>
      <c r="C2106"/>
      <c r="D2106"/>
      <c r="E2106"/>
      <c r="F2106"/>
      <c r="G2106"/>
      <c r="H2106"/>
      <c r="I2106"/>
      <c r="J2106"/>
      <c r="K2106"/>
      <c r="L2106"/>
      <c r="M2106"/>
      <c r="N2106"/>
      <c r="O2106"/>
      <c r="P2106"/>
    </row>
    <row r="2107" spans="2:16">
      <c r="B2107"/>
      <c r="C2107"/>
      <c r="D2107"/>
      <c r="E2107"/>
      <c r="F2107"/>
      <c r="G2107"/>
      <c r="H2107"/>
      <c r="I2107"/>
      <c r="J2107"/>
      <c r="K2107"/>
      <c r="L2107"/>
      <c r="M2107"/>
      <c r="N2107"/>
      <c r="O2107"/>
      <c r="P2107"/>
    </row>
    <row r="2108" spans="2:16">
      <c r="B2108"/>
      <c r="C2108"/>
      <c r="D2108"/>
      <c r="E2108"/>
      <c r="F2108"/>
      <c r="G2108"/>
      <c r="H2108"/>
      <c r="I2108"/>
      <c r="J2108"/>
      <c r="K2108"/>
      <c r="L2108"/>
      <c r="M2108"/>
      <c r="N2108"/>
      <c r="O2108"/>
      <c r="P2108"/>
    </row>
    <row r="2109" spans="2:16">
      <c r="B2109"/>
      <c r="C2109"/>
      <c r="D2109"/>
      <c r="E2109"/>
      <c r="F2109"/>
      <c r="G2109"/>
      <c r="H2109"/>
      <c r="I2109"/>
      <c r="J2109"/>
      <c r="K2109"/>
      <c r="L2109"/>
      <c r="M2109"/>
      <c r="N2109"/>
      <c r="O2109"/>
      <c r="P2109"/>
    </row>
    <row r="2110" spans="2:16">
      <c r="B2110"/>
      <c r="C2110"/>
      <c r="D2110"/>
      <c r="E2110"/>
      <c r="F2110"/>
      <c r="G2110"/>
      <c r="H2110"/>
      <c r="I2110"/>
      <c r="J2110"/>
      <c r="K2110"/>
      <c r="L2110"/>
      <c r="M2110"/>
      <c r="N2110"/>
      <c r="O2110"/>
      <c r="P2110"/>
    </row>
    <row r="2111" spans="2:16">
      <c r="B2111"/>
      <c r="C2111"/>
      <c r="D2111"/>
      <c r="E2111"/>
      <c r="F2111"/>
      <c r="G2111"/>
      <c r="H2111"/>
      <c r="I2111"/>
      <c r="J2111"/>
      <c r="K2111"/>
      <c r="L2111"/>
      <c r="M2111"/>
      <c r="N2111"/>
      <c r="O2111"/>
      <c r="P2111"/>
    </row>
    <row r="2112" spans="2:16">
      <c r="B2112"/>
      <c r="C2112"/>
      <c r="D2112"/>
      <c r="E2112"/>
      <c r="F2112"/>
      <c r="G2112"/>
      <c r="H2112"/>
      <c r="I2112"/>
      <c r="J2112"/>
      <c r="K2112"/>
      <c r="L2112"/>
      <c r="M2112"/>
      <c r="N2112"/>
      <c r="O2112"/>
      <c r="P2112"/>
    </row>
    <row r="2113" spans="2:16">
      <c r="B2113"/>
      <c r="C2113"/>
      <c r="D2113"/>
      <c r="E2113"/>
      <c r="F2113"/>
      <c r="G2113"/>
      <c r="H2113"/>
      <c r="I2113"/>
      <c r="J2113"/>
      <c r="K2113"/>
      <c r="L2113"/>
      <c r="M2113"/>
      <c r="N2113"/>
      <c r="O2113"/>
      <c r="P2113"/>
    </row>
    <row r="2114" spans="2:16">
      <c r="B2114"/>
      <c r="C2114"/>
      <c r="D2114"/>
      <c r="E2114"/>
      <c r="F2114"/>
      <c r="G2114"/>
      <c r="H2114"/>
      <c r="I2114"/>
      <c r="J2114"/>
      <c r="K2114"/>
      <c r="L2114"/>
      <c r="M2114"/>
      <c r="N2114"/>
      <c r="O2114"/>
      <c r="P2114"/>
    </row>
    <row r="2115" spans="2:16">
      <c r="B2115"/>
      <c r="C2115"/>
      <c r="D2115"/>
      <c r="E2115"/>
      <c r="F2115"/>
      <c r="G2115"/>
      <c r="H2115"/>
      <c r="I2115"/>
      <c r="J2115"/>
      <c r="K2115"/>
      <c r="L2115"/>
      <c r="M2115"/>
      <c r="N2115"/>
      <c r="O2115"/>
      <c r="P2115"/>
    </row>
    <row r="2116" spans="2:16">
      <c r="B2116"/>
      <c r="C2116"/>
      <c r="D2116"/>
      <c r="E2116"/>
      <c r="F2116"/>
      <c r="G2116"/>
      <c r="H2116"/>
      <c r="I2116"/>
      <c r="J2116"/>
      <c r="K2116"/>
      <c r="L2116"/>
      <c r="M2116"/>
      <c r="N2116"/>
      <c r="O2116"/>
      <c r="P2116"/>
    </row>
    <row r="2117" spans="2:16">
      <c r="B2117"/>
      <c r="C2117"/>
      <c r="D2117"/>
      <c r="E2117"/>
      <c r="F2117"/>
      <c r="G2117"/>
      <c r="H2117"/>
      <c r="I2117"/>
      <c r="J2117"/>
      <c r="K2117"/>
      <c r="L2117"/>
      <c r="M2117"/>
      <c r="N2117"/>
      <c r="O2117"/>
      <c r="P2117"/>
    </row>
    <row r="2118" spans="2:16">
      <c r="B2118"/>
      <c r="C2118"/>
      <c r="D2118"/>
      <c r="E2118"/>
      <c r="F2118"/>
      <c r="G2118"/>
      <c r="H2118"/>
      <c r="I2118"/>
      <c r="J2118"/>
      <c r="K2118"/>
      <c r="L2118"/>
      <c r="M2118"/>
      <c r="N2118"/>
      <c r="O2118"/>
      <c r="P2118"/>
    </row>
    <row r="2119" spans="2:16">
      <c r="B2119"/>
      <c r="C2119"/>
      <c r="D2119"/>
      <c r="E2119"/>
      <c r="F2119"/>
      <c r="G2119"/>
      <c r="H2119"/>
      <c r="I2119"/>
      <c r="J2119"/>
      <c r="K2119"/>
      <c r="L2119"/>
      <c r="M2119"/>
      <c r="N2119"/>
      <c r="O2119"/>
      <c r="P2119"/>
    </row>
    <row r="2120" spans="2:16">
      <c r="B2120"/>
      <c r="C2120"/>
      <c r="D2120"/>
      <c r="E2120"/>
      <c r="F2120"/>
      <c r="G2120"/>
      <c r="H2120"/>
      <c r="I2120"/>
      <c r="J2120"/>
      <c r="K2120"/>
      <c r="L2120"/>
      <c r="M2120"/>
      <c r="N2120"/>
      <c r="O2120"/>
      <c r="P2120"/>
    </row>
    <row r="2121" spans="2:16">
      <c r="B2121"/>
      <c r="C2121"/>
      <c r="D2121"/>
      <c r="E2121"/>
      <c r="F2121"/>
      <c r="G2121"/>
      <c r="H2121"/>
      <c r="I2121"/>
      <c r="J2121"/>
      <c r="K2121"/>
      <c r="L2121"/>
      <c r="M2121"/>
      <c r="N2121"/>
      <c r="O2121"/>
      <c r="P2121"/>
    </row>
    <row r="2122" spans="2:16">
      <c r="B2122"/>
      <c r="C2122"/>
      <c r="D2122"/>
      <c r="E2122"/>
      <c r="F2122"/>
      <c r="G2122"/>
      <c r="H2122"/>
      <c r="I2122"/>
      <c r="J2122"/>
      <c r="K2122"/>
      <c r="L2122"/>
      <c r="M2122"/>
      <c r="N2122"/>
      <c r="O2122"/>
      <c r="P2122"/>
    </row>
    <row r="2123" spans="2:16">
      <c r="B2123"/>
      <c r="C2123"/>
      <c r="D2123"/>
      <c r="E2123"/>
      <c r="F2123"/>
      <c r="G2123"/>
      <c r="H2123"/>
      <c r="I2123"/>
      <c r="J2123"/>
      <c r="K2123"/>
      <c r="L2123"/>
      <c r="M2123"/>
      <c r="N2123"/>
      <c r="O2123"/>
      <c r="P2123"/>
    </row>
    <row r="2124" spans="2:16">
      <c r="B2124"/>
      <c r="C2124"/>
      <c r="D2124"/>
      <c r="E2124"/>
      <c r="F2124"/>
      <c r="G2124"/>
      <c r="H2124"/>
      <c r="I2124"/>
      <c r="J2124"/>
      <c r="K2124"/>
      <c r="L2124"/>
      <c r="M2124"/>
      <c r="N2124"/>
      <c r="O2124"/>
      <c r="P2124"/>
    </row>
    <row r="2125" spans="2:16">
      <c r="B2125"/>
      <c r="C2125"/>
      <c r="D2125"/>
      <c r="E2125"/>
      <c r="F2125"/>
      <c r="G2125"/>
      <c r="H2125"/>
      <c r="I2125"/>
      <c r="J2125"/>
      <c r="K2125"/>
      <c r="L2125"/>
      <c r="M2125"/>
      <c r="N2125"/>
      <c r="O2125"/>
      <c r="P2125"/>
    </row>
    <row r="2126" spans="2:16">
      <c r="B2126"/>
      <c r="C2126"/>
      <c r="D2126"/>
      <c r="E2126"/>
      <c r="F2126"/>
      <c r="G2126"/>
      <c r="H2126"/>
      <c r="I2126"/>
      <c r="J2126"/>
      <c r="K2126"/>
      <c r="L2126"/>
      <c r="M2126"/>
      <c r="N2126"/>
      <c r="O2126"/>
      <c r="P2126"/>
    </row>
    <row r="2127" spans="2:16">
      <c r="B2127"/>
      <c r="C2127"/>
      <c r="D2127"/>
      <c r="E2127"/>
      <c r="F2127"/>
      <c r="G2127"/>
      <c r="H2127"/>
      <c r="I2127"/>
      <c r="J2127"/>
      <c r="K2127"/>
      <c r="L2127"/>
      <c r="M2127"/>
      <c r="N2127"/>
      <c r="O2127"/>
      <c r="P2127"/>
    </row>
    <row r="2128" spans="2:16">
      <c r="B2128"/>
      <c r="C2128"/>
      <c r="D2128"/>
      <c r="E2128"/>
      <c r="F2128"/>
      <c r="G2128"/>
      <c r="H2128"/>
      <c r="I2128"/>
      <c r="J2128"/>
      <c r="K2128"/>
      <c r="L2128"/>
      <c r="M2128"/>
      <c r="N2128"/>
      <c r="O2128"/>
      <c r="P2128"/>
    </row>
    <row r="2129" spans="2:16">
      <c r="B2129"/>
      <c r="C2129"/>
      <c r="D2129"/>
      <c r="E2129"/>
      <c r="F2129"/>
      <c r="G2129"/>
      <c r="H2129"/>
      <c r="I2129"/>
      <c r="J2129"/>
      <c r="K2129"/>
      <c r="L2129"/>
      <c r="M2129"/>
      <c r="N2129"/>
      <c r="O2129"/>
      <c r="P2129"/>
    </row>
    <row r="2130" spans="2:16">
      <c r="B2130"/>
      <c r="C2130"/>
      <c r="D2130"/>
      <c r="E2130"/>
      <c r="F2130"/>
      <c r="G2130"/>
      <c r="H2130"/>
      <c r="I2130"/>
      <c r="J2130"/>
      <c r="K2130"/>
      <c r="L2130"/>
      <c r="M2130"/>
      <c r="N2130"/>
      <c r="O2130"/>
      <c r="P2130"/>
    </row>
    <row r="2131" spans="2:16">
      <c r="B2131"/>
      <c r="C2131"/>
      <c r="D2131"/>
      <c r="E2131"/>
      <c r="F2131"/>
      <c r="G2131"/>
      <c r="H2131"/>
      <c r="I2131"/>
      <c r="J2131"/>
      <c r="K2131"/>
      <c r="L2131"/>
      <c r="M2131"/>
      <c r="N2131"/>
      <c r="O2131"/>
      <c r="P2131"/>
    </row>
    <row r="2132" spans="2:16">
      <c r="B2132"/>
      <c r="C2132"/>
      <c r="D2132"/>
      <c r="E2132"/>
      <c r="F2132"/>
      <c r="G2132"/>
      <c r="H2132"/>
      <c r="I2132"/>
      <c r="J2132"/>
      <c r="K2132"/>
      <c r="L2132"/>
      <c r="M2132"/>
      <c r="N2132"/>
      <c r="O2132"/>
      <c r="P2132"/>
    </row>
    <row r="2133" spans="2:16">
      <c r="B2133"/>
      <c r="C2133"/>
      <c r="D2133"/>
      <c r="E2133"/>
      <c r="F2133"/>
      <c r="G2133"/>
      <c r="H2133"/>
      <c r="I2133"/>
      <c r="J2133"/>
      <c r="K2133"/>
      <c r="L2133"/>
      <c r="M2133"/>
      <c r="N2133"/>
      <c r="O2133"/>
      <c r="P2133"/>
    </row>
    <row r="2134" spans="2:16">
      <c r="B2134"/>
      <c r="C2134"/>
      <c r="D2134"/>
      <c r="E2134"/>
      <c r="F2134"/>
      <c r="G2134"/>
      <c r="H2134"/>
      <c r="I2134"/>
      <c r="J2134"/>
      <c r="K2134"/>
      <c r="L2134"/>
      <c r="M2134"/>
      <c r="N2134"/>
      <c r="O2134"/>
      <c r="P2134"/>
    </row>
    <row r="2135" spans="2:16">
      <c r="B2135"/>
      <c r="C2135"/>
      <c r="D2135"/>
      <c r="E2135"/>
      <c r="F2135"/>
      <c r="G2135"/>
      <c r="H2135"/>
      <c r="I2135"/>
      <c r="J2135"/>
      <c r="K2135"/>
      <c r="L2135"/>
      <c r="M2135"/>
      <c r="N2135"/>
      <c r="O2135"/>
      <c r="P2135"/>
    </row>
    <row r="2136" spans="2:16">
      <c r="B2136"/>
      <c r="C2136"/>
      <c r="D2136"/>
      <c r="E2136"/>
      <c r="F2136"/>
      <c r="G2136"/>
      <c r="H2136"/>
      <c r="I2136"/>
      <c r="J2136"/>
      <c r="K2136"/>
      <c r="L2136"/>
      <c r="M2136"/>
      <c r="N2136"/>
      <c r="O2136"/>
      <c r="P2136"/>
    </row>
    <row r="2137" spans="2:16">
      <c r="B2137"/>
      <c r="C2137"/>
      <c r="D2137"/>
      <c r="E2137"/>
      <c r="F2137"/>
      <c r="G2137"/>
      <c r="H2137"/>
      <c r="I2137"/>
      <c r="J2137"/>
      <c r="K2137"/>
      <c r="L2137"/>
      <c r="M2137"/>
      <c r="N2137"/>
      <c r="O2137"/>
      <c r="P2137"/>
    </row>
    <row r="2138" spans="2:16">
      <c r="B2138"/>
      <c r="C2138"/>
      <c r="D2138"/>
      <c r="E2138"/>
      <c r="F2138"/>
      <c r="G2138"/>
      <c r="H2138"/>
      <c r="I2138"/>
      <c r="J2138"/>
      <c r="K2138"/>
      <c r="L2138"/>
      <c r="M2138"/>
      <c r="N2138"/>
      <c r="O2138"/>
      <c r="P2138"/>
    </row>
    <row r="2139" spans="2:16">
      <c r="B2139"/>
      <c r="C2139"/>
      <c r="D2139"/>
      <c r="E2139"/>
      <c r="F2139"/>
      <c r="G2139"/>
      <c r="H2139"/>
      <c r="I2139"/>
      <c r="J2139"/>
      <c r="K2139"/>
      <c r="L2139"/>
      <c r="M2139"/>
      <c r="N2139"/>
      <c r="O2139"/>
      <c r="P2139"/>
    </row>
    <row r="2140" spans="2:16">
      <c r="B2140"/>
      <c r="C2140"/>
      <c r="D2140"/>
      <c r="E2140"/>
      <c r="F2140"/>
      <c r="G2140"/>
      <c r="H2140"/>
      <c r="I2140"/>
      <c r="J2140"/>
      <c r="K2140"/>
      <c r="L2140"/>
      <c r="M2140"/>
      <c r="N2140"/>
      <c r="O2140"/>
      <c r="P2140"/>
    </row>
    <row r="2141" spans="2:16">
      <c r="B2141"/>
      <c r="C2141"/>
      <c r="D2141"/>
      <c r="E2141"/>
      <c r="F2141"/>
      <c r="G2141"/>
      <c r="H2141"/>
      <c r="I2141"/>
      <c r="J2141"/>
      <c r="K2141"/>
      <c r="L2141"/>
      <c r="M2141"/>
      <c r="N2141"/>
      <c r="O2141"/>
      <c r="P2141"/>
    </row>
    <row r="2142" spans="2:16">
      <c r="B2142"/>
      <c r="C2142"/>
      <c r="D2142"/>
      <c r="E2142"/>
      <c r="F2142"/>
      <c r="G2142"/>
      <c r="H2142"/>
      <c r="I2142"/>
      <c r="J2142"/>
      <c r="K2142"/>
      <c r="L2142"/>
      <c r="M2142"/>
      <c r="N2142"/>
      <c r="O2142"/>
      <c r="P2142"/>
    </row>
    <row r="2143" spans="2:16">
      <c r="B2143"/>
      <c r="C2143"/>
      <c r="D2143"/>
      <c r="E2143"/>
      <c r="F2143"/>
      <c r="G2143"/>
      <c r="H2143"/>
      <c r="I2143"/>
      <c r="J2143"/>
      <c r="K2143"/>
      <c r="L2143"/>
      <c r="M2143"/>
      <c r="N2143"/>
      <c r="O2143"/>
      <c r="P2143"/>
    </row>
    <row r="2144" spans="2:16">
      <c r="B2144"/>
      <c r="C2144"/>
      <c r="D2144"/>
      <c r="E2144"/>
      <c r="F2144"/>
      <c r="G2144"/>
      <c r="H2144"/>
      <c r="I2144"/>
      <c r="J2144"/>
      <c r="K2144"/>
      <c r="L2144"/>
      <c r="M2144"/>
      <c r="N2144"/>
      <c r="O2144"/>
      <c r="P2144"/>
    </row>
    <row r="2145" spans="2:16">
      <c r="B2145"/>
      <c r="C2145"/>
      <c r="D2145"/>
      <c r="E2145"/>
      <c r="F2145"/>
      <c r="G2145"/>
      <c r="H2145"/>
      <c r="I2145"/>
      <c r="J2145"/>
      <c r="K2145"/>
      <c r="L2145"/>
      <c r="M2145"/>
      <c r="N2145"/>
      <c r="O2145"/>
      <c r="P2145"/>
    </row>
    <row r="2146" spans="2:16">
      <c r="B2146"/>
      <c r="C2146"/>
      <c r="D2146"/>
      <c r="E2146"/>
      <c r="F2146"/>
      <c r="G2146"/>
      <c r="H2146"/>
      <c r="I2146"/>
      <c r="J2146"/>
      <c r="K2146"/>
      <c r="L2146"/>
      <c r="M2146"/>
      <c r="N2146"/>
      <c r="O2146"/>
      <c r="P2146"/>
    </row>
    <row r="2147" spans="2:16">
      <c r="B2147"/>
      <c r="C2147"/>
      <c r="D2147"/>
      <c r="E2147"/>
      <c r="F2147"/>
      <c r="G2147"/>
      <c r="H2147"/>
      <c r="I2147"/>
      <c r="J2147"/>
      <c r="K2147"/>
      <c r="L2147"/>
      <c r="M2147"/>
      <c r="N2147"/>
      <c r="O2147"/>
      <c r="P2147"/>
    </row>
    <row r="2148" spans="2:16">
      <c r="B2148"/>
      <c r="C2148"/>
      <c r="D2148"/>
      <c r="E2148"/>
      <c r="F2148"/>
      <c r="G2148"/>
      <c r="H2148"/>
      <c r="I2148"/>
      <c r="J2148"/>
      <c r="K2148"/>
      <c r="L2148"/>
      <c r="M2148"/>
      <c r="N2148"/>
      <c r="O2148"/>
      <c r="P2148"/>
    </row>
    <row r="2149" spans="2:16">
      <c r="B2149"/>
      <c r="C2149"/>
      <c r="D2149"/>
      <c r="E2149"/>
      <c r="F2149"/>
      <c r="G2149"/>
      <c r="H2149"/>
      <c r="I2149"/>
      <c r="J2149"/>
      <c r="K2149"/>
      <c r="L2149"/>
      <c r="M2149"/>
      <c r="N2149"/>
      <c r="O2149"/>
      <c r="P2149"/>
    </row>
    <row r="2150" spans="2:16">
      <c r="B2150"/>
      <c r="C2150"/>
      <c r="D2150"/>
      <c r="E2150"/>
      <c r="F2150"/>
      <c r="G2150"/>
      <c r="H2150"/>
      <c r="I2150"/>
      <c r="J2150"/>
      <c r="K2150"/>
      <c r="L2150"/>
      <c r="M2150"/>
      <c r="N2150"/>
      <c r="O2150"/>
      <c r="P2150"/>
    </row>
    <row r="2151" spans="2:16">
      <c r="B2151"/>
      <c r="C2151"/>
      <c r="D2151"/>
      <c r="E2151"/>
      <c r="F2151"/>
      <c r="G2151"/>
      <c r="H2151"/>
      <c r="I2151"/>
      <c r="J2151"/>
      <c r="K2151"/>
      <c r="L2151"/>
      <c r="M2151"/>
      <c r="N2151"/>
      <c r="O2151"/>
      <c r="P2151"/>
    </row>
    <row r="2152" spans="2:16">
      <c r="B2152"/>
      <c r="C2152"/>
      <c r="D2152"/>
      <c r="E2152"/>
      <c r="F2152"/>
      <c r="G2152"/>
      <c r="H2152"/>
      <c r="I2152"/>
      <c r="J2152"/>
      <c r="K2152"/>
      <c r="L2152"/>
      <c r="M2152"/>
      <c r="N2152"/>
      <c r="O2152"/>
      <c r="P2152"/>
    </row>
    <row r="2153" spans="2:16">
      <c r="B2153"/>
      <c r="C2153"/>
      <c r="D2153"/>
      <c r="E2153"/>
      <c r="F2153"/>
      <c r="G2153"/>
      <c r="H2153"/>
      <c r="I2153"/>
      <c r="J2153"/>
      <c r="K2153"/>
      <c r="L2153"/>
      <c r="M2153"/>
      <c r="N2153"/>
      <c r="O2153"/>
      <c r="P2153"/>
    </row>
    <row r="2154" spans="2:16">
      <c r="B2154"/>
      <c r="C2154"/>
      <c r="D2154"/>
      <c r="E2154"/>
      <c r="F2154"/>
      <c r="G2154"/>
      <c r="H2154"/>
      <c r="I2154"/>
      <c r="J2154"/>
      <c r="K2154"/>
      <c r="L2154"/>
      <c r="M2154"/>
      <c r="N2154"/>
      <c r="O2154"/>
      <c r="P2154"/>
    </row>
    <row r="2155" spans="2:16">
      <c r="B2155"/>
      <c r="C2155"/>
      <c r="D2155"/>
      <c r="E2155"/>
      <c r="F2155"/>
      <c r="G2155"/>
      <c r="H2155"/>
      <c r="I2155"/>
      <c r="J2155"/>
      <c r="K2155"/>
      <c r="L2155"/>
      <c r="M2155"/>
      <c r="N2155"/>
      <c r="O2155"/>
      <c r="P2155"/>
    </row>
    <row r="2156" spans="2:16">
      <c r="B2156"/>
      <c r="C2156"/>
      <c r="D2156"/>
      <c r="E2156"/>
      <c r="F2156"/>
      <c r="G2156"/>
      <c r="H2156"/>
      <c r="I2156"/>
      <c r="J2156"/>
      <c r="K2156"/>
      <c r="L2156"/>
      <c r="M2156"/>
      <c r="N2156"/>
      <c r="O2156"/>
      <c r="P2156"/>
    </row>
    <row r="2157" spans="2:16">
      <c r="B2157"/>
      <c r="C2157"/>
      <c r="D2157"/>
      <c r="E2157"/>
      <c r="F2157"/>
      <c r="G2157"/>
      <c r="H2157"/>
      <c r="I2157"/>
      <c r="J2157"/>
      <c r="K2157"/>
      <c r="L2157"/>
      <c r="M2157"/>
      <c r="N2157"/>
      <c r="O2157"/>
      <c r="P2157"/>
    </row>
    <row r="2158" spans="2:16">
      <c r="B2158"/>
      <c r="C2158"/>
      <c r="D2158"/>
      <c r="E2158"/>
      <c r="F2158"/>
      <c r="G2158"/>
      <c r="H2158"/>
      <c r="I2158"/>
      <c r="J2158"/>
      <c r="K2158"/>
      <c r="L2158"/>
      <c r="M2158"/>
      <c r="N2158"/>
      <c r="O2158"/>
      <c r="P2158"/>
    </row>
    <row r="2159" spans="2:16">
      <c r="B2159"/>
      <c r="C2159"/>
      <c r="D2159"/>
      <c r="E2159"/>
      <c r="F2159"/>
      <c r="G2159"/>
      <c r="H2159"/>
      <c r="I2159"/>
      <c r="J2159"/>
      <c r="K2159"/>
      <c r="L2159"/>
      <c r="M2159"/>
      <c r="N2159"/>
      <c r="O2159"/>
      <c r="P2159"/>
    </row>
    <row r="2160" spans="2:16">
      <c r="B2160"/>
      <c r="C2160"/>
      <c r="D2160"/>
      <c r="E2160"/>
      <c r="F2160"/>
      <c r="G2160"/>
      <c r="H2160"/>
      <c r="I2160"/>
      <c r="J2160"/>
      <c r="K2160"/>
      <c r="L2160"/>
      <c r="M2160"/>
      <c r="N2160"/>
      <c r="O2160"/>
      <c r="P2160"/>
    </row>
    <row r="2161" spans="2:16">
      <c r="B2161"/>
      <c r="C2161"/>
      <c r="D2161"/>
      <c r="E2161"/>
      <c r="F2161"/>
      <c r="G2161"/>
      <c r="H2161"/>
      <c r="I2161"/>
      <c r="J2161"/>
      <c r="K2161"/>
      <c r="L2161"/>
      <c r="M2161"/>
      <c r="N2161"/>
      <c r="O2161"/>
      <c r="P2161"/>
    </row>
    <row r="2162" spans="2:16">
      <c r="B2162"/>
      <c r="C2162"/>
      <c r="D2162"/>
      <c r="E2162"/>
      <c r="F2162"/>
      <c r="G2162"/>
      <c r="H2162"/>
      <c r="I2162"/>
      <c r="J2162"/>
      <c r="K2162"/>
      <c r="L2162"/>
      <c r="M2162"/>
      <c r="N2162"/>
      <c r="O2162"/>
      <c r="P2162"/>
    </row>
    <row r="2163" spans="2:16">
      <c r="B2163"/>
      <c r="C2163"/>
      <c r="D2163"/>
      <c r="E2163"/>
      <c r="F2163"/>
      <c r="G2163"/>
      <c r="H2163"/>
      <c r="I2163"/>
      <c r="J2163"/>
      <c r="K2163"/>
      <c r="L2163"/>
      <c r="M2163"/>
      <c r="N2163"/>
      <c r="O2163"/>
      <c r="P2163"/>
    </row>
    <row r="2164" spans="2:16">
      <c r="B2164"/>
      <c r="C2164"/>
      <c r="D2164"/>
      <c r="E2164"/>
      <c r="F2164"/>
      <c r="G2164"/>
      <c r="H2164"/>
      <c r="I2164"/>
      <c r="J2164"/>
      <c r="K2164"/>
      <c r="L2164"/>
      <c r="M2164"/>
      <c r="N2164"/>
      <c r="O2164"/>
      <c r="P2164"/>
    </row>
    <row r="2165" spans="2:16">
      <c r="B2165"/>
      <c r="C2165"/>
      <c r="D2165"/>
      <c r="E2165"/>
      <c r="F2165"/>
      <c r="G2165"/>
      <c r="H2165"/>
      <c r="I2165"/>
      <c r="J2165"/>
      <c r="K2165"/>
      <c r="L2165"/>
      <c r="M2165"/>
      <c r="N2165"/>
      <c r="O2165"/>
      <c r="P2165"/>
    </row>
    <row r="2166" spans="2:16">
      <c r="B2166"/>
      <c r="C2166"/>
      <c r="D2166"/>
      <c r="E2166"/>
      <c r="F2166"/>
      <c r="G2166"/>
      <c r="H2166"/>
      <c r="I2166"/>
      <c r="J2166"/>
      <c r="K2166"/>
      <c r="L2166"/>
      <c r="M2166"/>
      <c r="N2166"/>
      <c r="O2166"/>
      <c r="P2166"/>
    </row>
    <row r="2167" spans="2:16">
      <c r="B2167"/>
      <c r="C2167"/>
      <c r="D2167"/>
      <c r="E2167"/>
      <c r="F2167"/>
      <c r="G2167"/>
      <c r="H2167"/>
      <c r="I2167"/>
      <c r="J2167"/>
      <c r="K2167"/>
      <c r="L2167"/>
      <c r="M2167"/>
      <c r="N2167"/>
      <c r="O2167"/>
      <c r="P2167"/>
    </row>
    <row r="2168" spans="2:16">
      <c r="B2168"/>
      <c r="C2168"/>
      <c r="D2168"/>
      <c r="E2168"/>
      <c r="F2168"/>
      <c r="G2168"/>
      <c r="H2168"/>
      <c r="I2168"/>
      <c r="J2168"/>
      <c r="K2168"/>
      <c r="L2168"/>
      <c r="M2168"/>
      <c r="N2168"/>
      <c r="O2168"/>
      <c r="P2168"/>
    </row>
    <row r="2169" spans="2:16">
      <c r="B2169"/>
      <c r="C2169"/>
      <c r="D2169"/>
      <c r="E2169"/>
      <c r="F2169"/>
      <c r="G2169"/>
      <c r="H2169"/>
      <c r="I2169"/>
      <c r="J2169"/>
      <c r="K2169"/>
      <c r="L2169"/>
      <c r="M2169"/>
      <c r="N2169"/>
      <c r="O2169"/>
      <c r="P2169"/>
    </row>
    <row r="2170" spans="2:16">
      <c r="B2170"/>
      <c r="C2170"/>
      <c r="D2170"/>
      <c r="E2170"/>
      <c r="F2170"/>
      <c r="G2170"/>
      <c r="H2170"/>
      <c r="I2170"/>
      <c r="J2170"/>
      <c r="K2170"/>
      <c r="L2170"/>
      <c r="M2170"/>
      <c r="N2170"/>
      <c r="O2170"/>
      <c r="P2170"/>
    </row>
    <row r="2171" spans="2:16">
      <c r="B2171"/>
      <c r="C2171"/>
      <c r="D2171"/>
      <c r="E2171"/>
      <c r="F2171"/>
      <c r="G2171"/>
      <c r="H2171"/>
      <c r="I2171"/>
      <c r="J2171"/>
      <c r="K2171"/>
      <c r="L2171"/>
      <c r="M2171"/>
      <c r="N2171"/>
      <c r="O2171"/>
      <c r="P2171"/>
    </row>
    <row r="2172" spans="2:16">
      <c r="B2172"/>
      <c r="C2172"/>
      <c r="D2172"/>
      <c r="E2172"/>
      <c r="F2172"/>
      <c r="G2172"/>
      <c r="H2172"/>
      <c r="I2172"/>
      <c r="J2172"/>
      <c r="K2172"/>
      <c r="L2172"/>
      <c r="M2172"/>
      <c r="N2172"/>
      <c r="O2172"/>
      <c r="P2172"/>
    </row>
    <row r="2173" spans="2:16">
      <c r="B2173"/>
      <c r="C2173"/>
      <c r="D2173"/>
      <c r="E2173"/>
      <c r="F2173"/>
      <c r="G2173"/>
      <c r="H2173"/>
      <c r="I2173"/>
      <c r="J2173"/>
      <c r="K2173"/>
      <c r="L2173"/>
      <c r="M2173"/>
      <c r="N2173"/>
      <c r="O2173"/>
      <c r="P2173"/>
    </row>
    <row r="2174" spans="2:16">
      <c r="B2174"/>
      <c r="C2174"/>
      <c r="D2174"/>
      <c r="E2174"/>
      <c r="F2174"/>
      <c r="G2174"/>
      <c r="H2174"/>
      <c r="I2174"/>
      <c r="J2174"/>
      <c r="K2174"/>
      <c r="L2174"/>
      <c r="M2174"/>
      <c r="N2174"/>
      <c r="O2174"/>
      <c r="P2174"/>
    </row>
    <row r="2175" spans="2:16">
      <c r="B2175"/>
      <c r="C2175"/>
      <c r="D2175"/>
      <c r="E2175"/>
      <c r="F2175"/>
      <c r="G2175"/>
      <c r="H2175"/>
      <c r="I2175"/>
      <c r="J2175"/>
      <c r="K2175"/>
      <c r="L2175"/>
      <c r="M2175"/>
      <c r="N2175"/>
      <c r="O2175"/>
      <c r="P2175"/>
    </row>
    <row r="2176" spans="2:16">
      <c r="B2176"/>
      <c r="C2176"/>
      <c r="D2176"/>
      <c r="E2176"/>
      <c r="F2176"/>
      <c r="G2176"/>
      <c r="H2176"/>
      <c r="I2176"/>
      <c r="J2176"/>
      <c r="K2176"/>
      <c r="L2176"/>
      <c r="M2176"/>
      <c r="N2176"/>
      <c r="O2176"/>
      <c r="P2176"/>
    </row>
    <row r="2177" spans="2:16">
      <c r="B2177"/>
      <c r="C2177"/>
      <c r="D2177"/>
      <c r="E2177"/>
      <c r="F2177"/>
      <c r="G2177"/>
      <c r="H2177"/>
      <c r="I2177"/>
      <c r="J2177"/>
      <c r="K2177"/>
      <c r="L2177"/>
      <c r="M2177"/>
      <c r="N2177"/>
      <c r="O2177"/>
      <c r="P2177"/>
    </row>
    <row r="2178" spans="2:16">
      <c r="B2178"/>
      <c r="C2178"/>
      <c r="D2178"/>
      <c r="E2178"/>
      <c r="F2178"/>
      <c r="G2178"/>
      <c r="H2178"/>
      <c r="I2178"/>
      <c r="J2178"/>
      <c r="K2178"/>
      <c r="L2178"/>
      <c r="M2178"/>
      <c r="N2178"/>
      <c r="O2178"/>
      <c r="P2178"/>
    </row>
    <row r="2179" spans="2:16">
      <c r="B2179"/>
      <c r="C2179"/>
      <c r="D2179"/>
      <c r="E2179"/>
      <c r="F2179"/>
      <c r="G2179"/>
      <c r="H2179"/>
      <c r="I2179"/>
      <c r="J2179"/>
      <c r="K2179"/>
      <c r="L2179"/>
      <c r="M2179"/>
      <c r="N2179"/>
      <c r="O2179"/>
      <c r="P2179"/>
    </row>
    <row r="2180" spans="2:16">
      <c r="B2180"/>
      <c r="C2180"/>
      <c r="D2180"/>
      <c r="E2180"/>
      <c r="F2180"/>
      <c r="G2180"/>
      <c r="H2180"/>
      <c r="I2180"/>
      <c r="J2180"/>
      <c r="K2180"/>
      <c r="L2180"/>
      <c r="M2180"/>
      <c r="N2180"/>
      <c r="O2180"/>
      <c r="P2180"/>
    </row>
    <row r="2181" spans="2:16">
      <c r="B2181"/>
      <c r="C2181"/>
      <c r="D2181"/>
      <c r="E2181"/>
      <c r="F2181"/>
      <c r="G2181"/>
      <c r="H2181"/>
      <c r="I2181"/>
      <c r="J2181"/>
      <c r="K2181"/>
      <c r="L2181"/>
      <c r="M2181"/>
      <c r="N2181"/>
      <c r="O2181"/>
      <c r="P2181"/>
    </row>
    <row r="2182" spans="2:16">
      <c r="B2182"/>
      <c r="C2182"/>
      <c r="D2182"/>
      <c r="E2182"/>
      <c r="F2182"/>
      <c r="G2182"/>
      <c r="H2182"/>
      <c r="I2182"/>
      <c r="J2182"/>
      <c r="K2182"/>
      <c r="L2182"/>
      <c r="M2182"/>
      <c r="N2182"/>
      <c r="O2182"/>
      <c r="P2182"/>
    </row>
    <row r="2183" spans="2:16">
      <c r="B2183"/>
      <c r="C2183"/>
      <c r="D2183"/>
      <c r="E2183"/>
      <c r="F2183"/>
      <c r="G2183"/>
      <c r="H2183"/>
      <c r="I2183"/>
      <c r="J2183"/>
      <c r="K2183"/>
      <c r="L2183"/>
      <c r="M2183"/>
      <c r="N2183"/>
      <c r="O2183"/>
      <c r="P2183"/>
    </row>
    <row r="2184" spans="2:16">
      <c r="B2184"/>
      <c r="C2184"/>
      <c r="D2184"/>
      <c r="E2184"/>
      <c r="F2184"/>
      <c r="G2184"/>
      <c r="H2184"/>
      <c r="I2184"/>
      <c r="J2184"/>
      <c r="K2184"/>
      <c r="L2184"/>
      <c r="M2184"/>
      <c r="N2184"/>
      <c r="O2184"/>
      <c r="P2184"/>
    </row>
    <row r="2185" spans="2:16">
      <c r="B2185"/>
      <c r="C2185"/>
      <c r="D2185"/>
      <c r="E2185"/>
      <c r="F2185"/>
      <c r="G2185"/>
      <c r="H2185"/>
      <c r="I2185"/>
      <c r="J2185"/>
      <c r="K2185"/>
      <c r="L2185"/>
      <c r="M2185"/>
      <c r="N2185"/>
      <c r="O2185"/>
      <c r="P2185"/>
    </row>
    <row r="2186" spans="2:16">
      <c r="B2186"/>
      <c r="C2186"/>
      <c r="D2186"/>
      <c r="E2186"/>
      <c r="F2186"/>
      <c r="G2186"/>
      <c r="H2186"/>
      <c r="I2186"/>
      <c r="J2186"/>
      <c r="K2186"/>
      <c r="L2186"/>
      <c r="M2186"/>
      <c r="N2186"/>
      <c r="O2186"/>
      <c r="P2186"/>
    </row>
    <row r="2187" spans="2:16">
      <c r="B2187"/>
      <c r="C2187"/>
      <c r="D2187"/>
      <c r="E2187"/>
      <c r="F2187"/>
      <c r="G2187"/>
      <c r="H2187"/>
      <c r="I2187"/>
      <c r="J2187"/>
      <c r="K2187"/>
      <c r="L2187"/>
      <c r="M2187"/>
      <c r="N2187"/>
      <c r="O2187"/>
      <c r="P2187"/>
    </row>
    <row r="2188" spans="2:16">
      <c r="B2188"/>
      <c r="C2188"/>
      <c r="D2188"/>
      <c r="E2188"/>
      <c r="F2188"/>
      <c r="G2188"/>
      <c r="H2188"/>
      <c r="I2188"/>
      <c r="J2188"/>
      <c r="K2188"/>
      <c r="L2188"/>
      <c r="M2188"/>
      <c r="N2188"/>
      <c r="O2188"/>
      <c r="P2188"/>
    </row>
    <row r="2189" spans="2:16">
      <c r="B2189"/>
      <c r="C2189"/>
      <c r="D2189"/>
      <c r="E2189"/>
      <c r="F2189"/>
      <c r="G2189"/>
      <c r="H2189"/>
      <c r="I2189"/>
      <c r="J2189"/>
      <c r="K2189"/>
      <c r="L2189"/>
      <c r="M2189"/>
      <c r="N2189"/>
      <c r="O2189"/>
      <c r="P2189"/>
    </row>
    <row r="2190" spans="2:16">
      <c r="B2190"/>
      <c r="C2190"/>
      <c r="D2190"/>
      <c r="E2190"/>
      <c r="F2190"/>
      <c r="G2190"/>
      <c r="H2190"/>
      <c r="I2190"/>
      <c r="J2190"/>
      <c r="K2190"/>
      <c r="L2190"/>
      <c r="M2190"/>
      <c r="N2190"/>
      <c r="O2190"/>
      <c r="P2190"/>
    </row>
    <row r="2191" spans="2:16">
      <c r="B2191"/>
      <c r="C2191"/>
      <c r="D2191"/>
      <c r="E2191"/>
      <c r="F2191"/>
      <c r="G2191"/>
      <c r="H2191"/>
      <c r="I2191"/>
      <c r="J2191"/>
      <c r="K2191"/>
      <c r="L2191"/>
      <c r="M2191"/>
      <c r="N2191"/>
      <c r="O2191"/>
      <c r="P2191"/>
    </row>
    <row r="2192" spans="2:16">
      <c r="B2192"/>
      <c r="C2192"/>
      <c r="D2192"/>
      <c r="E2192"/>
      <c r="F2192"/>
      <c r="G2192"/>
      <c r="H2192"/>
      <c r="I2192"/>
      <c r="J2192"/>
      <c r="K2192"/>
      <c r="L2192"/>
      <c r="M2192"/>
      <c r="N2192"/>
      <c r="O2192"/>
      <c r="P2192"/>
    </row>
    <row r="2193" spans="2:16">
      <c r="B2193"/>
      <c r="C2193"/>
      <c r="D2193"/>
      <c r="E2193"/>
      <c r="F2193"/>
      <c r="G2193"/>
      <c r="H2193"/>
      <c r="I2193"/>
      <c r="J2193"/>
      <c r="K2193"/>
      <c r="L2193"/>
      <c r="M2193"/>
      <c r="N2193"/>
      <c r="O2193"/>
      <c r="P2193"/>
    </row>
    <row r="2194" spans="2:16">
      <c r="B2194"/>
      <c r="C2194"/>
      <c r="D2194"/>
      <c r="E2194"/>
      <c r="F2194"/>
      <c r="G2194"/>
      <c r="H2194"/>
      <c r="I2194"/>
      <c r="J2194"/>
      <c r="K2194"/>
      <c r="L2194"/>
      <c r="M2194"/>
      <c r="N2194"/>
      <c r="O2194"/>
      <c r="P2194"/>
    </row>
    <row r="2195" spans="2:16">
      <c r="B2195"/>
      <c r="C2195"/>
      <c r="D2195"/>
      <c r="E2195"/>
      <c r="F2195"/>
      <c r="G2195"/>
      <c r="H2195"/>
      <c r="I2195"/>
      <c r="J2195"/>
      <c r="K2195"/>
      <c r="L2195"/>
      <c r="M2195"/>
      <c r="N2195"/>
      <c r="O2195"/>
      <c r="P2195"/>
    </row>
    <row r="2196" spans="2:16">
      <c r="B2196"/>
      <c r="C2196"/>
      <c r="D2196"/>
      <c r="E2196"/>
      <c r="F2196"/>
      <c r="G2196"/>
      <c r="H2196"/>
      <c r="I2196"/>
      <c r="J2196"/>
      <c r="K2196"/>
      <c r="L2196"/>
      <c r="M2196"/>
      <c r="N2196"/>
      <c r="O2196"/>
      <c r="P2196"/>
    </row>
    <row r="2197" spans="2:16">
      <c r="B2197"/>
      <c r="C2197"/>
      <c r="D2197"/>
      <c r="E2197"/>
      <c r="F2197"/>
      <c r="G2197"/>
      <c r="H2197"/>
      <c r="I2197"/>
      <c r="J2197"/>
      <c r="K2197"/>
      <c r="L2197"/>
      <c r="M2197"/>
      <c r="N2197"/>
      <c r="O2197"/>
      <c r="P2197"/>
    </row>
    <row r="2198" spans="2:16">
      <c r="B2198"/>
      <c r="C2198"/>
      <c r="D2198"/>
      <c r="E2198"/>
      <c r="F2198"/>
      <c r="G2198"/>
      <c r="H2198"/>
      <c r="I2198"/>
      <c r="J2198"/>
      <c r="K2198"/>
      <c r="L2198"/>
      <c r="M2198"/>
      <c r="N2198"/>
      <c r="O2198"/>
      <c r="P2198"/>
    </row>
    <row r="2199" spans="2:16">
      <c r="B2199"/>
      <c r="C2199"/>
      <c r="D2199"/>
      <c r="E2199"/>
      <c r="F2199"/>
      <c r="G2199"/>
      <c r="H2199"/>
      <c r="I2199"/>
      <c r="J2199"/>
      <c r="K2199"/>
      <c r="L2199"/>
      <c r="M2199"/>
      <c r="N2199"/>
      <c r="O2199"/>
      <c r="P2199"/>
    </row>
    <row r="2200" spans="2:16">
      <c r="B2200"/>
      <c r="C2200"/>
      <c r="D2200"/>
      <c r="E2200"/>
      <c r="F2200"/>
      <c r="G2200"/>
      <c r="H2200"/>
      <c r="I2200"/>
      <c r="J2200"/>
      <c r="K2200"/>
      <c r="L2200"/>
      <c r="M2200"/>
      <c r="N2200"/>
      <c r="O2200"/>
      <c r="P2200"/>
    </row>
    <row r="2201" spans="2:16">
      <c r="B2201"/>
      <c r="C2201"/>
      <c r="D2201"/>
      <c r="E2201"/>
      <c r="F2201"/>
      <c r="G2201"/>
      <c r="H2201"/>
      <c r="I2201"/>
      <c r="J2201"/>
      <c r="K2201"/>
      <c r="L2201"/>
      <c r="M2201"/>
      <c r="N2201"/>
      <c r="O2201"/>
      <c r="P2201"/>
    </row>
    <row r="2202" spans="2:16">
      <c r="B2202"/>
      <c r="C2202"/>
      <c r="D2202"/>
      <c r="E2202"/>
      <c r="F2202"/>
      <c r="G2202"/>
      <c r="H2202"/>
      <c r="I2202"/>
      <c r="J2202"/>
      <c r="K2202"/>
      <c r="L2202"/>
      <c r="M2202"/>
      <c r="N2202"/>
      <c r="O2202"/>
      <c r="P2202"/>
    </row>
    <row r="2203" spans="2:16">
      <c r="B2203"/>
      <c r="C2203"/>
      <c r="D2203"/>
      <c r="E2203"/>
      <c r="F2203"/>
      <c r="G2203"/>
      <c r="H2203"/>
      <c r="I2203"/>
      <c r="J2203"/>
      <c r="K2203"/>
      <c r="L2203"/>
      <c r="M2203"/>
      <c r="N2203"/>
      <c r="O2203"/>
      <c r="P2203"/>
    </row>
    <row r="2204" spans="2:16">
      <c r="B2204"/>
      <c r="C2204"/>
      <c r="D2204"/>
      <c r="E2204"/>
      <c r="F2204"/>
      <c r="G2204"/>
      <c r="H2204"/>
      <c r="I2204"/>
      <c r="J2204"/>
      <c r="K2204"/>
      <c r="L2204"/>
      <c r="M2204"/>
      <c r="N2204"/>
      <c r="O2204"/>
      <c r="P2204"/>
    </row>
    <row r="2205" spans="2:16">
      <c r="B2205"/>
      <c r="C2205"/>
      <c r="D2205"/>
      <c r="E2205"/>
      <c r="F2205"/>
      <c r="G2205"/>
      <c r="H2205"/>
      <c r="I2205"/>
      <c r="J2205"/>
      <c r="K2205"/>
      <c r="L2205"/>
      <c r="M2205"/>
      <c r="N2205"/>
      <c r="O2205"/>
      <c r="P2205"/>
    </row>
    <row r="2206" spans="2:16">
      <c r="B2206"/>
      <c r="C2206"/>
      <c r="D2206"/>
      <c r="E2206"/>
      <c r="F2206"/>
      <c r="G2206"/>
      <c r="H2206"/>
      <c r="I2206"/>
      <c r="J2206"/>
      <c r="K2206"/>
      <c r="L2206"/>
      <c r="M2206"/>
      <c r="N2206"/>
      <c r="O2206"/>
      <c r="P2206"/>
    </row>
    <row r="2207" spans="2:16">
      <c r="B2207"/>
      <c r="C2207"/>
      <c r="D2207"/>
      <c r="E2207"/>
      <c r="F2207"/>
      <c r="G2207"/>
      <c r="H2207"/>
      <c r="I2207"/>
      <c r="J2207"/>
      <c r="K2207"/>
      <c r="L2207"/>
      <c r="M2207"/>
      <c r="N2207"/>
      <c r="O2207"/>
      <c r="P2207"/>
    </row>
    <row r="2208" spans="2:16">
      <c r="B2208"/>
      <c r="C2208"/>
      <c r="D2208"/>
      <c r="E2208"/>
      <c r="F2208"/>
      <c r="G2208"/>
      <c r="H2208"/>
      <c r="I2208"/>
      <c r="J2208"/>
      <c r="K2208"/>
      <c r="L2208"/>
      <c r="M2208"/>
      <c r="N2208"/>
      <c r="O2208"/>
      <c r="P2208"/>
    </row>
    <row r="2209" spans="2:16">
      <c r="B2209"/>
      <c r="C2209"/>
      <c r="D2209"/>
      <c r="E2209"/>
      <c r="F2209"/>
      <c r="G2209"/>
      <c r="H2209"/>
      <c r="I2209"/>
      <c r="J2209"/>
      <c r="K2209"/>
      <c r="L2209"/>
      <c r="M2209"/>
      <c r="N2209"/>
      <c r="O2209"/>
      <c r="P2209"/>
    </row>
    <row r="2210" spans="2:16">
      <c r="B2210"/>
      <c r="C2210"/>
      <c r="D2210"/>
      <c r="E2210"/>
      <c r="F2210"/>
      <c r="G2210"/>
      <c r="H2210"/>
      <c r="I2210"/>
      <c r="J2210"/>
      <c r="K2210"/>
      <c r="L2210"/>
      <c r="M2210"/>
      <c r="N2210"/>
      <c r="O2210"/>
      <c r="P2210"/>
    </row>
    <row r="2211" spans="2:16">
      <c r="B2211"/>
      <c r="C2211"/>
      <c r="D2211"/>
      <c r="E2211"/>
      <c r="F2211"/>
      <c r="G2211"/>
      <c r="H2211"/>
      <c r="I2211"/>
      <c r="J2211"/>
      <c r="K2211"/>
      <c r="L2211"/>
      <c r="M2211"/>
      <c r="N2211"/>
      <c r="O2211"/>
      <c r="P2211"/>
    </row>
    <row r="2212" spans="2:16">
      <c r="B2212"/>
      <c r="C2212"/>
      <c r="D2212"/>
      <c r="E2212"/>
      <c r="F2212"/>
      <c r="G2212"/>
      <c r="H2212"/>
      <c r="I2212"/>
      <c r="J2212"/>
      <c r="K2212"/>
      <c r="L2212"/>
      <c r="M2212"/>
      <c r="N2212"/>
      <c r="O2212"/>
      <c r="P2212"/>
    </row>
    <row r="2213" spans="2:16">
      <c r="B2213"/>
      <c r="C2213"/>
      <c r="D2213"/>
      <c r="E2213"/>
      <c r="F2213"/>
      <c r="G2213"/>
      <c r="H2213"/>
      <c r="I2213"/>
      <c r="J2213"/>
      <c r="K2213"/>
      <c r="L2213"/>
      <c r="M2213"/>
      <c r="N2213"/>
      <c r="O2213"/>
      <c r="P2213"/>
    </row>
    <row r="2214" spans="2:16">
      <c r="B2214"/>
      <c r="C2214"/>
      <c r="D2214"/>
      <c r="E2214"/>
      <c r="F2214"/>
      <c r="G2214"/>
      <c r="H2214"/>
      <c r="I2214"/>
      <c r="J2214"/>
      <c r="K2214"/>
      <c r="L2214"/>
      <c r="M2214"/>
      <c r="N2214"/>
      <c r="O2214"/>
      <c r="P2214"/>
    </row>
    <row r="2215" spans="2:16">
      <c r="B2215"/>
      <c r="C2215"/>
      <c r="D2215"/>
      <c r="E2215"/>
      <c r="F2215"/>
      <c r="G2215"/>
      <c r="H2215"/>
      <c r="I2215"/>
      <c r="J2215"/>
      <c r="K2215"/>
      <c r="L2215"/>
      <c r="M2215"/>
      <c r="N2215"/>
      <c r="O2215"/>
      <c r="P2215"/>
    </row>
    <row r="2216" spans="2:16">
      <c r="B2216"/>
      <c r="C2216"/>
      <c r="D2216"/>
      <c r="E2216"/>
      <c r="F2216"/>
      <c r="G2216"/>
      <c r="H2216"/>
      <c r="I2216"/>
      <c r="J2216"/>
      <c r="K2216"/>
      <c r="L2216"/>
      <c r="M2216"/>
      <c r="N2216"/>
      <c r="O2216"/>
      <c r="P2216"/>
    </row>
    <row r="2217" spans="2:16">
      <c r="B2217"/>
      <c r="C2217"/>
      <c r="D2217"/>
      <c r="E2217"/>
      <c r="F2217"/>
      <c r="G2217"/>
      <c r="H2217"/>
      <c r="I2217"/>
      <c r="J2217"/>
      <c r="K2217"/>
      <c r="L2217"/>
      <c r="M2217"/>
      <c r="N2217"/>
      <c r="O2217"/>
      <c r="P2217"/>
    </row>
    <row r="2218" spans="2:16">
      <c r="B2218"/>
      <c r="C2218"/>
      <c r="D2218"/>
      <c r="E2218"/>
      <c r="F2218"/>
      <c r="G2218"/>
      <c r="H2218"/>
      <c r="I2218"/>
      <c r="J2218"/>
      <c r="K2218"/>
      <c r="L2218"/>
      <c r="M2218"/>
      <c r="N2218"/>
      <c r="O2218"/>
      <c r="P2218"/>
    </row>
    <row r="2219" spans="2:16">
      <c r="B2219"/>
      <c r="C2219"/>
      <c r="D2219"/>
      <c r="E2219"/>
      <c r="F2219"/>
      <c r="G2219"/>
      <c r="H2219"/>
      <c r="I2219"/>
      <c r="J2219"/>
      <c r="K2219"/>
      <c r="L2219"/>
      <c r="M2219"/>
      <c r="N2219"/>
      <c r="O2219"/>
      <c r="P2219"/>
    </row>
    <row r="2220" spans="2:16">
      <c r="B2220"/>
      <c r="C2220"/>
      <c r="D2220"/>
      <c r="E2220"/>
      <c r="F2220"/>
      <c r="G2220"/>
      <c r="H2220"/>
      <c r="I2220"/>
      <c r="J2220"/>
      <c r="K2220"/>
      <c r="L2220"/>
      <c r="M2220"/>
      <c r="N2220"/>
      <c r="O2220"/>
      <c r="P2220"/>
    </row>
    <row r="2221" spans="2:16">
      <c r="B2221"/>
      <c r="C2221"/>
      <c r="D2221"/>
      <c r="E2221"/>
      <c r="F2221"/>
      <c r="G2221"/>
      <c r="H2221"/>
      <c r="I2221"/>
      <c r="J2221"/>
      <c r="K2221"/>
      <c r="L2221"/>
      <c r="M2221"/>
      <c r="N2221"/>
      <c r="O2221"/>
      <c r="P2221"/>
    </row>
    <row r="2222" spans="2:16">
      <c r="B2222"/>
      <c r="C2222"/>
      <c r="D2222"/>
      <c r="E2222"/>
      <c r="F2222"/>
      <c r="G2222"/>
      <c r="H2222"/>
      <c r="I2222"/>
      <c r="J2222"/>
      <c r="K2222"/>
      <c r="L2222"/>
      <c r="M2222"/>
      <c r="N2222"/>
      <c r="O2222"/>
      <c r="P2222"/>
    </row>
    <row r="2223" spans="2:16">
      <c r="B2223"/>
      <c r="C2223"/>
      <c r="D2223"/>
      <c r="E2223"/>
      <c r="F2223"/>
      <c r="G2223"/>
      <c r="H2223"/>
      <c r="I2223"/>
      <c r="J2223"/>
      <c r="K2223"/>
      <c r="L2223"/>
      <c r="M2223"/>
      <c r="N2223"/>
      <c r="O2223"/>
      <c r="P2223"/>
    </row>
    <row r="2224" spans="2:16">
      <c r="B2224"/>
      <c r="C2224"/>
      <c r="D2224"/>
      <c r="E2224"/>
      <c r="F2224"/>
      <c r="G2224"/>
      <c r="H2224"/>
      <c r="I2224"/>
      <c r="J2224"/>
      <c r="K2224"/>
      <c r="L2224"/>
      <c r="M2224"/>
      <c r="N2224"/>
      <c r="O2224"/>
      <c r="P2224"/>
    </row>
    <row r="2225" spans="2:16">
      <c r="B2225"/>
      <c r="C2225"/>
      <c r="D2225"/>
      <c r="E2225"/>
      <c r="F2225"/>
      <c r="G2225"/>
      <c r="H2225"/>
      <c r="I2225"/>
      <c r="J2225"/>
      <c r="K2225"/>
      <c r="L2225"/>
      <c r="M2225"/>
      <c r="N2225"/>
      <c r="O2225"/>
      <c r="P2225"/>
    </row>
    <row r="2226" spans="2:16">
      <c r="B2226"/>
      <c r="C2226"/>
      <c r="D2226"/>
      <c r="E2226"/>
      <c r="F2226"/>
      <c r="G2226"/>
      <c r="H2226"/>
      <c r="I2226"/>
      <c r="J2226"/>
      <c r="K2226"/>
      <c r="L2226"/>
      <c r="M2226"/>
      <c r="N2226"/>
      <c r="O2226"/>
      <c r="P2226"/>
    </row>
    <row r="2227" spans="2:16">
      <c r="B2227"/>
      <c r="C2227"/>
      <c r="D2227"/>
      <c r="E2227"/>
      <c r="F2227"/>
      <c r="G2227"/>
      <c r="H2227"/>
      <c r="I2227"/>
      <c r="J2227"/>
      <c r="K2227"/>
      <c r="L2227"/>
      <c r="M2227"/>
      <c r="N2227"/>
      <c r="O2227"/>
      <c r="P2227"/>
    </row>
    <row r="2228" spans="2:16">
      <c r="B2228"/>
      <c r="C2228"/>
      <c r="D2228"/>
      <c r="E2228"/>
      <c r="F2228"/>
      <c r="G2228"/>
      <c r="H2228"/>
      <c r="I2228"/>
      <c r="J2228"/>
      <c r="K2228"/>
      <c r="L2228"/>
      <c r="M2228"/>
      <c r="N2228"/>
      <c r="O2228"/>
      <c r="P2228"/>
    </row>
    <row r="2229" spans="2:16">
      <c r="B2229"/>
      <c r="C2229"/>
      <c r="D2229"/>
      <c r="E2229"/>
      <c r="F2229"/>
      <c r="G2229"/>
      <c r="H2229"/>
      <c r="I2229"/>
      <c r="J2229"/>
      <c r="K2229"/>
      <c r="L2229"/>
      <c r="M2229"/>
      <c r="N2229"/>
      <c r="O2229"/>
      <c r="P2229"/>
    </row>
    <row r="2230" spans="2:16">
      <c r="B2230"/>
      <c r="C2230"/>
      <c r="D2230"/>
      <c r="E2230"/>
      <c r="F2230"/>
      <c r="G2230"/>
      <c r="H2230"/>
      <c r="I2230"/>
      <c r="J2230"/>
      <c r="K2230"/>
      <c r="L2230"/>
      <c r="M2230"/>
      <c r="N2230"/>
      <c r="O2230"/>
      <c r="P2230"/>
    </row>
    <row r="2231" spans="2:16">
      <c r="B2231"/>
      <c r="C2231"/>
      <c r="D2231"/>
      <c r="E2231"/>
      <c r="F2231"/>
      <c r="G2231"/>
      <c r="H2231"/>
      <c r="I2231"/>
      <c r="J2231"/>
      <c r="K2231"/>
      <c r="L2231"/>
      <c r="M2231"/>
      <c r="N2231"/>
      <c r="O2231"/>
      <c r="P2231"/>
    </row>
    <row r="2232" spans="2:16">
      <c r="B2232"/>
      <c r="C2232"/>
      <c r="D2232"/>
      <c r="E2232"/>
      <c r="F2232"/>
      <c r="G2232"/>
      <c r="H2232"/>
      <c r="I2232"/>
      <c r="J2232"/>
      <c r="K2232"/>
      <c r="L2232"/>
      <c r="M2232"/>
      <c r="N2232"/>
      <c r="O2232"/>
      <c r="P2232"/>
    </row>
    <row r="2233" spans="2:16">
      <c r="B2233"/>
      <c r="C2233"/>
      <c r="D2233"/>
      <c r="E2233"/>
      <c r="F2233"/>
      <c r="G2233"/>
      <c r="H2233"/>
      <c r="I2233"/>
      <c r="J2233"/>
      <c r="K2233"/>
      <c r="L2233"/>
      <c r="M2233"/>
      <c r="N2233"/>
      <c r="O2233"/>
      <c r="P2233"/>
    </row>
    <row r="2234" spans="2:16">
      <c r="B2234"/>
      <c r="C2234"/>
      <c r="D2234"/>
      <c r="E2234"/>
      <c r="F2234"/>
      <c r="G2234"/>
      <c r="H2234"/>
      <c r="I2234"/>
      <c r="J2234"/>
      <c r="K2234"/>
      <c r="L2234"/>
      <c r="M2234"/>
      <c r="N2234"/>
      <c r="O2234"/>
      <c r="P2234"/>
    </row>
    <row r="2235" spans="2:16">
      <c r="B2235"/>
      <c r="C2235"/>
      <c r="D2235"/>
      <c r="E2235"/>
      <c r="F2235"/>
      <c r="G2235"/>
      <c r="H2235"/>
      <c r="I2235"/>
      <c r="J2235"/>
      <c r="K2235"/>
      <c r="L2235"/>
      <c r="M2235"/>
      <c r="N2235"/>
      <c r="O2235"/>
      <c r="P2235"/>
    </row>
    <row r="2236" spans="2:16">
      <c r="B2236"/>
      <c r="C2236"/>
      <c r="D2236"/>
      <c r="E2236"/>
      <c r="F2236"/>
      <c r="G2236"/>
      <c r="H2236"/>
      <c r="I2236"/>
      <c r="J2236"/>
      <c r="K2236"/>
      <c r="L2236"/>
      <c r="M2236"/>
      <c r="N2236"/>
      <c r="O2236"/>
      <c r="P2236"/>
    </row>
    <row r="2237" spans="2:16">
      <c r="B2237"/>
      <c r="C2237"/>
      <c r="D2237"/>
      <c r="E2237"/>
      <c r="F2237"/>
      <c r="G2237"/>
      <c r="H2237"/>
      <c r="I2237"/>
      <c r="J2237"/>
      <c r="K2237"/>
      <c r="L2237"/>
      <c r="M2237"/>
      <c r="N2237"/>
      <c r="O2237"/>
      <c r="P2237"/>
    </row>
    <row r="2238" spans="2:16">
      <c r="B2238"/>
      <c r="C2238"/>
      <c r="D2238"/>
      <c r="E2238"/>
      <c r="F2238"/>
      <c r="G2238"/>
      <c r="H2238"/>
      <c r="I2238"/>
      <c r="J2238"/>
      <c r="K2238"/>
      <c r="L2238"/>
      <c r="M2238"/>
      <c r="N2238"/>
      <c r="O2238"/>
      <c r="P2238"/>
    </row>
    <row r="2239" spans="2:16">
      <c r="B2239"/>
      <c r="C2239"/>
      <c r="D2239"/>
      <c r="E2239"/>
      <c r="F2239"/>
      <c r="G2239"/>
      <c r="H2239"/>
      <c r="I2239"/>
      <c r="J2239"/>
      <c r="K2239"/>
      <c r="L2239"/>
      <c r="M2239"/>
      <c r="N2239"/>
      <c r="O2239"/>
      <c r="P2239"/>
    </row>
    <row r="2240" spans="2:16">
      <c r="B2240"/>
      <c r="C2240"/>
      <c r="D2240"/>
      <c r="E2240"/>
      <c r="F2240"/>
      <c r="G2240"/>
      <c r="H2240"/>
      <c r="I2240"/>
      <c r="J2240"/>
      <c r="K2240"/>
      <c r="L2240"/>
      <c r="M2240"/>
      <c r="N2240"/>
      <c r="O2240"/>
      <c r="P2240"/>
    </row>
    <row r="2241" spans="2:16">
      <c r="B2241"/>
      <c r="C2241"/>
      <c r="D2241"/>
      <c r="E2241"/>
      <c r="F2241"/>
      <c r="G2241"/>
      <c r="H2241"/>
      <c r="I2241"/>
      <c r="J2241"/>
      <c r="K2241"/>
      <c r="L2241"/>
      <c r="M2241"/>
      <c r="N2241"/>
      <c r="O2241"/>
      <c r="P2241"/>
    </row>
    <row r="2242" spans="2:16">
      <c r="B2242"/>
      <c r="C2242"/>
      <c r="D2242"/>
      <c r="E2242"/>
      <c r="F2242"/>
      <c r="G2242"/>
      <c r="H2242"/>
      <c r="I2242"/>
      <c r="J2242"/>
      <c r="K2242"/>
      <c r="L2242"/>
      <c r="M2242"/>
      <c r="N2242"/>
      <c r="O2242"/>
      <c r="P2242"/>
    </row>
    <row r="2243" spans="2:16">
      <c r="B2243"/>
      <c r="C2243"/>
      <c r="D2243"/>
      <c r="E2243"/>
      <c r="F2243"/>
      <c r="G2243"/>
      <c r="H2243"/>
      <c r="I2243"/>
      <c r="J2243"/>
      <c r="K2243"/>
      <c r="L2243"/>
      <c r="M2243"/>
      <c r="N2243"/>
      <c r="O2243"/>
      <c r="P2243"/>
    </row>
    <row r="2244" spans="2:16">
      <c r="B2244"/>
      <c r="C2244"/>
      <c r="D2244"/>
      <c r="E2244"/>
      <c r="F2244"/>
      <c r="G2244"/>
      <c r="H2244"/>
      <c r="I2244"/>
      <c r="J2244"/>
      <c r="K2244"/>
      <c r="L2244"/>
      <c r="M2244"/>
      <c r="N2244"/>
      <c r="O2244"/>
      <c r="P2244"/>
    </row>
    <row r="2245" spans="2:16">
      <c r="B2245"/>
      <c r="C2245"/>
      <c r="D2245"/>
      <c r="E2245"/>
      <c r="F2245"/>
      <c r="G2245"/>
      <c r="H2245"/>
      <c r="I2245"/>
      <c r="J2245"/>
      <c r="K2245"/>
      <c r="L2245"/>
      <c r="M2245"/>
      <c r="N2245"/>
      <c r="O2245"/>
      <c r="P2245"/>
    </row>
    <row r="2246" spans="2:16">
      <c r="B2246"/>
      <c r="C2246"/>
      <c r="D2246"/>
      <c r="E2246"/>
      <c r="F2246"/>
      <c r="G2246"/>
      <c r="H2246"/>
      <c r="I2246"/>
      <c r="J2246"/>
      <c r="K2246"/>
      <c r="L2246"/>
      <c r="M2246"/>
      <c r="N2246"/>
      <c r="O2246"/>
      <c r="P2246"/>
    </row>
    <row r="2247" spans="2:16">
      <c r="B2247"/>
      <c r="C2247"/>
      <c r="D2247"/>
      <c r="E2247"/>
      <c r="F2247"/>
      <c r="G2247"/>
      <c r="H2247"/>
      <c r="I2247"/>
      <c r="J2247"/>
      <c r="K2247"/>
      <c r="L2247"/>
      <c r="M2247"/>
      <c r="N2247"/>
      <c r="O2247"/>
      <c r="P2247"/>
    </row>
    <row r="2248" spans="2:16">
      <c r="B2248"/>
      <c r="C2248"/>
      <c r="D2248"/>
      <c r="E2248"/>
      <c r="F2248"/>
      <c r="G2248"/>
      <c r="H2248"/>
      <c r="I2248"/>
      <c r="J2248"/>
      <c r="K2248"/>
      <c r="L2248"/>
      <c r="M2248"/>
      <c r="N2248"/>
      <c r="O2248"/>
      <c r="P2248"/>
    </row>
    <row r="2249" spans="2:16">
      <c r="B2249"/>
      <c r="C2249"/>
      <c r="D2249"/>
      <c r="E2249"/>
      <c r="F2249"/>
      <c r="G2249"/>
      <c r="H2249"/>
      <c r="I2249"/>
      <c r="J2249"/>
      <c r="K2249"/>
      <c r="L2249"/>
      <c r="M2249"/>
      <c r="N2249"/>
      <c r="O2249"/>
      <c r="P2249"/>
    </row>
    <row r="2250" spans="2:16">
      <c r="B2250"/>
      <c r="C2250"/>
      <c r="D2250"/>
      <c r="E2250"/>
      <c r="F2250"/>
      <c r="G2250"/>
      <c r="H2250"/>
      <c r="I2250"/>
      <c r="J2250"/>
      <c r="K2250"/>
      <c r="L2250"/>
      <c r="M2250"/>
      <c r="N2250"/>
      <c r="O2250"/>
      <c r="P2250"/>
    </row>
    <row r="2251" spans="2:16">
      <c r="B2251"/>
      <c r="C2251"/>
      <c r="D2251"/>
      <c r="E2251"/>
      <c r="F2251"/>
      <c r="G2251"/>
      <c r="H2251"/>
      <c r="I2251"/>
      <c r="J2251"/>
      <c r="K2251"/>
      <c r="L2251"/>
      <c r="M2251"/>
      <c r="N2251"/>
      <c r="O2251"/>
      <c r="P2251"/>
    </row>
    <row r="2252" spans="2:16">
      <c r="B2252"/>
      <c r="C2252"/>
      <c r="D2252"/>
      <c r="E2252"/>
      <c r="F2252"/>
      <c r="G2252"/>
      <c r="H2252"/>
      <c r="I2252"/>
      <c r="J2252"/>
      <c r="K2252"/>
      <c r="L2252"/>
      <c r="M2252"/>
      <c r="N2252"/>
      <c r="O2252"/>
      <c r="P2252"/>
    </row>
    <row r="2253" spans="2:16">
      <c r="B2253"/>
      <c r="C2253"/>
      <c r="D2253"/>
      <c r="E2253"/>
      <c r="F2253"/>
      <c r="G2253"/>
      <c r="H2253"/>
      <c r="I2253"/>
      <c r="J2253"/>
      <c r="K2253"/>
      <c r="L2253"/>
      <c r="M2253"/>
      <c r="N2253"/>
      <c r="O2253"/>
      <c r="P2253"/>
    </row>
    <row r="2254" spans="2:16">
      <c r="B2254"/>
      <c r="C2254"/>
      <c r="D2254"/>
      <c r="E2254"/>
      <c r="F2254"/>
      <c r="G2254"/>
      <c r="H2254"/>
      <c r="I2254"/>
      <c r="J2254"/>
      <c r="K2254"/>
      <c r="L2254"/>
      <c r="M2254"/>
      <c r="N2254"/>
      <c r="O2254"/>
      <c r="P2254"/>
    </row>
    <row r="2255" spans="2:16">
      <c r="B2255"/>
      <c r="C2255"/>
      <c r="D2255"/>
      <c r="E2255"/>
      <c r="F2255"/>
      <c r="G2255"/>
      <c r="H2255"/>
      <c r="I2255"/>
      <c r="J2255"/>
      <c r="K2255"/>
      <c r="L2255"/>
      <c r="M2255"/>
      <c r="N2255"/>
      <c r="O2255"/>
      <c r="P2255"/>
    </row>
    <row r="2256" spans="2:16">
      <c r="B2256"/>
      <c r="C2256"/>
      <c r="D2256"/>
      <c r="E2256"/>
      <c r="F2256"/>
      <c r="G2256"/>
      <c r="H2256"/>
      <c r="I2256"/>
      <c r="J2256"/>
      <c r="K2256"/>
      <c r="L2256"/>
      <c r="M2256"/>
      <c r="N2256"/>
      <c r="O2256"/>
      <c r="P2256"/>
    </row>
    <row r="2257" spans="2:16">
      <c r="B2257"/>
      <c r="C2257"/>
      <c r="D2257"/>
      <c r="E2257"/>
      <c r="F2257"/>
      <c r="G2257"/>
      <c r="H2257"/>
      <c r="I2257"/>
      <c r="J2257"/>
      <c r="K2257"/>
      <c r="L2257"/>
      <c r="M2257"/>
      <c r="N2257"/>
      <c r="O2257"/>
      <c r="P2257"/>
    </row>
    <row r="2258" spans="2:16">
      <c r="B2258"/>
      <c r="C2258"/>
      <c r="D2258"/>
      <c r="E2258"/>
      <c r="F2258"/>
      <c r="G2258"/>
      <c r="H2258"/>
      <c r="I2258"/>
      <c r="J2258"/>
      <c r="K2258"/>
      <c r="L2258"/>
      <c r="M2258"/>
      <c r="N2258"/>
      <c r="O2258"/>
      <c r="P2258"/>
    </row>
    <row r="2259" spans="2:16">
      <c r="B2259"/>
      <c r="C2259"/>
      <c r="D2259"/>
      <c r="E2259"/>
      <c r="F2259"/>
      <c r="G2259"/>
      <c r="H2259"/>
      <c r="I2259"/>
      <c r="J2259"/>
      <c r="K2259"/>
      <c r="L2259"/>
      <c r="M2259"/>
      <c r="N2259"/>
      <c r="O2259"/>
      <c r="P2259"/>
    </row>
    <row r="2260" spans="2:16">
      <c r="B2260"/>
      <c r="C2260"/>
      <c r="D2260"/>
      <c r="E2260"/>
      <c r="F2260"/>
      <c r="G2260"/>
      <c r="H2260"/>
      <c r="I2260"/>
      <c r="J2260"/>
      <c r="K2260"/>
      <c r="L2260"/>
      <c r="M2260"/>
      <c r="N2260"/>
      <c r="O2260"/>
      <c r="P2260"/>
    </row>
    <row r="2261" spans="2:16">
      <c r="B2261"/>
      <c r="C2261"/>
      <c r="D2261"/>
      <c r="E2261"/>
      <c r="F2261"/>
      <c r="G2261"/>
      <c r="H2261"/>
      <c r="I2261"/>
      <c r="J2261"/>
      <c r="K2261"/>
      <c r="L2261"/>
      <c r="M2261"/>
      <c r="N2261"/>
      <c r="O2261"/>
      <c r="P2261"/>
    </row>
    <row r="2262" spans="2:16">
      <c r="B2262"/>
      <c r="C2262"/>
      <c r="D2262"/>
      <c r="E2262"/>
      <c r="F2262"/>
      <c r="G2262"/>
      <c r="H2262"/>
      <c r="I2262"/>
      <c r="J2262"/>
      <c r="K2262"/>
      <c r="L2262"/>
      <c r="M2262"/>
      <c r="N2262"/>
      <c r="O2262"/>
      <c r="P2262"/>
    </row>
    <row r="2263" spans="2:16">
      <c r="B2263"/>
      <c r="C2263"/>
      <c r="D2263"/>
      <c r="E2263"/>
      <c r="F2263"/>
      <c r="G2263"/>
      <c r="H2263"/>
      <c r="I2263"/>
      <c r="J2263"/>
      <c r="K2263"/>
      <c r="L2263"/>
      <c r="M2263"/>
      <c r="N2263"/>
      <c r="O2263"/>
      <c r="P2263"/>
    </row>
    <row r="2264" spans="2:16">
      <c r="B2264"/>
      <c r="C2264"/>
      <c r="D2264"/>
      <c r="E2264"/>
      <c r="F2264"/>
      <c r="G2264"/>
      <c r="H2264"/>
      <c r="I2264"/>
      <c r="J2264"/>
      <c r="K2264"/>
      <c r="L2264"/>
      <c r="M2264"/>
      <c r="N2264"/>
      <c r="O2264"/>
      <c r="P2264"/>
    </row>
    <row r="2265" spans="2:16">
      <c r="B2265"/>
      <c r="C2265"/>
      <c r="D2265"/>
      <c r="E2265"/>
      <c r="F2265"/>
      <c r="G2265"/>
      <c r="H2265"/>
      <c r="I2265"/>
      <c r="J2265"/>
      <c r="K2265"/>
      <c r="L2265"/>
      <c r="M2265"/>
      <c r="N2265"/>
      <c r="O2265"/>
      <c r="P2265"/>
    </row>
    <row r="2266" spans="2:16">
      <c r="B2266"/>
      <c r="C2266"/>
      <c r="D2266"/>
      <c r="E2266"/>
      <c r="F2266"/>
      <c r="G2266"/>
      <c r="H2266"/>
      <c r="I2266"/>
      <c r="J2266"/>
      <c r="K2266"/>
      <c r="L2266"/>
      <c r="M2266"/>
      <c r="N2266"/>
      <c r="O2266"/>
      <c r="P2266"/>
    </row>
    <row r="2267" spans="2:16">
      <c r="B2267"/>
      <c r="C2267"/>
      <c r="D2267"/>
      <c r="E2267"/>
      <c r="F2267"/>
      <c r="G2267"/>
      <c r="H2267"/>
      <c r="I2267"/>
      <c r="J2267"/>
      <c r="K2267"/>
      <c r="L2267"/>
      <c r="M2267"/>
      <c r="N2267"/>
      <c r="O2267"/>
      <c r="P2267"/>
    </row>
    <row r="2268" spans="2:16">
      <c r="B2268"/>
      <c r="C2268"/>
      <c r="D2268"/>
      <c r="E2268"/>
      <c r="F2268"/>
      <c r="G2268"/>
      <c r="H2268"/>
      <c r="I2268"/>
      <c r="J2268"/>
      <c r="K2268"/>
      <c r="L2268"/>
      <c r="M2268"/>
      <c r="N2268"/>
      <c r="O2268"/>
      <c r="P2268"/>
    </row>
    <row r="2269" spans="2:16">
      <c r="B2269"/>
      <c r="C2269"/>
      <c r="D2269"/>
      <c r="E2269"/>
      <c r="F2269"/>
      <c r="G2269"/>
      <c r="H2269"/>
      <c r="I2269"/>
      <c r="J2269"/>
      <c r="K2269"/>
      <c r="L2269"/>
      <c r="M2269"/>
      <c r="N2269"/>
      <c r="O2269"/>
      <c r="P2269"/>
    </row>
    <row r="2270" spans="2:16">
      <c r="B2270"/>
      <c r="C2270"/>
      <c r="D2270"/>
      <c r="E2270"/>
      <c r="F2270"/>
      <c r="G2270"/>
      <c r="H2270"/>
      <c r="I2270"/>
      <c r="J2270"/>
      <c r="K2270"/>
      <c r="L2270"/>
      <c r="M2270"/>
      <c r="N2270"/>
      <c r="O2270"/>
      <c r="P2270"/>
    </row>
    <row r="2271" spans="2:16">
      <c r="B2271"/>
      <c r="C2271"/>
      <c r="D2271"/>
      <c r="E2271"/>
      <c r="F2271"/>
      <c r="G2271"/>
      <c r="H2271"/>
      <c r="I2271"/>
      <c r="J2271"/>
      <c r="K2271"/>
      <c r="L2271"/>
      <c r="M2271"/>
      <c r="N2271"/>
      <c r="O2271"/>
      <c r="P2271"/>
    </row>
    <row r="2272" spans="2:16">
      <c r="B2272"/>
      <c r="C2272"/>
      <c r="D2272"/>
      <c r="E2272"/>
      <c r="F2272"/>
      <c r="G2272"/>
      <c r="H2272"/>
      <c r="I2272"/>
      <c r="J2272"/>
      <c r="K2272"/>
      <c r="L2272"/>
      <c r="M2272"/>
      <c r="N2272"/>
      <c r="O2272"/>
      <c r="P2272"/>
    </row>
    <row r="2273" spans="2:16">
      <c r="B2273"/>
      <c r="C2273"/>
      <c r="D2273"/>
      <c r="E2273"/>
      <c r="F2273"/>
      <c r="G2273"/>
      <c r="H2273"/>
      <c r="I2273"/>
      <c r="J2273"/>
      <c r="K2273"/>
      <c r="L2273"/>
      <c r="M2273"/>
      <c r="N2273"/>
      <c r="O2273"/>
      <c r="P2273"/>
    </row>
    <row r="2274" spans="2:16">
      <c r="B2274"/>
      <c r="C2274"/>
      <c r="D2274"/>
      <c r="E2274"/>
      <c r="F2274"/>
      <c r="G2274"/>
      <c r="H2274"/>
      <c r="I2274"/>
      <c r="J2274"/>
      <c r="K2274"/>
      <c r="L2274"/>
      <c r="M2274"/>
      <c r="N2274"/>
      <c r="O2274"/>
      <c r="P2274"/>
    </row>
    <row r="2275" spans="2:16">
      <c r="B2275"/>
      <c r="C2275"/>
      <c r="D2275"/>
      <c r="E2275"/>
      <c r="F2275"/>
      <c r="G2275"/>
      <c r="H2275"/>
      <c r="I2275"/>
      <c r="J2275"/>
      <c r="K2275"/>
      <c r="L2275"/>
      <c r="M2275"/>
      <c r="N2275"/>
      <c r="O2275"/>
      <c r="P2275"/>
    </row>
    <row r="2276" spans="2:16">
      <c r="B2276"/>
      <c r="C2276"/>
      <c r="D2276"/>
      <c r="E2276"/>
      <c r="F2276"/>
      <c r="G2276"/>
      <c r="H2276"/>
      <c r="I2276"/>
      <c r="J2276"/>
      <c r="K2276"/>
      <c r="L2276"/>
      <c r="M2276"/>
      <c r="N2276"/>
      <c r="O2276"/>
      <c r="P2276"/>
    </row>
    <row r="2277" spans="2:16">
      <c r="B2277"/>
      <c r="C2277"/>
      <c r="D2277"/>
      <c r="E2277"/>
      <c r="F2277"/>
      <c r="G2277"/>
      <c r="H2277"/>
      <c r="I2277"/>
      <c r="J2277"/>
      <c r="K2277"/>
      <c r="L2277"/>
      <c r="M2277"/>
      <c r="N2277"/>
      <c r="O2277"/>
      <c r="P2277"/>
    </row>
    <row r="2278" spans="2:16">
      <c r="B2278"/>
      <c r="C2278"/>
      <c r="D2278"/>
      <c r="E2278"/>
      <c r="F2278"/>
      <c r="G2278"/>
      <c r="H2278"/>
      <c r="I2278"/>
      <c r="J2278"/>
      <c r="K2278"/>
      <c r="L2278"/>
      <c r="M2278"/>
      <c r="N2278"/>
      <c r="O2278"/>
      <c r="P2278"/>
    </row>
    <row r="2279" spans="2:16">
      <c r="B2279"/>
      <c r="C2279"/>
      <c r="D2279"/>
      <c r="E2279"/>
      <c r="F2279"/>
      <c r="G2279"/>
      <c r="H2279"/>
      <c r="I2279"/>
      <c r="J2279"/>
      <c r="K2279"/>
      <c r="L2279"/>
      <c r="M2279"/>
      <c r="N2279"/>
      <c r="O2279"/>
      <c r="P2279"/>
    </row>
    <row r="2280" spans="2:16">
      <c r="B2280"/>
      <c r="C2280"/>
      <c r="D2280"/>
      <c r="E2280"/>
      <c r="F2280"/>
      <c r="G2280"/>
      <c r="H2280"/>
      <c r="I2280"/>
      <c r="J2280"/>
      <c r="K2280"/>
      <c r="L2280"/>
      <c r="M2280"/>
      <c r="N2280"/>
      <c r="O2280"/>
      <c r="P2280"/>
    </row>
    <row r="2281" spans="2:16">
      <c r="B2281"/>
      <c r="C2281"/>
      <c r="D2281"/>
      <c r="E2281"/>
      <c r="F2281"/>
      <c r="G2281"/>
      <c r="H2281"/>
      <c r="I2281"/>
      <c r="J2281"/>
      <c r="K2281"/>
      <c r="L2281"/>
      <c r="M2281"/>
      <c r="N2281"/>
      <c r="O2281"/>
      <c r="P2281"/>
    </row>
    <row r="2282" spans="2:16">
      <c r="B2282"/>
      <c r="C2282"/>
      <c r="D2282"/>
      <c r="E2282"/>
      <c r="F2282"/>
      <c r="G2282"/>
      <c r="H2282"/>
      <c r="I2282"/>
      <c r="J2282"/>
      <c r="K2282"/>
      <c r="L2282"/>
      <c r="M2282"/>
      <c r="N2282"/>
      <c r="O2282"/>
      <c r="P2282"/>
    </row>
    <row r="2283" spans="2:16">
      <c r="B2283"/>
      <c r="C2283"/>
      <c r="D2283"/>
      <c r="E2283"/>
      <c r="F2283"/>
      <c r="G2283"/>
      <c r="H2283"/>
      <c r="I2283"/>
      <c r="J2283"/>
      <c r="K2283"/>
      <c r="L2283"/>
      <c r="M2283"/>
      <c r="N2283"/>
      <c r="O2283"/>
      <c r="P2283"/>
    </row>
    <row r="2284" spans="2:16">
      <c r="B2284"/>
      <c r="C2284"/>
      <c r="D2284"/>
      <c r="E2284"/>
      <c r="F2284"/>
      <c r="G2284"/>
      <c r="H2284"/>
      <c r="I2284"/>
      <c r="J2284"/>
      <c r="K2284"/>
      <c r="L2284"/>
      <c r="M2284"/>
      <c r="N2284"/>
      <c r="O2284"/>
      <c r="P2284"/>
    </row>
    <row r="2285" spans="2:16">
      <c r="B2285"/>
      <c r="C2285"/>
      <c r="D2285"/>
      <c r="E2285"/>
      <c r="F2285"/>
      <c r="G2285"/>
      <c r="H2285"/>
      <c r="I2285"/>
      <c r="J2285"/>
      <c r="K2285"/>
      <c r="L2285"/>
      <c r="M2285"/>
      <c r="N2285"/>
      <c r="O2285"/>
      <c r="P2285"/>
    </row>
    <row r="2286" spans="2:16">
      <c r="B2286"/>
      <c r="C2286"/>
      <c r="D2286"/>
      <c r="E2286"/>
      <c r="F2286"/>
      <c r="G2286"/>
      <c r="H2286"/>
      <c r="I2286"/>
      <c r="J2286"/>
      <c r="K2286"/>
      <c r="L2286"/>
      <c r="M2286"/>
      <c r="N2286"/>
      <c r="O2286"/>
      <c r="P2286"/>
    </row>
    <row r="2287" spans="2:16">
      <c r="B2287"/>
      <c r="C2287"/>
      <c r="D2287"/>
      <c r="E2287"/>
      <c r="F2287"/>
      <c r="G2287"/>
      <c r="H2287"/>
      <c r="I2287"/>
      <c r="J2287"/>
      <c r="K2287"/>
      <c r="L2287"/>
      <c r="M2287"/>
      <c r="N2287"/>
      <c r="O2287"/>
      <c r="P2287"/>
    </row>
    <row r="2288" spans="2:16">
      <c r="B2288"/>
      <c r="C2288"/>
      <c r="D2288"/>
      <c r="E2288"/>
      <c r="F2288"/>
      <c r="G2288"/>
      <c r="H2288"/>
      <c r="I2288"/>
      <c r="J2288"/>
      <c r="K2288"/>
      <c r="L2288"/>
      <c r="M2288"/>
      <c r="N2288"/>
      <c r="O2288"/>
      <c r="P2288"/>
    </row>
    <row r="2289" spans="2:16">
      <c r="B2289"/>
      <c r="C2289"/>
      <c r="D2289"/>
      <c r="E2289"/>
      <c r="F2289"/>
      <c r="G2289"/>
      <c r="H2289"/>
      <c r="I2289"/>
      <c r="J2289"/>
      <c r="K2289"/>
      <c r="L2289"/>
      <c r="M2289"/>
      <c r="N2289"/>
      <c r="O2289"/>
      <c r="P2289"/>
    </row>
    <row r="2290" spans="2:16">
      <c r="B2290"/>
      <c r="C2290"/>
      <c r="D2290"/>
      <c r="E2290"/>
      <c r="F2290"/>
      <c r="G2290"/>
      <c r="H2290"/>
      <c r="I2290"/>
      <c r="J2290"/>
      <c r="K2290"/>
      <c r="L2290"/>
      <c r="M2290"/>
      <c r="N2290"/>
      <c r="O2290"/>
      <c r="P2290"/>
    </row>
    <row r="2291" spans="2:16">
      <c r="B2291"/>
      <c r="C2291"/>
      <c r="D2291"/>
      <c r="E2291"/>
      <c r="F2291"/>
      <c r="G2291"/>
      <c r="H2291"/>
      <c r="I2291"/>
      <c r="J2291"/>
      <c r="K2291"/>
      <c r="L2291"/>
      <c r="M2291"/>
      <c r="N2291"/>
      <c r="O2291"/>
      <c r="P2291"/>
    </row>
    <row r="2292" spans="2:16">
      <c r="B2292"/>
      <c r="C2292"/>
      <c r="D2292"/>
      <c r="E2292"/>
      <c r="F2292"/>
      <c r="G2292"/>
      <c r="H2292"/>
      <c r="I2292"/>
      <c r="J2292"/>
      <c r="K2292"/>
      <c r="L2292"/>
      <c r="M2292"/>
      <c r="N2292"/>
      <c r="O2292"/>
      <c r="P2292"/>
    </row>
    <row r="2293" spans="2:16">
      <c r="B2293"/>
      <c r="C2293"/>
      <c r="D2293"/>
      <c r="E2293"/>
      <c r="F2293"/>
      <c r="G2293"/>
      <c r="H2293"/>
      <c r="I2293"/>
      <c r="J2293"/>
      <c r="K2293"/>
      <c r="L2293"/>
      <c r="M2293"/>
      <c r="N2293"/>
      <c r="O2293"/>
      <c r="P2293"/>
    </row>
    <row r="2294" spans="2:16">
      <c r="B2294"/>
      <c r="C2294"/>
      <c r="D2294"/>
      <c r="E2294"/>
      <c r="F2294"/>
      <c r="G2294"/>
      <c r="H2294"/>
      <c r="I2294"/>
      <c r="J2294"/>
      <c r="K2294"/>
      <c r="L2294"/>
      <c r="M2294"/>
      <c r="N2294"/>
      <c r="O2294"/>
      <c r="P2294"/>
    </row>
    <row r="2295" spans="2:16">
      <c r="B2295"/>
      <c r="C2295"/>
      <c r="D2295"/>
      <c r="E2295"/>
      <c r="F2295"/>
      <c r="G2295"/>
      <c r="H2295"/>
      <c r="I2295"/>
      <c r="J2295"/>
      <c r="K2295"/>
      <c r="L2295"/>
      <c r="M2295"/>
      <c r="N2295"/>
      <c r="O2295"/>
      <c r="P2295"/>
    </row>
    <row r="2296" spans="2:16">
      <c r="B2296"/>
      <c r="C2296"/>
      <c r="D2296"/>
      <c r="E2296"/>
      <c r="F2296"/>
      <c r="G2296"/>
      <c r="H2296"/>
      <c r="I2296"/>
      <c r="J2296"/>
      <c r="K2296"/>
      <c r="L2296"/>
      <c r="M2296"/>
      <c r="N2296"/>
      <c r="O2296"/>
      <c r="P2296"/>
    </row>
    <row r="2297" spans="2:16">
      <c r="B2297"/>
      <c r="C2297"/>
      <c r="D2297"/>
      <c r="E2297"/>
      <c r="F2297"/>
      <c r="G2297"/>
      <c r="H2297"/>
      <c r="I2297"/>
      <c r="J2297"/>
      <c r="K2297"/>
      <c r="L2297"/>
      <c r="M2297"/>
      <c r="N2297"/>
      <c r="O2297"/>
      <c r="P2297"/>
    </row>
    <row r="2298" spans="2:16">
      <c r="B2298"/>
      <c r="C2298"/>
      <c r="D2298"/>
      <c r="E2298"/>
      <c r="F2298"/>
      <c r="G2298"/>
      <c r="H2298"/>
      <c r="I2298"/>
      <c r="J2298"/>
      <c r="K2298"/>
      <c r="L2298"/>
      <c r="M2298"/>
      <c r="N2298"/>
      <c r="O2298"/>
      <c r="P2298"/>
    </row>
    <row r="2299" spans="2:16">
      <c r="B2299"/>
      <c r="C2299"/>
      <c r="D2299"/>
      <c r="E2299"/>
      <c r="F2299"/>
      <c r="G2299"/>
      <c r="H2299"/>
      <c r="I2299"/>
      <c r="J2299"/>
      <c r="K2299"/>
      <c r="L2299"/>
      <c r="M2299"/>
      <c r="N2299"/>
      <c r="O2299"/>
      <c r="P2299"/>
    </row>
    <row r="2300" spans="2:16">
      <c r="B2300"/>
      <c r="C2300"/>
      <c r="D2300"/>
      <c r="E2300"/>
      <c r="F2300"/>
      <c r="G2300"/>
      <c r="H2300"/>
      <c r="I2300"/>
      <c r="J2300"/>
      <c r="K2300"/>
      <c r="L2300"/>
      <c r="M2300"/>
      <c r="N2300"/>
      <c r="O2300"/>
      <c r="P2300"/>
    </row>
    <row r="2301" spans="2:16">
      <c r="B2301"/>
      <c r="C2301"/>
      <c r="D2301"/>
      <c r="E2301"/>
      <c r="F2301"/>
      <c r="G2301"/>
      <c r="H2301"/>
      <c r="I2301"/>
      <c r="J2301"/>
      <c r="K2301"/>
      <c r="L2301"/>
      <c r="M2301"/>
      <c r="N2301"/>
      <c r="O2301"/>
      <c r="P2301"/>
    </row>
    <row r="2302" spans="2:16">
      <c r="B2302"/>
      <c r="C2302"/>
      <c r="D2302"/>
      <c r="E2302"/>
      <c r="F2302"/>
      <c r="G2302"/>
      <c r="H2302"/>
      <c r="I2302"/>
      <c r="J2302"/>
      <c r="K2302"/>
      <c r="L2302"/>
      <c r="M2302"/>
      <c r="N2302"/>
      <c r="O2302"/>
      <c r="P2302"/>
    </row>
    <row r="2303" spans="2:16">
      <c r="B2303"/>
      <c r="C2303"/>
      <c r="D2303"/>
      <c r="E2303"/>
      <c r="F2303"/>
      <c r="G2303"/>
      <c r="H2303"/>
      <c r="I2303"/>
      <c r="J2303"/>
      <c r="K2303"/>
      <c r="L2303"/>
      <c r="M2303"/>
      <c r="N2303"/>
      <c r="O2303"/>
      <c r="P2303"/>
    </row>
    <row r="2304" spans="2:16">
      <c r="B2304"/>
      <c r="C2304"/>
      <c r="D2304"/>
      <c r="E2304"/>
      <c r="F2304"/>
      <c r="G2304"/>
      <c r="H2304"/>
      <c r="I2304"/>
      <c r="J2304"/>
      <c r="K2304"/>
      <c r="L2304"/>
      <c r="M2304"/>
      <c r="N2304"/>
      <c r="O2304"/>
      <c r="P2304"/>
    </row>
    <row r="2305" spans="2:16">
      <c r="B2305"/>
      <c r="C2305"/>
      <c r="D2305"/>
      <c r="E2305"/>
      <c r="F2305"/>
      <c r="G2305"/>
      <c r="H2305"/>
      <c r="I2305"/>
      <c r="J2305"/>
      <c r="K2305"/>
      <c r="L2305"/>
      <c r="M2305"/>
      <c r="N2305"/>
      <c r="O2305"/>
      <c r="P2305"/>
    </row>
    <row r="2306" spans="2:16">
      <c r="B2306"/>
      <c r="C2306"/>
      <c r="D2306"/>
      <c r="E2306"/>
      <c r="F2306"/>
      <c r="G2306"/>
      <c r="H2306"/>
      <c r="I2306"/>
      <c r="J2306"/>
      <c r="K2306"/>
      <c r="L2306"/>
      <c r="M2306"/>
      <c r="N2306"/>
      <c r="O2306"/>
      <c r="P2306"/>
    </row>
    <row r="2307" spans="2:16">
      <c r="B2307"/>
      <c r="C2307"/>
      <c r="D2307"/>
      <c r="E2307"/>
      <c r="F2307"/>
      <c r="G2307"/>
      <c r="H2307"/>
      <c r="I2307"/>
      <c r="J2307"/>
      <c r="K2307"/>
      <c r="L2307"/>
      <c r="M2307"/>
      <c r="N2307"/>
      <c r="O2307"/>
      <c r="P2307"/>
    </row>
    <row r="2308" spans="2:16">
      <c r="B2308"/>
      <c r="C2308"/>
      <c r="D2308"/>
      <c r="E2308"/>
      <c r="F2308"/>
      <c r="G2308"/>
      <c r="H2308"/>
      <c r="I2308"/>
      <c r="J2308"/>
      <c r="K2308"/>
      <c r="L2308"/>
      <c r="M2308"/>
      <c r="N2308"/>
      <c r="O2308"/>
      <c r="P2308"/>
    </row>
    <row r="2309" spans="2:16">
      <c r="B2309"/>
      <c r="C2309"/>
      <c r="D2309"/>
      <c r="E2309"/>
      <c r="F2309"/>
      <c r="G2309"/>
      <c r="H2309"/>
      <c r="I2309"/>
      <c r="J2309"/>
      <c r="K2309"/>
      <c r="L2309"/>
      <c r="M2309"/>
      <c r="N2309"/>
      <c r="O2309"/>
      <c r="P2309"/>
    </row>
    <row r="2310" spans="2:16">
      <c r="B2310"/>
      <c r="C2310"/>
      <c r="D2310"/>
      <c r="E2310"/>
      <c r="F2310"/>
      <c r="G2310"/>
      <c r="H2310"/>
      <c r="I2310"/>
      <c r="J2310"/>
      <c r="K2310"/>
      <c r="L2310"/>
      <c r="M2310"/>
      <c r="N2310"/>
      <c r="O2310"/>
      <c r="P2310"/>
    </row>
    <row r="2311" spans="2:16">
      <c r="B2311"/>
      <c r="C2311"/>
      <c r="D2311"/>
      <c r="E2311"/>
      <c r="F2311"/>
      <c r="G2311"/>
      <c r="H2311"/>
      <c r="I2311"/>
      <c r="J2311"/>
      <c r="K2311"/>
      <c r="L2311"/>
      <c r="M2311"/>
      <c r="N2311"/>
      <c r="O2311"/>
      <c r="P2311"/>
    </row>
    <row r="2312" spans="2:16">
      <c r="B2312"/>
      <c r="C2312"/>
      <c r="D2312"/>
      <c r="E2312"/>
      <c r="F2312"/>
      <c r="G2312"/>
      <c r="H2312"/>
      <c r="I2312"/>
      <c r="J2312"/>
      <c r="K2312"/>
      <c r="L2312"/>
      <c r="M2312"/>
      <c r="N2312"/>
      <c r="O2312"/>
      <c r="P2312"/>
    </row>
    <row r="2313" spans="2:16">
      <c r="B2313"/>
      <c r="C2313"/>
      <c r="D2313"/>
      <c r="E2313"/>
      <c r="F2313"/>
      <c r="G2313"/>
      <c r="H2313"/>
      <c r="I2313"/>
      <c r="J2313"/>
      <c r="K2313"/>
      <c r="L2313"/>
      <c r="M2313"/>
      <c r="N2313"/>
      <c r="O2313"/>
      <c r="P2313"/>
    </row>
    <row r="2314" spans="2:16">
      <c r="B2314"/>
      <c r="C2314"/>
      <c r="D2314"/>
      <c r="E2314"/>
      <c r="F2314"/>
      <c r="G2314"/>
      <c r="H2314"/>
      <c r="I2314"/>
      <c r="J2314"/>
      <c r="K2314"/>
      <c r="L2314"/>
      <c r="M2314"/>
      <c r="N2314"/>
      <c r="O2314"/>
      <c r="P2314"/>
    </row>
    <row r="2315" spans="2:16">
      <c r="B2315"/>
      <c r="C2315"/>
      <c r="D2315"/>
      <c r="E2315"/>
      <c r="F2315"/>
      <c r="G2315"/>
      <c r="H2315"/>
      <c r="I2315"/>
      <c r="J2315"/>
      <c r="K2315"/>
      <c r="L2315"/>
      <c r="M2315"/>
      <c r="N2315"/>
      <c r="O2315"/>
      <c r="P2315"/>
    </row>
    <row r="2316" spans="2:16">
      <c r="B2316"/>
      <c r="C2316"/>
      <c r="D2316"/>
      <c r="E2316"/>
      <c r="F2316"/>
      <c r="G2316"/>
      <c r="H2316"/>
      <c r="I2316"/>
      <c r="J2316"/>
      <c r="K2316"/>
      <c r="L2316"/>
      <c r="M2316"/>
      <c r="N2316"/>
      <c r="O2316"/>
      <c r="P2316"/>
    </row>
    <row r="2317" spans="2:16">
      <c r="B2317"/>
      <c r="C2317"/>
      <c r="D2317"/>
      <c r="E2317"/>
      <c r="F2317"/>
      <c r="G2317"/>
      <c r="H2317"/>
      <c r="I2317"/>
      <c r="J2317"/>
      <c r="K2317"/>
      <c r="L2317"/>
      <c r="M2317"/>
      <c r="N2317"/>
      <c r="O2317"/>
      <c r="P2317"/>
    </row>
    <row r="2318" spans="2:16">
      <c r="B2318"/>
      <c r="C2318"/>
      <c r="D2318"/>
      <c r="E2318"/>
      <c r="F2318"/>
      <c r="G2318"/>
      <c r="H2318"/>
      <c r="I2318"/>
      <c r="J2318"/>
      <c r="K2318"/>
      <c r="L2318"/>
      <c r="M2318"/>
      <c r="N2318"/>
      <c r="O2318"/>
      <c r="P2318"/>
    </row>
    <row r="2319" spans="2:16">
      <c r="B2319"/>
      <c r="C2319"/>
      <c r="D2319"/>
      <c r="E2319"/>
      <c r="F2319"/>
      <c r="G2319"/>
      <c r="H2319"/>
      <c r="I2319"/>
      <c r="J2319"/>
      <c r="K2319"/>
      <c r="L2319"/>
      <c r="M2319"/>
      <c r="N2319"/>
      <c r="O2319"/>
      <c r="P2319"/>
    </row>
    <row r="2320" spans="2:16">
      <c r="B2320"/>
      <c r="C2320"/>
      <c r="D2320"/>
      <c r="E2320"/>
      <c r="F2320"/>
      <c r="G2320"/>
      <c r="H2320"/>
      <c r="I2320"/>
      <c r="J2320"/>
      <c r="K2320"/>
      <c r="L2320"/>
      <c r="M2320"/>
      <c r="N2320"/>
      <c r="O2320"/>
      <c r="P2320"/>
    </row>
    <row r="2321" spans="2:16">
      <c r="B2321"/>
      <c r="C2321"/>
      <c r="D2321"/>
      <c r="E2321"/>
      <c r="F2321"/>
      <c r="G2321"/>
      <c r="H2321"/>
      <c r="I2321"/>
      <c r="J2321"/>
      <c r="K2321"/>
      <c r="L2321"/>
      <c r="M2321"/>
      <c r="N2321"/>
      <c r="O2321"/>
      <c r="P2321"/>
    </row>
    <row r="2322" spans="2:16">
      <c r="B2322"/>
      <c r="C2322"/>
      <c r="D2322"/>
      <c r="E2322"/>
      <c r="F2322"/>
      <c r="G2322"/>
      <c r="H2322"/>
      <c r="I2322"/>
      <c r="J2322"/>
      <c r="K2322"/>
      <c r="L2322"/>
      <c r="M2322"/>
      <c r="N2322"/>
      <c r="O2322"/>
      <c r="P2322"/>
    </row>
    <row r="2323" spans="2:16">
      <c r="B2323"/>
      <c r="C2323"/>
      <c r="D2323"/>
      <c r="E2323"/>
      <c r="F2323"/>
      <c r="G2323"/>
      <c r="H2323"/>
      <c r="I2323"/>
      <c r="J2323"/>
      <c r="K2323"/>
      <c r="L2323"/>
      <c r="M2323"/>
      <c r="N2323"/>
      <c r="O2323"/>
      <c r="P2323"/>
    </row>
    <row r="2324" spans="2:16">
      <c r="B2324"/>
      <c r="C2324"/>
      <c r="D2324"/>
      <c r="E2324"/>
      <c r="F2324"/>
      <c r="G2324"/>
      <c r="H2324"/>
      <c r="I2324"/>
      <c r="J2324"/>
      <c r="K2324"/>
      <c r="L2324"/>
      <c r="M2324"/>
      <c r="N2324"/>
      <c r="O2324"/>
      <c r="P2324"/>
    </row>
    <row r="2325" spans="2:16">
      <c r="B2325"/>
      <c r="C2325"/>
      <c r="D2325"/>
      <c r="E2325"/>
      <c r="F2325"/>
      <c r="G2325"/>
      <c r="H2325"/>
      <c r="I2325"/>
      <c r="J2325"/>
      <c r="K2325"/>
      <c r="L2325"/>
      <c r="M2325"/>
      <c r="N2325"/>
      <c r="O2325"/>
      <c r="P2325"/>
    </row>
    <row r="2326" spans="2:16">
      <c r="B2326"/>
      <c r="C2326"/>
      <c r="D2326"/>
      <c r="E2326"/>
      <c r="F2326"/>
      <c r="G2326"/>
      <c r="H2326"/>
      <c r="I2326"/>
      <c r="J2326"/>
      <c r="K2326"/>
      <c r="L2326"/>
      <c r="M2326"/>
      <c r="N2326"/>
      <c r="O2326"/>
      <c r="P2326"/>
    </row>
    <row r="2327" spans="2:16">
      <c r="B2327"/>
      <c r="C2327"/>
      <c r="D2327"/>
      <c r="E2327"/>
      <c r="F2327"/>
      <c r="G2327"/>
      <c r="H2327"/>
      <c r="I2327"/>
      <c r="J2327"/>
      <c r="K2327"/>
      <c r="L2327"/>
      <c r="M2327"/>
      <c r="N2327"/>
      <c r="O2327"/>
      <c r="P2327"/>
    </row>
    <row r="2328" spans="2:16">
      <c r="B2328"/>
      <c r="C2328"/>
      <c r="D2328"/>
      <c r="E2328"/>
      <c r="F2328"/>
      <c r="G2328"/>
      <c r="H2328"/>
      <c r="I2328"/>
      <c r="J2328"/>
      <c r="K2328"/>
      <c r="L2328"/>
      <c r="M2328"/>
      <c r="N2328"/>
      <c r="O2328"/>
      <c r="P2328"/>
    </row>
    <row r="2329" spans="2:16">
      <c r="B2329"/>
      <c r="C2329"/>
      <c r="D2329"/>
      <c r="E2329"/>
      <c r="F2329"/>
      <c r="G2329"/>
      <c r="H2329"/>
      <c r="I2329"/>
      <c r="J2329"/>
      <c r="K2329"/>
      <c r="L2329"/>
      <c r="M2329"/>
      <c r="N2329"/>
      <c r="O2329"/>
      <c r="P2329"/>
    </row>
    <row r="2330" spans="2:16">
      <c r="B2330"/>
      <c r="C2330"/>
      <c r="D2330"/>
      <c r="E2330"/>
      <c r="F2330"/>
      <c r="G2330"/>
      <c r="H2330"/>
      <c r="I2330"/>
      <c r="J2330"/>
      <c r="K2330"/>
      <c r="L2330"/>
      <c r="M2330"/>
      <c r="N2330"/>
      <c r="O2330"/>
      <c r="P2330"/>
    </row>
    <row r="2331" spans="2:16">
      <c r="B2331"/>
      <c r="C2331"/>
      <c r="D2331"/>
      <c r="E2331"/>
      <c r="F2331"/>
      <c r="G2331"/>
      <c r="H2331"/>
      <c r="I2331"/>
      <c r="J2331"/>
      <c r="K2331"/>
      <c r="L2331"/>
      <c r="M2331"/>
      <c r="N2331"/>
      <c r="O2331"/>
      <c r="P2331"/>
    </row>
    <row r="2332" spans="2:16">
      <c r="B2332"/>
      <c r="C2332"/>
      <c r="D2332"/>
      <c r="E2332"/>
      <c r="F2332"/>
      <c r="G2332"/>
      <c r="H2332"/>
      <c r="I2332"/>
      <c r="J2332"/>
      <c r="K2332"/>
      <c r="L2332"/>
      <c r="M2332"/>
      <c r="N2332"/>
      <c r="O2332"/>
      <c r="P2332"/>
    </row>
    <row r="2333" spans="2:16">
      <c r="B2333"/>
      <c r="C2333"/>
      <c r="D2333"/>
      <c r="E2333"/>
      <c r="F2333"/>
      <c r="G2333"/>
      <c r="H2333"/>
      <c r="I2333"/>
      <c r="J2333"/>
      <c r="K2333"/>
      <c r="L2333"/>
      <c r="M2333"/>
      <c r="N2333"/>
      <c r="O2333"/>
      <c r="P2333"/>
    </row>
    <row r="2334" spans="2:16">
      <c r="B2334"/>
      <c r="C2334"/>
      <c r="D2334"/>
      <c r="E2334"/>
      <c r="F2334"/>
      <c r="G2334"/>
      <c r="H2334"/>
      <c r="I2334"/>
      <c r="J2334"/>
      <c r="K2334"/>
      <c r="L2334"/>
      <c r="M2334"/>
      <c r="N2334"/>
      <c r="O2334"/>
      <c r="P2334"/>
    </row>
    <row r="2335" spans="2:16">
      <c r="B2335"/>
      <c r="C2335"/>
      <c r="D2335"/>
      <c r="E2335"/>
      <c r="F2335"/>
      <c r="G2335"/>
      <c r="H2335"/>
      <c r="I2335"/>
      <c r="J2335"/>
      <c r="K2335"/>
      <c r="L2335"/>
      <c r="M2335"/>
      <c r="N2335"/>
      <c r="O2335"/>
      <c r="P2335"/>
    </row>
    <row r="2336" spans="2:16">
      <c r="B2336"/>
      <c r="C2336"/>
      <c r="D2336"/>
      <c r="E2336"/>
      <c r="F2336"/>
      <c r="G2336"/>
      <c r="H2336"/>
      <c r="I2336"/>
      <c r="J2336"/>
      <c r="K2336"/>
      <c r="L2336"/>
      <c r="M2336"/>
      <c r="N2336"/>
      <c r="O2336"/>
      <c r="P2336"/>
    </row>
    <row r="2337" spans="2:16">
      <c r="B2337"/>
      <c r="C2337"/>
      <c r="D2337"/>
      <c r="E2337"/>
      <c r="F2337"/>
      <c r="G2337"/>
      <c r="H2337"/>
      <c r="I2337"/>
      <c r="J2337"/>
      <c r="K2337"/>
      <c r="L2337"/>
      <c r="M2337"/>
      <c r="N2337"/>
      <c r="O2337"/>
      <c r="P2337"/>
    </row>
    <row r="2338" spans="2:16">
      <c r="B2338"/>
      <c r="C2338"/>
      <c r="D2338"/>
      <c r="E2338"/>
      <c r="F2338"/>
      <c r="G2338"/>
      <c r="H2338"/>
      <c r="I2338"/>
      <c r="J2338"/>
      <c r="K2338"/>
      <c r="L2338"/>
      <c r="M2338"/>
      <c r="N2338"/>
      <c r="O2338"/>
      <c r="P2338"/>
    </row>
    <row r="2339" spans="2:16">
      <c r="B2339"/>
      <c r="C2339"/>
      <c r="D2339"/>
      <c r="E2339"/>
      <c r="F2339"/>
      <c r="G2339"/>
      <c r="H2339"/>
      <c r="I2339"/>
      <c r="J2339"/>
      <c r="K2339"/>
      <c r="L2339"/>
      <c r="M2339"/>
      <c r="N2339"/>
      <c r="O2339"/>
      <c r="P2339"/>
    </row>
    <row r="2340" spans="2:16">
      <c r="B2340"/>
      <c r="C2340"/>
      <c r="D2340"/>
      <c r="E2340"/>
      <c r="F2340"/>
      <c r="G2340"/>
      <c r="H2340"/>
      <c r="I2340"/>
      <c r="J2340"/>
      <c r="K2340"/>
      <c r="L2340"/>
      <c r="M2340"/>
      <c r="N2340"/>
      <c r="O2340"/>
      <c r="P2340"/>
    </row>
    <row r="2341" spans="2:16">
      <c r="B2341"/>
      <c r="C2341"/>
      <c r="D2341"/>
      <c r="E2341"/>
      <c r="F2341"/>
      <c r="G2341"/>
      <c r="H2341"/>
      <c r="I2341"/>
      <c r="J2341"/>
      <c r="K2341"/>
      <c r="L2341"/>
      <c r="M2341"/>
      <c r="N2341"/>
      <c r="O2341"/>
      <c r="P2341"/>
    </row>
    <row r="2342" spans="2:16">
      <c r="B2342"/>
      <c r="C2342"/>
      <c r="D2342"/>
      <c r="E2342"/>
      <c r="F2342"/>
      <c r="G2342"/>
      <c r="H2342"/>
      <c r="I2342"/>
      <c r="J2342"/>
      <c r="K2342"/>
      <c r="L2342"/>
      <c r="M2342"/>
      <c r="N2342"/>
      <c r="O2342"/>
      <c r="P2342"/>
    </row>
    <row r="2343" spans="2:16">
      <c r="B2343"/>
      <c r="C2343"/>
      <c r="D2343"/>
      <c r="E2343"/>
      <c r="F2343"/>
      <c r="G2343"/>
      <c r="H2343"/>
      <c r="I2343"/>
      <c r="J2343"/>
      <c r="K2343"/>
      <c r="L2343"/>
      <c r="M2343"/>
      <c r="N2343"/>
      <c r="O2343"/>
      <c r="P2343"/>
    </row>
    <row r="2344" spans="2:16">
      <c r="B2344"/>
      <c r="C2344"/>
      <c r="D2344"/>
      <c r="E2344"/>
      <c r="F2344"/>
      <c r="G2344"/>
      <c r="H2344"/>
      <c r="I2344"/>
      <c r="J2344"/>
      <c r="K2344"/>
      <c r="L2344"/>
      <c r="M2344"/>
      <c r="N2344"/>
      <c r="O2344"/>
      <c r="P2344"/>
    </row>
    <row r="2345" spans="2:16">
      <c r="B2345"/>
      <c r="C2345"/>
      <c r="D2345"/>
      <c r="E2345"/>
      <c r="F2345"/>
      <c r="G2345"/>
      <c r="H2345"/>
      <c r="I2345"/>
      <c r="J2345"/>
      <c r="K2345"/>
      <c r="L2345"/>
      <c r="M2345"/>
      <c r="N2345"/>
      <c r="O2345"/>
      <c r="P2345"/>
    </row>
    <row r="2346" spans="2:16">
      <c r="B2346"/>
      <c r="C2346"/>
      <c r="D2346"/>
      <c r="E2346"/>
      <c r="F2346"/>
      <c r="G2346"/>
      <c r="H2346"/>
      <c r="I2346"/>
      <c r="J2346"/>
      <c r="K2346"/>
      <c r="L2346"/>
      <c r="M2346"/>
      <c r="N2346"/>
      <c r="O2346"/>
      <c r="P2346"/>
    </row>
    <row r="2347" spans="2:16">
      <c r="B2347"/>
      <c r="C2347"/>
      <c r="D2347"/>
      <c r="E2347"/>
      <c r="F2347"/>
      <c r="G2347"/>
      <c r="H2347"/>
      <c r="I2347"/>
      <c r="J2347"/>
      <c r="K2347"/>
      <c r="L2347"/>
      <c r="M2347"/>
      <c r="N2347"/>
      <c r="O2347"/>
      <c r="P2347"/>
    </row>
    <row r="2348" spans="2:16">
      <c r="B2348"/>
      <c r="C2348"/>
      <c r="D2348"/>
      <c r="E2348"/>
      <c r="F2348"/>
      <c r="G2348"/>
      <c r="H2348"/>
      <c r="I2348"/>
      <c r="J2348"/>
      <c r="K2348"/>
      <c r="L2348"/>
      <c r="M2348"/>
      <c r="N2348"/>
      <c r="O2348"/>
      <c r="P2348"/>
    </row>
    <row r="2349" spans="2:16">
      <c r="B2349"/>
      <c r="C2349"/>
      <c r="D2349"/>
      <c r="E2349"/>
      <c r="F2349"/>
      <c r="G2349"/>
      <c r="H2349"/>
      <c r="I2349"/>
      <c r="J2349"/>
      <c r="K2349"/>
      <c r="L2349"/>
      <c r="M2349"/>
      <c r="N2349"/>
      <c r="O2349"/>
      <c r="P2349"/>
    </row>
    <row r="2350" spans="2:16">
      <c r="B2350"/>
      <c r="C2350"/>
      <c r="D2350"/>
      <c r="E2350"/>
      <c r="F2350"/>
      <c r="G2350"/>
      <c r="H2350"/>
      <c r="I2350"/>
      <c r="J2350"/>
      <c r="K2350"/>
      <c r="L2350"/>
      <c r="M2350"/>
      <c r="N2350"/>
      <c r="O2350"/>
      <c r="P2350"/>
    </row>
    <row r="2351" spans="2:16">
      <c r="B2351"/>
      <c r="C2351"/>
      <c r="D2351"/>
      <c r="E2351"/>
      <c r="F2351"/>
      <c r="G2351"/>
      <c r="H2351"/>
      <c r="I2351"/>
      <c r="J2351"/>
      <c r="K2351"/>
      <c r="L2351"/>
      <c r="M2351"/>
      <c r="N2351"/>
      <c r="O2351"/>
      <c r="P2351"/>
    </row>
    <row r="2352" spans="2:16">
      <c r="B2352"/>
      <c r="C2352"/>
      <c r="D2352"/>
      <c r="E2352"/>
      <c r="F2352"/>
      <c r="G2352"/>
      <c r="H2352"/>
      <c r="I2352"/>
      <c r="J2352"/>
      <c r="K2352"/>
      <c r="L2352"/>
      <c r="M2352"/>
      <c r="N2352"/>
      <c r="O2352"/>
      <c r="P2352"/>
    </row>
    <row r="2353" spans="2:16">
      <c r="B2353"/>
      <c r="C2353"/>
      <c r="D2353"/>
      <c r="E2353"/>
      <c r="F2353"/>
      <c r="G2353"/>
      <c r="H2353"/>
      <c r="I2353"/>
      <c r="J2353"/>
      <c r="K2353"/>
      <c r="L2353"/>
      <c r="M2353"/>
      <c r="N2353"/>
      <c r="O2353"/>
      <c r="P2353"/>
    </row>
    <row r="2354" spans="2:16">
      <c r="B2354"/>
      <c r="C2354"/>
      <c r="D2354"/>
      <c r="E2354"/>
      <c r="F2354"/>
      <c r="G2354"/>
      <c r="H2354"/>
      <c r="I2354"/>
      <c r="J2354"/>
      <c r="K2354"/>
      <c r="L2354"/>
      <c r="M2354"/>
      <c r="N2354"/>
      <c r="O2354"/>
      <c r="P2354"/>
    </row>
    <row r="2355" spans="2:16">
      <c r="B2355"/>
      <c r="C2355"/>
      <c r="D2355"/>
      <c r="E2355"/>
      <c r="F2355"/>
      <c r="G2355"/>
      <c r="H2355"/>
      <c r="I2355"/>
      <c r="J2355"/>
      <c r="K2355"/>
      <c r="L2355"/>
      <c r="M2355"/>
      <c r="N2355"/>
      <c r="O2355"/>
      <c r="P2355"/>
    </row>
    <row r="2356" spans="2:16">
      <c r="B2356"/>
      <c r="C2356"/>
      <c r="D2356"/>
      <c r="E2356"/>
      <c r="F2356"/>
      <c r="G2356"/>
      <c r="H2356"/>
      <c r="I2356"/>
      <c r="J2356"/>
      <c r="K2356"/>
      <c r="L2356"/>
      <c r="M2356"/>
      <c r="N2356"/>
      <c r="O2356"/>
      <c r="P2356"/>
    </row>
    <row r="2357" spans="2:16">
      <c r="B2357"/>
      <c r="C2357"/>
      <c r="D2357"/>
      <c r="E2357"/>
      <c r="F2357"/>
      <c r="G2357"/>
      <c r="H2357"/>
      <c r="I2357"/>
      <c r="J2357"/>
      <c r="K2357"/>
      <c r="L2357"/>
      <c r="M2357"/>
      <c r="N2357"/>
      <c r="O2357"/>
      <c r="P2357"/>
    </row>
    <row r="2358" spans="2:16">
      <c r="B2358"/>
      <c r="C2358"/>
      <c r="D2358"/>
      <c r="E2358"/>
      <c r="F2358"/>
      <c r="G2358"/>
      <c r="H2358"/>
      <c r="I2358"/>
      <c r="J2358"/>
      <c r="K2358"/>
      <c r="L2358"/>
      <c r="M2358"/>
      <c r="N2358"/>
      <c r="O2358"/>
      <c r="P2358"/>
    </row>
    <row r="2359" spans="2:16">
      <c r="B2359"/>
      <c r="C2359"/>
      <c r="D2359"/>
      <c r="E2359"/>
      <c r="F2359"/>
      <c r="G2359"/>
      <c r="H2359"/>
      <c r="I2359"/>
      <c r="J2359"/>
      <c r="K2359"/>
      <c r="L2359"/>
      <c r="M2359"/>
      <c r="N2359"/>
      <c r="O2359"/>
      <c r="P2359"/>
    </row>
    <row r="2360" spans="2:16">
      <c r="B2360"/>
      <c r="C2360"/>
      <c r="D2360"/>
      <c r="E2360"/>
      <c r="F2360"/>
      <c r="G2360"/>
      <c r="H2360"/>
      <c r="I2360"/>
      <c r="J2360"/>
      <c r="K2360"/>
      <c r="L2360"/>
      <c r="M2360"/>
      <c r="N2360"/>
      <c r="O2360"/>
      <c r="P2360"/>
    </row>
    <row r="2361" spans="2:16">
      <c r="B2361"/>
      <c r="C2361"/>
      <c r="D2361"/>
      <c r="E2361"/>
      <c r="F2361"/>
      <c r="G2361"/>
      <c r="H2361"/>
      <c r="I2361"/>
      <c r="J2361"/>
      <c r="K2361"/>
      <c r="L2361"/>
      <c r="M2361"/>
      <c r="N2361"/>
      <c r="O2361"/>
      <c r="P2361"/>
    </row>
    <row r="2362" spans="2:16">
      <c r="B2362"/>
      <c r="C2362"/>
      <c r="D2362"/>
      <c r="E2362"/>
      <c r="F2362"/>
      <c r="G2362"/>
      <c r="H2362"/>
      <c r="I2362"/>
      <c r="J2362"/>
      <c r="K2362"/>
      <c r="L2362"/>
      <c r="M2362"/>
      <c r="N2362"/>
      <c r="O2362"/>
      <c r="P2362"/>
    </row>
    <row r="2363" spans="2:16">
      <c r="B2363"/>
      <c r="C2363"/>
      <c r="D2363"/>
      <c r="E2363"/>
      <c r="F2363"/>
      <c r="G2363"/>
      <c r="H2363"/>
      <c r="I2363"/>
      <c r="J2363"/>
      <c r="K2363"/>
      <c r="L2363"/>
      <c r="M2363"/>
      <c r="N2363"/>
      <c r="O2363"/>
      <c r="P2363"/>
    </row>
    <row r="2364" spans="2:16">
      <c r="B2364"/>
      <c r="C2364"/>
      <c r="D2364"/>
      <c r="E2364"/>
      <c r="F2364"/>
      <c r="G2364"/>
      <c r="H2364"/>
      <c r="I2364"/>
      <c r="J2364"/>
      <c r="K2364"/>
      <c r="L2364"/>
      <c r="M2364"/>
      <c r="N2364"/>
      <c r="O2364"/>
      <c r="P2364"/>
    </row>
    <row r="2365" spans="2:16">
      <c r="B2365"/>
      <c r="C2365"/>
      <c r="D2365"/>
      <c r="E2365"/>
      <c r="F2365"/>
      <c r="G2365"/>
      <c r="H2365"/>
      <c r="I2365"/>
      <c r="J2365"/>
      <c r="K2365"/>
      <c r="L2365"/>
      <c r="M2365"/>
      <c r="N2365"/>
      <c r="O2365"/>
      <c r="P2365"/>
    </row>
    <row r="2366" spans="2:16">
      <c r="B2366"/>
      <c r="C2366"/>
      <c r="D2366"/>
      <c r="E2366"/>
      <c r="F2366"/>
      <c r="G2366"/>
      <c r="H2366"/>
      <c r="I2366"/>
      <c r="J2366"/>
      <c r="K2366"/>
      <c r="L2366"/>
      <c r="M2366"/>
      <c r="N2366"/>
      <c r="O2366"/>
      <c r="P2366"/>
    </row>
    <row r="2367" spans="2:16">
      <c r="B2367"/>
      <c r="C2367"/>
      <c r="D2367"/>
      <c r="E2367"/>
      <c r="F2367"/>
      <c r="G2367"/>
      <c r="H2367"/>
      <c r="I2367"/>
      <c r="J2367"/>
      <c r="K2367"/>
      <c r="L2367"/>
      <c r="M2367"/>
      <c r="N2367"/>
      <c r="O2367"/>
      <c r="P2367"/>
    </row>
    <row r="2368" spans="2:16">
      <c r="B2368"/>
      <c r="C2368"/>
      <c r="D2368"/>
      <c r="E2368"/>
      <c r="F2368"/>
      <c r="G2368"/>
      <c r="H2368"/>
      <c r="I2368"/>
      <c r="J2368"/>
      <c r="K2368"/>
      <c r="L2368"/>
      <c r="M2368"/>
      <c r="N2368"/>
      <c r="O2368"/>
      <c r="P2368"/>
    </row>
    <row r="2369" spans="2:16">
      <c r="B2369"/>
      <c r="C2369"/>
      <c r="D2369"/>
      <c r="E2369"/>
      <c r="F2369"/>
      <c r="G2369"/>
      <c r="H2369"/>
      <c r="I2369"/>
      <c r="J2369"/>
      <c r="K2369"/>
      <c r="L2369"/>
      <c r="M2369"/>
      <c r="N2369"/>
      <c r="O2369"/>
      <c r="P2369"/>
    </row>
    <row r="2370" spans="2:16">
      <c r="B2370"/>
      <c r="C2370"/>
      <c r="D2370"/>
      <c r="E2370"/>
      <c r="F2370"/>
      <c r="G2370"/>
      <c r="H2370"/>
      <c r="I2370"/>
      <c r="J2370"/>
      <c r="K2370"/>
      <c r="L2370"/>
      <c r="M2370"/>
      <c r="N2370"/>
      <c r="O2370"/>
      <c r="P2370"/>
    </row>
    <row r="2371" spans="2:16">
      <c r="B2371"/>
      <c r="C2371"/>
      <c r="D2371"/>
      <c r="E2371"/>
      <c r="F2371"/>
      <c r="G2371"/>
      <c r="H2371"/>
      <c r="I2371"/>
      <c r="J2371"/>
      <c r="K2371"/>
      <c r="L2371"/>
      <c r="M2371"/>
      <c r="N2371"/>
      <c r="O2371"/>
      <c r="P2371"/>
    </row>
    <row r="2372" spans="2:16">
      <c r="B2372"/>
      <c r="C2372"/>
      <c r="D2372"/>
      <c r="E2372"/>
      <c r="F2372"/>
      <c r="G2372"/>
      <c r="H2372"/>
      <c r="I2372"/>
      <c r="J2372"/>
      <c r="K2372"/>
      <c r="L2372"/>
      <c r="M2372"/>
      <c r="N2372"/>
      <c r="O2372"/>
      <c r="P2372"/>
    </row>
    <row r="2373" spans="2:16">
      <c r="B2373"/>
      <c r="C2373"/>
      <c r="D2373"/>
      <c r="E2373"/>
      <c r="F2373"/>
      <c r="G2373"/>
      <c r="H2373"/>
      <c r="I2373"/>
      <c r="J2373"/>
      <c r="K2373"/>
      <c r="L2373"/>
      <c r="M2373"/>
      <c r="N2373"/>
      <c r="O2373"/>
      <c r="P2373"/>
    </row>
    <row r="2374" spans="2:16">
      <c r="B2374"/>
      <c r="C2374"/>
      <c r="D2374"/>
      <c r="E2374"/>
      <c r="F2374"/>
      <c r="G2374"/>
      <c r="H2374"/>
      <c r="I2374"/>
      <c r="J2374"/>
      <c r="K2374"/>
      <c r="L2374"/>
      <c r="M2374"/>
      <c r="N2374"/>
      <c r="O2374"/>
      <c r="P2374"/>
    </row>
    <row r="2375" spans="2:16">
      <c r="B2375"/>
      <c r="C2375"/>
      <c r="D2375"/>
      <c r="E2375"/>
      <c r="F2375"/>
      <c r="G2375"/>
      <c r="H2375"/>
      <c r="I2375"/>
      <c r="J2375"/>
      <c r="K2375"/>
      <c r="L2375"/>
      <c r="M2375"/>
      <c r="N2375"/>
      <c r="O2375"/>
      <c r="P2375"/>
    </row>
    <row r="2376" spans="2:16">
      <c r="B2376"/>
      <c r="C2376"/>
      <c r="D2376"/>
      <c r="E2376"/>
      <c r="F2376"/>
      <c r="G2376"/>
      <c r="H2376"/>
      <c r="I2376"/>
      <c r="J2376"/>
      <c r="K2376"/>
      <c r="L2376"/>
      <c r="M2376"/>
      <c r="N2376"/>
      <c r="O2376"/>
      <c r="P2376"/>
    </row>
    <row r="2377" spans="2:16">
      <c r="B2377"/>
      <c r="C2377"/>
      <c r="D2377"/>
      <c r="E2377"/>
      <c r="F2377"/>
      <c r="G2377"/>
      <c r="H2377"/>
      <c r="I2377"/>
      <c r="J2377"/>
      <c r="K2377"/>
      <c r="L2377"/>
      <c r="M2377"/>
      <c r="N2377"/>
      <c r="O2377"/>
      <c r="P2377"/>
    </row>
    <row r="2378" spans="2:16">
      <c r="B2378"/>
      <c r="C2378"/>
      <c r="D2378"/>
      <c r="E2378"/>
      <c r="F2378"/>
      <c r="G2378"/>
      <c r="H2378"/>
      <c r="I2378"/>
      <c r="J2378"/>
      <c r="K2378"/>
      <c r="L2378"/>
      <c r="M2378"/>
      <c r="N2378"/>
      <c r="O2378"/>
      <c r="P2378"/>
    </row>
    <row r="2379" spans="2:16">
      <c r="B2379"/>
      <c r="C2379"/>
      <c r="D2379"/>
      <c r="E2379"/>
      <c r="F2379"/>
      <c r="G2379"/>
      <c r="H2379"/>
      <c r="I2379"/>
      <c r="J2379"/>
      <c r="K2379"/>
      <c r="L2379"/>
      <c r="M2379"/>
      <c r="N2379"/>
      <c r="O2379"/>
      <c r="P2379"/>
    </row>
    <row r="2380" spans="2:16">
      <c r="B2380"/>
      <c r="C2380"/>
      <c r="D2380"/>
      <c r="E2380"/>
      <c r="F2380"/>
      <c r="G2380"/>
      <c r="H2380"/>
      <c r="I2380"/>
      <c r="J2380"/>
      <c r="K2380"/>
      <c r="L2380"/>
      <c r="M2380"/>
      <c r="N2380"/>
      <c r="O2380"/>
      <c r="P2380"/>
    </row>
    <row r="2381" spans="2:16">
      <c r="B2381"/>
      <c r="C2381"/>
      <c r="D2381"/>
      <c r="E2381"/>
      <c r="F2381"/>
      <c r="G2381"/>
      <c r="H2381"/>
      <c r="I2381"/>
      <c r="J2381"/>
      <c r="K2381"/>
      <c r="L2381"/>
      <c r="M2381"/>
      <c r="N2381"/>
      <c r="O2381"/>
      <c r="P2381"/>
    </row>
    <row r="2382" spans="2:16">
      <c r="B2382"/>
      <c r="C2382"/>
      <c r="D2382"/>
      <c r="E2382"/>
      <c r="F2382"/>
      <c r="G2382"/>
      <c r="H2382"/>
      <c r="I2382"/>
      <c r="J2382"/>
      <c r="K2382"/>
      <c r="L2382"/>
      <c r="M2382"/>
      <c r="N2382"/>
      <c r="O2382"/>
      <c r="P2382"/>
    </row>
    <row r="2383" spans="2:16">
      <c r="B2383"/>
      <c r="C2383"/>
      <c r="D2383"/>
      <c r="E2383"/>
      <c r="F2383"/>
      <c r="G2383"/>
      <c r="H2383"/>
      <c r="I2383"/>
      <c r="J2383"/>
      <c r="K2383"/>
      <c r="L2383"/>
      <c r="M2383"/>
      <c r="N2383"/>
      <c r="O2383"/>
      <c r="P2383"/>
    </row>
    <row r="2384" spans="2:16">
      <c r="B2384"/>
      <c r="C2384"/>
      <c r="D2384"/>
      <c r="E2384"/>
      <c r="F2384"/>
      <c r="G2384"/>
      <c r="H2384"/>
      <c r="I2384"/>
      <c r="J2384"/>
      <c r="K2384"/>
      <c r="L2384"/>
      <c r="M2384"/>
      <c r="N2384"/>
      <c r="O2384"/>
      <c r="P2384"/>
    </row>
    <row r="2385" spans="2:16">
      <c r="B2385"/>
      <c r="C2385"/>
      <c r="D2385"/>
      <c r="E2385"/>
      <c r="F2385"/>
      <c r="G2385"/>
      <c r="H2385"/>
      <c r="I2385"/>
      <c r="J2385"/>
      <c r="K2385"/>
      <c r="L2385"/>
      <c r="M2385"/>
      <c r="N2385"/>
      <c r="O2385"/>
      <c r="P2385"/>
    </row>
    <row r="2386" spans="2:16">
      <c r="B2386"/>
      <c r="C2386"/>
      <c r="D2386"/>
      <c r="E2386"/>
      <c r="F2386"/>
      <c r="G2386"/>
      <c r="H2386"/>
      <c r="I2386"/>
      <c r="J2386"/>
      <c r="K2386"/>
      <c r="L2386"/>
      <c r="M2386"/>
      <c r="N2386"/>
      <c r="O2386"/>
      <c r="P2386"/>
    </row>
    <row r="2387" spans="2:16">
      <c r="B2387"/>
      <c r="C2387"/>
      <c r="D2387"/>
      <c r="E2387"/>
      <c r="F2387"/>
      <c r="G2387"/>
      <c r="H2387"/>
      <c r="I2387"/>
      <c r="J2387"/>
      <c r="K2387"/>
      <c r="L2387"/>
      <c r="M2387"/>
      <c r="N2387"/>
      <c r="O2387"/>
      <c r="P2387"/>
    </row>
    <row r="2388" spans="2:16">
      <c r="B2388"/>
      <c r="C2388"/>
      <c r="D2388"/>
      <c r="E2388"/>
      <c r="F2388"/>
      <c r="G2388"/>
      <c r="H2388"/>
      <c r="I2388"/>
      <c r="J2388"/>
      <c r="K2388"/>
      <c r="L2388"/>
      <c r="M2388"/>
      <c r="N2388"/>
      <c r="O2388"/>
      <c r="P2388"/>
    </row>
    <row r="2389" spans="2:16">
      <c r="B2389"/>
      <c r="C2389"/>
      <c r="D2389"/>
      <c r="E2389"/>
      <c r="F2389"/>
      <c r="G2389"/>
      <c r="H2389"/>
      <c r="I2389"/>
      <c r="J2389"/>
      <c r="K2389"/>
      <c r="L2389"/>
      <c r="M2389"/>
      <c r="N2389"/>
      <c r="O2389"/>
      <c r="P2389"/>
    </row>
    <row r="2390" spans="2:16">
      <c r="B2390"/>
      <c r="C2390"/>
      <c r="D2390"/>
      <c r="E2390"/>
      <c r="F2390"/>
      <c r="G2390"/>
      <c r="H2390"/>
      <c r="I2390"/>
      <c r="J2390"/>
      <c r="K2390"/>
      <c r="L2390"/>
      <c r="M2390"/>
      <c r="N2390"/>
      <c r="O2390"/>
      <c r="P2390"/>
    </row>
    <row r="2391" spans="2:16">
      <c r="B2391"/>
      <c r="C2391"/>
      <c r="D2391"/>
      <c r="E2391"/>
      <c r="F2391"/>
      <c r="G2391"/>
      <c r="H2391"/>
      <c r="I2391"/>
      <c r="J2391"/>
      <c r="K2391"/>
      <c r="L2391"/>
      <c r="M2391"/>
      <c r="N2391"/>
      <c r="O2391"/>
      <c r="P2391"/>
    </row>
    <row r="2392" spans="2:16">
      <c r="B2392"/>
      <c r="C2392"/>
      <c r="D2392"/>
      <c r="E2392"/>
      <c r="F2392"/>
      <c r="G2392"/>
      <c r="H2392"/>
      <c r="I2392"/>
      <c r="J2392"/>
      <c r="K2392"/>
      <c r="L2392"/>
      <c r="M2392"/>
      <c r="N2392"/>
      <c r="O2392"/>
      <c r="P2392"/>
    </row>
    <row r="2393" spans="2:16">
      <c r="B2393"/>
      <c r="C2393"/>
      <c r="D2393"/>
      <c r="E2393"/>
      <c r="F2393"/>
      <c r="G2393"/>
      <c r="H2393"/>
      <c r="I2393"/>
      <c r="J2393"/>
      <c r="K2393"/>
      <c r="L2393"/>
      <c r="M2393"/>
      <c r="N2393"/>
      <c r="O2393"/>
      <c r="P2393"/>
    </row>
    <row r="2394" spans="2:16">
      <c r="B2394"/>
      <c r="C2394"/>
      <c r="D2394"/>
      <c r="E2394"/>
      <c r="F2394"/>
      <c r="G2394"/>
      <c r="H2394"/>
      <c r="I2394"/>
      <c r="J2394"/>
      <c r="K2394"/>
      <c r="L2394"/>
      <c r="M2394"/>
      <c r="N2394"/>
      <c r="O2394"/>
      <c r="P2394"/>
    </row>
    <row r="2395" spans="2:16">
      <c r="B2395"/>
      <c r="C2395"/>
      <c r="D2395"/>
      <c r="E2395"/>
      <c r="F2395"/>
      <c r="G2395"/>
      <c r="H2395"/>
      <c r="I2395"/>
      <c r="J2395"/>
      <c r="K2395"/>
      <c r="L2395"/>
      <c r="M2395"/>
      <c r="N2395"/>
      <c r="O2395"/>
      <c r="P2395"/>
    </row>
    <row r="2396" spans="2:16">
      <c r="B2396"/>
      <c r="C2396"/>
      <c r="D2396"/>
      <c r="E2396"/>
      <c r="F2396"/>
      <c r="G2396"/>
      <c r="H2396"/>
      <c r="I2396"/>
      <c r="J2396"/>
      <c r="K2396"/>
      <c r="L2396"/>
      <c r="M2396"/>
      <c r="N2396"/>
      <c r="O2396"/>
      <c r="P2396"/>
    </row>
    <row r="2397" spans="2:16">
      <c r="B2397"/>
      <c r="C2397"/>
      <c r="D2397"/>
      <c r="E2397"/>
      <c r="F2397"/>
      <c r="G2397"/>
      <c r="H2397"/>
      <c r="I2397"/>
      <c r="J2397"/>
      <c r="K2397"/>
      <c r="L2397"/>
      <c r="M2397"/>
      <c r="N2397"/>
      <c r="O2397"/>
      <c r="P2397"/>
    </row>
    <row r="2398" spans="2:16">
      <c r="B2398"/>
      <c r="C2398"/>
      <c r="D2398"/>
      <c r="E2398"/>
      <c r="F2398"/>
      <c r="G2398"/>
      <c r="H2398"/>
      <c r="I2398"/>
      <c r="J2398"/>
      <c r="K2398"/>
      <c r="L2398"/>
      <c r="M2398"/>
      <c r="N2398"/>
      <c r="O2398"/>
      <c r="P2398"/>
    </row>
    <row r="2399" spans="2:16">
      <c r="B2399"/>
      <c r="C2399"/>
      <c r="D2399"/>
      <c r="E2399"/>
      <c r="F2399"/>
      <c r="G2399"/>
      <c r="H2399"/>
      <c r="I2399"/>
      <c r="J2399"/>
      <c r="K2399"/>
      <c r="L2399"/>
      <c r="M2399"/>
      <c r="N2399"/>
      <c r="O2399"/>
      <c r="P2399"/>
    </row>
    <row r="2400" spans="2:16">
      <c r="B2400"/>
      <c r="C2400"/>
      <c r="D2400"/>
      <c r="E2400"/>
      <c r="F2400"/>
      <c r="G2400"/>
      <c r="H2400"/>
      <c r="I2400"/>
      <c r="J2400"/>
      <c r="K2400"/>
      <c r="L2400"/>
      <c r="M2400"/>
      <c r="N2400"/>
      <c r="O2400"/>
      <c r="P2400"/>
    </row>
    <row r="2401" spans="2:16">
      <c r="B2401"/>
      <c r="C2401"/>
      <c r="D2401"/>
      <c r="E2401"/>
      <c r="F2401"/>
      <c r="G2401"/>
      <c r="H2401"/>
      <c r="I2401"/>
      <c r="J2401"/>
      <c r="K2401"/>
      <c r="L2401"/>
      <c r="M2401"/>
      <c r="N2401"/>
      <c r="O2401"/>
      <c r="P2401"/>
    </row>
    <row r="2402" spans="2:16">
      <c r="B2402"/>
      <c r="C2402"/>
      <c r="D2402"/>
      <c r="E2402"/>
      <c r="F2402"/>
      <c r="G2402"/>
      <c r="H2402"/>
      <c r="I2402"/>
      <c r="J2402"/>
      <c r="K2402"/>
      <c r="L2402"/>
      <c r="M2402"/>
      <c r="N2402"/>
      <c r="O2402"/>
      <c r="P2402"/>
    </row>
    <row r="2403" spans="2:16">
      <c r="B2403"/>
      <c r="C2403"/>
      <c r="D2403"/>
      <c r="E2403"/>
      <c r="F2403"/>
      <c r="G2403"/>
      <c r="H2403"/>
      <c r="I2403"/>
      <c r="J2403"/>
      <c r="K2403"/>
      <c r="L2403"/>
      <c r="M2403"/>
      <c r="N2403"/>
      <c r="O2403"/>
      <c r="P2403"/>
    </row>
    <row r="2404" spans="2:16">
      <c r="B2404"/>
      <c r="C2404"/>
      <c r="D2404"/>
      <c r="E2404"/>
      <c r="F2404"/>
      <c r="G2404"/>
      <c r="H2404"/>
      <c r="I2404"/>
      <c r="J2404"/>
      <c r="K2404"/>
      <c r="L2404"/>
      <c r="M2404"/>
      <c r="N2404"/>
      <c r="O2404"/>
      <c r="P2404"/>
    </row>
    <row r="2405" spans="2:16">
      <c r="B2405"/>
      <c r="C2405"/>
      <c r="D2405"/>
      <c r="E2405"/>
      <c r="F2405"/>
      <c r="G2405"/>
      <c r="H2405"/>
      <c r="I2405"/>
      <c r="J2405"/>
      <c r="K2405"/>
      <c r="L2405"/>
      <c r="M2405"/>
      <c r="N2405"/>
      <c r="O2405"/>
      <c r="P2405"/>
    </row>
    <row r="2406" spans="2:16">
      <c r="B2406"/>
      <c r="C2406"/>
      <c r="D2406"/>
      <c r="E2406"/>
      <c r="F2406"/>
      <c r="G2406"/>
      <c r="H2406"/>
      <c r="I2406"/>
      <c r="J2406"/>
      <c r="K2406"/>
      <c r="L2406"/>
      <c r="M2406"/>
      <c r="N2406"/>
      <c r="O2406"/>
      <c r="P2406"/>
    </row>
    <row r="2407" spans="2:16">
      <c r="B2407"/>
      <c r="C2407"/>
      <c r="D2407"/>
      <c r="E2407"/>
      <c r="F2407"/>
      <c r="G2407"/>
      <c r="H2407"/>
      <c r="I2407"/>
      <c r="J2407"/>
      <c r="K2407"/>
      <c r="L2407"/>
      <c r="M2407"/>
      <c r="N2407"/>
      <c r="O2407"/>
      <c r="P2407"/>
    </row>
    <row r="2408" spans="2:16">
      <c r="B2408"/>
      <c r="C2408"/>
      <c r="D2408"/>
      <c r="E2408"/>
      <c r="F2408"/>
      <c r="G2408"/>
      <c r="H2408"/>
      <c r="I2408"/>
      <c r="J2408"/>
      <c r="K2408"/>
      <c r="L2408"/>
      <c r="M2408"/>
      <c r="N2408"/>
      <c r="O2408"/>
      <c r="P2408"/>
    </row>
    <row r="2409" spans="2:16">
      <c r="B2409"/>
      <c r="C2409"/>
      <c r="D2409"/>
      <c r="E2409"/>
      <c r="F2409"/>
      <c r="G2409"/>
      <c r="H2409"/>
      <c r="I2409"/>
      <c r="J2409"/>
      <c r="K2409"/>
      <c r="L2409"/>
      <c r="M2409"/>
      <c r="N2409"/>
      <c r="O2409"/>
      <c r="P2409"/>
    </row>
    <row r="2410" spans="2:16">
      <c r="B2410"/>
      <c r="C2410"/>
      <c r="D2410"/>
      <c r="E2410"/>
      <c r="F2410"/>
      <c r="G2410"/>
      <c r="H2410"/>
      <c r="I2410"/>
      <c r="J2410"/>
      <c r="K2410"/>
      <c r="L2410"/>
      <c r="M2410"/>
      <c r="N2410"/>
      <c r="O2410"/>
      <c r="P2410"/>
    </row>
    <row r="2411" spans="2:16">
      <c r="B2411"/>
      <c r="C2411"/>
      <c r="D2411"/>
      <c r="E2411"/>
      <c r="F2411"/>
      <c r="G2411"/>
      <c r="H2411"/>
      <c r="I2411"/>
      <c r="J2411"/>
      <c r="K2411"/>
      <c r="L2411"/>
      <c r="M2411"/>
      <c r="N2411"/>
      <c r="O2411"/>
      <c r="P2411"/>
    </row>
    <row r="2412" spans="2:16">
      <c r="B2412"/>
      <c r="C2412"/>
      <c r="D2412"/>
      <c r="E2412"/>
      <c r="F2412"/>
      <c r="G2412"/>
      <c r="H2412"/>
      <c r="I2412"/>
      <c r="J2412"/>
      <c r="K2412"/>
      <c r="L2412"/>
      <c r="M2412"/>
      <c r="N2412"/>
      <c r="O2412"/>
      <c r="P2412"/>
    </row>
    <row r="2413" spans="2:16">
      <c r="B2413"/>
      <c r="C2413"/>
      <c r="D2413"/>
      <c r="E2413"/>
      <c r="F2413"/>
      <c r="G2413"/>
      <c r="H2413"/>
      <c r="I2413"/>
      <c r="J2413"/>
      <c r="K2413"/>
      <c r="L2413"/>
      <c r="M2413"/>
      <c r="N2413"/>
      <c r="O2413"/>
      <c r="P2413"/>
    </row>
    <row r="2414" spans="2:16">
      <c r="B2414"/>
      <c r="C2414"/>
      <c r="D2414"/>
      <c r="E2414"/>
      <c r="F2414"/>
      <c r="G2414"/>
      <c r="H2414"/>
      <c r="I2414"/>
      <c r="J2414"/>
      <c r="K2414"/>
      <c r="L2414"/>
      <c r="M2414"/>
      <c r="N2414"/>
      <c r="O2414"/>
      <c r="P2414"/>
    </row>
    <row r="2415" spans="2:16">
      <c r="B2415"/>
      <c r="C2415"/>
      <c r="D2415"/>
      <c r="E2415"/>
      <c r="F2415"/>
      <c r="G2415"/>
      <c r="H2415"/>
      <c r="I2415"/>
      <c r="J2415"/>
      <c r="K2415"/>
      <c r="L2415"/>
      <c r="M2415"/>
      <c r="N2415"/>
      <c r="O2415"/>
      <c r="P2415"/>
    </row>
    <row r="2416" spans="2:16">
      <c r="B2416"/>
      <c r="C2416"/>
      <c r="D2416"/>
      <c r="E2416"/>
      <c r="F2416"/>
      <c r="G2416"/>
      <c r="H2416"/>
      <c r="I2416"/>
      <c r="J2416"/>
      <c r="K2416"/>
      <c r="L2416"/>
      <c r="M2416"/>
      <c r="N2416"/>
      <c r="O2416"/>
      <c r="P2416"/>
    </row>
    <row r="2417" spans="2:16">
      <c r="B2417"/>
      <c r="C2417"/>
      <c r="D2417"/>
      <c r="E2417"/>
      <c r="F2417"/>
      <c r="G2417"/>
      <c r="H2417"/>
      <c r="I2417"/>
      <c r="J2417"/>
      <c r="K2417"/>
      <c r="L2417"/>
      <c r="M2417"/>
      <c r="N2417"/>
      <c r="O2417"/>
      <c r="P2417"/>
    </row>
    <row r="2418" spans="2:16">
      <c r="B2418"/>
      <c r="C2418"/>
      <c r="D2418"/>
      <c r="E2418"/>
      <c r="F2418"/>
      <c r="G2418"/>
      <c r="H2418"/>
      <c r="I2418"/>
      <c r="J2418"/>
      <c r="K2418"/>
      <c r="L2418"/>
      <c r="M2418"/>
      <c r="N2418"/>
      <c r="O2418"/>
      <c r="P2418"/>
    </row>
    <row r="2419" spans="2:16">
      <c r="B2419"/>
      <c r="C2419"/>
      <c r="D2419"/>
      <c r="E2419"/>
      <c r="F2419"/>
      <c r="G2419"/>
      <c r="H2419"/>
      <c r="I2419"/>
      <c r="J2419"/>
      <c r="K2419"/>
      <c r="L2419"/>
      <c r="M2419"/>
      <c r="N2419"/>
      <c r="O2419"/>
      <c r="P2419"/>
    </row>
    <row r="2420" spans="2:16">
      <c r="B2420"/>
      <c r="C2420"/>
      <c r="D2420"/>
      <c r="E2420"/>
      <c r="F2420"/>
      <c r="G2420"/>
      <c r="H2420"/>
      <c r="I2420"/>
      <c r="J2420"/>
      <c r="K2420"/>
      <c r="L2420"/>
      <c r="M2420"/>
      <c r="N2420"/>
      <c r="O2420"/>
      <c r="P2420"/>
    </row>
    <row r="2421" spans="2:16">
      <c r="B2421"/>
      <c r="C2421"/>
      <c r="D2421"/>
      <c r="E2421"/>
      <c r="F2421"/>
      <c r="G2421"/>
      <c r="H2421"/>
      <c r="I2421"/>
      <c r="J2421"/>
      <c r="K2421"/>
      <c r="L2421"/>
      <c r="M2421"/>
      <c r="N2421"/>
      <c r="O2421"/>
      <c r="P2421"/>
    </row>
    <row r="2422" spans="2:16">
      <c r="B2422"/>
      <c r="C2422"/>
      <c r="D2422"/>
      <c r="E2422"/>
      <c r="F2422"/>
      <c r="G2422"/>
      <c r="H2422"/>
      <c r="I2422"/>
      <c r="J2422"/>
      <c r="K2422"/>
      <c r="L2422"/>
      <c r="M2422"/>
      <c r="N2422"/>
      <c r="O2422"/>
      <c r="P2422"/>
    </row>
    <row r="2423" spans="2:16">
      <c r="B2423"/>
      <c r="C2423"/>
      <c r="D2423"/>
      <c r="E2423"/>
      <c r="F2423"/>
      <c r="G2423"/>
      <c r="H2423"/>
      <c r="I2423"/>
      <c r="J2423"/>
      <c r="K2423"/>
      <c r="L2423"/>
      <c r="M2423"/>
      <c r="N2423"/>
      <c r="O2423"/>
      <c r="P2423"/>
    </row>
    <row r="2424" spans="2:16">
      <c r="B2424"/>
      <c r="C2424"/>
      <c r="D2424"/>
      <c r="E2424"/>
      <c r="F2424"/>
      <c r="G2424"/>
      <c r="H2424"/>
      <c r="I2424"/>
      <c r="J2424"/>
      <c r="K2424"/>
      <c r="L2424"/>
      <c r="M2424"/>
      <c r="N2424"/>
      <c r="O2424"/>
      <c r="P2424"/>
    </row>
    <row r="2425" spans="2:16">
      <c r="B2425"/>
      <c r="C2425"/>
      <c r="D2425"/>
      <c r="E2425"/>
      <c r="F2425"/>
      <c r="G2425"/>
      <c r="H2425"/>
      <c r="I2425"/>
      <c r="J2425"/>
      <c r="K2425"/>
      <c r="L2425"/>
      <c r="M2425"/>
      <c r="N2425"/>
      <c r="O2425"/>
      <c r="P2425"/>
    </row>
    <row r="2426" spans="2:16">
      <c r="B2426"/>
      <c r="C2426"/>
      <c r="D2426"/>
      <c r="E2426"/>
      <c r="F2426"/>
      <c r="G2426"/>
      <c r="H2426"/>
      <c r="I2426"/>
      <c r="J2426"/>
      <c r="K2426"/>
      <c r="L2426"/>
      <c r="M2426"/>
      <c r="N2426"/>
      <c r="O2426"/>
      <c r="P2426"/>
    </row>
    <row r="2427" spans="2:16">
      <c r="B2427"/>
      <c r="C2427"/>
      <c r="D2427"/>
      <c r="E2427"/>
      <c r="F2427"/>
      <c r="G2427"/>
      <c r="H2427"/>
      <c r="I2427"/>
      <c r="J2427"/>
      <c r="K2427"/>
      <c r="L2427"/>
      <c r="M2427"/>
      <c r="N2427"/>
      <c r="O2427"/>
      <c r="P2427"/>
    </row>
    <row r="2428" spans="2:16">
      <c r="B2428"/>
      <c r="C2428"/>
      <c r="D2428"/>
      <c r="E2428"/>
      <c r="F2428"/>
      <c r="G2428"/>
      <c r="H2428"/>
      <c r="I2428"/>
      <c r="J2428"/>
      <c r="K2428"/>
      <c r="L2428"/>
      <c r="M2428"/>
      <c r="N2428"/>
      <c r="O2428"/>
      <c r="P2428"/>
    </row>
    <row r="2429" spans="2:16">
      <c r="B2429"/>
      <c r="C2429"/>
      <c r="D2429"/>
      <c r="E2429"/>
      <c r="F2429"/>
      <c r="G2429"/>
      <c r="H2429"/>
      <c r="I2429"/>
      <c r="J2429"/>
      <c r="K2429"/>
      <c r="L2429"/>
      <c r="M2429"/>
      <c r="N2429"/>
      <c r="O2429"/>
      <c r="P2429"/>
    </row>
    <row r="2430" spans="2:16">
      <c r="B2430"/>
      <c r="C2430"/>
      <c r="D2430"/>
      <c r="E2430"/>
      <c r="F2430"/>
      <c r="G2430"/>
      <c r="H2430"/>
      <c r="I2430"/>
      <c r="J2430"/>
      <c r="K2430"/>
      <c r="L2430"/>
      <c r="M2430"/>
      <c r="N2430"/>
      <c r="O2430"/>
      <c r="P2430"/>
    </row>
    <row r="2431" spans="2:16">
      <c r="B2431"/>
      <c r="C2431"/>
      <c r="D2431"/>
      <c r="E2431"/>
      <c r="F2431"/>
      <c r="G2431"/>
      <c r="H2431"/>
      <c r="I2431"/>
      <c r="J2431"/>
      <c r="K2431"/>
      <c r="L2431"/>
      <c r="M2431"/>
      <c r="N2431"/>
      <c r="O2431"/>
      <c r="P2431"/>
    </row>
    <row r="2432" spans="2:16">
      <c r="B2432"/>
      <c r="C2432"/>
      <c r="D2432"/>
      <c r="E2432"/>
      <c r="F2432"/>
      <c r="G2432"/>
      <c r="H2432"/>
      <c r="I2432"/>
      <c r="J2432"/>
      <c r="K2432"/>
      <c r="L2432"/>
      <c r="M2432"/>
      <c r="N2432"/>
      <c r="O2432"/>
      <c r="P2432"/>
    </row>
    <row r="2433" spans="2:16">
      <c r="B2433"/>
      <c r="C2433"/>
      <c r="D2433"/>
      <c r="E2433"/>
      <c r="F2433"/>
      <c r="G2433"/>
      <c r="H2433"/>
      <c r="I2433"/>
      <c r="J2433"/>
      <c r="K2433"/>
      <c r="L2433"/>
      <c r="M2433"/>
      <c r="N2433"/>
      <c r="O2433"/>
      <c r="P2433"/>
    </row>
    <row r="2434" spans="2:16">
      <c r="B2434"/>
      <c r="C2434"/>
      <c r="D2434"/>
      <c r="E2434"/>
      <c r="F2434"/>
      <c r="G2434"/>
      <c r="H2434"/>
      <c r="I2434"/>
      <c r="J2434"/>
      <c r="K2434"/>
      <c r="L2434"/>
      <c r="M2434"/>
      <c r="N2434"/>
      <c r="O2434"/>
      <c r="P2434"/>
    </row>
    <row r="2435" spans="2:16">
      <c r="B2435"/>
      <c r="C2435"/>
      <c r="D2435"/>
      <c r="E2435"/>
      <c r="F2435"/>
      <c r="G2435"/>
      <c r="H2435"/>
      <c r="I2435"/>
      <c r="J2435"/>
      <c r="K2435"/>
      <c r="L2435"/>
      <c r="M2435"/>
      <c r="N2435"/>
      <c r="O2435"/>
      <c r="P2435"/>
    </row>
    <row r="2436" spans="2:16">
      <c r="B2436"/>
      <c r="C2436"/>
      <c r="D2436"/>
      <c r="E2436"/>
      <c r="F2436"/>
      <c r="G2436"/>
      <c r="H2436"/>
      <c r="I2436"/>
      <c r="J2436"/>
      <c r="K2436"/>
      <c r="L2436"/>
      <c r="M2436"/>
      <c r="N2436"/>
      <c r="O2436"/>
      <c r="P2436"/>
    </row>
    <row r="2437" spans="2:16">
      <c r="B2437"/>
      <c r="C2437"/>
      <c r="D2437"/>
      <c r="E2437"/>
      <c r="F2437"/>
      <c r="G2437"/>
      <c r="H2437"/>
      <c r="I2437"/>
      <c r="J2437"/>
      <c r="K2437"/>
      <c r="L2437"/>
      <c r="M2437"/>
      <c r="N2437"/>
      <c r="O2437"/>
      <c r="P2437"/>
    </row>
    <row r="2438" spans="2:16">
      <c r="B2438"/>
      <c r="C2438"/>
      <c r="D2438"/>
      <c r="E2438"/>
      <c r="F2438"/>
      <c r="G2438"/>
      <c r="H2438"/>
      <c r="I2438"/>
      <c r="J2438"/>
      <c r="K2438"/>
      <c r="L2438"/>
      <c r="M2438"/>
      <c r="N2438"/>
      <c r="O2438"/>
      <c r="P2438"/>
    </row>
    <row r="2439" spans="2:16">
      <c r="B2439"/>
      <c r="C2439"/>
      <c r="D2439"/>
      <c r="E2439"/>
      <c r="F2439"/>
      <c r="G2439"/>
      <c r="H2439"/>
      <c r="I2439"/>
      <c r="J2439"/>
      <c r="K2439"/>
      <c r="L2439"/>
      <c r="M2439"/>
      <c r="N2439"/>
      <c r="O2439"/>
      <c r="P2439"/>
    </row>
    <row r="2440" spans="2:16">
      <c r="B2440"/>
      <c r="C2440"/>
      <c r="D2440"/>
      <c r="E2440"/>
      <c r="F2440"/>
      <c r="G2440"/>
      <c r="H2440"/>
      <c r="I2440"/>
      <c r="J2440"/>
      <c r="K2440"/>
      <c r="L2440"/>
      <c r="M2440"/>
      <c r="N2440"/>
      <c r="O2440"/>
      <c r="P2440"/>
    </row>
    <row r="2441" spans="2:16">
      <c r="B2441"/>
      <c r="C2441"/>
      <c r="D2441"/>
      <c r="E2441"/>
      <c r="F2441"/>
      <c r="G2441"/>
      <c r="H2441"/>
      <c r="I2441"/>
      <c r="J2441"/>
      <c r="K2441"/>
      <c r="L2441"/>
      <c r="M2441"/>
      <c r="N2441"/>
      <c r="O2441"/>
      <c r="P2441"/>
    </row>
    <row r="2442" spans="2:16">
      <c r="B2442"/>
      <c r="C2442"/>
      <c r="D2442"/>
      <c r="E2442"/>
      <c r="F2442"/>
      <c r="G2442"/>
      <c r="H2442"/>
      <c r="I2442"/>
      <c r="J2442"/>
      <c r="K2442"/>
      <c r="L2442"/>
      <c r="M2442"/>
      <c r="N2442"/>
      <c r="O2442"/>
      <c r="P2442"/>
    </row>
    <row r="2443" spans="2:16">
      <c r="B2443"/>
      <c r="C2443"/>
      <c r="D2443"/>
      <c r="E2443"/>
      <c r="F2443"/>
      <c r="G2443"/>
      <c r="H2443"/>
      <c r="I2443"/>
      <c r="J2443"/>
      <c r="K2443"/>
      <c r="L2443"/>
      <c r="M2443"/>
      <c r="N2443"/>
      <c r="O2443"/>
      <c r="P2443"/>
    </row>
    <row r="2444" spans="2:16">
      <c r="B2444"/>
      <c r="C2444"/>
      <c r="D2444"/>
      <c r="E2444"/>
      <c r="F2444"/>
      <c r="G2444"/>
      <c r="H2444"/>
      <c r="I2444"/>
      <c r="J2444"/>
      <c r="K2444"/>
      <c r="L2444"/>
      <c r="M2444"/>
      <c r="N2444"/>
      <c r="O2444"/>
      <c r="P2444"/>
    </row>
    <row r="2445" spans="2:16">
      <c r="B2445"/>
      <c r="C2445"/>
      <c r="D2445"/>
      <c r="E2445"/>
      <c r="F2445"/>
      <c r="G2445"/>
      <c r="H2445"/>
      <c r="I2445"/>
      <c r="J2445"/>
      <c r="K2445"/>
      <c r="L2445"/>
      <c r="M2445"/>
      <c r="N2445"/>
      <c r="O2445"/>
      <c r="P2445"/>
    </row>
    <row r="2446" spans="2:16">
      <c r="B2446"/>
      <c r="C2446"/>
      <c r="D2446"/>
      <c r="E2446"/>
      <c r="F2446"/>
      <c r="G2446"/>
      <c r="H2446"/>
      <c r="I2446"/>
      <c r="J2446"/>
      <c r="K2446"/>
      <c r="L2446"/>
      <c r="M2446"/>
      <c r="N2446"/>
      <c r="O2446"/>
      <c r="P2446"/>
    </row>
    <row r="2447" spans="2:16">
      <c r="B2447"/>
      <c r="C2447"/>
      <c r="D2447"/>
      <c r="E2447"/>
      <c r="F2447"/>
      <c r="G2447"/>
      <c r="H2447"/>
      <c r="I2447"/>
      <c r="J2447"/>
      <c r="K2447"/>
      <c r="L2447"/>
      <c r="M2447"/>
      <c r="N2447"/>
      <c r="O2447"/>
      <c r="P2447"/>
    </row>
    <row r="2448" spans="2:16">
      <c r="B2448"/>
      <c r="C2448"/>
      <c r="D2448"/>
      <c r="E2448"/>
      <c r="F2448"/>
      <c r="G2448"/>
      <c r="H2448"/>
      <c r="I2448"/>
      <c r="J2448"/>
      <c r="K2448"/>
      <c r="L2448"/>
      <c r="M2448"/>
      <c r="N2448"/>
      <c r="O2448"/>
      <c r="P2448"/>
    </row>
    <row r="2449" spans="2:16">
      <c r="B2449"/>
      <c r="C2449"/>
      <c r="D2449"/>
      <c r="E2449"/>
      <c r="F2449"/>
      <c r="G2449"/>
      <c r="H2449"/>
      <c r="I2449"/>
      <c r="J2449"/>
      <c r="K2449"/>
      <c r="L2449"/>
      <c r="M2449"/>
      <c r="N2449"/>
      <c r="O2449"/>
      <c r="P2449"/>
    </row>
    <row r="2450" spans="2:16">
      <c r="B2450"/>
      <c r="C2450"/>
      <c r="D2450"/>
      <c r="E2450"/>
      <c r="F2450"/>
      <c r="G2450"/>
      <c r="H2450"/>
      <c r="I2450"/>
      <c r="J2450"/>
      <c r="K2450"/>
      <c r="L2450"/>
      <c r="M2450"/>
      <c r="N2450"/>
      <c r="O2450"/>
      <c r="P2450"/>
    </row>
    <row r="2451" spans="2:16">
      <c r="B2451"/>
      <c r="C2451"/>
      <c r="D2451"/>
      <c r="E2451"/>
      <c r="F2451"/>
      <c r="G2451"/>
      <c r="H2451"/>
      <c r="I2451"/>
      <c r="J2451"/>
      <c r="K2451"/>
      <c r="L2451"/>
      <c r="M2451"/>
      <c r="N2451"/>
      <c r="O2451"/>
      <c r="P2451"/>
    </row>
    <row r="2452" spans="2:16">
      <c r="B2452"/>
      <c r="C2452"/>
      <c r="D2452"/>
      <c r="E2452"/>
      <c r="F2452"/>
      <c r="G2452"/>
      <c r="H2452"/>
      <c r="I2452"/>
      <c r="J2452"/>
      <c r="K2452"/>
      <c r="L2452"/>
      <c r="M2452"/>
      <c r="N2452"/>
      <c r="O2452"/>
      <c r="P2452"/>
    </row>
    <row r="2453" spans="2:16">
      <c r="B2453"/>
      <c r="C2453"/>
      <c r="D2453"/>
      <c r="E2453"/>
      <c r="F2453"/>
      <c r="G2453"/>
      <c r="H2453"/>
      <c r="I2453"/>
      <c r="J2453"/>
      <c r="K2453"/>
      <c r="L2453"/>
      <c r="M2453"/>
      <c r="N2453"/>
      <c r="O2453"/>
      <c r="P2453"/>
    </row>
    <row r="2454" spans="2:16">
      <c r="B2454"/>
      <c r="C2454"/>
      <c r="D2454"/>
      <c r="E2454"/>
      <c r="F2454"/>
      <c r="G2454"/>
      <c r="H2454"/>
      <c r="I2454"/>
      <c r="J2454"/>
      <c r="K2454"/>
      <c r="L2454"/>
      <c r="M2454"/>
      <c r="N2454"/>
      <c r="O2454"/>
      <c r="P2454"/>
    </row>
    <row r="2455" spans="2:16">
      <c r="B2455"/>
      <c r="C2455"/>
      <c r="D2455"/>
      <c r="E2455"/>
      <c r="F2455"/>
      <c r="G2455"/>
      <c r="H2455"/>
      <c r="I2455"/>
      <c r="J2455"/>
      <c r="K2455"/>
      <c r="L2455"/>
      <c r="M2455"/>
      <c r="N2455"/>
      <c r="O2455"/>
      <c r="P2455"/>
    </row>
    <row r="2456" spans="2:16">
      <c r="B2456"/>
      <c r="C2456"/>
      <c r="D2456"/>
      <c r="E2456"/>
      <c r="F2456"/>
      <c r="G2456"/>
      <c r="H2456"/>
      <c r="I2456"/>
      <c r="J2456"/>
      <c r="K2456"/>
      <c r="L2456"/>
      <c r="M2456"/>
      <c r="N2456"/>
      <c r="O2456"/>
      <c r="P2456"/>
    </row>
    <row r="2457" spans="2:16">
      <c r="B2457"/>
      <c r="C2457"/>
      <c r="D2457"/>
      <c r="E2457"/>
      <c r="F2457"/>
      <c r="G2457"/>
      <c r="H2457"/>
      <c r="I2457"/>
      <c r="J2457"/>
      <c r="K2457"/>
      <c r="L2457"/>
      <c r="M2457"/>
      <c r="N2457"/>
      <c r="O2457"/>
      <c r="P2457"/>
    </row>
    <row r="2458" spans="2:16">
      <c r="B2458"/>
      <c r="C2458"/>
      <c r="D2458"/>
      <c r="E2458"/>
      <c r="F2458"/>
      <c r="G2458"/>
      <c r="H2458"/>
      <c r="I2458"/>
      <c r="J2458"/>
      <c r="K2458"/>
      <c r="L2458"/>
      <c r="M2458"/>
      <c r="N2458"/>
      <c r="O2458"/>
      <c r="P2458"/>
    </row>
    <row r="2459" spans="2:16">
      <c r="B2459"/>
      <c r="C2459"/>
      <c r="D2459"/>
      <c r="E2459"/>
      <c r="F2459"/>
      <c r="G2459"/>
      <c r="H2459"/>
      <c r="I2459"/>
      <c r="J2459"/>
      <c r="K2459"/>
      <c r="L2459"/>
      <c r="M2459"/>
      <c r="N2459"/>
      <c r="O2459"/>
      <c r="P2459"/>
    </row>
    <row r="2460" spans="2:16">
      <c r="B2460"/>
      <c r="C2460"/>
      <c r="D2460"/>
      <c r="E2460"/>
      <c r="F2460"/>
      <c r="G2460"/>
      <c r="H2460"/>
      <c r="I2460"/>
      <c r="J2460"/>
      <c r="K2460"/>
      <c r="L2460"/>
      <c r="M2460"/>
      <c r="N2460"/>
      <c r="O2460"/>
      <c r="P2460"/>
    </row>
    <row r="2461" spans="2:16">
      <c r="B2461"/>
      <c r="C2461"/>
      <c r="D2461"/>
      <c r="E2461"/>
      <c r="F2461"/>
      <c r="G2461"/>
      <c r="H2461"/>
      <c r="I2461"/>
      <c r="J2461"/>
      <c r="K2461"/>
      <c r="L2461"/>
      <c r="M2461"/>
      <c r="N2461"/>
      <c r="O2461"/>
      <c r="P2461"/>
    </row>
    <row r="2462" spans="2:16">
      <c r="B2462"/>
      <c r="C2462"/>
      <c r="D2462"/>
      <c r="E2462"/>
      <c r="F2462"/>
      <c r="G2462"/>
      <c r="H2462"/>
      <c r="I2462"/>
      <c r="J2462"/>
      <c r="K2462"/>
      <c r="L2462"/>
      <c r="M2462"/>
      <c r="N2462"/>
      <c r="O2462"/>
      <c r="P2462"/>
    </row>
    <row r="2463" spans="2:16">
      <c r="B2463"/>
      <c r="C2463"/>
      <c r="D2463"/>
      <c r="E2463"/>
      <c r="F2463"/>
      <c r="G2463"/>
      <c r="H2463"/>
      <c r="I2463"/>
      <c r="J2463"/>
      <c r="K2463"/>
      <c r="L2463"/>
      <c r="M2463"/>
      <c r="N2463"/>
      <c r="O2463"/>
      <c r="P2463"/>
    </row>
    <row r="2464" spans="2:16">
      <c r="B2464"/>
      <c r="C2464"/>
      <c r="D2464"/>
      <c r="E2464"/>
      <c r="F2464"/>
      <c r="G2464"/>
      <c r="H2464"/>
      <c r="I2464"/>
      <c r="J2464"/>
      <c r="K2464"/>
      <c r="L2464"/>
      <c r="M2464"/>
      <c r="N2464"/>
      <c r="O2464"/>
      <c r="P2464"/>
    </row>
    <row r="2465" spans="2:16">
      <c r="B2465"/>
      <c r="C2465"/>
      <c r="D2465"/>
      <c r="E2465"/>
      <c r="F2465"/>
      <c r="G2465"/>
      <c r="H2465"/>
      <c r="I2465"/>
      <c r="J2465"/>
      <c r="K2465"/>
      <c r="L2465"/>
      <c r="M2465"/>
      <c r="N2465"/>
      <c r="O2465"/>
      <c r="P2465"/>
    </row>
    <row r="2466" spans="2:16">
      <c r="B2466"/>
      <c r="C2466"/>
      <c r="D2466"/>
      <c r="E2466"/>
      <c r="F2466"/>
      <c r="G2466"/>
      <c r="H2466"/>
      <c r="I2466"/>
      <c r="J2466"/>
      <c r="K2466"/>
      <c r="L2466"/>
      <c r="M2466"/>
      <c r="N2466"/>
      <c r="O2466"/>
      <c r="P2466"/>
    </row>
    <row r="2467" spans="2:16">
      <c r="B2467"/>
      <c r="C2467"/>
      <c r="D2467"/>
      <c r="E2467"/>
      <c r="F2467"/>
      <c r="G2467"/>
      <c r="H2467"/>
      <c r="I2467"/>
      <c r="J2467"/>
      <c r="K2467"/>
      <c r="L2467"/>
      <c r="M2467"/>
      <c r="N2467"/>
      <c r="O2467"/>
      <c r="P2467"/>
    </row>
    <row r="2468" spans="2:16">
      <c r="B2468"/>
      <c r="C2468"/>
      <c r="D2468"/>
      <c r="E2468"/>
      <c r="F2468"/>
      <c r="G2468"/>
      <c r="H2468"/>
      <c r="I2468"/>
      <c r="J2468"/>
      <c r="K2468"/>
      <c r="L2468"/>
      <c r="M2468"/>
      <c r="N2468"/>
      <c r="O2468"/>
      <c r="P2468"/>
    </row>
    <row r="2469" spans="2:16">
      <c r="B2469"/>
      <c r="C2469"/>
      <c r="D2469"/>
      <c r="E2469"/>
      <c r="F2469"/>
      <c r="G2469"/>
      <c r="H2469"/>
      <c r="I2469"/>
      <c r="J2469"/>
      <c r="K2469"/>
      <c r="L2469"/>
      <c r="M2469"/>
      <c r="N2469"/>
      <c r="O2469"/>
      <c r="P2469"/>
    </row>
    <row r="2470" spans="2:16">
      <c r="B2470"/>
      <c r="C2470"/>
      <c r="D2470"/>
      <c r="E2470"/>
      <c r="F2470"/>
      <c r="G2470"/>
      <c r="H2470"/>
      <c r="I2470"/>
      <c r="J2470"/>
      <c r="K2470"/>
      <c r="L2470"/>
      <c r="M2470"/>
      <c r="N2470"/>
      <c r="O2470"/>
      <c r="P2470"/>
    </row>
    <row r="2471" spans="2:16">
      <c r="B2471"/>
      <c r="C2471"/>
      <c r="D2471"/>
      <c r="E2471"/>
      <c r="F2471"/>
      <c r="G2471"/>
      <c r="H2471"/>
      <c r="I2471"/>
      <c r="J2471"/>
      <c r="K2471"/>
      <c r="L2471"/>
      <c r="M2471"/>
      <c r="N2471"/>
      <c r="O2471"/>
      <c r="P2471"/>
    </row>
    <row r="2472" spans="2:16">
      <c r="B2472"/>
      <c r="C2472"/>
      <c r="D2472"/>
      <c r="E2472"/>
      <c r="F2472"/>
      <c r="G2472"/>
      <c r="H2472"/>
      <c r="I2472"/>
      <c r="J2472"/>
      <c r="K2472"/>
      <c r="L2472"/>
      <c r="M2472"/>
      <c r="N2472"/>
      <c r="O2472"/>
      <c r="P2472"/>
    </row>
    <row r="2473" spans="2:16">
      <c r="B2473"/>
      <c r="C2473"/>
      <c r="D2473"/>
      <c r="E2473"/>
      <c r="F2473"/>
      <c r="G2473"/>
      <c r="H2473"/>
      <c r="I2473"/>
      <c r="J2473"/>
      <c r="K2473"/>
      <c r="L2473"/>
      <c r="M2473"/>
      <c r="N2473"/>
      <c r="O2473"/>
      <c r="P2473"/>
    </row>
    <row r="2474" spans="2:16">
      <c r="B2474"/>
      <c r="C2474"/>
      <c r="D2474"/>
      <c r="E2474"/>
      <c r="F2474"/>
      <c r="G2474"/>
      <c r="H2474"/>
      <c r="I2474"/>
      <c r="J2474"/>
      <c r="K2474"/>
      <c r="L2474"/>
      <c r="M2474"/>
      <c r="N2474"/>
      <c r="O2474"/>
      <c r="P2474"/>
    </row>
    <row r="2475" spans="2:16">
      <c r="B2475"/>
      <c r="C2475"/>
      <c r="D2475"/>
      <c r="E2475"/>
      <c r="F2475"/>
      <c r="G2475"/>
      <c r="H2475"/>
      <c r="I2475"/>
      <c r="J2475"/>
      <c r="K2475"/>
      <c r="L2475"/>
      <c r="M2475"/>
      <c r="N2475"/>
      <c r="O2475"/>
      <c r="P2475"/>
    </row>
    <row r="2476" spans="2:16">
      <c r="B2476"/>
      <c r="C2476"/>
      <c r="D2476"/>
      <c r="E2476"/>
      <c r="F2476"/>
      <c r="G2476"/>
      <c r="H2476"/>
      <c r="I2476"/>
      <c r="J2476"/>
      <c r="K2476"/>
      <c r="L2476"/>
      <c r="M2476"/>
      <c r="N2476"/>
      <c r="O2476"/>
      <c r="P2476"/>
    </row>
    <row r="2477" spans="2:16">
      <c r="B2477"/>
      <c r="C2477"/>
      <c r="D2477"/>
      <c r="E2477"/>
      <c r="F2477"/>
      <c r="G2477"/>
      <c r="H2477"/>
      <c r="I2477"/>
      <c r="J2477"/>
      <c r="K2477"/>
      <c r="L2477"/>
      <c r="M2477"/>
      <c r="N2477"/>
      <c r="O2477"/>
      <c r="P2477"/>
    </row>
    <row r="2478" spans="2:16">
      <c r="B2478"/>
      <c r="C2478"/>
      <c r="D2478"/>
      <c r="E2478"/>
      <c r="F2478"/>
      <c r="G2478"/>
      <c r="H2478"/>
      <c r="I2478"/>
      <c r="J2478"/>
      <c r="K2478"/>
      <c r="L2478"/>
      <c r="M2478"/>
      <c r="N2478"/>
      <c r="O2478"/>
      <c r="P2478"/>
    </row>
    <row r="2479" spans="2:16">
      <c r="B2479"/>
      <c r="C2479"/>
      <c r="D2479"/>
      <c r="E2479"/>
      <c r="F2479"/>
      <c r="G2479"/>
      <c r="H2479"/>
      <c r="I2479"/>
      <c r="J2479"/>
      <c r="K2479"/>
      <c r="L2479"/>
      <c r="M2479"/>
      <c r="N2479"/>
      <c r="O2479"/>
      <c r="P2479"/>
    </row>
    <row r="2480" spans="2:16">
      <c r="B2480"/>
      <c r="C2480"/>
      <c r="D2480"/>
      <c r="E2480"/>
      <c r="F2480"/>
      <c r="G2480"/>
      <c r="H2480"/>
      <c r="I2480"/>
      <c r="J2480"/>
      <c r="K2480"/>
      <c r="L2480"/>
      <c r="M2480"/>
      <c r="N2480"/>
      <c r="O2480"/>
      <c r="P2480"/>
    </row>
    <row r="2481" spans="2:16">
      <c r="B2481"/>
      <c r="C2481"/>
      <c r="D2481"/>
      <c r="E2481"/>
      <c r="F2481"/>
      <c r="G2481"/>
      <c r="H2481"/>
      <c r="I2481"/>
      <c r="J2481"/>
      <c r="K2481"/>
      <c r="L2481"/>
      <c r="M2481"/>
      <c r="N2481"/>
      <c r="O2481"/>
      <c r="P2481"/>
    </row>
    <row r="2482" spans="2:16">
      <c r="B2482"/>
      <c r="C2482"/>
      <c r="D2482"/>
      <c r="E2482"/>
      <c r="F2482"/>
      <c r="G2482"/>
      <c r="H2482"/>
      <c r="I2482"/>
      <c r="J2482"/>
      <c r="K2482"/>
      <c r="L2482"/>
      <c r="M2482"/>
      <c r="N2482"/>
      <c r="O2482"/>
      <c r="P2482"/>
    </row>
    <row r="2483" spans="2:16">
      <c r="B2483"/>
      <c r="C2483"/>
      <c r="D2483"/>
      <c r="E2483"/>
      <c r="F2483"/>
      <c r="G2483"/>
      <c r="H2483"/>
      <c r="I2483"/>
      <c r="J2483"/>
      <c r="K2483"/>
      <c r="L2483"/>
      <c r="M2483"/>
      <c r="N2483"/>
      <c r="O2483"/>
      <c r="P2483"/>
    </row>
    <row r="2484" spans="2:16">
      <c r="B2484"/>
      <c r="C2484"/>
      <c r="D2484"/>
      <c r="E2484"/>
      <c r="F2484"/>
      <c r="G2484"/>
      <c r="H2484"/>
      <c r="I2484"/>
      <c r="J2484"/>
      <c r="K2484"/>
      <c r="L2484"/>
      <c r="M2484"/>
      <c r="N2484"/>
      <c r="O2484"/>
      <c r="P2484"/>
    </row>
    <row r="2485" spans="2:16">
      <c r="B2485"/>
      <c r="C2485"/>
      <c r="D2485"/>
      <c r="E2485"/>
      <c r="F2485"/>
      <c r="G2485"/>
      <c r="H2485"/>
      <c r="I2485"/>
      <c r="J2485"/>
      <c r="K2485"/>
      <c r="L2485"/>
      <c r="M2485"/>
      <c r="N2485"/>
      <c r="O2485"/>
      <c r="P2485"/>
    </row>
    <row r="2486" spans="2:16">
      <c r="B2486"/>
      <c r="C2486"/>
      <c r="D2486"/>
      <c r="E2486"/>
      <c r="F2486"/>
      <c r="G2486"/>
      <c r="H2486"/>
      <c r="I2486"/>
      <c r="J2486"/>
      <c r="K2486"/>
      <c r="L2486"/>
      <c r="M2486"/>
      <c r="N2486"/>
      <c r="O2486"/>
      <c r="P2486"/>
    </row>
    <row r="2487" spans="2:16">
      <c r="B2487"/>
      <c r="C2487"/>
      <c r="D2487"/>
      <c r="E2487"/>
      <c r="F2487"/>
      <c r="G2487"/>
      <c r="H2487"/>
      <c r="I2487"/>
      <c r="J2487"/>
      <c r="K2487"/>
      <c r="L2487"/>
      <c r="M2487"/>
      <c r="N2487"/>
      <c r="O2487"/>
      <c r="P2487"/>
    </row>
    <row r="2488" spans="2:16">
      <c r="B2488"/>
      <c r="C2488"/>
      <c r="D2488"/>
      <c r="E2488"/>
      <c r="F2488"/>
      <c r="G2488"/>
      <c r="H2488"/>
      <c r="I2488"/>
      <c r="J2488"/>
      <c r="K2488"/>
      <c r="L2488"/>
      <c r="M2488"/>
      <c r="N2488"/>
      <c r="O2488"/>
      <c r="P2488"/>
    </row>
    <row r="2489" spans="2:16">
      <c r="B2489"/>
      <c r="C2489"/>
      <c r="D2489"/>
      <c r="E2489"/>
      <c r="F2489"/>
      <c r="G2489"/>
      <c r="H2489"/>
      <c r="I2489"/>
      <c r="J2489"/>
      <c r="K2489"/>
      <c r="L2489"/>
      <c r="M2489"/>
      <c r="N2489"/>
      <c r="O2489"/>
      <c r="P2489"/>
    </row>
    <row r="2490" spans="2:16">
      <c r="B2490"/>
      <c r="C2490"/>
      <c r="D2490"/>
      <c r="E2490"/>
      <c r="F2490"/>
      <c r="G2490"/>
      <c r="H2490"/>
      <c r="I2490"/>
      <c r="J2490"/>
      <c r="K2490"/>
      <c r="L2490"/>
      <c r="M2490"/>
      <c r="N2490"/>
      <c r="O2490"/>
      <c r="P2490"/>
    </row>
    <row r="2491" spans="2:16">
      <c r="B2491"/>
      <c r="C2491"/>
      <c r="D2491"/>
      <c r="E2491"/>
      <c r="F2491"/>
      <c r="G2491"/>
      <c r="H2491"/>
      <c r="I2491"/>
      <c r="J2491"/>
      <c r="K2491"/>
      <c r="L2491"/>
      <c r="M2491"/>
      <c r="N2491"/>
      <c r="O2491"/>
      <c r="P2491"/>
    </row>
    <row r="2492" spans="2:16">
      <c r="B2492"/>
      <c r="C2492"/>
      <c r="D2492"/>
      <c r="E2492"/>
      <c r="F2492"/>
      <c r="G2492"/>
      <c r="H2492"/>
      <c r="I2492"/>
      <c r="J2492"/>
      <c r="K2492"/>
      <c r="L2492"/>
      <c r="M2492"/>
      <c r="N2492"/>
      <c r="O2492"/>
      <c r="P2492"/>
    </row>
    <row r="2493" spans="2:16">
      <c r="B2493"/>
      <c r="C2493"/>
      <c r="D2493"/>
      <c r="E2493"/>
      <c r="F2493"/>
      <c r="G2493"/>
      <c r="H2493"/>
      <c r="I2493"/>
      <c r="J2493"/>
      <c r="K2493"/>
      <c r="L2493"/>
      <c r="M2493"/>
      <c r="N2493"/>
      <c r="O2493"/>
      <c r="P2493"/>
    </row>
    <row r="2494" spans="2:16">
      <c r="B2494"/>
      <c r="C2494"/>
      <c r="D2494"/>
      <c r="E2494"/>
      <c r="F2494"/>
      <c r="G2494"/>
      <c r="H2494"/>
      <c r="I2494"/>
      <c r="J2494"/>
      <c r="K2494"/>
      <c r="L2494"/>
      <c r="M2494"/>
      <c r="N2494"/>
      <c r="O2494"/>
      <c r="P2494"/>
    </row>
    <row r="2495" spans="2:16">
      <c r="B2495"/>
      <c r="C2495"/>
      <c r="D2495"/>
      <c r="E2495"/>
      <c r="F2495"/>
      <c r="G2495"/>
      <c r="H2495"/>
      <c r="I2495"/>
      <c r="J2495"/>
      <c r="K2495"/>
      <c r="L2495"/>
      <c r="M2495"/>
      <c r="N2495"/>
      <c r="O2495"/>
      <c r="P2495"/>
    </row>
    <row r="2496" spans="2:16">
      <c r="B2496"/>
      <c r="C2496"/>
      <c r="D2496"/>
      <c r="E2496"/>
      <c r="F2496"/>
      <c r="G2496"/>
      <c r="H2496"/>
      <c r="I2496"/>
      <c r="J2496"/>
      <c r="K2496"/>
      <c r="L2496"/>
      <c r="M2496"/>
      <c r="N2496"/>
      <c r="O2496"/>
      <c r="P2496"/>
    </row>
    <row r="2497" spans="2:16">
      <c r="B2497"/>
      <c r="C2497"/>
      <c r="D2497"/>
      <c r="E2497"/>
      <c r="F2497"/>
      <c r="G2497"/>
      <c r="H2497"/>
      <c r="I2497"/>
      <c r="J2497"/>
      <c r="K2497"/>
      <c r="L2497"/>
      <c r="M2497"/>
      <c r="N2497"/>
      <c r="O2497"/>
      <c r="P2497"/>
    </row>
    <row r="2498" spans="2:16">
      <c r="B2498"/>
      <c r="C2498"/>
      <c r="D2498"/>
      <c r="E2498"/>
      <c r="F2498"/>
      <c r="G2498"/>
      <c r="H2498"/>
      <c r="I2498"/>
      <c r="J2498"/>
      <c r="K2498"/>
      <c r="L2498"/>
      <c r="M2498"/>
      <c r="N2498"/>
      <c r="O2498"/>
      <c r="P2498"/>
    </row>
    <row r="2499" spans="2:16">
      <c r="B2499"/>
      <c r="C2499"/>
      <c r="D2499"/>
      <c r="E2499"/>
      <c r="F2499"/>
      <c r="G2499"/>
      <c r="H2499"/>
      <c r="I2499"/>
      <c r="J2499"/>
      <c r="K2499"/>
      <c r="L2499"/>
      <c r="M2499"/>
      <c r="N2499"/>
      <c r="O2499"/>
      <c r="P2499"/>
    </row>
    <row r="2500" spans="2:16">
      <c r="B2500"/>
      <c r="C2500"/>
      <c r="D2500"/>
      <c r="E2500"/>
      <c r="F2500"/>
      <c r="G2500"/>
      <c r="H2500"/>
      <c r="I2500"/>
      <c r="J2500"/>
      <c r="K2500"/>
      <c r="L2500"/>
      <c r="M2500"/>
      <c r="N2500"/>
      <c r="O2500"/>
      <c r="P2500"/>
    </row>
    <row r="2501" spans="2:16">
      <c r="B2501"/>
      <c r="C2501"/>
      <c r="D2501"/>
      <c r="E2501"/>
      <c r="F2501"/>
      <c r="G2501"/>
      <c r="H2501"/>
      <c r="I2501"/>
      <c r="J2501"/>
      <c r="K2501"/>
      <c r="L2501"/>
      <c r="M2501"/>
      <c r="N2501"/>
      <c r="O2501"/>
      <c r="P2501"/>
    </row>
    <row r="2502" spans="2:16">
      <c r="B2502"/>
      <c r="C2502"/>
      <c r="D2502"/>
      <c r="E2502"/>
      <c r="F2502"/>
      <c r="G2502"/>
      <c r="H2502"/>
      <c r="I2502"/>
      <c r="J2502"/>
      <c r="K2502"/>
      <c r="L2502"/>
      <c r="M2502"/>
      <c r="N2502"/>
      <c r="O2502"/>
      <c r="P2502"/>
    </row>
    <row r="2503" spans="2:16">
      <c r="B2503"/>
      <c r="C2503"/>
      <c r="D2503"/>
      <c r="E2503"/>
      <c r="F2503"/>
      <c r="G2503"/>
      <c r="H2503"/>
      <c r="I2503"/>
      <c r="J2503"/>
      <c r="K2503"/>
      <c r="L2503"/>
      <c r="M2503"/>
      <c r="N2503"/>
      <c r="O2503"/>
      <c r="P2503"/>
    </row>
    <row r="2504" spans="2:16">
      <c r="B2504"/>
      <c r="C2504"/>
      <c r="D2504"/>
      <c r="E2504"/>
      <c r="F2504"/>
      <c r="G2504"/>
      <c r="H2504"/>
      <c r="I2504"/>
      <c r="J2504"/>
      <c r="K2504"/>
      <c r="L2504"/>
      <c r="M2504"/>
      <c r="N2504"/>
      <c r="O2504"/>
      <c r="P2504"/>
    </row>
    <row r="2505" spans="2:16">
      <c r="B2505"/>
      <c r="C2505"/>
      <c r="D2505"/>
      <c r="E2505"/>
      <c r="F2505"/>
      <c r="G2505"/>
      <c r="H2505"/>
      <c r="I2505"/>
      <c r="J2505"/>
      <c r="K2505"/>
      <c r="L2505"/>
      <c r="M2505"/>
      <c r="N2505"/>
      <c r="O2505"/>
      <c r="P2505"/>
    </row>
    <row r="2506" spans="2:16">
      <c r="B2506"/>
      <c r="C2506"/>
      <c r="D2506"/>
      <c r="E2506"/>
      <c r="F2506"/>
      <c r="G2506"/>
      <c r="H2506"/>
      <c r="I2506"/>
      <c r="J2506"/>
      <c r="K2506"/>
      <c r="L2506"/>
      <c r="M2506"/>
      <c r="N2506"/>
      <c r="O2506"/>
      <c r="P2506"/>
    </row>
    <row r="2507" spans="2:16">
      <c r="B2507"/>
      <c r="C2507"/>
      <c r="D2507"/>
      <c r="E2507"/>
      <c r="F2507"/>
      <c r="G2507"/>
      <c r="H2507"/>
      <c r="I2507"/>
      <c r="J2507"/>
      <c r="K2507"/>
      <c r="L2507"/>
      <c r="M2507"/>
      <c r="N2507"/>
      <c r="O2507"/>
      <c r="P2507"/>
    </row>
    <row r="2508" spans="2:16">
      <c r="B2508"/>
      <c r="C2508"/>
      <c r="D2508"/>
      <c r="E2508"/>
      <c r="F2508"/>
      <c r="G2508"/>
      <c r="H2508"/>
      <c r="I2508"/>
      <c r="J2508"/>
      <c r="K2508"/>
      <c r="L2508"/>
      <c r="M2508"/>
      <c r="N2508"/>
      <c r="O2508"/>
      <c r="P2508"/>
    </row>
    <row r="2509" spans="2:16">
      <c r="B2509"/>
      <c r="C2509"/>
      <c r="D2509"/>
      <c r="E2509"/>
      <c r="F2509"/>
      <c r="G2509"/>
      <c r="H2509"/>
      <c r="I2509"/>
      <c r="J2509"/>
      <c r="K2509"/>
      <c r="L2509"/>
      <c r="M2509"/>
      <c r="N2509"/>
      <c r="O2509"/>
      <c r="P2509"/>
    </row>
    <row r="2510" spans="2:16">
      <c r="B2510"/>
      <c r="C2510"/>
      <c r="D2510"/>
      <c r="E2510"/>
      <c r="F2510"/>
      <c r="G2510"/>
      <c r="H2510"/>
      <c r="I2510"/>
      <c r="J2510"/>
      <c r="K2510"/>
      <c r="L2510"/>
      <c r="M2510"/>
      <c r="N2510"/>
      <c r="O2510"/>
      <c r="P2510"/>
    </row>
    <row r="2511" spans="2:16">
      <c r="B2511"/>
      <c r="C2511"/>
      <c r="D2511"/>
      <c r="E2511"/>
      <c r="F2511"/>
      <c r="G2511"/>
      <c r="H2511"/>
      <c r="I2511"/>
      <c r="J2511"/>
      <c r="K2511"/>
      <c r="L2511"/>
      <c r="M2511"/>
      <c r="N2511"/>
      <c r="O2511"/>
      <c r="P2511"/>
    </row>
    <row r="2512" spans="2:16">
      <c r="B2512"/>
      <c r="C2512"/>
      <c r="D2512"/>
      <c r="E2512"/>
      <c r="F2512"/>
      <c r="G2512"/>
      <c r="H2512"/>
      <c r="I2512"/>
      <c r="J2512"/>
      <c r="K2512"/>
      <c r="L2512"/>
      <c r="M2512"/>
      <c r="N2512"/>
      <c r="O2512"/>
      <c r="P2512"/>
    </row>
    <row r="2513" spans="2:16">
      <c r="B2513"/>
      <c r="C2513"/>
      <c r="D2513"/>
      <c r="E2513"/>
      <c r="F2513"/>
      <c r="G2513"/>
      <c r="H2513"/>
      <c r="I2513"/>
      <c r="J2513"/>
      <c r="K2513"/>
      <c r="L2513"/>
      <c r="M2513"/>
      <c r="N2513"/>
      <c r="O2513"/>
      <c r="P2513"/>
    </row>
    <row r="2514" spans="2:16">
      <c r="B2514"/>
      <c r="C2514"/>
      <c r="D2514"/>
      <c r="E2514"/>
      <c r="F2514"/>
      <c r="G2514"/>
      <c r="H2514"/>
      <c r="I2514"/>
      <c r="J2514"/>
      <c r="K2514"/>
      <c r="L2514"/>
      <c r="M2514"/>
      <c r="N2514"/>
      <c r="O2514"/>
      <c r="P2514"/>
    </row>
    <row r="2515" spans="2:16">
      <c r="B2515"/>
      <c r="C2515"/>
      <c r="D2515"/>
      <c r="E2515"/>
      <c r="F2515"/>
      <c r="G2515"/>
      <c r="H2515"/>
      <c r="I2515"/>
      <c r="J2515"/>
      <c r="K2515"/>
      <c r="L2515"/>
      <c r="M2515"/>
      <c r="N2515"/>
      <c r="O2515"/>
      <c r="P2515"/>
    </row>
    <row r="2516" spans="2:16">
      <c r="B2516"/>
      <c r="C2516"/>
      <c r="D2516"/>
      <c r="E2516"/>
      <c r="F2516"/>
      <c r="G2516"/>
      <c r="H2516"/>
      <c r="I2516"/>
      <c r="J2516"/>
      <c r="K2516"/>
      <c r="L2516"/>
      <c r="M2516"/>
      <c r="N2516"/>
      <c r="O2516"/>
      <c r="P2516"/>
    </row>
    <row r="2517" spans="2:16">
      <c r="B2517"/>
      <c r="C2517"/>
      <c r="D2517"/>
      <c r="E2517"/>
      <c r="F2517"/>
      <c r="G2517"/>
      <c r="H2517"/>
      <c r="I2517"/>
      <c r="J2517"/>
      <c r="K2517"/>
      <c r="L2517"/>
      <c r="M2517"/>
      <c r="N2517"/>
      <c r="O2517"/>
      <c r="P2517"/>
    </row>
    <row r="2518" spans="2:16">
      <c r="B2518"/>
      <c r="C2518"/>
      <c r="D2518"/>
      <c r="E2518"/>
      <c r="F2518"/>
      <c r="G2518"/>
      <c r="H2518"/>
      <c r="I2518"/>
      <c r="J2518"/>
      <c r="K2518"/>
      <c r="L2518"/>
      <c r="M2518"/>
      <c r="N2518"/>
      <c r="O2518"/>
      <c r="P2518"/>
    </row>
    <row r="2519" spans="2:16">
      <c r="B2519"/>
      <c r="C2519"/>
      <c r="D2519"/>
      <c r="E2519"/>
      <c r="F2519"/>
      <c r="G2519"/>
      <c r="H2519"/>
      <c r="I2519"/>
      <c r="J2519"/>
      <c r="K2519"/>
      <c r="L2519"/>
      <c r="M2519"/>
      <c r="N2519"/>
      <c r="O2519"/>
      <c r="P2519"/>
    </row>
    <row r="2520" spans="2:16">
      <c r="B2520"/>
      <c r="C2520"/>
      <c r="D2520"/>
      <c r="E2520"/>
      <c r="F2520"/>
      <c r="G2520"/>
      <c r="H2520"/>
      <c r="I2520"/>
      <c r="J2520"/>
      <c r="K2520"/>
      <c r="L2520"/>
      <c r="M2520"/>
      <c r="N2520"/>
      <c r="O2520"/>
      <c r="P2520"/>
    </row>
    <row r="2521" spans="2:16">
      <c r="B2521"/>
      <c r="C2521"/>
      <c r="D2521"/>
      <c r="E2521"/>
      <c r="F2521"/>
      <c r="G2521"/>
      <c r="H2521"/>
      <c r="I2521"/>
      <c r="J2521"/>
      <c r="K2521"/>
      <c r="L2521"/>
      <c r="M2521"/>
      <c r="N2521"/>
      <c r="O2521"/>
      <c r="P2521"/>
    </row>
    <row r="2522" spans="2:16">
      <c r="B2522"/>
      <c r="C2522"/>
      <c r="D2522"/>
      <c r="E2522"/>
      <c r="F2522"/>
      <c r="G2522"/>
      <c r="H2522"/>
      <c r="I2522"/>
      <c r="J2522"/>
      <c r="K2522"/>
      <c r="L2522"/>
      <c r="M2522"/>
      <c r="N2522"/>
      <c r="O2522"/>
      <c r="P2522"/>
    </row>
    <row r="2523" spans="2:16">
      <c r="B2523"/>
      <c r="C2523"/>
      <c r="D2523"/>
      <c r="E2523"/>
      <c r="F2523"/>
      <c r="G2523"/>
      <c r="H2523"/>
      <c r="I2523"/>
      <c r="J2523"/>
      <c r="K2523"/>
      <c r="L2523"/>
      <c r="M2523"/>
      <c r="N2523"/>
      <c r="O2523"/>
      <c r="P2523"/>
    </row>
    <row r="2524" spans="2:16">
      <c r="B2524"/>
      <c r="C2524"/>
      <c r="D2524"/>
      <c r="E2524"/>
      <c r="F2524"/>
      <c r="G2524"/>
      <c r="H2524"/>
      <c r="I2524"/>
      <c r="J2524"/>
      <c r="K2524"/>
      <c r="L2524"/>
      <c r="M2524"/>
      <c r="N2524"/>
      <c r="O2524"/>
      <c r="P2524"/>
    </row>
    <row r="2525" spans="2:16">
      <c r="B2525"/>
      <c r="C2525"/>
      <c r="D2525"/>
      <c r="E2525"/>
      <c r="F2525"/>
      <c r="G2525"/>
      <c r="H2525"/>
      <c r="I2525"/>
      <c r="J2525"/>
      <c r="K2525"/>
      <c r="L2525"/>
      <c r="M2525"/>
      <c r="N2525"/>
      <c r="O2525"/>
      <c r="P2525"/>
    </row>
    <row r="2526" spans="2:16">
      <c r="B2526"/>
      <c r="C2526"/>
      <c r="D2526"/>
      <c r="E2526"/>
      <c r="F2526"/>
      <c r="G2526"/>
      <c r="H2526"/>
      <c r="I2526"/>
      <c r="J2526"/>
      <c r="K2526"/>
      <c r="L2526"/>
      <c r="M2526"/>
      <c r="N2526"/>
      <c r="O2526"/>
      <c r="P2526"/>
    </row>
    <row r="2527" spans="2:16">
      <c r="B2527"/>
      <c r="C2527"/>
      <c r="D2527"/>
      <c r="E2527"/>
      <c r="F2527"/>
      <c r="G2527"/>
      <c r="H2527"/>
      <c r="I2527"/>
      <c r="J2527"/>
      <c r="K2527"/>
      <c r="L2527"/>
      <c r="M2527"/>
      <c r="N2527"/>
      <c r="O2527"/>
      <c r="P2527"/>
    </row>
    <row r="2528" spans="2:16">
      <c r="B2528"/>
      <c r="C2528"/>
      <c r="D2528"/>
      <c r="E2528"/>
      <c r="F2528"/>
      <c r="G2528"/>
      <c r="H2528"/>
      <c r="I2528"/>
      <c r="J2528"/>
      <c r="K2528"/>
      <c r="L2528"/>
      <c r="M2528"/>
      <c r="N2528"/>
      <c r="O2528"/>
      <c r="P2528"/>
    </row>
    <row r="2529" spans="2:16">
      <c r="B2529"/>
      <c r="C2529"/>
      <c r="D2529"/>
      <c r="E2529"/>
      <c r="F2529"/>
      <c r="G2529"/>
      <c r="H2529"/>
      <c r="I2529"/>
      <c r="J2529"/>
      <c r="K2529"/>
      <c r="L2529"/>
      <c r="M2529"/>
      <c r="N2529"/>
      <c r="O2529"/>
      <c r="P2529"/>
    </row>
    <row r="2530" spans="2:16">
      <c r="B2530"/>
      <c r="C2530"/>
      <c r="D2530"/>
      <c r="E2530"/>
      <c r="F2530"/>
      <c r="G2530"/>
      <c r="H2530"/>
      <c r="I2530"/>
      <c r="J2530"/>
      <c r="K2530"/>
      <c r="L2530"/>
      <c r="M2530"/>
      <c r="N2530"/>
      <c r="O2530"/>
      <c r="P2530"/>
    </row>
    <row r="2531" spans="2:16">
      <c r="B2531"/>
      <c r="C2531"/>
      <c r="D2531"/>
      <c r="E2531"/>
      <c r="F2531"/>
      <c r="G2531"/>
      <c r="H2531"/>
      <c r="I2531"/>
      <c r="J2531"/>
      <c r="K2531"/>
      <c r="L2531"/>
      <c r="M2531"/>
      <c r="N2531"/>
      <c r="O2531"/>
      <c r="P2531"/>
    </row>
    <row r="2532" spans="2:16">
      <c r="B2532"/>
      <c r="C2532"/>
      <c r="D2532"/>
      <c r="E2532"/>
      <c r="F2532"/>
      <c r="G2532"/>
      <c r="H2532"/>
      <c r="I2532"/>
      <c r="J2532"/>
      <c r="K2532"/>
      <c r="L2532"/>
      <c r="M2532"/>
      <c r="N2532"/>
      <c r="O2532"/>
      <c r="P2532"/>
    </row>
    <row r="2533" spans="2:16">
      <c r="B2533"/>
      <c r="C2533"/>
      <c r="D2533"/>
      <c r="E2533"/>
      <c r="F2533"/>
      <c r="G2533"/>
      <c r="H2533"/>
      <c r="I2533"/>
      <c r="J2533"/>
      <c r="K2533"/>
      <c r="L2533"/>
      <c r="M2533"/>
      <c r="N2533"/>
      <c r="O2533"/>
      <c r="P2533"/>
    </row>
    <row r="2534" spans="2:16">
      <c r="B2534"/>
      <c r="C2534"/>
      <c r="D2534"/>
      <c r="E2534"/>
      <c r="F2534"/>
      <c r="G2534"/>
      <c r="H2534"/>
      <c r="I2534"/>
      <c r="J2534"/>
      <c r="K2534"/>
      <c r="L2534"/>
      <c r="M2534"/>
      <c r="N2534"/>
      <c r="O2534"/>
      <c r="P2534"/>
    </row>
    <row r="2535" spans="2:16">
      <c r="B2535"/>
      <c r="C2535"/>
      <c r="D2535"/>
      <c r="E2535"/>
      <c r="F2535"/>
      <c r="G2535"/>
      <c r="H2535"/>
      <c r="I2535"/>
      <c r="J2535"/>
      <c r="K2535"/>
      <c r="L2535"/>
      <c r="M2535"/>
      <c r="N2535"/>
      <c r="O2535"/>
      <c r="P2535"/>
    </row>
    <row r="2536" spans="2:16">
      <c r="B2536"/>
      <c r="C2536"/>
      <c r="D2536"/>
      <c r="E2536"/>
      <c r="F2536"/>
      <c r="G2536"/>
      <c r="H2536"/>
      <c r="I2536"/>
      <c r="J2536"/>
      <c r="K2536"/>
      <c r="L2536"/>
      <c r="M2536"/>
      <c r="N2536"/>
      <c r="O2536"/>
      <c r="P2536"/>
    </row>
    <row r="2537" spans="2:16">
      <c r="B2537"/>
      <c r="C2537"/>
      <c r="D2537"/>
      <c r="E2537"/>
      <c r="F2537"/>
      <c r="G2537"/>
      <c r="H2537"/>
      <c r="I2537"/>
      <c r="J2537"/>
      <c r="K2537"/>
      <c r="L2537"/>
      <c r="M2537"/>
      <c r="N2537"/>
      <c r="O2537"/>
      <c r="P2537"/>
    </row>
    <row r="2538" spans="2:16">
      <c r="B2538"/>
      <c r="C2538"/>
      <c r="D2538"/>
      <c r="E2538"/>
      <c r="F2538"/>
      <c r="G2538"/>
      <c r="H2538"/>
      <c r="I2538"/>
      <c r="J2538"/>
      <c r="K2538"/>
      <c r="L2538"/>
      <c r="M2538"/>
      <c r="N2538"/>
      <c r="O2538"/>
      <c r="P2538"/>
    </row>
    <row r="2539" spans="2:16">
      <c r="B2539"/>
      <c r="C2539"/>
      <c r="D2539"/>
      <c r="E2539"/>
      <c r="F2539"/>
      <c r="G2539"/>
      <c r="H2539"/>
      <c r="I2539"/>
      <c r="J2539"/>
      <c r="K2539"/>
      <c r="L2539"/>
      <c r="M2539"/>
      <c r="N2539"/>
      <c r="O2539"/>
      <c r="P2539"/>
    </row>
    <row r="2540" spans="2:16">
      <c r="B2540"/>
      <c r="C2540"/>
      <c r="D2540"/>
      <c r="E2540"/>
      <c r="F2540"/>
      <c r="G2540"/>
      <c r="H2540"/>
      <c r="I2540"/>
      <c r="J2540"/>
      <c r="K2540"/>
      <c r="L2540"/>
      <c r="M2540"/>
      <c r="N2540"/>
      <c r="O2540"/>
      <c r="P2540"/>
    </row>
    <row r="2541" spans="2:16">
      <c r="B2541"/>
      <c r="C2541"/>
      <c r="D2541"/>
      <c r="E2541"/>
      <c r="F2541"/>
      <c r="G2541"/>
      <c r="H2541"/>
      <c r="I2541"/>
      <c r="J2541"/>
      <c r="K2541"/>
      <c r="L2541"/>
      <c r="M2541"/>
      <c r="N2541"/>
      <c r="O2541"/>
      <c r="P2541"/>
    </row>
    <row r="2542" spans="2:16">
      <c r="B2542"/>
      <c r="C2542"/>
      <c r="D2542"/>
      <c r="E2542"/>
      <c r="F2542"/>
      <c r="G2542"/>
      <c r="H2542"/>
      <c r="I2542"/>
      <c r="J2542"/>
      <c r="K2542"/>
      <c r="L2542"/>
      <c r="M2542"/>
      <c r="N2542"/>
      <c r="O2542"/>
      <c r="P2542"/>
    </row>
    <row r="2543" spans="2:16">
      <c r="B2543"/>
      <c r="C2543"/>
      <c r="D2543"/>
      <c r="E2543"/>
      <c r="F2543"/>
      <c r="G2543"/>
      <c r="H2543"/>
      <c r="I2543"/>
      <c r="J2543"/>
      <c r="K2543"/>
      <c r="L2543"/>
      <c r="M2543"/>
      <c r="N2543"/>
      <c r="O2543"/>
      <c r="P2543"/>
    </row>
    <row r="2544" spans="2:16">
      <c r="B2544"/>
      <c r="C2544"/>
      <c r="D2544"/>
      <c r="E2544"/>
      <c r="F2544"/>
      <c r="G2544"/>
      <c r="H2544"/>
      <c r="I2544"/>
      <c r="J2544"/>
      <c r="K2544"/>
      <c r="L2544"/>
      <c r="M2544"/>
      <c r="N2544"/>
      <c r="O2544"/>
      <c r="P2544"/>
    </row>
    <row r="2545" spans="2:16">
      <c r="B2545"/>
      <c r="C2545"/>
      <c r="D2545"/>
      <c r="E2545"/>
      <c r="F2545"/>
      <c r="G2545"/>
      <c r="H2545"/>
      <c r="I2545"/>
      <c r="J2545"/>
      <c r="K2545"/>
      <c r="L2545"/>
      <c r="M2545"/>
      <c r="N2545"/>
      <c r="O2545"/>
      <c r="P2545"/>
    </row>
    <row r="2546" spans="2:16">
      <c r="B2546"/>
      <c r="C2546"/>
      <c r="D2546"/>
      <c r="E2546"/>
      <c r="F2546"/>
      <c r="G2546"/>
      <c r="H2546"/>
      <c r="I2546"/>
      <c r="J2546"/>
      <c r="K2546"/>
      <c r="L2546"/>
      <c r="M2546"/>
      <c r="N2546"/>
      <c r="O2546"/>
      <c r="P2546"/>
    </row>
    <row r="2547" spans="2:16">
      <c r="B2547"/>
      <c r="C2547"/>
      <c r="D2547"/>
      <c r="E2547"/>
      <c r="F2547"/>
      <c r="G2547"/>
      <c r="H2547"/>
      <c r="I2547"/>
      <c r="J2547"/>
      <c r="K2547"/>
      <c r="L2547"/>
      <c r="M2547"/>
      <c r="N2547"/>
      <c r="O2547"/>
      <c r="P2547"/>
    </row>
    <row r="2548" spans="2:16">
      <c r="B2548"/>
      <c r="C2548"/>
      <c r="D2548"/>
      <c r="E2548"/>
      <c r="F2548"/>
      <c r="G2548"/>
      <c r="H2548"/>
      <c r="I2548"/>
      <c r="J2548"/>
      <c r="K2548"/>
      <c r="L2548"/>
      <c r="M2548"/>
      <c r="N2548"/>
      <c r="O2548"/>
      <c r="P2548"/>
    </row>
    <row r="2549" spans="2:16">
      <c r="B2549"/>
      <c r="C2549"/>
      <c r="D2549"/>
      <c r="E2549"/>
      <c r="F2549"/>
      <c r="G2549"/>
      <c r="H2549"/>
      <c r="I2549"/>
      <c r="J2549"/>
      <c r="K2549"/>
      <c r="L2549"/>
      <c r="M2549"/>
      <c r="N2549"/>
      <c r="O2549"/>
      <c r="P2549"/>
    </row>
    <row r="2550" spans="2:16">
      <c r="B2550"/>
      <c r="C2550"/>
      <c r="D2550"/>
      <c r="E2550"/>
      <c r="F2550"/>
      <c r="G2550"/>
      <c r="H2550"/>
      <c r="I2550"/>
      <c r="J2550"/>
      <c r="K2550"/>
      <c r="L2550"/>
      <c r="M2550"/>
      <c r="N2550"/>
      <c r="O2550"/>
      <c r="P2550"/>
    </row>
    <row r="2551" spans="2:16">
      <c r="B2551"/>
      <c r="C2551"/>
      <c r="D2551"/>
      <c r="E2551"/>
      <c r="F2551"/>
      <c r="G2551"/>
      <c r="H2551"/>
      <c r="I2551"/>
      <c r="J2551"/>
      <c r="K2551"/>
      <c r="L2551"/>
      <c r="M2551"/>
      <c r="N2551"/>
      <c r="O2551"/>
      <c r="P2551"/>
    </row>
    <row r="2552" spans="2:16">
      <c r="B2552"/>
      <c r="C2552"/>
      <c r="D2552"/>
      <c r="E2552"/>
      <c r="F2552"/>
      <c r="G2552"/>
      <c r="H2552"/>
      <c r="I2552"/>
      <c r="J2552"/>
      <c r="K2552"/>
      <c r="L2552"/>
      <c r="M2552"/>
      <c r="N2552"/>
      <c r="O2552"/>
      <c r="P2552"/>
    </row>
    <row r="2553" spans="2:16">
      <c r="B2553"/>
      <c r="C2553"/>
      <c r="D2553"/>
      <c r="E2553"/>
      <c r="F2553"/>
      <c r="G2553"/>
      <c r="H2553"/>
      <c r="I2553"/>
      <c r="J2553"/>
      <c r="K2553"/>
      <c r="L2553"/>
      <c r="M2553"/>
      <c r="N2553"/>
      <c r="O2553"/>
      <c r="P2553"/>
    </row>
    <row r="2554" spans="2:16">
      <c r="B2554"/>
      <c r="C2554"/>
      <c r="D2554"/>
      <c r="E2554"/>
      <c r="F2554"/>
      <c r="G2554"/>
      <c r="H2554"/>
      <c r="I2554"/>
      <c r="J2554"/>
      <c r="K2554"/>
      <c r="L2554"/>
      <c r="M2554"/>
      <c r="N2554"/>
      <c r="O2554"/>
      <c r="P2554"/>
    </row>
    <row r="2555" spans="2:16">
      <c r="B2555"/>
      <c r="C2555"/>
      <c r="D2555"/>
      <c r="E2555"/>
      <c r="F2555"/>
      <c r="G2555"/>
      <c r="H2555"/>
      <c r="I2555"/>
      <c r="J2555"/>
      <c r="K2555"/>
      <c r="L2555"/>
      <c r="M2555"/>
      <c r="N2555"/>
      <c r="O2555"/>
      <c r="P2555"/>
    </row>
    <row r="2556" spans="2:16">
      <c r="B2556"/>
      <c r="C2556"/>
      <c r="D2556"/>
      <c r="E2556"/>
      <c r="F2556"/>
      <c r="G2556"/>
      <c r="H2556"/>
      <c r="I2556"/>
      <c r="J2556"/>
      <c r="K2556"/>
      <c r="L2556"/>
      <c r="M2556"/>
      <c r="N2556"/>
      <c r="O2556"/>
      <c r="P2556"/>
    </row>
    <row r="2557" spans="2:16">
      <c r="B2557"/>
      <c r="C2557"/>
      <c r="D2557"/>
      <c r="E2557"/>
      <c r="F2557"/>
      <c r="G2557"/>
      <c r="H2557"/>
      <c r="I2557"/>
      <c r="J2557"/>
      <c r="K2557"/>
      <c r="L2557"/>
      <c r="M2557"/>
      <c r="N2557"/>
      <c r="O2557"/>
      <c r="P2557"/>
    </row>
    <row r="2558" spans="2:16">
      <c r="B2558"/>
      <c r="C2558"/>
      <c r="D2558"/>
      <c r="E2558"/>
      <c r="F2558"/>
      <c r="G2558"/>
      <c r="H2558"/>
      <c r="I2558"/>
      <c r="J2558"/>
      <c r="K2558"/>
      <c r="L2558"/>
      <c r="M2558"/>
      <c r="N2558"/>
      <c r="O2558"/>
      <c r="P2558"/>
    </row>
    <row r="2559" spans="2:16">
      <c r="B2559"/>
      <c r="C2559"/>
      <c r="D2559"/>
      <c r="E2559"/>
      <c r="F2559"/>
      <c r="G2559"/>
      <c r="H2559"/>
      <c r="I2559"/>
      <c r="J2559"/>
      <c r="K2559"/>
      <c r="L2559"/>
      <c r="M2559"/>
      <c r="N2559"/>
      <c r="O2559"/>
      <c r="P2559"/>
    </row>
    <row r="2560" spans="2:16">
      <c r="B2560"/>
      <c r="C2560"/>
      <c r="D2560"/>
      <c r="E2560"/>
      <c r="F2560"/>
      <c r="G2560"/>
      <c r="H2560"/>
      <c r="I2560"/>
      <c r="J2560"/>
      <c r="K2560"/>
      <c r="L2560"/>
      <c r="M2560"/>
      <c r="N2560"/>
      <c r="O2560"/>
      <c r="P2560"/>
    </row>
    <row r="2561" spans="2:16">
      <c r="B2561"/>
      <c r="C2561"/>
      <c r="D2561"/>
      <c r="E2561"/>
      <c r="F2561"/>
      <c r="G2561"/>
      <c r="H2561"/>
      <c r="I2561"/>
      <c r="J2561"/>
      <c r="K2561"/>
      <c r="L2561"/>
      <c r="M2561"/>
      <c r="N2561"/>
      <c r="O2561"/>
      <c r="P2561"/>
    </row>
    <row r="2562" spans="2:16">
      <c r="B2562"/>
      <c r="C2562"/>
      <c r="D2562"/>
      <c r="E2562"/>
      <c r="F2562"/>
      <c r="G2562"/>
      <c r="H2562"/>
      <c r="I2562"/>
      <c r="J2562"/>
      <c r="K2562"/>
      <c r="L2562"/>
      <c r="M2562"/>
      <c r="N2562"/>
      <c r="O2562"/>
      <c r="P2562"/>
    </row>
    <row r="2563" spans="2:16">
      <c r="B2563"/>
      <c r="C2563"/>
      <c r="D2563"/>
      <c r="E2563"/>
      <c r="F2563"/>
      <c r="G2563"/>
      <c r="H2563"/>
      <c r="I2563"/>
      <c r="J2563"/>
      <c r="K2563"/>
      <c r="L2563"/>
      <c r="M2563"/>
      <c r="N2563"/>
      <c r="O2563"/>
      <c r="P2563"/>
    </row>
    <row r="2564" spans="2:16">
      <c r="B2564"/>
      <c r="C2564"/>
      <c r="D2564"/>
      <c r="E2564"/>
      <c r="F2564"/>
      <c r="G2564"/>
      <c r="H2564"/>
      <c r="I2564"/>
      <c r="J2564"/>
      <c r="K2564"/>
      <c r="L2564"/>
      <c r="M2564"/>
      <c r="N2564"/>
      <c r="O2564"/>
      <c r="P2564"/>
    </row>
    <row r="2565" spans="2:16">
      <c r="B2565"/>
      <c r="C2565"/>
      <c r="D2565"/>
      <c r="E2565"/>
      <c r="F2565"/>
      <c r="G2565"/>
      <c r="H2565"/>
      <c r="I2565"/>
      <c r="J2565"/>
      <c r="K2565"/>
      <c r="L2565"/>
      <c r="M2565"/>
      <c r="N2565"/>
      <c r="O2565"/>
      <c r="P2565"/>
    </row>
    <row r="2566" spans="2:16">
      <c r="B2566"/>
      <c r="C2566"/>
      <c r="D2566"/>
      <c r="E2566"/>
      <c r="F2566"/>
      <c r="G2566"/>
      <c r="H2566"/>
      <c r="I2566"/>
      <c r="J2566"/>
      <c r="K2566"/>
      <c r="L2566"/>
      <c r="M2566"/>
      <c r="N2566"/>
      <c r="O2566"/>
      <c r="P2566"/>
    </row>
    <row r="2567" spans="2:16">
      <c r="B2567"/>
      <c r="C2567"/>
      <c r="D2567"/>
      <c r="E2567"/>
      <c r="F2567"/>
      <c r="G2567"/>
      <c r="H2567"/>
      <c r="I2567"/>
      <c r="J2567"/>
      <c r="K2567"/>
      <c r="L2567"/>
      <c r="M2567"/>
      <c r="N2567"/>
      <c r="O2567"/>
      <c r="P2567"/>
    </row>
    <row r="2568" spans="2:16">
      <c r="B2568"/>
      <c r="C2568"/>
      <c r="D2568"/>
      <c r="E2568"/>
      <c r="F2568"/>
      <c r="G2568"/>
      <c r="H2568"/>
      <c r="I2568"/>
      <c r="J2568"/>
      <c r="K2568"/>
      <c r="L2568"/>
      <c r="M2568"/>
      <c r="N2568"/>
      <c r="O2568"/>
      <c r="P2568"/>
    </row>
    <row r="2569" spans="2:16">
      <c r="B2569"/>
      <c r="C2569"/>
      <c r="D2569"/>
      <c r="E2569"/>
      <c r="F2569"/>
      <c r="G2569"/>
      <c r="H2569"/>
      <c r="I2569"/>
      <c r="J2569"/>
      <c r="K2569"/>
      <c r="L2569"/>
      <c r="M2569"/>
      <c r="N2569"/>
      <c r="O2569"/>
      <c r="P2569"/>
    </row>
    <row r="2570" spans="2:16">
      <c r="B2570"/>
      <c r="C2570"/>
      <c r="D2570"/>
      <c r="E2570"/>
      <c r="F2570"/>
      <c r="G2570"/>
      <c r="H2570"/>
      <c r="I2570"/>
      <c r="J2570"/>
      <c r="K2570"/>
      <c r="L2570"/>
      <c r="M2570"/>
      <c r="N2570"/>
      <c r="O2570"/>
      <c r="P2570"/>
    </row>
    <row r="2571" spans="2:16">
      <c r="B2571"/>
      <c r="C2571"/>
      <c r="D2571"/>
      <c r="E2571"/>
      <c r="F2571"/>
      <c r="G2571"/>
      <c r="H2571"/>
      <c r="I2571"/>
      <c r="J2571"/>
      <c r="K2571"/>
      <c r="L2571"/>
      <c r="M2571"/>
      <c r="N2571"/>
      <c r="O2571"/>
      <c r="P2571"/>
    </row>
    <row r="2572" spans="2:16">
      <c r="B2572"/>
      <c r="C2572"/>
      <c r="D2572"/>
      <c r="E2572"/>
      <c r="F2572"/>
      <c r="G2572"/>
      <c r="H2572"/>
      <c r="I2572"/>
      <c r="J2572"/>
      <c r="K2572"/>
      <c r="L2572"/>
      <c r="M2572"/>
      <c r="N2572"/>
      <c r="O2572"/>
      <c r="P2572"/>
    </row>
    <row r="2573" spans="2:16">
      <c r="B2573"/>
      <c r="C2573"/>
      <c r="D2573"/>
      <c r="E2573"/>
      <c r="F2573"/>
      <c r="G2573"/>
      <c r="H2573"/>
      <c r="I2573"/>
      <c r="J2573"/>
      <c r="K2573"/>
      <c r="L2573"/>
      <c r="M2573"/>
      <c r="N2573"/>
      <c r="O2573"/>
      <c r="P2573"/>
    </row>
    <row r="2574" spans="2:16">
      <c r="B2574"/>
      <c r="C2574"/>
      <c r="D2574"/>
      <c r="E2574"/>
      <c r="F2574"/>
      <c r="G2574"/>
      <c r="H2574"/>
      <c r="I2574"/>
      <c r="J2574"/>
      <c r="K2574"/>
      <c r="L2574"/>
      <c r="M2574"/>
      <c r="N2574"/>
      <c r="O2574"/>
      <c r="P2574"/>
    </row>
    <row r="2575" spans="2:16">
      <c r="B2575"/>
      <c r="C2575"/>
      <c r="D2575"/>
      <c r="E2575"/>
      <c r="F2575"/>
      <c r="G2575"/>
      <c r="H2575"/>
      <c r="I2575"/>
      <c r="J2575"/>
      <c r="K2575"/>
      <c r="L2575"/>
      <c r="M2575"/>
      <c r="N2575"/>
      <c r="O2575"/>
      <c r="P2575"/>
    </row>
    <row r="2576" spans="2:16">
      <c r="B2576"/>
      <c r="C2576"/>
      <c r="D2576"/>
      <c r="E2576"/>
      <c r="F2576"/>
      <c r="G2576"/>
      <c r="H2576"/>
      <c r="I2576"/>
      <c r="J2576"/>
      <c r="K2576"/>
      <c r="L2576"/>
      <c r="M2576"/>
      <c r="N2576"/>
      <c r="O2576"/>
      <c r="P2576"/>
    </row>
    <row r="2577" spans="2:16">
      <c r="B2577"/>
      <c r="C2577"/>
      <c r="D2577"/>
      <c r="E2577"/>
      <c r="F2577"/>
      <c r="G2577"/>
      <c r="H2577"/>
      <c r="I2577"/>
      <c r="J2577"/>
      <c r="K2577"/>
      <c r="L2577"/>
      <c r="M2577"/>
      <c r="N2577"/>
      <c r="O2577"/>
      <c r="P2577"/>
    </row>
    <row r="2578" spans="2:16">
      <c r="B2578"/>
      <c r="C2578"/>
      <c r="D2578"/>
      <c r="E2578"/>
      <c r="F2578"/>
      <c r="G2578"/>
      <c r="H2578"/>
      <c r="I2578"/>
      <c r="J2578"/>
      <c r="K2578"/>
      <c r="L2578"/>
      <c r="M2578"/>
      <c r="N2578"/>
      <c r="O2578"/>
      <c r="P2578"/>
    </row>
    <row r="2579" spans="2:16">
      <c r="B2579"/>
      <c r="C2579"/>
      <c r="D2579"/>
      <c r="E2579"/>
      <c r="F2579"/>
      <c r="G2579"/>
      <c r="H2579"/>
      <c r="I2579"/>
      <c r="J2579"/>
      <c r="K2579"/>
      <c r="L2579"/>
      <c r="M2579"/>
      <c r="N2579"/>
      <c r="O2579"/>
      <c r="P2579"/>
    </row>
    <row r="2580" spans="2:16">
      <c r="B2580"/>
      <c r="C2580"/>
      <c r="D2580"/>
      <c r="E2580"/>
      <c r="F2580"/>
      <c r="G2580"/>
      <c r="H2580"/>
      <c r="I2580"/>
      <c r="J2580"/>
      <c r="K2580"/>
      <c r="L2580"/>
      <c r="M2580"/>
      <c r="N2580"/>
      <c r="O2580"/>
      <c r="P2580"/>
    </row>
    <row r="2581" spans="2:16">
      <c r="B2581"/>
      <c r="C2581"/>
      <c r="D2581"/>
      <c r="E2581"/>
      <c r="F2581"/>
      <c r="G2581"/>
      <c r="H2581"/>
      <c r="I2581"/>
      <c r="J2581"/>
      <c r="K2581"/>
      <c r="L2581"/>
      <c r="M2581"/>
      <c r="N2581"/>
      <c r="O2581"/>
      <c r="P2581"/>
    </row>
    <row r="2582" spans="2:16">
      <c r="B2582"/>
      <c r="C2582"/>
      <c r="D2582"/>
      <c r="E2582"/>
      <c r="F2582"/>
      <c r="G2582"/>
      <c r="H2582"/>
      <c r="I2582"/>
      <c r="J2582"/>
      <c r="K2582"/>
      <c r="L2582"/>
      <c r="M2582"/>
      <c r="N2582"/>
      <c r="O2582"/>
      <c r="P2582"/>
    </row>
    <row r="2583" spans="2:16">
      <c r="B2583"/>
      <c r="C2583"/>
      <c r="D2583"/>
      <c r="E2583"/>
      <c r="F2583"/>
      <c r="G2583"/>
      <c r="H2583"/>
      <c r="I2583"/>
      <c r="J2583"/>
      <c r="K2583"/>
      <c r="L2583"/>
      <c r="M2583"/>
      <c r="N2583"/>
      <c r="O2583"/>
      <c r="P2583"/>
    </row>
    <row r="2584" spans="2:16">
      <c r="B2584"/>
      <c r="C2584"/>
      <c r="D2584"/>
      <c r="E2584"/>
      <c r="F2584"/>
      <c r="G2584"/>
      <c r="H2584"/>
      <c r="I2584"/>
      <c r="J2584"/>
      <c r="K2584"/>
      <c r="L2584"/>
      <c r="M2584"/>
      <c r="N2584"/>
      <c r="O2584"/>
      <c r="P2584"/>
    </row>
    <row r="2585" spans="2:16">
      <c r="B2585"/>
      <c r="C2585"/>
      <c r="D2585"/>
      <c r="E2585"/>
      <c r="F2585"/>
      <c r="G2585"/>
      <c r="H2585"/>
      <c r="I2585"/>
      <c r="J2585"/>
      <c r="K2585"/>
      <c r="L2585"/>
      <c r="M2585"/>
      <c r="N2585"/>
      <c r="O2585"/>
      <c r="P2585"/>
    </row>
    <row r="2586" spans="2:16">
      <c r="B2586"/>
      <c r="C2586"/>
      <c r="D2586"/>
      <c r="E2586"/>
      <c r="F2586"/>
      <c r="G2586"/>
      <c r="H2586"/>
      <c r="I2586"/>
      <c r="J2586"/>
      <c r="K2586"/>
      <c r="L2586"/>
      <c r="M2586"/>
      <c r="N2586"/>
      <c r="O2586"/>
      <c r="P2586"/>
    </row>
    <row r="2587" spans="2:16">
      <c r="B2587"/>
      <c r="C2587"/>
      <c r="D2587"/>
      <c r="E2587"/>
      <c r="F2587"/>
      <c r="G2587"/>
      <c r="H2587"/>
      <c r="I2587"/>
      <c r="J2587"/>
      <c r="K2587"/>
      <c r="L2587"/>
      <c r="M2587"/>
      <c r="N2587"/>
      <c r="O2587"/>
      <c r="P2587"/>
    </row>
    <row r="2588" spans="2:16">
      <c r="B2588"/>
      <c r="C2588"/>
      <c r="D2588"/>
      <c r="E2588"/>
      <c r="F2588"/>
      <c r="G2588"/>
      <c r="H2588"/>
      <c r="I2588"/>
      <c r="J2588"/>
      <c r="K2588"/>
      <c r="L2588"/>
      <c r="M2588"/>
      <c r="N2588"/>
      <c r="O2588"/>
      <c r="P2588"/>
    </row>
    <row r="2589" spans="2:16">
      <c r="B2589"/>
      <c r="C2589"/>
      <c r="D2589"/>
      <c r="E2589"/>
      <c r="F2589"/>
      <c r="G2589"/>
      <c r="H2589"/>
      <c r="I2589"/>
      <c r="J2589"/>
      <c r="K2589"/>
      <c r="L2589"/>
      <c r="M2589"/>
      <c r="N2589"/>
      <c r="O2589"/>
      <c r="P2589"/>
    </row>
    <row r="2590" spans="2:16">
      <c r="B2590"/>
      <c r="C2590"/>
      <c r="D2590"/>
      <c r="E2590"/>
      <c r="F2590"/>
      <c r="G2590"/>
      <c r="H2590"/>
      <c r="I2590"/>
      <c r="J2590"/>
      <c r="K2590"/>
      <c r="L2590"/>
      <c r="M2590"/>
      <c r="N2590"/>
      <c r="O2590"/>
      <c r="P2590"/>
    </row>
    <row r="2591" spans="2:16">
      <c r="B2591"/>
      <c r="C2591"/>
      <c r="D2591"/>
      <c r="E2591"/>
      <c r="F2591"/>
      <c r="G2591"/>
      <c r="H2591"/>
      <c r="I2591"/>
      <c r="J2591"/>
      <c r="K2591"/>
      <c r="L2591"/>
      <c r="M2591"/>
      <c r="N2591"/>
      <c r="O2591"/>
      <c r="P2591"/>
    </row>
    <row r="2592" spans="2:16">
      <c r="B2592"/>
      <c r="C2592"/>
      <c r="D2592"/>
      <c r="E2592"/>
      <c r="F2592"/>
      <c r="G2592"/>
      <c r="H2592"/>
      <c r="I2592"/>
      <c r="J2592"/>
      <c r="K2592"/>
      <c r="L2592"/>
      <c r="M2592"/>
      <c r="N2592"/>
      <c r="O2592"/>
      <c r="P2592"/>
    </row>
    <row r="2593" spans="2:16">
      <c r="B2593"/>
      <c r="C2593"/>
      <c r="D2593"/>
      <c r="E2593"/>
      <c r="F2593"/>
      <c r="G2593"/>
      <c r="H2593"/>
      <c r="I2593"/>
      <c r="J2593"/>
      <c r="K2593"/>
      <c r="L2593"/>
      <c r="M2593"/>
      <c r="N2593"/>
      <c r="O2593"/>
      <c r="P2593"/>
    </row>
    <row r="2594" spans="2:16">
      <c r="B2594"/>
      <c r="C2594"/>
      <c r="D2594"/>
      <c r="E2594"/>
      <c r="F2594"/>
      <c r="G2594"/>
      <c r="H2594"/>
      <c r="I2594"/>
      <c r="J2594"/>
      <c r="K2594"/>
      <c r="L2594"/>
      <c r="M2594"/>
      <c r="N2594"/>
      <c r="O2594"/>
      <c r="P2594"/>
    </row>
    <row r="2595" spans="2:16">
      <c r="B2595"/>
      <c r="C2595"/>
      <c r="D2595"/>
      <c r="E2595"/>
      <c r="F2595"/>
      <c r="G2595"/>
      <c r="H2595"/>
      <c r="I2595"/>
      <c r="J2595"/>
      <c r="K2595"/>
      <c r="L2595"/>
      <c r="M2595"/>
      <c r="N2595"/>
      <c r="O2595"/>
      <c r="P2595"/>
    </row>
    <row r="2596" spans="2:16">
      <c r="B2596"/>
      <c r="C2596"/>
      <c r="D2596"/>
      <c r="E2596"/>
      <c r="F2596"/>
      <c r="G2596"/>
      <c r="H2596"/>
      <c r="I2596"/>
      <c r="J2596"/>
      <c r="K2596"/>
      <c r="L2596"/>
      <c r="M2596"/>
      <c r="N2596"/>
      <c r="O2596"/>
      <c r="P2596"/>
    </row>
    <row r="2597" spans="2:16">
      <c r="B2597"/>
      <c r="C2597"/>
      <c r="D2597"/>
      <c r="E2597"/>
      <c r="F2597"/>
      <c r="G2597"/>
      <c r="H2597"/>
      <c r="I2597"/>
      <c r="J2597"/>
      <c r="K2597"/>
      <c r="L2597"/>
      <c r="M2597"/>
      <c r="N2597"/>
      <c r="O2597"/>
      <c r="P2597"/>
    </row>
    <row r="2598" spans="2:16">
      <c r="B2598"/>
      <c r="C2598"/>
      <c r="D2598"/>
      <c r="E2598"/>
      <c r="F2598"/>
      <c r="G2598"/>
      <c r="H2598"/>
      <c r="I2598"/>
      <c r="J2598"/>
      <c r="K2598"/>
      <c r="L2598"/>
      <c r="M2598"/>
      <c r="N2598"/>
      <c r="O2598"/>
      <c r="P2598"/>
    </row>
    <row r="2599" spans="2:16">
      <c r="B2599"/>
      <c r="C2599"/>
      <c r="D2599"/>
      <c r="E2599"/>
      <c r="F2599"/>
      <c r="G2599"/>
      <c r="H2599"/>
      <c r="I2599"/>
      <c r="J2599"/>
      <c r="K2599"/>
      <c r="L2599"/>
      <c r="M2599"/>
      <c r="N2599"/>
      <c r="O2599"/>
      <c r="P2599"/>
    </row>
    <row r="2600" spans="2:16">
      <c r="B2600"/>
      <c r="C2600"/>
      <c r="D2600"/>
      <c r="E2600"/>
      <c r="F2600"/>
      <c r="G2600"/>
      <c r="H2600"/>
      <c r="I2600"/>
      <c r="J2600"/>
      <c r="K2600"/>
      <c r="L2600"/>
      <c r="M2600"/>
      <c r="N2600"/>
      <c r="O2600"/>
      <c r="P2600"/>
    </row>
    <row r="2601" spans="2:16">
      <c r="B2601"/>
      <c r="C2601"/>
      <c r="D2601"/>
      <c r="E2601"/>
      <c r="F2601"/>
      <c r="G2601"/>
      <c r="H2601"/>
      <c r="I2601"/>
      <c r="J2601"/>
      <c r="K2601"/>
      <c r="L2601"/>
      <c r="M2601"/>
      <c r="N2601"/>
      <c r="O2601"/>
      <c r="P2601"/>
    </row>
    <row r="2602" spans="2:16">
      <c r="B2602"/>
      <c r="C2602"/>
      <c r="D2602"/>
      <c r="E2602"/>
      <c r="F2602"/>
      <c r="G2602"/>
      <c r="H2602"/>
      <c r="I2602"/>
      <c r="J2602"/>
      <c r="K2602"/>
      <c r="L2602"/>
      <c r="M2602"/>
      <c r="N2602"/>
      <c r="O2602"/>
      <c r="P2602"/>
    </row>
    <row r="2603" spans="2:16">
      <c r="B2603"/>
      <c r="C2603"/>
      <c r="D2603"/>
      <c r="E2603"/>
      <c r="F2603"/>
      <c r="G2603"/>
      <c r="H2603"/>
      <c r="I2603"/>
      <c r="J2603"/>
      <c r="K2603"/>
      <c r="L2603"/>
      <c r="M2603"/>
      <c r="N2603"/>
      <c r="O2603"/>
      <c r="P2603"/>
    </row>
    <row r="2604" spans="2:16">
      <c r="B2604"/>
      <c r="C2604"/>
      <c r="D2604"/>
      <c r="E2604"/>
      <c r="F2604"/>
      <c r="G2604"/>
      <c r="H2604"/>
      <c r="I2604"/>
      <c r="J2604"/>
      <c r="K2604"/>
      <c r="L2604"/>
      <c r="M2604"/>
      <c r="N2604"/>
      <c r="O2604"/>
      <c r="P2604"/>
    </row>
    <row r="2605" spans="2:16">
      <c r="B2605"/>
      <c r="C2605"/>
      <c r="D2605"/>
      <c r="E2605"/>
      <c r="F2605"/>
      <c r="G2605"/>
      <c r="H2605"/>
      <c r="I2605"/>
      <c r="J2605"/>
      <c r="K2605"/>
      <c r="L2605"/>
      <c r="M2605"/>
      <c r="N2605"/>
      <c r="O2605"/>
      <c r="P2605"/>
    </row>
    <row r="2606" spans="2:16">
      <c r="B2606"/>
      <c r="C2606"/>
      <c r="D2606"/>
      <c r="E2606"/>
      <c r="F2606"/>
      <c r="G2606"/>
      <c r="H2606"/>
      <c r="I2606"/>
      <c r="J2606"/>
      <c r="K2606"/>
      <c r="L2606"/>
      <c r="M2606"/>
      <c r="N2606"/>
      <c r="O2606"/>
      <c r="P2606"/>
    </row>
    <row r="2607" spans="2:16">
      <c r="B2607"/>
      <c r="C2607"/>
      <c r="D2607"/>
      <c r="E2607"/>
      <c r="F2607"/>
      <c r="G2607"/>
      <c r="H2607"/>
      <c r="I2607"/>
      <c r="J2607"/>
      <c r="K2607"/>
      <c r="L2607"/>
      <c r="M2607"/>
      <c r="N2607"/>
      <c r="O2607"/>
      <c r="P2607"/>
    </row>
    <row r="2608" spans="2:16">
      <c r="B2608"/>
      <c r="C2608"/>
      <c r="D2608"/>
      <c r="E2608"/>
      <c r="F2608"/>
      <c r="G2608"/>
      <c r="H2608"/>
      <c r="I2608"/>
      <c r="J2608"/>
      <c r="K2608"/>
      <c r="L2608"/>
      <c r="M2608"/>
      <c r="N2608"/>
      <c r="O2608"/>
      <c r="P2608"/>
    </row>
    <row r="2609" spans="2:16">
      <c r="B2609"/>
      <c r="C2609"/>
      <c r="D2609"/>
      <c r="E2609"/>
      <c r="F2609"/>
      <c r="G2609"/>
      <c r="H2609"/>
      <c r="I2609"/>
      <c r="J2609"/>
      <c r="K2609"/>
      <c r="L2609"/>
      <c r="M2609"/>
      <c r="N2609"/>
      <c r="O2609"/>
      <c r="P2609"/>
    </row>
    <row r="2610" spans="2:16">
      <c r="B2610"/>
      <c r="C2610"/>
      <c r="D2610"/>
      <c r="E2610"/>
      <c r="F2610"/>
      <c r="G2610"/>
      <c r="H2610"/>
      <c r="I2610"/>
      <c r="J2610"/>
      <c r="K2610"/>
      <c r="L2610"/>
      <c r="M2610"/>
      <c r="N2610"/>
      <c r="O2610"/>
      <c r="P2610"/>
    </row>
    <row r="2611" spans="2:16">
      <c r="B2611"/>
      <c r="C2611"/>
      <c r="D2611"/>
      <c r="E2611"/>
      <c r="F2611"/>
      <c r="G2611"/>
      <c r="H2611"/>
      <c r="I2611"/>
      <c r="J2611"/>
      <c r="K2611"/>
      <c r="L2611"/>
      <c r="M2611"/>
      <c r="N2611"/>
      <c r="O2611"/>
      <c r="P2611"/>
    </row>
    <row r="2612" spans="2:16">
      <c r="B2612"/>
      <c r="C2612"/>
      <c r="D2612"/>
      <c r="E2612"/>
      <c r="F2612"/>
      <c r="G2612"/>
      <c r="H2612"/>
      <c r="I2612"/>
      <c r="J2612"/>
      <c r="K2612"/>
      <c r="L2612"/>
      <c r="M2612"/>
      <c r="N2612"/>
      <c r="O2612"/>
      <c r="P2612"/>
    </row>
    <row r="2613" spans="2:16">
      <c r="B2613"/>
      <c r="C2613"/>
      <c r="D2613"/>
      <c r="E2613"/>
      <c r="F2613"/>
      <c r="G2613"/>
      <c r="H2613"/>
      <c r="I2613"/>
      <c r="J2613"/>
      <c r="K2613"/>
      <c r="L2613"/>
      <c r="M2613"/>
      <c r="N2613"/>
      <c r="O2613"/>
      <c r="P2613"/>
    </row>
    <row r="2614" spans="2:16">
      <c r="B2614"/>
      <c r="C2614"/>
      <c r="D2614"/>
      <c r="E2614"/>
      <c r="F2614"/>
      <c r="G2614"/>
      <c r="H2614"/>
      <c r="I2614"/>
      <c r="J2614"/>
      <c r="K2614"/>
      <c r="L2614"/>
      <c r="M2614"/>
      <c r="N2614"/>
      <c r="O2614"/>
      <c r="P2614"/>
    </row>
    <row r="2615" spans="2:16">
      <c r="B2615"/>
      <c r="C2615"/>
      <c r="D2615"/>
      <c r="E2615"/>
      <c r="F2615"/>
      <c r="G2615"/>
      <c r="H2615"/>
      <c r="I2615"/>
      <c r="J2615"/>
      <c r="K2615"/>
      <c r="L2615"/>
      <c r="M2615"/>
      <c r="N2615"/>
      <c r="O2615"/>
      <c r="P2615"/>
    </row>
    <row r="2616" spans="2:16">
      <c r="B2616"/>
      <c r="C2616"/>
      <c r="D2616"/>
      <c r="E2616"/>
      <c r="F2616"/>
      <c r="G2616"/>
      <c r="H2616"/>
      <c r="I2616"/>
      <c r="J2616"/>
      <c r="K2616"/>
      <c r="L2616"/>
      <c r="M2616"/>
      <c r="N2616"/>
      <c r="O2616"/>
      <c r="P2616"/>
    </row>
    <row r="2617" spans="2:16">
      <c r="B2617"/>
      <c r="C2617"/>
      <c r="D2617"/>
      <c r="E2617"/>
      <c r="F2617"/>
      <c r="G2617"/>
      <c r="H2617"/>
      <c r="I2617"/>
      <c r="J2617"/>
      <c r="K2617"/>
      <c r="L2617"/>
      <c r="M2617"/>
      <c r="N2617"/>
      <c r="O2617"/>
      <c r="P2617"/>
    </row>
    <row r="2618" spans="2:16">
      <c r="B2618"/>
      <c r="C2618"/>
      <c r="D2618"/>
      <c r="E2618"/>
      <c r="F2618"/>
      <c r="G2618"/>
      <c r="H2618"/>
      <c r="I2618"/>
      <c r="J2618"/>
      <c r="K2618"/>
      <c r="L2618"/>
      <c r="M2618"/>
      <c r="N2618"/>
      <c r="O2618"/>
      <c r="P2618"/>
    </row>
    <row r="2619" spans="2:16">
      <c r="B2619"/>
      <c r="C2619"/>
      <c r="D2619"/>
      <c r="E2619"/>
      <c r="F2619"/>
      <c r="G2619"/>
      <c r="H2619"/>
      <c r="I2619"/>
      <c r="J2619"/>
      <c r="K2619"/>
      <c r="L2619"/>
      <c r="M2619"/>
      <c r="N2619"/>
      <c r="O2619"/>
      <c r="P2619"/>
    </row>
    <row r="2620" spans="2:16">
      <c r="B2620"/>
      <c r="C2620"/>
      <c r="D2620"/>
      <c r="E2620"/>
      <c r="F2620"/>
      <c r="G2620"/>
      <c r="H2620"/>
      <c r="I2620"/>
      <c r="J2620"/>
      <c r="K2620"/>
      <c r="L2620"/>
      <c r="M2620"/>
      <c r="N2620"/>
      <c r="O2620"/>
      <c r="P2620"/>
    </row>
    <row r="2621" spans="2:16">
      <c r="B2621"/>
      <c r="C2621"/>
      <c r="D2621"/>
      <c r="E2621"/>
      <c r="F2621"/>
      <c r="G2621"/>
      <c r="H2621"/>
      <c r="I2621"/>
      <c r="J2621"/>
      <c r="K2621"/>
      <c r="L2621"/>
      <c r="M2621"/>
      <c r="N2621"/>
      <c r="O2621"/>
      <c r="P2621"/>
    </row>
    <row r="2622" spans="2:16">
      <c r="B2622"/>
      <c r="C2622"/>
      <c r="D2622"/>
      <c r="E2622"/>
      <c r="F2622"/>
      <c r="G2622"/>
      <c r="H2622"/>
      <c r="I2622"/>
      <c r="J2622"/>
      <c r="K2622"/>
      <c r="L2622"/>
      <c r="M2622"/>
      <c r="N2622"/>
      <c r="O2622"/>
      <c r="P2622"/>
    </row>
    <row r="2623" spans="2:16">
      <c r="B2623"/>
      <c r="C2623"/>
      <c r="D2623"/>
      <c r="E2623"/>
      <c r="F2623"/>
      <c r="G2623"/>
      <c r="H2623"/>
      <c r="I2623"/>
      <c r="J2623"/>
      <c r="K2623"/>
      <c r="L2623"/>
      <c r="M2623"/>
      <c r="N2623"/>
      <c r="O2623"/>
      <c r="P2623"/>
    </row>
    <row r="2624" spans="2:16">
      <c r="B2624"/>
      <c r="C2624"/>
      <c r="D2624"/>
      <c r="E2624"/>
      <c r="F2624"/>
      <c r="G2624"/>
      <c r="H2624"/>
      <c r="I2624"/>
      <c r="J2624"/>
      <c r="K2624"/>
      <c r="L2624"/>
      <c r="M2624"/>
      <c r="N2624"/>
      <c r="O2624"/>
      <c r="P2624"/>
    </row>
    <row r="2625" spans="2:16">
      <c r="B2625"/>
      <c r="C2625"/>
      <c r="D2625"/>
      <c r="E2625"/>
      <c r="F2625"/>
      <c r="G2625"/>
      <c r="H2625"/>
      <c r="I2625"/>
      <c r="J2625"/>
      <c r="K2625"/>
      <c r="L2625"/>
      <c r="M2625"/>
      <c r="N2625"/>
      <c r="O2625"/>
      <c r="P2625"/>
    </row>
    <row r="2626" spans="2:16">
      <c r="B2626"/>
      <c r="C2626"/>
      <c r="D2626"/>
      <c r="E2626"/>
      <c r="F2626"/>
      <c r="G2626"/>
      <c r="H2626"/>
      <c r="I2626"/>
      <c r="J2626"/>
      <c r="K2626"/>
      <c r="L2626"/>
      <c r="M2626"/>
      <c r="N2626"/>
      <c r="O2626"/>
      <c r="P2626"/>
    </row>
    <row r="2627" spans="2:16">
      <c r="B2627"/>
      <c r="C2627"/>
      <c r="D2627"/>
      <c r="E2627"/>
      <c r="F2627"/>
      <c r="G2627"/>
      <c r="H2627"/>
      <c r="I2627"/>
      <c r="J2627"/>
      <c r="K2627"/>
      <c r="L2627"/>
      <c r="M2627"/>
      <c r="N2627"/>
      <c r="O2627"/>
      <c r="P2627"/>
    </row>
    <row r="2628" spans="2:16">
      <c r="B2628"/>
      <c r="C2628"/>
      <c r="D2628"/>
      <c r="E2628"/>
      <c r="F2628"/>
      <c r="G2628"/>
      <c r="H2628"/>
      <c r="I2628"/>
      <c r="J2628"/>
      <c r="K2628"/>
      <c r="L2628"/>
      <c r="M2628"/>
      <c r="N2628"/>
      <c r="O2628"/>
      <c r="P2628"/>
    </row>
    <row r="2629" spans="2:16">
      <c r="B2629"/>
      <c r="C2629"/>
      <c r="D2629"/>
      <c r="E2629"/>
      <c r="F2629"/>
      <c r="G2629"/>
      <c r="H2629"/>
      <c r="I2629"/>
      <c r="J2629"/>
      <c r="K2629"/>
      <c r="L2629"/>
      <c r="M2629"/>
      <c r="N2629"/>
      <c r="O2629"/>
      <c r="P2629"/>
    </row>
    <row r="2630" spans="2:16">
      <c r="B2630"/>
      <c r="C2630"/>
      <c r="D2630"/>
      <c r="E2630"/>
      <c r="F2630"/>
      <c r="G2630"/>
      <c r="H2630"/>
      <c r="I2630"/>
      <c r="J2630"/>
      <c r="K2630"/>
      <c r="L2630"/>
      <c r="M2630"/>
      <c r="N2630"/>
      <c r="O2630"/>
      <c r="P2630"/>
    </row>
    <row r="2631" spans="2:16">
      <c r="B2631"/>
      <c r="C2631"/>
      <c r="D2631"/>
      <c r="E2631"/>
      <c r="F2631"/>
      <c r="G2631"/>
      <c r="H2631"/>
      <c r="I2631"/>
      <c r="J2631"/>
      <c r="K2631"/>
      <c r="L2631"/>
      <c r="M2631"/>
      <c r="N2631"/>
      <c r="O2631"/>
      <c r="P2631"/>
    </row>
    <row r="2632" spans="2:16">
      <c r="B2632"/>
      <c r="C2632"/>
      <c r="D2632"/>
      <c r="E2632"/>
      <c r="F2632"/>
      <c r="G2632"/>
      <c r="H2632"/>
      <c r="I2632"/>
      <c r="J2632"/>
      <c r="K2632"/>
      <c r="L2632"/>
      <c r="M2632"/>
      <c r="N2632"/>
      <c r="O2632"/>
      <c r="P2632"/>
    </row>
    <row r="2633" spans="2:16">
      <c r="B2633"/>
      <c r="C2633"/>
      <c r="D2633"/>
      <c r="E2633"/>
      <c r="F2633"/>
      <c r="G2633"/>
      <c r="H2633"/>
      <c r="I2633"/>
      <c r="J2633"/>
      <c r="K2633"/>
      <c r="L2633"/>
      <c r="M2633"/>
      <c r="N2633"/>
      <c r="O2633"/>
      <c r="P2633"/>
    </row>
    <row r="2634" spans="2:16">
      <c r="B2634"/>
      <c r="C2634"/>
      <c r="D2634"/>
      <c r="E2634"/>
      <c r="F2634"/>
      <c r="G2634"/>
      <c r="H2634"/>
      <c r="I2634"/>
      <c r="J2634"/>
      <c r="K2634"/>
      <c r="L2634"/>
      <c r="M2634"/>
      <c r="N2634"/>
      <c r="O2634"/>
      <c r="P2634"/>
    </row>
    <row r="2635" spans="2:16">
      <c r="B2635"/>
      <c r="C2635"/>
      <c r="D2635"/>
      <c r="E2635"/>
      <c r="F2635"/>
      <c r="G2635"/>
      <c r="H2635"/>
      <c r="I2635"/>
      <c r="J2635"/>
      <c r="K2635"/>
      <c r="L2635"/>
      <c r="M2635"/>
      <c r="N2635"/>
      <c r="O2635"/>
      <c r="P2635"/>
    </row>
    <row r="2636" spans="2:16">
      <c r="B2636"/>
      <c r="C2636"/>
      <c r="D2636"/>
      <c r="E2636"/>
      <c r="F2636"/>
      <c r="G2636"/>
      <c r="H2636"/>
      <c r="I2636"/>
      <c r="J2636"/>
      <c r="K2636"/>
      <c r="L2636"/>
      <c r="M2636"/>
      <c r="N2636"/>
      <c r="O2636"/>
      <c r="P2636"/>
    </row>
    <row r="2637" spans="2:16">
      <c r="B2637"/>
      <c r="C2637"/>
      <c r="D2637"/>
      <c r="E2637"/>
      <c r="F2637"/>
      <c r="G2637"/>
      <c r="H2637"/>
      <c r="I2637"/>
      <c r="J2637"/>
      <c r="K2637"/>
      <c r="L2637"/>
      <c r="M2637"/>
      <c r="N2637"/>
      <c r="O2637"/>
      <c r="P2637"/>
    </row>
    <row r="2638" spans="2:16">
      <c r="B2638"/>
      <c r="C2638"/>
      <c r="D2638"/>
      <c r="E2638"/>
      <c r="F2638"/>
      <c r="G2638"/>
      <c r="H2638"/>
      <c r="I2638"/>
      <c r="J2638"/>
      <c r="K2638"/>
      <c r="L2638"/>
      <c r="M2638"/>
      <c r="N2638"/>
      <c r="O2638"/>
      <c r="P2638"/>
    </row>
    <row r="2639" spans="2:16">
      <c r="B2639"/>
      <c r="C2639"/>
      <c r="D2639"/>
      <c r="E2639"/>
      <c r="F2639"/>
      <c r="G2639"/>
      <c r="H2639"/>
      <c r="I2639"/>
      <c r="J2639"/>
      <c r="K2639"/>
      <c r="L2639"/>
      <c r="M2639"/>
      <c r="N2639"/>
      <c r="O2639"/>
      <c r="P2639"/>
    </row>
    <row r="2640" spans="2:16">
      <c r="B2640"/>
      <c r="C2640"/>
      <c r="D2640"/>
      <c r="E2640"/>
      <c r="F2640"/>
      <c r="G2640"/>
      <c r="H2640"/>
      <c r="I2640"/>
      <c r="J2640"/>
      <c r="K2640"/>
      <c r="L2640"/>
      <c r="M2640"/>
      <c r="N2640"/>
      <c r="O2640"/>
      <c r="P2640"/>
    </row>
    <row r="2641" spans="2:16">
      <c r="B2641"/>
      <c r="C2641"/>
      <c r="D2641"/>
      <c r="E2641"/>
      <c r="F2641"/>
      <c r="G2641"/>
      <c r="H2641"/>
      <c r="I2641"/>
      <c r="J2641"/>
      <c r="K2641"/>
      <c r="L2641"/>
      <c r="M2641"/>
      <c r="N2641"/>
      <c r="O2641"/>
      <c r="P2641"/>
    </row>
    <row r="2642" spans="2:16">
      <c r="B2642"/>
      <c r="C2642"/>
      <c r="D2642"/>
      <c r="E2642"/>
      <c r="F2642"/>
      <c r="G2642"/>
      <c r="H2642"/>
      <c r="I2642"/>
      <c r="J2642"/>
      <c r="K2642"/>
      <c r="L2642"/>
      <c r="M2642"/>
      <c r="N2642"/>
      <c r="O2642"/>
      <c r="P2642"/>
    </row>
    <row r="2643" spans="2:16">
      <c r="B2643"/>
      <c r="C2643"/>
      <c r="D2643"/>
      <c r="E2643"/>
      <c r="F2643"/>
      <c r="G2643"/>
      <c r="H2643"/>
      <c r="I2643"/>
      <c r="J2643"/>
      <c r="K2643"/>
      <c r="L2643"/>
      <c r="M2643"/>
      <c r="N2643"/>
      <c r="O2643"/>
      <c r="P2643"/>
    </row>
    <row r="2644" spans="2:16">
      <c r="B2644"/>
      <c r="C2644"/>
      <c r="D2644"/>
      <c r="E2644"/>
      <c r="F2644"/>
      <c r="G2644"/>
      <c r="H2644"/>
      <c r="I2644"/>
      <c r="J2644"/>
      <c r="K2644"/>
      <c r="L2644"/>
      <c r="M2644"/>
      <c r="N2644"/>
      <c r="O2644"/>
      <c r="P2644"/>
    </row>
    <row r="2645" spans="2:16">
      <c r="B2645"/>
      <c r="C2645"/>
      <c r="D2645"/>
      <c r="E2645"/>
      <c r="F2645"/>
      <c r="G2645"/>
      <c r="H2645"/>
      <c r="I2645"/>
      <c r="J2645"/>
      <c r="K2645"/>
      <c r="L2645"/>
      <c r="M2645"/>
      <c r="N2645"/>
      <c r="O2645"/>
      <c r="P2645"/>
    </row>
    <row r="2646" spans="2:16">
      <c r="B2646"/>
      <c r="C2646"/>
      <c r="D2646"/>
      <c r="E2646"/>
      <c r="F2646"/>
      <c r="G2646"/>
      <c r="H2646"/>
      <c r="I2646"/>
      <c r="J2646"/>
      <c r="K2646"/>
      <c r="L2646"/>
      <c r="M2646"/>
      <c r="N2646"/>
      <c r="O2646"/>
      <c r="P2646"/>
    </row>
    <row r="2647" spans="2:16">
      <c r="B2647"/>
      <c r="C2647"/>
      <c r="D2647"/>
      <c r="E2647"/>
      <c r="F2647"/>
      <c r="G2647"/>
      <c r="H2647"/>
      <c r="I2647"/>
      <c r="J2647"/>
      <c r="K2647"/>
      <c r="L2647"/>
      <c r="M2647"/>
      <c r="N2647"/>
      <c r="O2647"/>
      <c r="P2647"/>
    </row>
    <row r="2648" spans="2:16">
      <c r="B2648"/>
      <c r="C2648"/>
      <c r="D2648"/>
      <c r="E2648"/>
      <c r="F2648"/>
      <c r="G2648"/>
      <c r="H2648"/>
      <c r="I2648"/>
      <c r="J2648"/>
      <c r="K2648"/>
      <c r="L2648"/>
      <c r="M2648"/>
      <c r="N2648"/>
      <c r="O2648"/>
      <c r="P2648"/>
    </row>
    <row r="2649" spans="2:16">
      <c r="B2649"/>
      <c r="C2649"/>
      <c r="D2649"/>
      <c r="E2649"/>
      <c r="F2649"/>
      <c r="G2649"/>
      <c r="H2649"/>
      <c r="I2649"/>
      <c r="J2649"/>
      <c r="K2649"/>
      <c r="L2649"/>
      <c r="M2649"/>
      <c r="N2649"/>
      <c r="O2649"/>
      <c r="P2649"/>
    </row>
    <row r="2650" spans="2:16">
      <c r="B2650"/>
      <c r="C2650"/>
      <c r="D2650"/>
      <c r="E2650"/>
      <c r="F2650"/>
      <c r="G2650"/>
      <c r="H2650"/>
      <c r="I2650"/>
      <c r="J2650"/>
      <c r="K2650"/>
      <c r="L2650"/>
      <c r="M2650"/>
      <c r="N2650"/>
      <c r="O2650"/>
      <c r="P2650"/>
    </row>
    <row r="2651" spans="2:16">
      <c r="B2651"/>
      <c r="C2651"/>
      <c r="D2651"/>
      <c r="E2651"/>
      <c r="F2651"/>
      <c r="G2651"/>
      <c r="H2651"/>
      <c r="I2651"/>
      <c r="J2651"/>
      <c r="K2651"/>
      <c r="L2651"/>
      <c r="M2651"/>
      <c r="N2651"/>
      <c r="O2651"/>
      <c r="P2651"/>
    </row>
    <row r="2652" spans="2:16">
      <c r="B2652"/>
      <c r="C2652"/>
      <c r="D2652"/>
      <c r="E2652"/>
      <c r="F2652"/>
      <c r="G2652"/>
      <c r="H2652"/>
      <c r="I2652"/>
      <c r="J2652"/>
      <c r="K2652"/>
      <c r="L2652"/>
      <c r="M2652"/>
      <c r="N2652"/>
      <c r="O2652"/>
      <c r="P2652"/>
    </row>
    <row r="2653" spans="2:16">
      <c r="B2653"/>
      <c r="C2653"/>
      <c r="D2653"/>
      <c r="E2653"/>
      <c r="F2653"/>
      <c r="G2653"/>
      <c r="H2653"/>
      <c r="I2653"/>
      <c r="J2653"/>
      <c r="K2653"/>
      <c r="L2653"/>
      <c r="M2653"/>
      <c r="N2653"/>
      <c r="O2653"/>
      <c r="P2653"/>
    </row>
    <row r="2654" spans="2:16">
      <c r="B2654"/>
      <c r="C2654"/>
      <c r="D2654"/>
      <c r="E2654"/>
      <c r="F2654"/>
      <c r="G2654"/>
      <c r="H2654"/>
      <c r="I2654"/>
      <c r="J2654"/>
      <c r="K2654"/>
      <c r="L2654"/>
      <c r="M2654"/>
      <c r="N2654"/>
      <c r="O2654"/>
      <c r="P2654"/>
    </row>
    <row r="2655" spans="2:16">
      <c r="B2655"/>
      <c r="C2655"/>
      <c r="D2655"/>
      <c r="E2655"/>
      <c r="F2655"/>
      <c r="G2655"/>
      <c r="H2655"/>
      <c r="I2655"/>
      <c r="J2655"/>
      <c r="K2655"/>
      <c r="L2655"/>
      <c r="M2655"/>
      <c r="N2655"/>
      <c r="O2655"/>
      <c r="P2655"/>
    </row>
    <row r="2656" spans="2:16">
      <c r="B2656"/>
      <c r="C2656"/>
      <c r="D2656"/>
      <c r="E2656"/>
      <c r="F2656"/>
      <c r="G2656"/>
      <c r="H2656"/>
      <c r="I2656"/>
      <c r="J2656"/>
      <c r="K2656"/>
      <c r="L2656"/>
      <c r="M2656"/>
      <c r="N2656"/>
      <c r="O2656"/>
      <c r="P2656"/>
    </row>
    <row r="2657" spans="2:16">
      <c r="B2657"/>
      <c r="C2657"/>
      <c r="D2657"/>
      <c r="E2657"/>
      <c r="F2657"/>
      <c r="G2657"/>
      <c r="H2657"/>
      <c r="I2657"/>
      <c r="J2657"/>
      <c r="K2657"/>
      <c r="L2657"/>
      <c r="M2657"/>
      <c r="N2657"/>
      <c r="O2657"/>
      <c r="P2657"/>
    </row>
    <row r="2658" spans="2:16">
      <c r="B2658"/>
      <c r="C2658"/>
      <c r="D2658"/>
      <c r="E2658"/>
      <c r="F2658"/>
      <c r="G2658"/>
      <c r="H2658"/>
      <c r="I2658"/>
      <c r="J2658"/>
      <c r="K2658"/>
      <c r="L2658"/>
      <c r="M2658"/>
      <c r="N2658"/>
      <c r="O2658"/>
      <c r="P2658"/>
    </row>
    <row r="2659" spans="2:16">
      <c r="B2659"/>
      <c r="C2659"/>
      <c r="D2659"/>
      <c r="E2659"/>
      <c r="F2659"/>
      <c r="G2659"/>
      <c r="H2659"/>
      <c r="I2659"/>
      <c r="J2659"/>
      <c r="K2659"/>
      <c r="L2659"/>
      <c r="M2659"/>
      <c r="N2659"/>
      <c r="O2659"/>
      <c r="P2659"/>
    </row>
    <row r="2660" spans="2:16">
      <c r="B2660"/>
      <c r="C2660"/>
      <c r="D2660"/>
      <c r="E2660"/>
      <c r="F2660"/>
      <c r="G2660"/>
      <c r="H2660"/>
      <c r="I2660"/>
      <c r="J2660"/>
      <c r="K2660"/>
      <c r="L2660"/>
      <c r="M2660"/>
      <c r="N2660"/>
      <c r="O2660"/>
      <c r="P2660"/>
    </row>
    <row r="2661" spans="2:16">
      <c r="B2661"/>
      <c r="C2661"/>
      <c r="D2661"/>
      <c r="E2661"/>
      <c r="F2661"/>
      <c r="G2661"/>
      <c r="H2661"/>
      <c r="I2661"/>
      <c r="J2661"/>
      <c r="K2661"/>
      <c r="L2661"/>
      <c r="M2661"/>
      <c r="N2661"/>
      <c r="O2661"/>
      <c r="P2661"/>
    </row>
    <row r="2662" spans="2:16">
      <c r="B2662"/>
      <c r="C2662"/>
      <c r="D2662"/>
      <c r="E2662"/>
      <c r="F2662"/>
      <c r="G2662"/>
      <c r="H2662"/>
      <c r="I2662"/>
      <c r="J2662"/>
      <c r="K2662"/>
      <c r="L2662"/>
      <c r="M2662"/>
      <c r="N2662"/>
      <c r="O2662"/>
      <c r="P2662"/>
    </row>
    <row r="2663" spans="2:16">
      <c r="B2663"/>
      <c r="C2663"/>
      <c r="D2663"/>
      <c r="E2663"/>
      <c r="F2663"/>
      <c r="G2663"/>
      <c r="H2663"/>
      <c r="I2663"/>
      <c r="J2663"/>
      <c r="K2663"/>
      <c r="L2663"/>
      <c r="M2663"/>
      <c r="N2663"/>
      <c r="O2663"/>
      <c r="P2663"/>
    </row>
    <row r="2664" spans="2:16">
      <c r="B2664"/>
      <c r="C2664"/>
      <c r="D2664"/>
      <c r="E2664"/>
      <c r="F2664"/>
      <c r="G2664"/>
      <c r="H2664"/>
      <c r="I2664"/>
      <c r="J2664"/>
      <c r="K2664"/>
      <c r="L2664"/>
      <c r="M2664"/>
      <c r="N2664"/>
      <c r="O2664"/>
      <c r="P2664"/>
    </row>
    <row r="2665" spans="2:16">
      <c r="B2665"/>
      <c r="C2665"/>
      <c r="D2665"/>
      <c r="E2665"/>
      <c r="F2665"/>
      <c r="G2665"/>
      <c r="H2665"/>
      <c r="I2665"/>
      <c r="J2665"/>
      <c r="K2665"/>
      <c r="L2665"/>
      <c r="M2665"/>
      <c r="N2665"/>
      <c r="O2665"/>
      <c r="P2665"/>
    </row>
    <row r="2666" spans="2:16">
      <c r="B2666"/>
      <c r="C2666"/>
      <c r="D2666"/>
      <c r="E2666"/>
      <c r="F2666"/>
      <c r="G2666"/>
      <c r="H2666"/>
      <c r="I2666"/>
      <c r="J2666"/>
      <c r="K2666"/>
      <c r="L2666"/>
      <c r="M2666"/>
      <c r="N2666"/>
      <c r="O2666"/>
      <c r="P2666"/>
    </row>
    <row r="2667" spans="2:16">
      <c r="B2667"/>
      <c r="C2667"/>
      <c r="D2667"/>
      <c r="E2667"/>
      <c r="F2667"/>
      <c r="G2667"/>
      <c r="H2667"/>
      <c r="I2667"/>
      <c r="J2667"/>
      <c r="K2667"/>
      <c r="L2667"/>
      <c r="M2667"/>
      <c r="N2667"/>
      <c r="O2667"/>
      <c r="P2667"/>
    </row>
    <row r="2668" spans="2:16">
      <c r="B2668"/>
      <c r="C2668"/>
      <c r="D2668"/>
      <c r="E2668"/>
      <c r="F2668"/>
      <c r="G2668"/>
      <c r="H2668"/>
      <c r="I2668"/>
      <c r="J2668"/>
      <c r="K2668"/>
      <c r="L2668"/>
      <c r="M2668"/>
      <c r="N2668"/>
      <c r="O2668"/>
      <c r="P2668"/>
    </row>
    <row r="2669" spans="2:16">
      <c r="B2669"/>
      <c r="C2669"/>
      <c r="D2669"/>
      <c r="E2669"/>
      <c r="F2669"/>
      <c r="G2669"/>
      <c r="H2669"/>
      <c r="I2669"/>
      <c r="J2669"/>
      <c r="K2669"/>
      <c r="L2669"/>
      <c r="M2669"/>
      <c r="N2669"/>
      <c r="O2669"/>
      <c r="P2669"/>
    </row>
    <row r="2670" spans="2:16">
      <c r="B2670"/>
      <c r="C2670"/>
      <c r="D2670"/>
      <c r="E2670"/>
      <c r="F2670"/>
      <c r="G2670"/>
      <c r="H2670"/>
      <c r="I2670"/>
      <c r="J2670"/>
      <c r="K2670"/>
      <c r="L2670"/>
      <c r="M2670"/>
      <c r="N2670"/>
      <c r="O2670"/>
      <c r="P2670"/>
    </row>
    <row r="2671" spans="2:16">
      <c r="B2671"/>
      <c r="C2671"/>
      <c r="D2671"/>
      <c r="E2671"/>
      <c r="F2671"/>
      <c r="G2671"/>
      <c r="H2671"/>
      <c r="I2671"/>
      <c r="J2671"/>
      <c r="K2671"/>
      <c r="L2671"/>
      <c r="M2671"/>
      <c r="N2671"/>
      <c r="O2671"/>
      <c r="P2671"/>
    </row>
    <row r="2672" spans="2:16">
      <c r="B2672"/>
      <c r="C2672"/>
      <c r="D2672"/>
      <c r="E2672"/>
      <c r="F2672"/>
      <c r="G2672"/>
      <c r="H2672"/>
      <c r="I2672"/>
      <c r="J2672"/>
      <c r="K2672"/>
      <c r="L2672"/>
      <c r="M2672"/>
      <c r="N2672"/>
      <c r="O2672"/>
      <c r="P2672"/>
    </row>
    <row r="2673" spans="2:16">
      <c r="B2673"/>
      <c r="C2673"/>
      <c r="D2673"/>
      <c r="E2673"/>
      <c r="F2673"/>
      <c r="G2673"/>
      <c r="H2673"/>
      <c r="I2673"/>
      <c r="J2673"/>
      <c r="K2673"/>
      <c r="L2673"/>
      <c r="M2673"/>
      <c r="N2673"/>
      <c r="O2673"/>
      <c r="P2673"/>
    </row>
    <row r="2674" spans="2:16">
      <c r="B2674"/>
      <c r="C2674"/>
      <c r="D2674"/>
      <c r="E2674"/>
      <c r="F2674"/>
      <c r="G2674"/>
      <c r="H2674"/>
      <c r="I2674"/>
      <c r="J2674"/>
      <c r="K2674"/>
      <c r="L2674"/>
      <c r="M2674"/>
      <c r="N2674"/>
      <c r="O2674"/>
      <c r="P2674"/>
    </row>
    <row r="2675" spans="2:16">
      <c r="B2675"/>
      <c r="C2675"/>
      <c r="D2675"/>
      <c r="E2675"/>
      <c r="F2675"/>
      <c r="G2675"/>
      <c r="H2675"/>
      <c r="I2675"/>
      <c r="J2675"/>
      <c r="K2675"/>
      <c r="L2675"/>
      <c r="M2675"/>
      <c r="N2675"/>
      <c r="O2675"/>
      <c r="P2675"/>
    </row>
    <row r="2676" spans="2:16">
      <c r="B2676"/>
      <c r="C2676"/>
      <c r="D2676"/>
      <c r="E2676"/>
      <c r="F2676"/>
      <c r="G2676"/>
      <c r="H2676"/>
      <c r="I2676"/>
      <c r="J2676"/>
      <c r="K2676"/>
      <c r="L2676"/>
      <c r="M2676"/>
      <c r="N2676"/>
      <c r="O2676"/>
      <c r="P2676"/>
    </row>
    <row r="2677" spans="2:16">
      <c r="B2677"/>
      <c r="C2677"/>
      <c r="D2677"/>
      <c r="E2677"/>
      <c r="F2677"/>
      <c r="G2677"/>
      <c r="H2677"/>
      <c r="I2677"/>
      <c r="J2677"/>
      <c r="K2677"/>
      <c r="L2677"/>
      <c r="M2677"/>
      <c r="N2677"/>
      <c r="O2677"/>
      <c r="P2677"/>
    </row>
    <row r="2678" spans="2:16">
      <c r="B2678"/>
      <c r="C2678"/>
      <c r="D2678"/>
      <c r="E2678"/>
      <c r="F2678"/>
      <c r="G2678"/>
      <c r="H2678"/>
      <c r="I2678"/>
      <c r="J2678"/>
      <c r="K2678"/>
      <c r="L2678"/>
      <c r="M2678"/>
      <c r="N2678"/>
      <c r="O2678"/>
      <c r="P2678"/>
    </row>
    <row r="2679" spans="2:16">
      <c r="B2679"/>
      <c r="C2679"/>
      <c r="D2679"/>
      <c r="E2679"/>
      <c r="F2679"/>
      <c r="G2679"/>
      <c r="H2679"/>
      <c r="I2679"/>
      <c r="J2679"/>
      <c r="K2679"/>
      <c r="L2679"/>
      <c r="M2679"/>
      <c r="N2679"/>
      <c r="O2679"/>
      <c r="P2679"/>
    </row>
    <row r="2680" spans="2:16">
      <c r="B2680"/>
      <c r="C2680"/>
      <c r="D2680"/>
      <c r="E2680"/>
      <c r="F2680"/>
      <c r="G2680"/>
      <c r="H2680"/>
      <c r="I2680"/>
      <c r="J2680"/>
      <c r="K2680"/>
      <c r="L2680"/>
      <c r="M2680"/>
      <c r="N2680"/>
      <c r="O2680"/>
      <c r="P2680"/>
    </row>
    <row r="2681" spans="2:16">
      <c r="B2681"/>
      <c r="C2681"/>
      <c r="D2681"/>
      <c r="E2681"/>
      <c r="F2681"/>
      <c r="G2681"/>
      <c r="H2681"/>
      <c r="I2681"/>
      <c r="J2681"/>
      <c r="K2681"/>
      <c r="L2681"/>
      <c r="M2681"/>
      <c r="N2681"/>
      <c r="O2681"/>
      <c r="P2681"/>
    </row>
    <row r="2682" spans="2:16">
      <c r="B2682"/>
      <c r="C2682"/>
      <c r="D2682"/>
      <c r="E2682"/>
      <c r="F2682"/>
      <c r="G2682"/>
      <c r="H2682"/>
      <c r="I2682"/>
      <c r="J2682"/>
      <c r="K2682"/>
      <c r="L2682"/>
      <c r="M2682"/>
      <c r="N2682"/>
      <c r="O2682"/>
      <c r="P2682"/>
    </row>
    <row r="2683" spans="2:16">
      <c r="B2683"/>
      <c r="C2683"/>
      <c r="D2683"/>
      <c r="E2683"/>
      <c r="F2683"/>
      <c r="G2683"/>
      <c r="H2683"/>
      <c r="I2683"/>
      <c r="J2683"/>
      <c r="K2683"/>
      <c r="L2683"/>
      <c r="M2683"/>
      <c r="N2683"/>
      <c r="O2683"/>
      <c r="P2683"/>
    </row>
    <row r="2684" spans="2:16">
      <c r="B2684"/>
      <c r="C2684"/>
      <c r="D2684"/>
      <c r="E2684"/>
      <c r="F2684"/>
      <c r="G2684"/>
      <c r="H2684"/>
      <c r="I2684"/>
      <c r="J2684"/>
      <c r="K2684"/>
      <c r="L2684"/>
      <c r="M2684"/>
      <c r="N2684"/>
      <c r="O2684"/>
      <c r="P2684"/>
    </row>
    <row r="2685" spans="2:16">
      <c r="B2685"/>
      <c r="C2685"/>
      <c r="D2685"/>
      <c r="E2685"/>
      <c r="F2685"/>
      <c r="G2685"/>
      <c r="H2685"/>
      <c r="I2685"/>
      <c r="J2685"/>
      <c r="K2685"/>
      <c r="L2685"/>
      <c r="M2685"/>
      <c r="N2685"/>
      <c r="O2685"/>
      <c r="P2685"/>
    </row>
    <row r="2686" spans="2:16">
      <c r="B2686"/>
      <c r="C2686"/>
      <c r="D2686"/>
      <c r="E2686"/>
      <c r="F2686"/>
      <c r="G2686"/>
      <c r="H2686"/>
      <c r="I2686"/>
      <c r="J2686"/>
      <c r="K2686"/>
      <c r="L2686"/>
      <c r="M2686"/>
      <c r="N2686"/>
      <c r="O2686"/>
      <c r="P2686"/>
    </row>
    <row r="2687" spans="2:16">
      <c r="B2687"/>
      <c r="C2687"/>
      <c r="D2687"/>
      <c r="E2687"/>
      <c r="F2687"/>
      <c r="G2687"/>
      <c r="H2687"/>
      <c r="I2687"/>
      <c r="J2687"/>
      <c r="K2687"/>
      <c r="L2687"/>
      <c r="M2687"/>
      <c r="N2687"/>
      <c r="O2687"/>
      <c r="P2687"/>
    </row>
    <row r="2688" spans="2:16">
      <c r="B2688"/>
      <c r="C2688"/>
      <c r="D2688"/>
      <c r="E2688"/>
      <c r="F2688"/>
      <c r="G2688"/>
      <c r="H2688"/>
      <c r="I2688"/>
      <c r="J2688"/>
      <c r="K2688"/>
      <c r="L2688"/>
      <c r="M2688"/>
      <c r="N2688"/>
      <c r="O2688"/>
      <c r="P2688"/>
    </row>
    <row r="2689" spans="2:16">
      <c r="B2689"/>
      <c r="C2689"/>
      <c r="D2689"/>
      <c r="E2689"/>
      <c r="F2689"/>
      <c r="G2689"/>
      <c r="H2689"/>
      <c r="I2689"/>
      <c r="J2689"/>
      <c r="K2689"/>
      <c r="L2689"/>
      <c r="M2689"/>
      <c r="N2689"/>
      <c r="O2689"/>
      <c r="P2689"/>
    </row>
    <row r="2690" spans="2:16">
      <c r="B2690"/>
      <c r="C2690"/>
      <c r="D2690"/>
      <c r="E2690"/>
      <c r="F2690"/>
      <c r="G2690"/>
      <c r="H2690"/>
      <c r="I2690"/>
      <c r="J2690"/>
      <c r="K2690"/>
      <c r="L2690"/>
      <c r="M2690"/>
      <c r="N2690"/>
      <c r="O2690"/>
      <c r="P2690"/>
    </row>
    <row r="2691" spans="2:16">
      <c r="B2691"/>
      <c r="C2691"/>
      <c r="D2691"/>
      <c r="E2691"/>
      <c r="F2691"/>
      <c r="G2691"/>
      <c r="H2691"/>
      <c r="I2691"/>
      <c r="J2691"/>
      <c r="K2691"/>
      <c r="L2691"/>
      <c r="M2691"/>
      <c r="N2691"/>
      <c r="O2691"/>
      <c r="P2691"/>
    </row>
    <row r="2692" spans="2:16">
      <c r="B2692"/>
      <c r="C2692"/>
      <c r="D2692"/>
      <c r="E2692"/>
      <c r="F2692"/>
      <c r="G2692"/>
      <c r="H2692"/>
      <c r="I2692"/>
      <c r="J2692"/>
      <c r="K2692"/>
      <c r="L2692"/>
      <c r="M2692"/>
      <c r="N2692"/>
      <c r="O2692"/>
      <c r="P2692"/>
    </row>
    <row r="2693" spans="2:16">
      <c r="B2693"/>
      <c r="C2693"/>
      <c r="D2693"/>
      <c r="E2693"/>
      <c r="F2693"/>
      <c r="G2693"/>
      <c r="H2693"/>
      <c r="I2693"/>
      <c r="J2693"/>
      <c r="K2693"/>
      <c r="L2693"/>
      <c r="M2693"/>
      <c r="N2693"/>
      <c r="O2693"/>
      <c r="P2693"/>
    </row>
    <row r="2694" spans="2:16">
      <c r="B2694"/>
      <c r="C2694"/>
      <c r="D2694"/>
      <c r="E2694"/>
      <c r="F2694"/>
      <c r="G2694"/>
      <c r="H2694"/>
      <c r="I2694"/>
      <c r="J2694"/>
      <c r="K2694"/>
      <c r="L2694"/>
      <c r="M2694"/>
      <c r="N2694"/>
      <c r="O2694"/>
      <c r="P2694"/>
    </row>
    <row r="2695" spans="2:16">
      <c r="B2695"/>
      <c r="C2695"/>
      <c r="D2695"/>
      <c r="E2695"/>
      <c r="F2695"/>
      <c r="G2695"/>
      <c r="H2695"/>
      <c r="I2695"/>
      <c r="J2695"/>
      <c r="K2695"/>
      <c r="L2695"/>
      <c r="M2695"/>
      <c r="N2695"/>
      <c r="O2695"/>
      <c r="P2695"/>
    </row>
    <row r="2696" spans="2:16">
      <c r="B2696"/>
      <c r="C2696"/>
      <c r="D2696"/>
      <c r="E2696"/>
      <c r="F2696"/>
      <c r="G2696"/>
      <c r="H2696"/>
      <c r="I2696"/>
      <c r="J2696"/>
      <c r="K2696"/>
      <c r="L2696"/>
      <c r="M2696"/>
      <c r="N2696"/>
      <c r="O2696"/>
      <c r="P2696"/>
    </row>
    <row r="2697" spans="2:16">
      <c r="B2697"/>
      <c r="C2697"/>
      <c r="D2697"/>
      <c r="E2697"/>
      <c r="F2697"/>
      <c r="G2697"/>
      <c r="H2697"/>
      <c r="I2697"/>
      <c r="J2697"/>
      <c r="K2697"/>
      <c r="L2697"/>
      <c r="M2697"/>
      <c r="N2697"/>
      <c r="O2697"/>
      <c r="P2697"/>
    </row>
    <row r="2698" spans="2:16">
      <c r="B2698"/>
      <c r="C2698"/>
      <c r="D2698"/>
      <c r="E2698"/>
      <c r="F2698"/>
      <c r="G2698"/>
      <c r="H2698"/>
      <c r="I2698"/>
      <c r="J2698"/>
      <c r="K2698"/>
      <c r="L2698"/>
      <c r="M2698"/>
      <c r="N2698"/>
      <c r="O2698"/>
      <c r="P2698"/>
    </row>
    <row r="2699" spans="2:16">
      <c r="B2699"/>
      <c r="C2699"/>
      <c r="D2699"/>
      <c r="E2699"/>
      <c r="F2699"/>
      <c r="G2699"/>
      <c r="H2699"/>
      <c r="I2699"/>
      <c r="J2699"/>
      <c r="K2699"/>
      <c r="L2699"/>
      <c r="M2699"/>
      <c r="N2699"/>
      <c r="O2699"/>
      <c r="P2699"/>
    </row>
    <row r="2700" spans="2:16">
      <c r="B2700"/>
      <c r="C2700"/>
      <c r="D2700"/>
      <c r="E2700"/>
      <c r="F2700"/>
      <c r="G2700"/>
      <c r="H2700"/>
      <c r="I2700"/>
      <c r="J2700"/>
      <c r="K2700"/>
      <c r="L2700"/>
      <c r="M2700"/>
      <c r="N2700"/>
      <c r="O2700"/>
      <c r="P2700"/>
    </row>
    <row r="2701" spans="2:16">
      <c r="B2701"/>
      <c r="C2701"/>
      <c r="D2701"/>
      <c r="E2701"/>
      <c r="F2701"/>
      <c r="G2701"/>
      <c r="H2701"/>
      <c r="I2701"/>
      <c r="J2701"/>
      <c r="K2701"/>
      <c r="L2701"/>
      <c r="M2701"/>
      <c r="N2701"/>
      <c r="O2701"/>
      <c r="P2701"/>
    </row>
    <row r="2702" spans="2:16">
      <c r="B2702"/>
      <c r="C2702"/>
      <c r="D2702"/>
      <c r="E2702"/>
      <c r="F2702"/>
      <c r="G2702"/>
      <c r="H2702"/>
      <c r="I2702"/>
      <c r="J2702"/>
      <c r="K2702"/>
      <c r="L2702"/>
      <c r="M2702"/>
      <c r="N2702"/>
      <c r="O2702"/>
      <c r="P2702"/>
    </row>
    <row r="2703" spans="2:16">
      <c r="B2703"/>
      <c r="C2703"/>
      <c r="D2703"/>
      <c r="E2703"/>
      <c r="F2703"/>
      <c r="G2703"/>
      <c r="H2703"/>
      <c r="I2703"/>
      <c r="J2703"/>
      <c r="K2703"/>
      <c r="L2703"/>
      <c r="M2703"/>
      <c r="N2703"/>
      <c r="O2703"/>
      <c r="P2703"/>
    </row>
    <row r="2704" spans="2:16">
      <c r="B2704"/>
      <c r="C2704"/>
      <c r="D2704"/>
      <c r="E2704"/>
      <c r="F2704"/>
      <c r="G2704"/>
      <c r="H2704"/>
      <c r="I2704"/>
      <c r="J2704"/>
      <c r="K2704"/>
      <c r="L2704"/>
      <c r="M2704"/>
      <c r="N2704"/>
      <c r="O2704"/>
      <c r="P2704"/>
    </row>
    <row r="2705" spans="2:16">
      <c r="B2705"/>
      <c r="C2705"/>
      <c r="D2705"/>
      <c r="E2705"/>
      <c r="F2705"/>
      <c r="G2705"/>
      <c r="H2705"/>
      <c r="I2705"/>
      <c r="J2705"/>
      <c r="K2705"/>
      <c r="L2705"/>
      <c r="M2705"/>
      <c r="N2705"/>
      <c r="O2705"/>
      <c r="P2705"/>
    </row>
    <row r="2706" spans="2:16">
      <c r="B2706"/>
      <c r="C2706"/>
      <c r="D2706"/>
      <c r="E2706"/>
      <c r="F2706"/>
      <c r="G2706"/>
      <c r="H2706"/>
      <c r="I2706"/>
      <c r="J2706"/>
      <c r="K2706"/>
      <c r="L2706"/>
      <c r="M2706"/>
      <c r="N2706"/>
      <c r="O2706"/>
      <c r="P2706"/>
    </row>
    <row r="2707" spans="2:16">
      <c r="B2707"/>
      <c r="C2707"/>
      <c r="D2707"/>
      <c r="E2707"/>
      <c r="F2707"/>
      <c r="G2707"/>
      <c r="H2707"/>
      <c r="I2707"/>
      <c r="J2707"/>
      <c r="K2707"/>
      <c r="L2707"/>
      <c r="M2707"/>
      <c r="N2707"/>
      <c r="O2707"/>
      <c r="P2707"/>
    </row>
    <row r="2708" spans="2:16">
      <c r="B2708"/>
      <c r="C2708"/>
      <c r="D2708"/>
      <c r="E2708"/>
      <c r="F2708"/>
      <c r="G2708"/>
      <c r="H2708"/>
      <c r="I2708"/>
      <c r="J2708"/>
      <c r="K2708"/>
      <c r="L2708"/>
      <c r="M2708"/>
      <c r="N2708"/>
      <c r="O2708"/>
      <c r="P2708"/>
    </row>
    <row r="2709" spans="2:16">
      <c r="B2709"/>
      <c r="C2709"/>
      <c r="D2709"/>
      <c r="E2709"/>
      <c r="F2709"/>
      <c r="G2709"/>
      <c r="H2709"/>
      <c r="I2709"/>
      <c r="J2709"/>
      <c r="K2709"/>
      <c r="L2709"/>
      <c r="M2709"/>
      <c r="N2709"/>
      <c r="O2709"/>
      <c r="P2709"/>
    </row>
    <row r="2710" spans="2:16">
      <c r="B2710"/>
      <c r="C2710"/>
      <c r="D2710"/>
      <c r="E2710"/>
      <c r="F2710"/>
      <c r="G2710"/>
      <c r="H2710"/>
      <c r="I2710"/>
      <c r="J2710"/>
      <c r="K2710"/>
      <c r="L2710"/>
      <c r="M2710"/>
      <c r="N2710"/>
      <c r="O2710"/>
      <c r="P2710"/>
    </row>
    <row r="2711" spans="2:16">
      <c r="B2711"/>
      <c r="C2711"/>
      <c r="D2711"/>
      <c r="E2711"/>
      <c r="F2711"/>
      <c r="G2711"/>
      <c r="H2711"/>
      <c r="I2711"/>
      <c r="J2711"/>
      <c r="K2711"/>
      <c r="L2711"/>
      <c r="M2711"/>
      <c r="N2711"/>
      <c r="O2711"/>
      <c r="P2711"/>
    </row>
    <row r="2712" spans="2:16">
      <c r="B2712"/>
      <c r="C2712"/>
      <c r="D2712"/>
      <c r="E2712"/>
      <c r="F2712"/>
      <c r="G2712"/>
      <c r="H2712"/>
      <c r="I2712"/>
      <c r="J2712"/>
      <c r="K2712"/>
      <c r="L2712"/>
      <c r="M2712"/>
      <c r="N2712"/>
      <c r="O2712"/>
      <c r="P2712"/>
    </row>
    <row r="2713" spans="2:16">
      <c r="B2713"/>
      <c r="C2713"/>
      <c r="D2713"/>
      <c r="E2713"/>
      <c r="F2713"/>
      <c r="G2713"/>
      <c r="H2713"/>
      <c r="I2713"/>
      <c r="J2713"/>
      <c r="K2713"/>
      <c r="L2713"/>
      <c r="M2713"/>
      <c r="N2713"/>
      <c r="O2713"/>
      <c r="P2713"/>
    </row>
    <row r="2714" spans="2:16">
      <c r="B2714"/>
      <c r="C2714"/>
      <c r="D2714"/>
      <c r="E2714"/>
      <c r="F2714"/>
      <c r="G2714"/>
      <c r="H2714"/>
      <c r="I2714"/>
      <c r="J2714"/>
      <c r="K2714"/>
      <c r="L2714"/>
      <c r="M2714"/>
      <c r="N2714"/>
      <c r="O2714"/>
      <c r="P2714"/>
    </row>
    <row r="2715" spans="2:16">
      <c r="B2715"/>
      <c r="C2715"/>
      <c r="D2715"/>
      <c r="E2715"/>
      <c r="F2715"/>
      <c r="G2715"/>
      <c r="H2715"/>
      <c r="I2715"/>
      <c r="J2715"/>
      <c r="K2715"/>
      <c r="L2715"/>
      <c r="M2715"/>
      <c r="N2715"/>
      <c r="O2715"/>
      <c r="P2715"/>
    </row>
    <row r="2716" spans="2:16">
      <c r="B2716"/>
      <c r="C2716"/>
      <c r="D2716"/>
      <c r="E2716"/>
      <c r="F2716"/>
      <c r="G2716"/>
      <c r="H2716"/>
      <c r="I2716"/>
      <c r="J2716"/>
      <c r="K2716"/>
      <c r="L2716"/>
      <c r="M2716"/>
      <c r="N2716"/>
      <c r="O2716"/>
      <c r="P2716"/>
    </row>
    <row r="2717" spans="2:16">
      <c r="B2717"/>
      <c r="C2717"/>
      <c r="D2717"/>
      <c r="E2717"/>
      <c r="F2717"/>
      <c r="G2717"/>
      <c r="H2717"/>
      <c r="I2717"/>
      <c r="J2717"/>
      <c r="K2717"/>
      <c r="L2717"/>
      <c r="M2717"/>
      <c r="N2717"/>
      <c r="O2717"/>
      <c r="P2717"/>
    </row>
    <row r="2718" spans="2:16">
      <c r="B2718"/>
      <c r="C2718"/>
      <c r="D2718"/>
      <c r="E2718"/>
      <c r="F2718"/>
      <c r="G2718"/>
      <c r="H2718"/>
      <c r="I2718"/>
      <c r="J2718"/>
      <c r="K2718"/>
      <c r="L2718"/>
      <c r="M2718"/>
      <c r="N2718"/>
      <c r="O2718"/>
      <c r="P2718"/>
    </row>
    <row r="2719" spans="2:16">
      <c r="B2719"/>
      <c r="C2719"/>
      <c r="D2719"/>
      <c r="E2719"/>
      <c r="F2719"/>
      <c r="G2719"/>
      <c r="H2719"/>
      <c r="I2719"/>
      <c r="J2719"/>
      <c r="K2719"/>
      <c r="L2719"/>
      <c r="M2719"/>
      <c r="N2719"/>
      <c r="O2719"/>
      <c r="P2719"/>
    </row>
    <row r="2720" spans="2:16">
      <c r="B2720"/>
      <c r="C2720"/>
      <c r="D2720"/>
      <c r="E2720"/>
      <c r="F2720"/>
      <c r="G2720"/>
      <c r="H2720"/>
      <c r="I2720"/>
      <c r="J2720"/>
      <c r="K2720"/>
      <c r="L2720"/>
      <c r="M2720"/>
      <c r="N2720"/>
      <c r="O2720"/>
      <c r="P2720"/>
    </row>
    <row r="2721" spans="2:16">
      <c r="B2721"/>
      <c r="C2721"/>
      <c r="D2721"/>
      <c r="E2721"/>
      <c r="F2721"/>
      <c r="G2721"/>
      <c r="H2721"/>
      <c r="I2721"/>
      <c r="J2721"/>
      <c r="K2721"/>
      <c r="L2721"/>
      <c r="M2721"/>
      <c r="N2721"/>
      <c r="O2721"/>
      <c r="P2721"/>
    </row>
    <row r="2722" spans="2:16">
      <c r="B2722"/>
      <c r="C2722"/>
      <c r="D2722"/>
      <c r="E2722"/>
      <c r="F2722"/>
      <c r="G2722"/>
      <c r="H2722"/>
      <c r="I2722"/>
      <c r="J2722"/>
      <c r="K2722"/>
      <c r="L2722"/>
      <c r="M2722"/>
      <c r="N2722"/>
      <c r="O2722"/>
      <c r="P2722"/>
    </row>
    <row r="2723" spans="2:16">
      <c r="B2723"/>
      <c r="C2723"/>
      <c r="D2723"/>
      <c r="E2723"/>
      <c r="F2723"/>
      <c r="G2723"/>
      <c r="H2723"/>
      <c r="I2723"/>
      <c r="J2723"/>
      <c r="K2723"/>
      <c r="L2723"/>
      <c r="M2723"/>
      <c r="N2723"/>
      <c r="O2723"/>
      <c r="P2723"/>
    </row>
    <row r="2724" spans="2:16">
      <c r="B2724"/>
      <c r="C2724"/>
      <c r="D2724"/>
      <c r="E2724"/>
      <c r="F2724"/>
      <c r="G2724"/>
      <c r="H2724"/>
      <c r="I2724"/>
      <c r="J2724"/>
      <c r="K2724"/>
      <c r="L2724"/>
      <c r="M2724"/>
      <c r="N2724"/>
      <c r="O2724"/>
      <c r="P2724"/>
    </row>
    <row r="2725" spans="2:16">
      <c r="B2725"/>
      <c r="C2725"/>
      <c r="D2725"/>
      <c r="E2725"/>
      <c r="F2725"/>
      <c r="G2725"/>
      <c r="H2725"/>
      <c r="I2725"/>
      <c r="J2725"/>
      <c r="K2725"/>
      <c r="L2725"/>
      <c r="M2725"/>
      <c r="N2725"/>
      <c r="O2725"/>
      <c r="P2725"/>
    </row>
    <row r="2726" spans="2:16">
      <c r="B2726"/>
      <c r="C2726"/>
      <c r="D2726"/>
      <c r="E2726"/>
      <c r="F2726"/>
      <c r="G2726"/>
      <c r="H2726"/>
      <c r="I2726"/>
      <c r="J2726"/>
      <c r="K2726"/>
      <c r="L2726"/>
      <c r="M2726"/>
      <c r="N2726"/>
      <c r="O2726"/>
      <c r="P2726"/>
    </row>
    <row r="2727" spans="2:16">
      <c r="B2727"/>
      <c r="C2727"/>
      <c r="D2727"/>
      <c r="E2727"/>
      <c r="F2727"/>
      <c r="G2727"/>
      <c r="H2727"/>
      <c r="I2727"/>
      <c r="J2727"/>
      <c r="K2727"/>
      <c r="L2727"/>
      <c r="M2727"/>
      <c r="N2727"/>
      <c r="O2727"/>
      <c r="P2727"/>
    </row>
    <row r="2728" spans="2:16">
      <c r="B2728"/>
      <c r="C2728"/>
      <c r="D2728"/>
      <c r="E2728"/>
      <c r="F2728"/>
      <c r="G2728"/>
      <c r="H2728"/>
      <c r="I2728"/>
      <c r="J2728"/>
      <c r="K2728"/>
      <c r="L2728"/>
      <c r="M2728"/>
      <c r="N2728"/>
      <c r="O2728"/>
      <c r="P2728"/>
    </row>
    <row r="2729" spans="2:16">
      <c r="B2729"/>
      <c r="C2729"/>
      <c r="D2729"/>
      <c r="E2729"/>
      <c r="F2729"/>
      <c r="G2729"/>
      <c r="H2729"/>
      <c r="I2729"/>
      <c r="J2729"/>
      <c r="K2729"/>
      <c r="L2729"/>
      <c r="M2729"/>
      <c r="N2729"/>
      <c r="O2729"/>
      <c r="P2729"/>
    </row>
    <row r="2730" spans="2:16">
      <c r="B2730"/>
      <c r="C2730"/>
      <c r="D2730"/>
      <c r="E2730"/>
      <c r="F2730"/>
      <c r="G2730"/>
      <c r="H2730"/>
      <c r="I2730"/>
      <c r="J2730"/>
      <c r="K2730"/>
      <c r="L2730"/>
      <c r="M2730"/>
      <c r="N2730"/>
      <c r="O2730"/>
      <c r="P2730"/>
    </row>
    <row r="2731" spans="2:16">
      <c r="B2731"/>
      <c r="C2731"/>
      <c r="D2731"/>
      <c r="E2731"/>
      <c r="F2731"/>
      <c r="G2731"/>
      <c r="H2731"/>
      <c r="I2731"/>
      <c r="J2731"/>
      <c r="K2731"/>
      <c r="L2731"/>
      <c r="M2731"/>
      <c r="N2731"/>
      <c r="O2731"/>
      <c r="P2731"/>
    </row>
    <row r="2732" spans="2:16">
      <c r="B2732"/>
      <c r="C2732"/>
      <c r="D2732"/>
      <c r="E2732"/>
      <c r="F2732"/>
      <c r="G2732"/>
      <c r="H2732"/>
      <c r="I2732"/>
      <c r="J2732"/>
      <c r="K2732"/>
      <c r="L2732"/>
      <c r="M2732"/>
      <c r="N2732"/>
      <c r="O2732"/>
      <c r="P2732"/>
    </row>
    <row r="2733" spans="2:16">
      <c r="B2733"/>
      <c r="C2733"/>
      <c r="D2733"/>
      <c r="E2733"/>
      <c r="F2733"/>
      <c r="G2733"/>
      <c r="H2733"/>
      <c r="I2733"/>
      <c r="J2733"/>
      <c r="K2733"/>
      <c r="L2733"/>
      <c r="M2733"/>
      <c r="N2733"/>
      <c r="O2733"/>
      <c r="P2733"/>
    </row>
    <row r="2734" spans="2:16">
      <c r="B2734"/>
      <c r="C2734"/>
      <c r="D2734"/>
      <c r="E2734"/>
      <c r="F2734"/>
      <c r="G2734"/>
      <c r="H2734"/>
      <c r="I2734"/>
      <c r="J2734"/>
      <c r="K2734"/>
      <c r="L2734"/>
      <c r="M2734"/>
      <c r="N2734"/>
      <c r="O2734"/>
      <c r="P2734"/>
    </row>
    <row r="2735" spans="2:16">
      <c r="B2735"/>
      <c r="C2735"/>
      <c r="D2735"/>
      <c r="E2735"/>
      <c r="F2735"/>
      <c r="G2735"/>
      <c r="H2735"/>
      <c r="I2735"/>
      <c r="J2735"/>
      <c r="K2735"/>
      <c r="L2735"/>
      <c r="M2735"/>
      <c r="N2735"/>
      <c r="O2735"/>
      <c r="P2735"/>
    </row>
    <row r="2736" spans="2:16">
      <c r="B2736"/>
      <c r="C2736"/>
      <c r="D2736"/>
      <c r="E2736"/>
      <c r="F2736"/>
      <c r="G2736"/>
      <c r="H2736"/>
      <c r="I2736"/>
      <c r="J2736"/>
      <c r="K2736"/>
      <c r="L2736"/>
      <c r="M2736"/>
      <c r="N2736"/>
      <c r="O2736"/>
      <c r="P2736"/>
    </row>
    <row r="2737" spans="2:16">
      <c r="B2737"/>
      <c r="C2737"/>
      <c r="D2737"/>
      <c r="E2737"/>
      <c r="F2737"/>
      <c r="G2737"/>
      <c r="H2737"/>
      <c r="I2737"/>
      <c r="J2737"/>
      <c r="K2737"/>
      <c r="L2737"/>
      <c r="M2737"/>
      <c r="N2737"/>
      <c r="O2737"/>
      <c r="P2737"/>
    </row>
    <row r="2738" spans="2:16">
      <c r="B2738"/>
      <c r="C2738"/>
      <c r="D2738"/>
      <c r="E2738"/>
      <c r="F2738"/>
      <c r="G2738"/>
      <c r="H2738"/>
      <c r="I2738"/>
      <c r="J2738"/>
      <c r="K2738"/>
      <c r="L2738"/>
      <c r="M2738"/>
      <c r="N2738"/>
      <c r="O2738"/>
      <c r="P2738"/>
    </row>
    <row r="2739" spans="2:16">
      <c r="B2739"/>
      <c r="C2739"/>
      <c r="D2739"/>
      <c r="E2739"/>
      <c r="F2739"/>
      <c r="G2739"/>
      <c r="H2739"/>
      <c r="I2739"/>
      <c r="J2739"/>
      <c r="K2739"/>
      <c r="L2739"/>
      <c r="M2739"/>
      <c r="N2739"/>
      <c r="O2739"/>
      <c r="P2739"/>
    </row>
    <row r="2740" spans="2:16">
      <c r="B2740"/>
      <c r="C2740"/>
      <c r="D2740"/>
      <c r="E2740"/>
      <c r="F2740"/>
      <c r="G2740"/>
      <c r="H2740"/>
      <c r="I2740"/>
      <c r="J2740"/>
      <c r="K2740"/>
      <c r="L2740"/>
      <c r="M2740"/>
      <c r="N2740"/>
      <c r="O2740"/>
      <c r="P2740"/>
    </row>
    <row r="2741" spans="2:16">
      <c r="B2741"/>
      <c r="C2741"/>
      <c r="D2741"/>
      <c r="E2741"/>
      <c r="F2741"/>
      <c r="G2741"/>
      <c r="H2741"/>
      <c r="I2741"/>
      <c r="J2741"/>
      <c r="K2741"/>
      <c r="L2741"/>
      <c r="M2741"/>
      <c r="N2741"/>
      <c r="O2741"/>
      <c r="P2741"/>
    </row>
    <row r="2742" spans="2:16">
      <c r="B2742"/>
      <c r="C2742"/>
      <c r="D2742"/>
      <c r="E2742"/>
      <c r="F2742"/>
      <c r="G2742"/>
      <c r="H2742"/>
      <c r="I2742"/>
      <c r="J2742"/>
      <c r="K2742"/>
      <c r="L2742"/>
      <c r="M2742"/>
      <c r="N2742"/>
      <c r="O2742"/>
      <c r="P2742"/>
    </row>
    <row r="2743" spans="2:16">
      <c r="B2743"/>
      <c r="C2743"/>
      <c r="D2743"/>
      <c r="E2743"/>
      <c r="F2743"/>
      <c r="G2743"/>
      <c r="H2743"/>
      <c r="I2743"/>
      <c r="J2743"/>
      <c r="K2743"/>
      <c r="L2743"/>
      <c r="M2743"/>
      <c r="N2743"/>
      <c r="O2743"/>
      <c r="P2743"/>
    </row>
    <row r="2744" spans="2:16">
      <c r="B2744"/>
      <c r="C2744"/>
      <c r="D2744"/>
      <c r="E2744"/>
      <c r="F2744"/>
      <c r="G2744"/>
      <c r="H2744"/>
      <c r="I2744"/>
      <c r="J2744"/>
      <c r="K2744"/>
      <c r="L2744"/>
      <c r="M2744"/>
      <c r="N2744"/>
      <c r="O2744"/>
      <c r="P2744"/>
    </row>
    <row r="2745" spans="2:16">
      <c r="B2745"/>
      <c r="C2745"/>
      <c r="D2745"/>
      <c r="E2745"/>
      <c r="F2745"/>
      <c r="G2745"/>
      <c r="H2745"/>
      <c r="I2745"/>
      <c r="J2745"/>
      <c r="K2745"/>
      <c r="L2745"/>
      <c r="M2745"/>
      <c r="N2745"/>
      <c r="O2745"/>
      <c r="P2745"/>
    </row>
    <row r="2746" spans="2:16">
      <c r="B2746"/>
      <c r="C2746"/>
      <c r="D2746"/>
      <c r="E2746"/>
      <c r="F2746"/>
      <c r="G2746"/>
      <c r="H2746"/>
      <c r="I2746"/>
      <c r="J2746"/>
      <c r="K2746"/>
      <c r="L2746"/>
      <c r="M2746"/>
      <c r="N2746"/>
      <c r="O2746"/>
      <c r="P2746"/>
    </row>
    <row r="2747" spans="2:16">
      <c r="B2747"/>
      <c r="C2747"/>
      <c r="D2747"/>
      <c r="E2747"/>
      <c r="F2747"/>
      <c r="G2747"/>
      <c r="H2747"/>
      <c r="I2747"/>
      <c r="J2747"/>
      <c r="K2747"/>
      <c r="L2747"/>
      <c r="M2747"/>
      <c r="N2747"/>
      <c r="O2747"/>
      <c r="P2747"/>
    </row>
    <row r="2748" spans="2:16">
      <c r="B2748"/>
      <c r="C2748"/>
      <c r="D2748"/>
      <c r="E2748"/>
      <c r="F2748"/>
      <c r="G2748"/>
      <c r="H2748"/>
      <c r="I2748"/>
      <c r="J2748"/>
      <c r="K2748"/>
      <c r="L2748"/>
      <c r="M2748"/>
      <c r="N2748"/>
      <c r="O2748"/>
      <c r="P2748"/>
    </row>
    <row r="2749" spans="2:16">
      <c r="B2749"/>
      <c r="C2749"/>
      <c r="D2749"/>
      <c r="E2749"/>
      <c r="F2749"/>
      <c r="G2749"/>
      <c r="H2749"/>
      <c r="I2749"/>
      <c r="J2749"/>
      <c r="K2749"/>
      <c r="L2749"/>
      <c r="M2749"/>
      <c r="N2749"/>
      <c r="O2749"/>
      <c r="P2749"/>
    </row>
    <row r="2750" spans="2:16">
      <c r="B2750"/>
      <c r="C2750"/>
      <c r="D2750"/>
      <c r="E2750"/>
      <c r="F2750"/>
      <c r="G2750"/>
      <c r="H2750"/>
      <c r="I2750"/>
      <c r="J2750"/>
      <c r="K2750"/>
      <c r="L2750"/>
      <c r="M2750"/>
      <c r="N2750"/>
      <c r="O2750"/>
      <c r="P2750"/>
    </row>
    <row r="2751" spans="2:16">
      <c r="B2751"/>
      <c r="C2751"/>
      <c r="D2751"/>
      <c r="E2751"/>
      <c r="F2751"/>
      <c r="G2751"/>
      <c r="H2751"/>
      <c r="I2751"/>
      <c r="J2751"/>
      <c r="K2751"/>
      <c r="L2751"/>
      <c r="M2751"/>
      <c r="N2751"/>
      <c r="O2751"/>
      <c r="P2751"/>
    </row>
    <row r="2752" spans="2:16">
      <c r="B2752"/>
      <c r="C2752"/>
      <c r="D2752"/>
      <c r="E2752"/>
      <c r="F2752"/>
      <c r="G2752"/>
      <c r="H2752"/>
      <c r="I2752"/>
      <c r="J2752"/>
      <c r="K2752"/>
      <c r="L2752"/>
      <c r="M2752"/>
      <c r="N2752"/>
      <c r="O2752"/>
      <c r="P2752"/>
    </row>
    <row r="2753" spans="2:16">
      <c r="B2753"/>
      <c r="C2753"/>
      <c r="D2753"/>
      <c r="E2753"/>
      <c r="F2753"/>
      <c r="G2753"/>
      <c r="H2753"/>
      <c r="I2753"/>
      <c r="J2753"/>
      <c r="K2753"/>
      <c r="L2753"/>
      <c r="M2753"/>
      <c r="N2753"/>
      <c r="O2753"/>
      <c r="P2753"/>
    </row>
    <row r="2754" spans="2:16">
      <c r="B2754"/>
      <c r="C2754"/>
      <c r="D2754"/>
      <c r="E2754"/>
      <c r="F2754"/>
      <c r="G2754"/>
      <c r="H2754"/>
      <c r="I2754"/>
      <c r="J2754"/>
      <c r="K2754"/>
      <c r="L2754"/>
      <c r="M2754"/>
      <c r="N2754"/>
      <c r="O2754"/>
      <c r="P2754"/>
    </row>
    <row r="2755" spans="2:16">
      <c r="B2755"/>
      <c r="C2755"/>
      <c r="D2755"/>
      <c r="E2755"/>
      <c r="F2755"/>
      <c r="G2755"/>
      <c r="H2755"/>
      <c r="I2755"/>
      <c r="J2755"/>
      <c r="K2755"/>
      <c r="L2755"/>
      <c r="M2755"/>
      <c r="N2755"/>
      <c r="O2755"/>
      <c r="P2755"/>
    </row>
    <row r="2756" spans="2:16">
      <c r="B2756"/>
      <c r="C2756"/>
      <c r="D2756"/>
      <c r="E2756"/>
      <c r="F2756"/>
      <c r="G2756"/>
      <c r="H2756"/>
      <c r="I2756"/>
      <c r="J2756"/>
      <c r="K2756"/>
      <c r="L2756"/>
      <c r="M2756"/>
      <c r="N2756"/>
      <c r="O2756"/>
      <c r="P2756"/>
    </row>
    <row r="2757" spans="2:16">
      <c r="B2757"/>
      <c r="C2757"/>
      <c r="D2757"/>
      <c r="E2757"/>
      <c r="F2757"/>
      <c r="G2757"/>
      <c r="H2757"/>
      <c r="I2757"/>
      <c r="J2757"/>
      <c r="K2757"/>
      <c r="L2757"/>
      <c r="M2757"/>
      <c r="N2757"/>
      <c r="O2757"/>
      <c r="P2757"/>
    </row>
    <row r="2758" spans="2:16">
      <c r="B2758"/>
      <c r="C2758"/>
      <c r="D2758"/>
      <c r="E2758"/>
      <c r="F2758"/>
      <c r="G2758"/>
      <c r="H2758"/>
      <c r="I2758"/>
      <c r="J2758"/>
      <c r="K2758"/>
      <c r="L2758"/>
      <c r="M2758"/>
      <c r="N2758"/>
      <c r="O2758"/>
      <c r="P2758"/>
    </row>
    <row r="2759" spans="2:16">
      <c r="B2759"/>
      <c r="C2759"/>
      <c r="D2759"/>
      <c r="E2759"/>
      <c r="F2759"/>
      <c r="G2759"/>
      <c r="H2759"/>
      <c r="I2759"/>
      <c r="J2759"/>
      <c r="K2759"/>
      <c r="L2759"/>
      <c r="M2759"/>
      <c r="N2759"/>
      <c r="O2759"/>
      <c r="P2759"/>
    </row>
    <row r="2760" spans="2:16">
      <c r="B2760"/>
      <c r="C2760"/>
      <c r="D2760"/>
      <c r="E2760"/>
      <c r="F2760"/>
      <c r="G2760"/>
      <c r="H2760"/>
      <c r="I2760"/>
      <c r="J2760"/>
      <c r="K2760"/>
      <c r="L2760"/>
      <c r="M2760"/>
      <c r="N2760"/>
      <c r="O2760"/>
      <c r="P2760"/>
    </row>
    <row r="2761" spans="2:16">
      <c r="B2761"/>
      <c r="C2761"/>
      <c r="D2761"/>
      <c r="E2761"/>
      <c r="F2761"/>
      <c r="G2761"/>
      <c r="H2761"/>
      <c r="I2761"/>
      <c r="J2761"/>
      <c r="K2761"/>
      <c r="L2761"/>
      <c r="M2761"/>
      <c r="N2761"/>
      <c r="O2761"/>
      <c r="P2761"/>
    </row>
    <row r="2762" spans="2:16">
      <c r="B2762"/>
      <c r="C2762"/>
      <c r="D2762"/>
      <c r="E2762"/>
      <c r="F2762"/>
      <c r="G2762"/>
      <c r="H2762"/>
      <c r="I2762"/>
      <c r="J2762"/>
      <c r="K2762"/>
      <c r="L2762"/>
      <c r="M2762"/>
      <c r="N2762"/>
      <c r="O2762"/>
      <c r="P2762"/>
    </row>
    <row r="2763" spans="2:16">
      <c r="B2763"/>
      <c r="C2763"/>
      <c r="D2763"/>
      <c r="E2763"/>
      <c r="F2763"/>
      <c r="G2763"/>
      <c r="H2763"/>
      <c r="I2763"/>
      <c r="J2763"/>
      <c r="K2763"/>
      <c r="L2763"/>
      <c r="M2763"/>
      <c r="N2763"/>
      <c r="O2763"/>
      <c r="P2763"/>
    </row>
    <row r="2764" spans="2:16">
      <c r="B2764"/>
      <c r="C2764"/>
      <c r="D2764"/>
      <c r="E2764"/>
      <c r="F2764"/>
      <c r="G2764"/>
      <c r="H2764"/>
      <c r="I2764"/>
      <c r="J2764"/>
      <c r="K2764"/>
      <c r="L2764"/>
      <c r="M2764"/>
      <c r="N2764"/>
      <c r="O2764"/>
      <c r="P2764"/>
    </row>
    <row r="2765" spans="2:16">
      <c r="B2765"/>
      <c r="C2765"/>
      <c r="D2765"/>
      <c r="E2765"/>
      <c r="F2765"/>
      <c r="G2765"/>
      <c r="H2765"/>
      <c r="I2765"/>
      <c r="J2765"/>
      <c r="K2765"/>
      <c r="L2765"/>
      <c r="M2765"/>
      <c r="N2765"/>
      <c r="O2765"/>
      <c r="P2765"/>
    </row>
    <row r="2766" spans="2:16">
      <c r="B2766"/>
      <c r="C2766"/>
      <c r="D2766"/>
      <c r="E2766"/>
      <c r="F2766"/>
      <c r="G2766"/>
      <c r="H2766"/>
      <c r="I2766"/>
      <c r="J2766"/>
      <c r="K2766"/>
      <c r="L2766"/>
      <c r="M2766"/>
      <c r="N2766"/>
      <c r="O2766"/>
      <c r="P2766"/>
    </row>
    <row r="2767" spans="2:16">
      <c r="B2767"/>
      <c r="C2767"/>
      <c r="D2767"/>
      <c r="E2767"/>
      <c r="F2767"/>
      <c r="G2767"/>
      <c r="H2767"/>
      <c r="I2767"/>
      <c r="J2767"/>
      <c r="K2767"/>
      <c r="L2767"/>
      <c r="M2767"/>
      <c r="N2767"/>
      <c r="O2767"/>
      <c r="P2767"/>
    </row>
    <row r="2768" spans="2:16">
      <c r="B2768"/>
      <c r="C2768"/>
      <c r="D2768"/>
      <c r="E2768"/>
      <c r="F2768"/>
      <c r="G2768"/>
      <c r="H2768"/>
      <c r="I2768"/>
      <c r="J2768"/>
      <c r="K2768"/>
      <c r="L2768"/>
      <c r="M2768"/>
      <c r="N2768"/>
      <c r="O2768"/>
      <c r="P2768"/>
    </row>
    <row r="2769" spans="2:16">
      <c r="B2769"/>
      <c r="C2769"/>
      <c r="D2769"/>
      <c r="E2769"/>
      <c r="F2769"/>
      <c r="G2769"/>
      <c r="H2769"/>
      <c r="I2769"/>
      <c r="J2769"/>
      <c r="K2769"/>
      <c r="L2769"/>
      <c r="M2769"/>
      <c r="N2769"/>
      <c r="O2769"/>
      <c r="P2769"/>
    </row>
    <row r="2770" spans="2:16">
      <c r="B2770"/>
      <c r="C2770"/>
      <c r="D2770"/>
      <c r="E2770"/>
      <c r="F2770"/>
      <c r="G2770"/>
      <c r="H2770"/>
      <c r="I2770"/>
      <c r="J2770"/>
      <c r="K2770"/>
      <c r="L2770"/>
      <c r="M2770"/>
      <c r="N2770"/>
      <c r="O2770"/>
      <c r="P2770"/>
    </row>
    <row r="2771" spans="2:16">
      <c r="B2771"/>
      <c r="C2771"/>
      <c r="D2771"/>
      <c r="E2771"/>
      <c r="F2771"/>
      <c r="G2771"/>
      <c r="H2771"/>
      <c r="I2771"/>
      <c r="J2771"/>
      <c r="K2771"/>
      <c r="L2771"/>
      <c r="M2771"/>
      <c r="N2771"/>
      <c r="O2771"/>
      <c r="P2771"/>
    </row>
    <row r="2772" spans="2:16">
      <c r="B2772"/>
      <c r="C2772"/>
      <c r="D2772"/>
      <c r="E2772"/>
      <c r="F2772"/>
      <c r="G2772"/>
      <c r="H2772"/>
      <c r="I2772"/>
      <c r="J2772"/>
      <c r="K2772"/>
      <c r="L2772"/>
      <c r="M2772"/>
      <c r="N2772"/>
      <c r="O2772"/>
      <c r="P2772"/>
    </row>
    <row r="2773" spans="2:16">
      <c r="B2773"/>
      <c r="C2773"/>
      <c r="D2773"/>
      <c r="E2773"/>
      <c r="F2773"/>
      <c r="G2773"/>
      <c r="H2773"/>
      <c r="I2773"/>
      <c r="J2773"/>
      <c r="K2773"/>
      <c r="L2773"/>
      <c r="M2773"/>
      <c r="N2773"/>
      <c r="O2773"/>
      <c r="P2773"/>
    </row>
    <row r="2774" spans="2:16">
      <c r="B2774"/>
      <c r="C2774"/>
      <c r="D2774"/>
      <c r="E2774"/>
      <c r="F2774"/>
      <c r="G2774"/>
      <c r="H2774"/>
      <c r="I2774"/>
      <c r="J2774"/>
      <c r="K2774"/>
      <c r="L2774"/>
      <c r="M2774"/>
      <c r="N2774"/>
      <c r="O2774"/>
      <c r="P2774"/>
    </row>
    <row r="2775" spans="2:16">
      <c r="B2775"/>
      <c r="C2775"/>
      <c r="D2775"/>
      <c r="E2775"/>
      <c r="F2775"/>
      <c r="G2775"/>
      <c r="H2775"/>
      <c r="I2775"/>
      <c r="J2775"/>
      <c r="K2775"/>
      <c r="L2775"/>
      <c r="M2775"/>
      <c r="N2775"/>
      <c r="O2775"/>
      <c r="P2775"/>
    </row>
    <row r="2776" spans="2:16">
      <c r="B2776"/>
      <c r="C2776"/>
      <c r="D2776"/>
      <c r="E2776"/>
      <c r="F2776"/>
      <c r="G2776"/>
      <c r="H2776"/>
      <c r="I2776"/>
      <c r="J2776"/>
      <c r="K2776"/>
      <c r="L2776"/>
      <c r="M2776"/>
      <c r="N2776"/>
      <c r="O2776"/>
      <c r="P2776"/>
    </row>
    <row r="2777" spans="2:16">
      <c r="B2777"/>
      <c r="C2777"/>
      <c r="D2777"/>
      <c r="E2777"/>
      <c r="F2777"/>
      <c r="G2777"/>
      <c r="H2777"/>
      <c r="I2777"/>
      <c r="J2777"/>
      <c r="K2777"/>
      <c r="L2777"/>
      <c r="M2777"/>
      <c r="N2777"/>
      <c r="O2777"/>
      <c r="P2777"/>
    </row>
    <row r="2778" spans="2:16">
      <c r="B2778"/>
      <c r="C2778"/>
      <c r="D2778"/>
      <c r="E2778"/>
      <c r="F2778"/>
      <c r="G2778"/>
      <c r="H2778"/>
      <c r="I2778"/>
      <c r="J2778"/>
      <c r="K2778"/>
      <c r="L2778"/>
      <c r="M2778"/>
      <c r="N2778"/>
      <c r="O2778"/>
      <c r="P2778"/>
    </row>
    <row r="2779" spans="2:16">
      <c r="B2779"/>
      <c r="C2779"/>
      <c r="D2779"/>
      <c r="E2779"/>
      <c r="F2779"/>
      <c r="G2779"/>
      <c r="H2779"/>
      <c r="I2779"/>
      <c r="J2779"/>
      <c r="K2779"/>
      <c r="L2779"/>
      <c r="M2779"/>
      <c r="N2779"/>
      <c r="O2779"/>
      <c r="P2779"/>
    </row>
    <row r="2780" spans="2:16">
      <c r="B2780"/>
      <c r="C2780"/>
      <c r="D2780"/>
      <c r="E2780"/>
      <c r="F2780"/>
      <c r="G2780"/>
      <c r="H2780"/>
      <c r="I2780"/>
      <c r="J2780"/>
      <c r="K2780"/>
      <c r="L2780"/>
      <c r="M2780"/>
      <c r="N2780"/>
      <c r="O2780"/>
      <c r="P2780"/>
    </row>
    <row r="2781" spans="2:16">
      <c r="B2781"/>
      <c r="C2781"/>
      <c r="D2781"/>
      <c r="E2781"/>
      <c r="F2781"/>
      <c r="G2781"/>
      <c r="H2781"/>
      <c r="I2781"/>
      <c r="J2781"/>
      <c r="K2781"/>
      <c r="L2781"/>
      <c r="M2781"/>
      <c r="N2781"/>
      <c r="O2781"/>
      <c r="P2781"/>
    </row>
    <row r="2782" spans="2:16">
      <c r="B2782"/>
      <c r="C2782"/>
      <c r="D2782"/>
      <c r="E2782"/>
      <c r="F2782"/>
      <c r="G2782"/>
      <c r="H2782"/>
      <c r="I2782"/>
      <c r="J2782"/>
      <c r="K2782"/>
      <c r="L2782"/>
      <c r="M2782"/>
      <c r="N2782"/>
      <c r="O2782"/>
      <c r="P2782"/>
    </row>
    <row r="2783" spans="2:16">
      <c r="B2783"/>
      <c r="C2783"/>
      <c r="D2783"/>
      <c r="E2783"/>
      <c r="F2783"/>
      <c r="G2783"/>
      <c r="H2783"/>
      <c r="I2783"/>
      <c r="J2783"/>
      <c r="K2783"/>
      <c r="L2783"/>
      <c r="M2783"/>
      <c r="N2783"/>
      <c r="O2783"/>
      <c r="P2783"/>
    </row>
    <row r="2784" spans="2:16">
      <c r="B2784"/>
      <c r="C2784"/>
      <c r="D2784"/>
      <c r="E2784"/>
      <c r="F2784"/>
      <c r="G2784"/>
      <c r="H2784"/>
      <c r="I2784"/>
      <c r="J2784"/>
      <c r="K2784"/>
      <c r="L2784"/>
      <c r="M2784"/>
      <c r="N2784"/>
      <c r="O2784"/>
      <c r="P2784"/>
    </row>
    <row r="2785" spans="2:16">
      <c r="B2785"/>
      <c r="C2785"/>
      <c r="D2785"/>
      <c r="E2785"/>
      <c r="F2785"/>
      <c r="G2785"/>
      <c r="H2785"/>
      <c r="I2785"/>
      <c r="J2785"/>
      <c r="K2785"/>
      <c r="L2785"/>
      <c r="M2785"/>
      <c r="N2785"/>
      <c r="O2785"/>
      <c r="P2785"/>
    </row>
    <row r="2786" spans="2:16">
      <c r="B2786"/>
      <c r="C2786"/>
      <c r="D2786"/>
      <c r="E2786"/>
      <c r="F2786"/>
      <c r="G2786"/>
      <c r="H2786"/>
      <c r="I2786"/>
      <c r="J2786"/>
      <c r="K2786"/>
      <c r="L2786"/>
      <c r="M2786"/>
      <c r="N2786"/>
      <c r="O2786"/>
      <c r="P2786"/>
    </row>
    <row r="2787" spans="2:16">
      <c r="B2787"/>
      <c r="C2787"/>
      <c r="D2787"/>
      <c r="E2787"/>
      <c r="F2787"/>
      <c r="G2787"/>
      <c r="H2787"/>
      <c r="I2787"/>
      <c r="J2787"/>
      <c r="K2787"/>
      <c r="L2787"/>
      <c r="M2787"/>
      <c r="N2787"/>
      <c r="O2787"/>
      <c r="P2787"/>
    </row>
    <row r="2788" spans="2:16">
      <c r="B2788"/>
      <c r="C2788"/>
      <c r="D2788"/>
      <c r="E2788"/>
      <c r="F2788"/>
      <c r="G2788"/>
      <c r="H2788"/>
      <c r="I2788"/>
      <c r="J2788"/>
      <c r="K2788"/>
      <c r="L2788"/>
      <c r="M2788"/>
      <c r="N2788"/>
      <c r="O2788"/>
      <c r="P2788"/>
    </row>
    <row r="2789" spans="2:16">
      <c r="B2789"/>
      <c r="C2789"/>
      <c r="D2789"/>
      <c r="E2789"/>
      <c r="F2789"/>
      <c r="G2789"/>
      <c r="H2789"/>
      <c r="I2789"/>
      <c r="J2789"/>
      <c r="K2789"/>
      <c r="L2789"/>
      <c r="M2789"/>
      <c r="N2789"/>
      <c r="O2789"/>
      <c r="P2789"/>
    </row>
    <row r="2790" spans="2:16">
      <c r="B2790"/>
      <c r="C2790"/>
      <c r="D2790"/>
      <c r="E2790"/>
      <c r="F2790"/>
      <c r="G2790"/>
      <c r="H2790"/>
      <c r="I2790"/>
      <c r="J2790"/>
      <c r="K2790"/>
      <c r="L2790"/>
      <c r="M2790"/>
      <c r="N2790"/>
      <c r="O2790"/>
      <c r="P2790"/>
    </row>
    <row r="2791" spans="2:16">
      <c r="B2791"/>
      <c r="C2791"/>
      <c r="D2791"/>
      <c r="E2791"/>
      <c r="F2791"/>
      <c r="G2791"/>
      <c r="H2791"/>
      <c r="I2791"/>
      <c r="J2791"/>
      <c r="K2791"/>
      <c r="L2791"/>
      <c r="M2791"/>
      <c r="N2791"/>
      <c r="O2791"/>
      <c r="P2791"/>
    </row>
    <row r="2792" spans="2:16">
      <c r="B2792"/>
      <c r="C2792"/>
      <c r="D2792"/>
      <c r="E2792"/>
      <c r="F2792"/>
      <c r="G2792"/>
      <c r="H2792"/>
      <c r="I2792"/>
      <c r="J2792"/>
      <c r="K2792"/>
      <c r="L2792"/>
      <c r="M2792"/>
      <c r="N2792"/>
      <c r="O2792"/>
      <c r="P2792"/>
    </row>
    <row r="2793" spans="2:16">
      <c r="B2793"/>
      <c r="C2793"/>
      <c r="D2793"/>
      <c r="E2793"/>
      <c r="F2793"/>
      <c r="G2793"/>
      <c r="H2793"/>
      <c r="I2793"/>
      <c r="J2793"/>
      <c r="K2793"/>
      <c r="L2793"/>
      <c r="M2793"/>
      <c r="N2793"/>
      <c r="O2793"/>
      <c r="P2793"/>
    </row>
    <row r="2794" spans="2:16">
      <c r="B2794"/>
      <c r="C2794"/>
      <c r="D2794"/>
      <c r="E2794"/>
      <c r="F2794"/>
      <c r="G2794"/>
      <c r="H2794"/>
      <c r="I2794"/>
      <c r="J2794"/>
      <c r="K2794"/>
      <c r="L2794"/>
      <c r="M2794"/>
      <c r="N2794"/>
      <c r="O2794"/>
      <c r="P2794"/>
    </row>
    <row r="2795" spans="2:16">
      <c r="B2795"/>
      <c r="C2795"/>
      <c r="D2795"/>
      <c r="E2795"/>
      <c r="F2795"/>
      <c r="G2795"/>
      <c r="H2795"/>
      <c r="I2795"/>
      <c r="J2795"/>
      <c r="K2795"/>
      <c r="L2795"/>
      <c r="M2795"/>
      <c r="N2795"/>
      <c r="O2795"/>
      <c r="P2795"/>
    </row>
    <row r="2796" spans="2:16">
      <c r="B2796"/>
      <c r="C2796"/>
      <c r="D2796"/>
      <c r="E2796"/>
      <c r="F2796"/>
      <c r="G2796"/>
      <c r="H2796"/>
      <c r="I2796"/>
      <c r="J2796"/>
      <c r="K2796"/>
      <c r="L2796"/>
      <c r="M2796"/>
      <c r="N2796"/>
      <c r="O2796"/>
      <c r="P2796"/>
    </row>
    <row r="2797" spans="2:16">
      <c r="B2797"/>
      <c r="C2797"/>
      <c r="D2797"/>
      <c r="E2797"/>
      <c r="F2797"/>
      <c r="G2797"/>
      <c r="H2797"/>
      <c r="I2797"/>
      <c r="J2797"/>
      <c r="K2797"/>
      <c r="L2797"/>
      <c r="M2797"/>
      <c r="N2797"/>
      <c r="O2797"/>
      <c r="P2797"/>
    </row>
    <row r="2798" spans="2:16">
      <c r="B2798"/>
      <c r="C2798"/>
      <c r="D2798"/>
      <c r="E2798"/>
      <c r="F2798"/>
      <c r="G2798"/>
      <c r="H2798"/>
      <c r="I2798"/>
      <c r="J2798"/>
      <c r="K2798"/>
      <c r="L2798"/>
      <c r="M2798"/>
      <c r="N2798"/>
      <c r="O2798"/>
      <c r="P2798"/>
    </row>
    <row r="2799" spans="2:16">
      <c r="B2799"/>
      <c r="C2799"/>
      <c r="D2799"/>
      <c r="E2799"/>
      <c r="F2799"/>
      <c r="G2799"/>
      <c r="H2799"/>
      <c r="I2799"/>
      <c r="J2799"/>
      <c r="K2799"/>
      <c r="L2799"/>
      <c r="M2799"/>
      <c r="N2799"/>
      <c r="O2799"/>
      <c r="P2799"/>
    </row>
    <row r="2800" spans="2:16">
      <c r="B2800"/>
      <c r="C2800"/>
      <c r="D2800"/>
      <c r="E2800"/>
      <c r="F2800"/>
      <c r="G2800"/>
      <c r="H2800"/>
      <c r="I2800"/>
      <c r="J2800"/>
      <c r="K2800"/>
      <c r="L2800"/>
      <c r="M2800"/>
      <c r="N2800"/>
      <c r="O2800"/>
      <c r="P2800"/>
    </row>
    <row r="2801" spans="2:16">
      <c r="B2801"/>
      <c r="C2801"/>
      <c r="D2801"/>
      <c r="E2801"/>
      <c r="F2801"/>
      <c r="G2801"/>
      <c r="H2801"/>
      <c r="I2801"/>
      <c r="J2801"/>
      <c r="K2801"/>
      <c r="L2801"/>
      <c r="M2801"/>
      <c r="N2801"/>
      <c r="O2801"/>
      <c r="P2801"/>
    </row>
    <row r="2802" spans="2:16">
      <c r="B2802"/>
      <c r="C2802"/>
      <c r="D2802"/>
      <c r="E2802"/>
      <c r="F2802"/>
      <c r="G2802"/>
      <c r="H2802"/>
      <c r="I2802"/>
      <c r="J2802"/>
      <c r="K2802"/>
      <c r="L2802"/>
      <c r="M2802"/>
      <c r="N2802"/>
      <c r="O2802"/>
      <c r="P2802"/>
    </row>
    <row r="2803" spans="2:16">
      <c r="B2803"/>
      <c r="C2803"/>
      <c r="D2803"/>
      <c r="E2803"/>
      <c r="F2803"/>
      <c r="G2803"/>
      <c r="H2803"/>
      <c r="I2803"/>
      <c r="J2803"/>
      <c r="K2803"/>
      <c r="L2803"/>
      <c r="M2803"/>
      <c r="N2803"/>
      <c r="O2803"/>
      <c r="P2803"/>
    </row>
    <row r="2804" spans="2:16">
      <c r="B2804"/>
      <c r="C2804"/>
      <c r="D2804"/>
      <c r="E2804"/>
      <c r="F2804"/>
      <c r="G2804"/>
      <c r="H2804"/>
      <c r="I2804"/>
      <c r="J2804"/>
      <c r="K2804"/>
      <c r="L2804"/>
      <c r="M2804"/>
      <c r="N2804"/>
      <c r="O2804"/>
      <c r="P2804"/>
    </row>
    <row r="2805" spans="2:16">
      <c r="B2805"/>
      <c r="C2805"/>
      <c r="D2805"/>
      <c r="E2805"/>
      <c r="F2805"/>
      <c r="G2805"/>
      <c r="H2805"/>
      <c r="I2805"/>
      <c r="J2805"/>
      <c r="K2805"/>
      <c r="L2805"/>
      <c r="M2805"/>
      <c r="N2805"/>
      <c r="O2805"/>
      <c r="P2805"/>
    </row>
    <row r="2806" spans="2:16">
      <c r="B2806"/>
      <c r="C2806"/>
      <c r="D2806"/>
      <c r="E2806"/>
      <c r="F2806"/>
      <c r="G2806"/>
      <c r="H2806"/>
      <c r="I2806"/>
      <c r="J2806"/>
      <c r="K2806"/>
      <c r="L2806"/>
      <c r="M2806"/>
      <c r="N2806"/>
      <c r="O2806"/>
      <c r="P2806"/>
    </row>
    <row r="2807" spans="2:16">
      <c r="B2807"/>
      <c r="C2807"/>
      <c r="D2807"/>
      <c r="E2807"/>
      <c r="F2807"/>
      <c r="G2807"/>
      <c r="H2807"/>
      <c r="I2807"/>
      <c r="J2807"/>
      <c r="K2807"/>
      <c r="L2807"/>
      <c r="M2807"/>
      <c r="N2807"/>
      <c r="O2807"/>
      <c r="P2807"/>
    </row>
    <row r="2808" spans="2:16">
      <c r="B2808"/>
      <c r="C2808"/>
      <c r="D2808"/>
      <c r="E2808"/>
      <c r="F2808"/>
      <c r="G2808"/>
      <c r="H2808"/>
      <c r="I2808"/>
      <c r="J2808"/>
      <c r="K2808"/>
      <c r="L2808"/>
      <c r="M2808"/>
      <c r="N2808"/>
      <c r="O2808"/>
      <c r="P2808"/>
    </row>
    <row r="2809" spans="2:16">
      <c r="B2809"/>
      <c r="C2809"/>
      <c r="D2809"/>
      <c r="E2809"/>
      <c r="F2809"/>
      <c r="G2809"/>
      <c r="H2809"/>
      <c r="I2809"/>
      <c r="J2809"/>
      <c r="K2809"/>
      <c r="L2809"/>
      <c r="M2809"/>
      <c r="N2809"/>
      <c r="O2809"/>
      <c r="P2809"/>
    </row>
    <row r="2810" spans="2:16">
      <c r="B2810"/>
      <c r="C2810"/>
      <c r="D2810"/>
      <c r="E2810"/>
      <c r="F2810"/>
      <c r="G2810"/>
      <c r="H2810"/>
      <c r="I2810"/>
      <c r="J2810"/>
      <c r="K2810"/>
      <c r="L2810"/>
      <c r="M2810"/>
      <c r="N2810"/>
      <c r="O2810"/>
      <c r="P2810"/>
    </row>
    <row r="2811" spans="2:16">
      <c r="B2811"/>
      <c r="C2811"/>
      <c r="D2811"/>
      <c r="E2811"/>
      <c r="F2811"/>
      <c r="G2811"/>
      <c r="H2811"/>
      <c r="I2811"/>
      <c r="J2811"/>
      <c r="K2811"/>
      <c r="L2811"/>
      <c r="M2811"/>
      <c r="N2811"/>
      <c r="O2811"/>
      <c r="P2811"/>
    </row>
    <row r="2812" spans="2:16">
      <c r="B2812"/>
      <c r="C2812"/>
      <c r="D2812"/>
      <c r="E2812"/>
      <c r="F2812"/>
      <c r="G2812"/>
      <c r="H2812"/>
      <c r="I2812"/>
      <c r="J2812"/>
      <c r="K2812"/>
      <c r="L2812"/>
      <c r="M2812"/>
      <c r="N2812"/>
      <c r="O2812"/>
      <c r="P2812"/>
    </row>
    <row r="2813" spans="2:16">
      <c r="B2813"/>
      <c r="C2813"/>
      <c r="D2813"/>
      <c r="E2813"/>
      <c r="F2813"/>
      <c r="G2813"/>
      <c r="H2813"/>
      <c r="I2813"/>
      <c r="J2813"/>
      <c r="K2813"/>
      <c r="L2813"/>
      <c r="M2813"/>
      <c r="N2813"/>
      <c r="O2813"/>
      <c r="P2813"/>
    </row>
    <row r="2814" spans="2:16">
      <c r="B2814"/>
      <c r="C2814"/>
      <c r="D2814"/>
      <c r="E2814"/>
      <c r="F2814"/>
      <c r="G2814"/>
      <c r="H2814"/>
      <c r="I2814"/>
      <c r="J2814"/>
      <c r="K2814"/>
      <c r="L2814"/>
      <c r="M2814"/>
      <c r="N2814"/>
      <c r="O2814"/>
      <c r="P2814"/>
    </row>
    <row r="2815" spans="2:16">
      <c r="B2815"/>
      <c r="C2815"/>
      <c r="D2815"/>
      <c r="E2815"/>
      <c r="F2815"/>
      <c r="G2815"/>
      <c r="H2815"/>
      <c r="I2815"/>
      <c r="J2815"/>
      <c r="K2815"/>
      <c r="L2815"/>
      <c r="M2815"/>
      <c r="N2815"/>
      <c r="O2815"/>
      <c r="P2815"/>
    </row>
    <row r="2816" spans="2:16">
      <c r="B2816"/>
      <c r="C2816"/>
      <c r="D2816"/>
      <c r="E2816"/>
      <c r="F2816"/>
      <c r="G2816"/>
      <c r="H2816"/>
      <c r="I2816"/>
      <c r="J2816"/>
      <c r="K2816"/>
      <c r="L2816"/>
      <c r="M2816"/>
      <c r="N2816"/>
      <c r="O2816"/>
      <c r="P2816"/>
    </row>
    <row r="2817" spans="2:16">
      <c r="B2817"/>
      <c r="C2817"/>
      <c r="D2817"/>
      <c r="E2817"/>
      <c r="F2817"/>
      <c r="G2817"/>
      <c r="H2817"/>
      <c r="I2817"/>
      <c r="J2817"/>
      <c r="K2817"/>
      <c r="L2817"/>
      <c r="M2817"/>
      <c r="N2817"/>
      <c r="O2817"/>
      <c r="P2817"/>
    </row>
    <row r="2818" spans="2:16">
      <c r="B2818"/>
      <c r="C2818"/>
      <c r="D2818"/>
      <c r="E2818"/>
      <c r="F2818"/>
      <c r="G2818"/>
      <c r="H2818"/>
      <c r="I2818"/>
      <c r="J2818"/>
      <c r="K2818"/>
      <c r="L2818"/>
      <c r="M2818"/>
      <c r="N2818"/>
      <c r="O2818"/>
      <c r="P2818"/>
    </row>
    <row r="2819" spans="2:16">
      <c r="B2819"/>
      <c r="C2819"/>
      <c r="D2819"/>
      <c r="E2819"/>
      <c r="F2819"/>
      <c r="G2819"/>
      <c r="H2819"/>
      <c r="I2819"/>
      <c r="J2819"/>
      <c r="K2819"/>
      <c r="L2819"/>
      <c r="M2819"/>
      <c r="N2819"/>
      <c r="O2819"/>
      <c r="P2819"/>
    </row>
    <row r="2820" spans="2:16">
      <c r="B2820"/>
      <c r="C2820"/>
      <c r="D2820"/>
      <c r="E2820"/>
      <c r="F2820"/>
      <c r="G2820"/>
      <c r="H2820"/>
      <c r="I2820"/>
      <c r="J2820"/>
      <c r="K2820"/>
      <c r="L2820"/>
      <c r="M2820"/>
      <c r="N2820"/>
      <c r="O2820"/>
      <c r="P2820"/>
    </row>
    <row r="2821" spans="2:16">
      <c r="B2821"/>
      <c r="C2821"/>
      <c r="D2821"/>
      <c r="E2821"/>
      <c r="F2821"/>
      <c r="G2821"/>
      <c r="H2821"/>
      <c r="I2821"/>
      <c r="J2821"/>
      <c r="K2821"/>
      <c r="L2821"/>
      <c r="M2821"/>
      <c r="N2821"/>
      <c r="O2821"/>
      <c r="P2821"/>
    </row>
    <row r="2822" spans="2:16">
      <c r="B2822"/>
      <c r="C2822"/>
      <c r="D2822"/>
      <c r="E2822"/>
      <c r="F2822"/>
      <c r="G2822"/>
      <c r="H2822"/>
      <c r="I2822"/>
      <c r="J2822"/>
      <c r="K2822"/>
      <c r="L2822"/>
      <c r="M2822"/>
      <c r="N2822"/>
      <c r="O2822"/>
      <c r="P2822"/>
    </row>
    <row r="2823" spans="2:16">
      <c r="B2823"/>
      <c r="C2823"/>
      <c r="D2823"/>
      <c r="E2823"/>
      <c r="F2823"/>
      <c r="G2823"/>
      <c r="H2823"/>
      <c r="I2823"/>
      <c r="J2823"/>
      <c r="K2823"/>
      <c r="L2823"/>
      <c r="M2823"/>
      <c r="N2823"/>
      <c r="O2823"/>
      <c r="P2823"/>
    </row>
    <row r="2824" spans="2:16">
      <c r="B2824"/>
      <c r="C2824"/>
      <c r="D2824"/>
      <c r="E2824"/>
      <c r="F2824"/>
      <c r="G2824"/>
      <c r="H2824"/>
      <c r="I2824"/>
      <c r="J2824"/>
      <c r="K2824"/>
      <c r="L2824"/>
      <c r="M2824"/>
      <c r="N2824"/>
      <c r="O2824"/>
      <c r="P2824"/>
    </row>
    <row r="2825" spans="2:16">
      <c r="B2825"/>
      <c r="C2825"/>
      <c r="D2825"/>
      <c r="E2825"/>
      <c r="F2825"/>
      <c r="G2825"/>
      <c r="H2825"/>
      <c r="I2825"/>
      <c r="J2825"/>
      <c r="K2825"/>
      <c r="L2825"/>
      <c r="M2825"/>
      <c r="N2825"/>
      <c r="O2825"/>
      <c r="P2825"/>
    </row>
    <row r="2826" spans="2:16">
      <c r="B2826"/>
      <c r="C2826"/>
      <c r="D2826"/>
      <c r="E2826"/>
      <c r="F2826"/>
      <c r="G2826"/>
      <c r="H2826"/>
      <c r="I2826"/>
      <c r="J2826"/>
      <c r="K2826"/>
      <c r="L2826"/>
      <c r="M2826"/>
      <c r="N2826"/>
      <c r="O2826"/>
      <c r="P2826"/>
    </row>
    <row r="2827" spans="2:16">
      <c r="B2827"/>
      <c r="C2827"/>
      <c r="D2827"/>
      <c r="E2827"/>
      <c r="F2827"/>
      <c r="G2827"/>
      <c r="H2827"/>
      <c r="I2827"/>
      <c r="J2827"/>
      <c r="K2827"/>
      <c r="L2827"/>
      <c r="M2827"/>
      <c r="N2827"/>
      <c r="O2827"/>
      <c r="P2827"/>
    </row>
    <row r="2828" spans="2:16">
      <c r="B2828"/>
      <c r="C2828"/>
      <c r="D2828"/>
      <c r="E2828"/>
      <c r="F2828"/>
      <c r="G2828"/>
      <c r="H2828"/>
      <c r="I2828"/>
      <c r="J2828"/>
      <c r="K2828"/>
      <c r="L2828"/>
      <c r="M2828"/>
      <c r="N2828"/>
      <c r="O2828"/>
      <c r="P2828"/>
    </row>
    <row r="2829" spans="2:16">
      <c r="B2829"/>
      <c r="C2829"/>
      <c r="D2829"/>
      <c r="E2829"/>
      <c r="F2829"/>
      <c r="G2829"/>
      <c r="H2829"/>
      <c r="I2829"/>
      <c r="J2829"/>
      <c r="K2829"/>
      <c r="L2829"/>
      <c r="M2829"/>
      <c r="N2829"/>
      <c r="O2829"/>
      <c r="P2829"/>
    </row>
    <row r="2830" spans="2:16">
      <c r="B2830"/>
      <c r="C2830"/>
      <c r="D2830"/>
      <c r="E2830"/>
      <c r="F2830"/>
      <c r="G2830"/>
      <c r="H2830"/>
      <c r="I2830"/>
      <c r="J2830"/>
      <c r="K2830"/>
      <c r="L2830"/>
      <c r="M2830"/>
      <c r="N2830"/>
      <c r="O2830"/>
      <c r="P2830"/>
    </row>
    <row r="2831" spans="2:16">
      <c r="B2831"/>
      <c r="C2831"/>
      <c r="D2831"/>
      <c r="E2831"/>
      <c r="F2831"/>
      <c r="G2831"/>
      <c r="H2831"/>
      <c r="I2831"/>
      <c r="J2831"/>
      <c r="K2831"/>
      <c r="L2831"/>
      <c r="M2831"/>
      <c r="N2831"/>
      <c r="O2831"/>
      <c r="P2831"/>
    </row>
    <row r="2832" spans="2:16">
      <c r="B2832"/>
      <c r="C2832"/>
      <c r="D2832"/>
      <c r="E2832"/>
      <c r="F2832"/>
      <c r="G2832"/>
      <c r="H2832"/>
      <c r="I2832"/>
      <c r="J2832"/>
      <c r="K2832"/>
      <c r="L2832"/>
      <c r="M2832"/>
      <c r="N2832"/>
      <c r="O2832"/>
      <c r="P2832"/>
    </row>
    <row r="2833" spans="2:16">
      <c r="B2833"/>
      <c r="C2833"/>
      <c r="D2833"/>
      <c r="E2833"/>
      <c r="F2833"/>
      <c r="G2833"/>
      <c r="H2833"/>
      <c r="I2833"/>
      <c r="J2833"/>
      <c r="K2833"/>
      <c r="L2833"/>
      <c r="M2833"/>
      <c r="N2833"/>
      <c r="O2833"/>
      <c r="P2833"/>
    </row>
    <row r="2834" spans="2:16">
      <c r="B2834"/>
      <c r="C2834"/>
      <c r="D2834"/>
      <c r="E2834"/>
      <c r="F2834"/>
      <c r="G2834"/>
      <c r="H2834"/>
      <c r="I2834"/>
      <c r="J2834"/>
      <c r="K2834"/>
      <c r="L2834"/>
      <c r="M2834"/>
      <c r="N2834"/>
      <c r="O2834"/>
      <c r="P2834"/>
    </row>
    <row r="2835" spans="2:16">
      <c r="B2835"/>
      <c r="C2835"/>
      <c r="D2835"/>
      <c r="E2835"/>
      <c r="F2835"/>
      <c r="G2835"/>
      <c r="H2835"/>
      <c r="I2835"/>
      <c r="J2835"/>
      <c r="K2835"/>
      <c r="L2835"/>
      <c r="M2835"/>
      <c r="N2835"/>
      <c r="O2835"/>
      <c r="P2835"/>
    </row>
    <row r="2836" spans="2:16">
      <c r="B2836"/>
      <c r="C2836"/>
      <c r="D2836"/>
      <c r="E2836"/>
      <c r="F2836"/>
      <c r="G2836"/>
      <c r="H2836"/>
      <c r="I2836"/>
      <c r="J2836"/>
      <c r="K2836"/>
      <c r="L2836"/>
      <c r="M2836"/>
      <c r="N2836"/>
      <c r="O2836"/>
      <c r="P2836"/>
    </row>
    <row r="2837" spans="2:16">
      <c r="B2837"/>
      <c r="C2837"/>
      <c r="D2837"/>
      <c r="E2837"/>
      <c r="F2837"/>
      <c r="G2837"/>
      <c r="H2837"/>
      <c r="I2837"/>
      <c r="J2837"/>
      <c r="K2837"/>
      <c r="L2837"/>
      <c r="M2837"/>
      <c r="N2837"/>
      <c r="O2837"/>
      <c r="P2837"/>
    </row>
    <row r="2838" spans="2:16">
      <c r="B2838"/>
      <c r="C2838"/>
      <c r="D2838"/>
      <c r="E2838"/>
      <c r="F2838"/>
      <c r="G2838"/>
      <c r="H2838"/>
      <c r="I2838"/>
      <c r="J2838"/>
      <c r="K2838"/>
      <c r="L2838"/>
      <c r="M2838"/>
      <c r="N2838"/>
      <c r="O2838"/>
      <c r="P2838"/>
    </row>
    <row r="2839" spans="2:16">
      <c r="B2839"/>
      <c r="C2839"/>
      <c r="D2839"/>
      <c r="E2839"/>
      <c r="F2839"/>
      <c r="G2839"/>
      <c r="H2839"/>
      <c r="I2839"/>
      <c r="J2839"/>
      <c r="K2839"/>
      <c r="L2839"/>
      <c r="M2839"/>
      <c r="N2839"/>
      <c r="O2839"/>
      <c r="P2839"/>
    </row>
    <row r="2840" spans="2:16">
      <c r="B2840"/>
      <c r="C2840"/>
      <c r="D2840"/>
      <c r="E2840"/>
      <c r="F2840"/>
      <c r="G2840"/>
      <c r="H2840"/>
      <c r="I2840"/>
      <c r="J2840"/>
      <c r="K2840"/>
      <c r="L2840"/>
      <c r="M2840"/>
      <c r="N2840"/>
      <c r="O2840"/>
      <c r="P2840"/>
    </row>
    <row r="2841" spans="2:16">
      <c r="B2841"/>
      <c r="C2841"/>
      <c r="D2841"/>
      <c r="E2841"/>
      <c r="F2841"/>
      <c r="G2841"/>
      <c r="H2841"/>
      <c r="I2841"/>
      <c r="J2841"/>
      <c r="K2841"/>
      <c r="L2841"/>
      <c r="M2841"/>
      <c r="N2841"/>
      <c r="O2841"/>
      <c r="P2841"/>
    </row>
    <row r="2842" spans="2:16">
      <c r="B2842"/>
      <c r="C2842"/>
      <c r="D2842"/>
      <c r="E2842"/>
      <c r="F2842"/>
      <c r="G2842"/>
      <c r="H2842"/>
      <c r="I2842"/>
      <c r="J2842"/>
      <c r="K2842"/>
      <c r="L2842"/>
      <c r="M2842"/>
      <c r="N2842"/>
      <c r="O2842"/>
      <c r="P2842"/>
    </row>
    <row r="2843" spans="2:16">
      <c r="B2843"/>
      <c r="C2843"/>
      <c r="D2843"/>
      <c r="E2843"/>
      <c r="F2843"/>
      <c r="G2843"/>
      <c r="H2843"/>
      <c r="I2843"/>
      <c r="J2843"/>
      <c r="K2843"/>
      <c r="L2843"/>
      <c r="M2843"/>
      <c r="N2843"/>
      <c r="O2843"/>
      <c r="P2843"/>
    </row>
    <row r="2844" spans="2:16">
      <c r="B2844"/>
      <c r="C2844"/>
      <c r="D2844"/>
      <c r="E2844"/>
      <c r="F2844"/>
      <c r="G2844"/>
      <c r="H2844"/>
      <c r="I2844"/>
      <c r="J2844"/>
      <c r="K2844"/>
      <c r="L2844"/>
      <c r="M2844"/>
      <c r="N2844"/>
      <c r="O2844"/>
      <c r="P2844"/>
    </row>
    <row r="2845" spans="2:16">
      <c r="B2845"/>
      <c r="C2845"/>
      <c r="D2845"/>
      <c r="E2845"/>
      <c r="F2845"/>
      <c r="G2845"/>
      <c r="H2845"/>
      <c r="I2845"/>
      <c r="J2845"/>
      <c r="K2845"/>
      <c r="L2845"/>
      <c r="M2845"/>
      <c r="N2845"/>
      <c r="O2845"/>
      <c r="P2845"/>
    </row>
    <row r="2846" spans="2:16">
      <c r="B2846"/>
      <c r="C2846"/>
      <c r="D2846"/>
      <c r="E2846"/>
      <c r="F2846"/>
      <c r="G2846"/>
      <c r="H2846"/>
      <c r="I2846"/>
      <c r="J2846"/>
      <c r="K2846"/>
      <c r="L2846"/>
      <c r="M2846"/>
      <c r="N2846"/>
      <c r="O2846"/>
      <c r="P2846"/>
    </row>
    <row r="2847" spans="2:16">
      <c r="B2847"/>
      <c r="C2847"/>
      <c r="D2847"/>
      <c r="E2847"/>
      <c r="F2847"/>
      <c r="G2847"/>
      <c r="H2847"/>
      <c r="I2847"/>
      <c r="J2847"/>
      <c r="K2847"/>
      <c r="L2847"/>
      <c r="M2847"/>
      <c r="N2847"/>
      <c r="O2847"/>
      <c r="P2847"/>
    </row>
    <row r="2848" spans="2:16">
      <c r="B2848"/>
      <c r="C2848"/>
      <c r="D2848"/>
      <c r="E2848"/>
      <c r="F2848"/>
      <c r="G2848"/>
      <c r="H2848"/>
      <c r="I2848"/>
      <c r="J2848"/>
      <c r="K2848"/>
      <c r="L2848"/>
      <c r="M2848"/>
      <c r="N2848"/>
      <c r="O2848"/>
      <c r="P2848"/>
    </row>
    <row r="2849" spans="2:16">
      <c r="B2849"/>
      <c r="C2849"/>
      <c r="D2849"/>
      <c r="E2849"/>
      <c r="F2849"/>
      <c r="G2849"/>
      <c r="H2849"/>
      <c r="I2849"/>
      <c r="J2849"/>
      <c r="K2849"/>
      <c r="L2849"/>
      <c r="M2849"/>
      <c r="N2849"/>
      <c r="O2849"/>
      <c r="P2849"/>
    </row>
    <row r="2850" spans="2:16">
      <c r="B2850"/>
      <c r="C2850"/>
      <c r="D2850"/>
      <c r="E2850"/>
      <c r="F2850"/>
      <c r="G2850"/>
      <c r="H2850"/>
      <c r="I2850"/>
      <c r="J2850"/>
      <c r="K2850"/>
      <c r="L2850"/>
      <c r="M2850"/>
      <c r="N2850"/>
      <c r="O2850"/>
      <c r="P2850"/>
    </row>
    <row r="2851" spans="2:16">
      <c r="B2851"/>
      <c r="C2851"/>
      <c r="D2851"/>
      <c r="E2851"/>
      <c r="F2851"/>
      <c r="G2851"/>
      <c r="H2851"/>
      <c r="I2851"/>
      <c r="J2851"/>
      <c r="K2851"/>
      <c r="L2851"/>
      <c r="M2851"/>
      <c r="N2851"/>
      <c r="O2851"/>
      <c r="P2851"/>
    </row>
    <row r="2852" spans="2:16">
      <c r="B2852"/>
      <c r="C2852"/>
      <c r="D2852"/>
      <c r="E2852"/>
      <c r="F2852"/>
      <c r="G2852"/>
      <c r="H2852"/>
      <c r="I2852"/>
      <c r="J2852"/>
      <c r="K2852"/>
      <c r="L2852"/>
      <c r="M2852"/>
      <c r="N2852"/>
      <c r="O2852"/>
      <c r="P2852"/>
    </row>
    <row r="2853" spans="2:16">
      <c r="B2853"/>
      <c r="C2853"/>
      <c r="D2853"/>
      <c r="E2853"/>
      <c r="F2853"/>
      <c r="G2853"/>
      <c r="H2853"/>
      <c r="I2853"/>
      <c r="J2853"/>
      <c r="K2853"/>
      <c r="L2853"/>
      <c r="M2853"/>
      <c r="N2853"/>
      <c r="O2853"/>
      <c r="P2853"/>
    </row>
    <row r="2854" spans="2:16">
      <c r="B2854"/>
      <c r="C2854"/>
      <c r="D2854"/>
      <c r="E2854"/>
      <c r="F2854"/>
      <c r="G2854"/>
      <c r="H2854"/>
      <c r="I2854"/>
      <c r="J2854"/>
      <c r="K2854"/>
      <c r="L2854"/>
      <c r="M2854"/>
      <c r="N2854"/>
      <c r="O2854"/>
      <c r="P2854"/>
    </row>
    <row r="2855" spans="2:16">
      <c r="B2855"/>
      <c r="C2855"/>
      <c r="D2855"/>
      <c r="E2855"/>
      <c r="F2855"/>
      <c r="G2855"/>
      <c r="H2855"/>
      <c r="I2855"/>
      <c r="J2855"/>
      <c r="K2855"/>
      <c r="L2855"/>
      <c r="M2855"/>
      <c r="N2855"/>
      <c r="O2855"/>
      <c r="P2855"/>
    </row>
    <row r="2856" spans="2:16">
      <c r="B2856"/>
      <c r="C2856"/>
      <c r="D2856"/>
      <c r="E2856"/>
      <c r="F2856"/>
      <c r="G2856"/>
      <c r="H2856"/>
      <c r="I2856"/>
      <c r="J2856"/>
      <c r="K2856"/>
      <c r="L2856"/>
      <c r="M2856"/>
      <c r="N2856"/>
      <c r="O2856"/>
      <c r="P2856"/>
    </row>
    <row r="2857" spans="2:16">
      <c r="B2857"/>
      <c r="C2857"/>
      <c r="D2857"/>
      <c r="E2857"/>
      <c r="F2857"/>
      <c r="G2857"/>
      <c r="H2857"/>
      <c r="I2857"/>
      <c r="J2857"/>
      <c r="K2857"/>
      <c r="L2857"/>
      <c r="M2857"/>
      <c r="N2857"/>
      <c r="O2857"/>
      <c r="P2857"/>
    </row>
    <row r="2858" spans="2:16">
      <c r="B2858"/>
      <c r="C2858"/>
      <c r="D2858"/>
      <c r="E2858"/>
      <c r="F2858"/>
      <c r="G2858"/>
      <c r="H2858"/>
      <c r="I2858"/>
      <c r="J2858"/>
      <c r="K2858"/>
      <c r="L2858"/>
      <c r="M2858"/>
      <c r="N2858"/>
      <c r="O2858"/>
      <c r="P2858"/>
    </row>
    <row r="2859" spans="2:16">
      <c r="B2859"/>
      <c r="C2859"/>
      <c r="D2859"/>
      <c r="E2859"/>
      <c r="F2859"/>
      <c r="G2859"/>
      <c r="H2859"/>
      <c r="I2859"/>
      <c r="J2859"/>
      <c r="K2859"/>
      <c r="L2859"/>
      <c r="M2859"/>
      <c r="N2859"/>
      <c r="O2859"/>
      <c r="P2859"/>
    </row>
    <row r="2860" spans="2:16">
      <c r="B2860"/>
      <c r="C2860"/>
      <c r="D2860"/>
      <c r="E2860"/>
      <c r="F2860"/>
      <c r="G2860"/>
      <c r="H2860"/>
      <c r="I2860"/>
      <c r="J2860"/>
      <c r="K2860"/>
      <c r="L2860"/>
      <c r="M2860"/>
      <c r="N2860"/>
      <c r="O2860"/>
      <c r="P2860"/>
    </row>
    <row r="2861" spans="2:16">
      <c r="B2861"/>
      <c r="C2861"/>
      <c r="D2861"/>
      <c r="E2861"/>
      <c r="F2861"/>
      <c r="G2861"/>
      <c r="H2861"/>
      <c r="I2861"/>
      <c r="J2861"/>
      <c r="K2861"/>
      <c r="L2861"/>
      <c r="M2861"/>
      <c r="N2861"/>
      <c r="O2861"/>
      <c r="P2861"/>
    </row>
    <row r="2862" spans="2:16">
      <c r="B2862"/>
      <c r="C2862"/>
      <c r="D2862"/>
      <c r="E2862"/>
      <c r="F2862"/>
      <c r="G2862"/>
      <c r="H2862"/>
      <c r="I2862"/>
      <c r="J2862"/>
      <c r="K2862"/>
      <c r="L2862"/>
      <c r="M2862"/>
      <c r="N2862"/>
      <c r="O2862"/>
      <c r="P2862"/>
    </row>
    <row r="2863" spans="2:16">
      <c r="B2863"/>
      <c r="C2863"/>
      <c r="D2863"/>
      <c r="E2863"/>
      <c r="F2863"/>
      <c r="G2863"/>
      <c r="H2863"/>
      <c r="I2863"/>
      <c r="J2863"/>
      <c r="K2863"/>
      <c r="L2863"/>
      <c r="M2863"/>
      <c r="N2863"/>
      <c r="O2863"/>
      <c r="P2863"/>
    </row>
    <row r="2864" spans="2:16">
      <c r="B2864"/>
      <c r="C2864"/>
      <c r="D2864"/>
      <c r="E2864"/>
      <c r="F2864"/>
      <c r="G2864"/>
      <c r="H2864"/>
      <c r="I2864"/>
      <c r="J2864"/>
      <c r="K2864"/>
      <c r="L2864"/>
      <c r="M2864"/>
      <c r="N2864"/>
      <c r="O2864"/>
      <c r="P2864"/>
    </row>
    <row r="2865" spans="2:16">
      <c r="B2865"/>
      <c r="C2865"/>
      <c r="D2865"/>
      <c r="E2865"/>
      <c r="F2865"/>
      <c r="G2865"/>
      <c r="H2865"/>
      <c r="I2865"/>
      <c r="J2865"/>
      <c r="K2865"/>
      <c r="L2865"/>
      <c r="M2865"/>
      <c r="N2865"/>
      <c r="O2865"/>
      <c r="P2865"/>
    </row>
    <row r="2866" spans="2:16">
      <c r="B2866"/>
      <c r="C2866"/>
      <c r="D2866"/>
      <c r="E2866"/>
      <c r="F2866"/>
      <c r="G2866"/>
      <c r="H2866"/>
      <c r="I2866"/>
      <c r="J2866"/>
      <c r="K2866"/>
      <c r="L2866"/>
      <c r="M2866"/>
      <c r="N2866"/>
      <c r="O2866"/>
      <c r="P2866"/>
    </row>
    <row r="2867" spans="2:16">
      <c r="B2867"/>
      <c r="C2867"/>
      <c r="D2867"/>
      <c r="E2867"/>
      <c r="F2867"/>
      <c r="G2867"/>
      <c r="H2867"/>
      <c r="I2867"/>
      <c r="J2867"/>
      <c r="K2867"/>
      <c r="L2867"/>
      <c r="M2867"/>
      <c r="N2867"/>
      <c r="O2867"/>
      <c r="P2867"/>
    </row>
    <row r="2868" spans="2:16">
      <c r="B2868"/>
      <c r="C2868"/>
      <c r="D2868"/>
      <c r="E2868"/>
      <c r="F2868"/>
      <c r="G2868"/>
      <c r="H2868"/>
      <c r="I2868"/>
      <c r="J2868"/>
      <c r="K2868"/>
      <c r="L2868"/>
      <c r="M2868"/>
      <c r="N2868"/>
      <c r="O2868"/>
      <c r="P2868"/>
    </row>
    <row r="2869" spans="2:16">
      <c r="B2869"/>
      <c r="C2869"/>
      <c r="D2869"/>
      <c r="E2869"/>
      <c r="F2869"/>
      <c r="G2869"/>
      <c r="H2869"/>
      <c r="I2869"/>
      <c r="J2869"/>
      <c r="K2869"/>
      <c r="L2869"/>
      <c r="M2869"/>
      <c r="N2869"/>
      <c r="O2869"/>
      <c r="P2869"/>
    </row>
    <row r="2870" spans="2:16">
      <c r="B2870"/>
      <c r="C2870"/>
      <c r="D2870"/>
      <c r="E2870"/>
      <c r="F2870"/>
      <c r="G2870"/>
      <c r="H2870"/>
      <c r="I2870"/>
      <c r="J2870"/>
      <c r="K2870"/>
      <c r="L2870"/>
      <c r="M2870"/>
      <c r="N2870"/>
      <c r="O2870"/>
      <c r="P2870"/>
    </row>
    <row r="2871" spans="2:16">
      <c r="B2871"/>
      <c r="C2871"/>
      <c r="D2871"/>
      <c r="E2871"/>
      <c r="F2871"/>
      <c r="G2871"/>
      <c r="H2871"/>
      <c r="I2871"/>
      <c r="J2871"/>
      <c r="K2871"/>
      <c r="L2871"/>
      <c r="M2871"/>
      <c r="N2871"/>
      <c r="O2871"/>
      <c r="P2871"/>
    </row>
    <row r="2872" spans="2:16">
      <c r="B2872"/>
      <c r="C2872"/>
      <c r="D2872"/>
      <c r="E2872"/>
      <c r="F2872"/>
      <c r="G2872"/>
      <c r="H2872"/>
      <c r="I2872"/>
      <c r="J2872"/>
      <c r="K2872"/>
      <c r="L2872"/>
      <c r="M2872"/>
      <c r="N2872"/>
      <c r="O2872"/>
      <c r="P2872"/>
    </row>
    <row r="2873" spans="2:16">
      <c r="B2873"/>
      <c r="C2873"/>
      <c r="D2873"/>
      <c r="E2873"/>
      <c r="F2873"/>
      <c r="G2873"/>
      <c r="H2873"/>
      <c r="I2873"/>
      <c r="J2873"/>
      <c r="K2873"/>
      <c r="L2873"/>
      <c r="M2873"/>
      <c r="N2873"/>
      <c r="O2873"/>
      <c r="P2873"/>
    </row>
    <row r="2874" spans="2:16">
      <c r="B2874"/>
      <c r="C2874"/>
      <c r="D2874"/>
      <c r="E2874"/>
      <c r="F2874"/>
      <c r="G2874"/>
      <c r="H2874"/>
      <c r="I2874"/>
      <c r="J2874"/>
      <c r="K2874"/>
      <c r="L2874"/>
      <c r="M2874"/>
      <c r="N2874"/>
      <c r="O2874"/>
      <c r="P2874"/>
    </row>
    <row r="2875" spans="2:16">
      <c r="B2875"/>
      <c r="C2875"/>
      <c r="D2875"/>
      <c r="E2875"/>
      <c r="F2875"/>
      <c r="G2875"/>
      <c r="H2875"/>
      <c r="I2875"/>
      <c r="J2875"/>
      <c r="K2875"/>
      <c r="L2875"/>
      <c r="M2875"/>
      <c r="N2875"/>
      <c r="O2875"/>
      <c r="P2875"/>
    </row>
    <row r="2876" spans="2:16">
      <c r="B2876"/>
      <c r="C2876"/>
      <c r="D2876"/>
      <c r="E2876"/>
      <c r="F2876"/>
      <c r="G2876"/>
      <c r="H2876"/>
      <c r="I2876"/>
      <c r="J2876"/>
      <c r="K2876"/>
      <c r="L2876"/>
      <c r="M2876"/>
      <c r="N2876"/>
      <c r="O2876"/>
      <c r="P2876"/>
    </row>
    <row r="2877" spans="2:16">
      <c r="B2877"/>
      <c r="C2877"/>
      <c r="D2877"/>
      <c r="E2877"/>
      <c r="F2877"/>
      <c r="G2877"/>
      <c r="H2877"/>
      <c r="I2877"/>
      <c r="J2877"/>
      <c r="K2877"/>
      <c r="L2877"/>
      <c r="M2877"/>
      <c r="N2877"/>
      <c r="O2877"/>
      <c r="P2877"/>
    </row>
    <row r="2878" spans="2:16">
      <c r="B2878"/>
      <c r="C2878"/>
      <c r="D2878"/>
      <c r="E2878"/>
      <c r="F2878"/>
      <c r="G2878"/>
      <c r="H2878"/>
      <c r="I2878"/>
      <c r="J2878"/>
      <c r="K2878"/>
      <c r="L2878"/>
      <c r="M2878"/>
      <c r="N2878"/>
      <c r="O2878"/>
      <c r="P2878"/>
    </row>
    <row r="2879" spans="2:16">
      <c r="B2879"/>
      <c r="C2879"/>
      <c r="D2879"/>
      <c r="E2879"/>
      <c r="F2879"/>
      <c r="G2879"/>
      <c r="H2879"/>
      <c r="I2879"/>
      <c r="J2879"/>
      <c r="K2879"/>
      <c r="L2879"/>
      <c r="M2879"/>
      <c r="N2879"/>
      <c r="O2879"/>
      <c r="P2879"/>
    </row>
    <row r="2880" spans="2:16">
      <c r="B2880"/>
      <c r="C2880"/>
      <c r="D2880"/>
      <c r="E2880"/>
      <c r="F2880"/>
      <c r="G2880"/>
      <c r="H2880"/>
      <c r="I2880"/>
      <c r="J2880"/>
      <c r="K2880"/>
      <c r="L2880"/>
      <c r="M2880"/>
      <c r="N2880"/>
      <c r="O2880"/>
      <c r="P2880"/>
    </row>
    <row r="2881" spans="2:16">
      <c r="B2881"/>
      <c r="C2881"/>
      <c r="D2881"/>
      <c r="E2881"/>
      <c r="F2881"/>
      <c r="G2881"/>
      <c r="H2881"/>
      <c r="I2881"/>
      <c r="J2881"/>
      <c r="K2881"/>
      <c r="L2881"/>
      <c r="M2881"/>
      <c r="N2881"/>
      <c r="O2881"/>
      <c r="P2881"/>
    </row>
    <row r="2882" spans="2:16">
      <c r="B2882"/>
      <c r="C2882"/>
      <c r="D2882"/>
      <c r="E2882"/>
      <c r="F2882"/>
      <c r="G2882"/>
      <c r="H2882"/>
      <c r="I2882"/>
      <c r="J2882"/>
      <c r="K2882"/>
      <c r="L2882"/>
      <c r="M2882"/>
      <c r="N2882"/>
      <c r="O2882"/>
      <c r="P2882"/>
    </row>
    <row r="2883" spans="2:16">
      <c r="B2883"/>
      <c r="C2883"/>
      <c r="D2883"/>
      <c r="E2883"/>
      <c r="F2883"/>
      <c r="G2883"/>
      <c r="H2883"/>
      <c r="I2883"/>
      <c r="J2883"/>
      <c r="K2883"/>
      <c r="L2883"/>
      <c r="M2883"/>
      <c r="N2883"/>
      <c r="O2883"/>
      <c r="P2883"/>
    </row>
    <row r="2884" spans="2:16">
      <c r="B2884"/>
      <c r="C2884"/>
      <c r="D2884"/>
      <c r="E2884"/>
      <c r="F2884"/>
      <c r="G2884"/>
      <c r="H2884"/>
      <c r="I2884"/>
      <c r="J2884"/>
      <c r="K2884"/>
      <c r="L2884"/>
      <c r="M2884"/>
      <c r="N2884"/>
      <c r="O2884"/>
      <c r="P2884"/>
    </row>
    <row r="2885" spans="2:16">
      <c r="B2885"/>
      <c r="C2885"/>
      <c r="D2885"/>
      <c r="E2885"/>
      <c r="F2885"/>
      <c r="G2885"/>
      <c r="H2885"/>
      <c r="I2885"/>
      <c r="J2885"/>
      <c r="K2885"/>
      <c r="L2885"/>
      <c r="M2885"/>
      <c r="N2885"/>
      <c r="O2885"/>
      <c r="P2885"/>
    </row>
    <row r="2886" spans="2:16">
      <c r="B2886"/>
      <c r="C2886"/>
      <c r="D2886"/>
      <c r="E2886"/>
      <c r="F2886"/>
      <c r="G2886"/>
      <c r="H2886"/>
      <c r="I2886"/>
      <c r="J2886"/>
      <c r="K2886"/>
      <c r="L2886"/>
      <c r="M2886"/>
      <c r="N2886"/>
      <c r="O2886"/>
      <c r="P2886"/>
    </row>
    <row r="2887" spans="2:16">
      <c r="B2887"/>
      <c r="C2887"/>
      <c r="D2887"/>
      <c r="E2887"/>
      <c r="F2887"/>
      <c r="G2887"/>
      <c r="H2887"/>
      <c r="I2887"/>
      <c r="J2887"/>
      <c r="K2887"/>
      <c r="L2887"/>
      <c r="M2887"/>
      <c r="N2887"/>
      <c r="O2887"/>
      <c r="P2887"/>
    </row>
    <row r="2888" spans="2:16">
      <c r="B2888"/>
      <c r="C2888"/>
      <c r="D2888"/>
      <c r="E2888"/>
      <c r="F2888"/>
      <c r="G2888"/>
      <c r="H2888"/>
      <c r="I2888"/>
      <c r="J2888"/>
      <c r="K2888"/>
      <c r="L2888"/>
      <c r="M2888"/>
      <c r="N2888"/>
      <c r="O2888"/>
      <c r="P2888"/>
    </row>
    <row r="2889" spans="2:16">
      <c r="B2889"/>
      <c r="C2889"/>
      <c r="D2889"/>
      <c r="E2889"/>
      <c r="F2889"/>
      <c r="G2889"/>
      <c r="H2889"/>
      <c r="I2889"/>
      <c r="J2889"/>
      <c r="K2889"/>
      <c r="L2889"/>
      <c r="M2889"/>
      <c r="N2889"/>
      <c r="O2889"/>
      <c r="P2889"/>
    </row>
    <row r="2890" spans="2:16">
      <c r="H2890"/>
    </row>
  </sheetData>
  <phoneticPr fontId="0" type="noConversion"/>
  <pageMargins left="0.2" right="0.2" top="0.5" bottom="0.55000000000000004" header="0.28999999999999998" footer="0.3"/>
  <pageSetup scale="55" orientation="landscape" r:id="rId1"/>
  <headerFooter alignWithMargins="0">
    <oddFooter>&amp;C
&amp;R&amp;P</oddFooter>
  </headerFooter>
</worksheet>
</file>

<file path=xl/worksheets/sheet98.xml><?xml version="1.0" encoding="utf-8"?>
<worksheet xmlns="http://schemas.openxmlformats.org/spreadsheetml/2006/main" xmlns:r="http://schemas.openxmlformats.org/officeDocument/2006/relationships">
  <sheetPr>
    <pageSetUpPr fitToPage="1"/>
  </sheetPr>
  <dimension ref="A1:U156"/>
  <sheetViews>
    <sheetView workbookViewId="0">
      <selection activeCell="C9" sqref="C9"/>
    </sheetView>
  </sheetViews>
  <sheetFormatPr baseColWidth="10" defaultColWidth="9" defaultRowHeight="15.75"/>
  <cols>
    <col min="1" max="1" width="33.25" customWidth="1"/>
    <col min="2" max="2" width="17"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9.75" style="21" customWidth="1"/>
    <col min="18" max="18" width="15.75" style="20" customWidth="1"/>
    <col min="19" max="21" width="15.75" customWidth="1"/>
  </cols>
  <sheetData>
    <row r="1" spans="1:21">
      <c r="A1" s="111" t="s">
        <v>406</v>
      </c>
      <c r="B1" s="42"/>
      <c r="C1" s="43"/>
      <c r="D1" s="42"/>
      <c r="E1" s="43"/>
      <c r="F1" s="42"/>
      <c r="G1" s="43"/>
      <c r="H1" s="42"/>
      <c r="I1" s="43"/>
      <c r="J1" s="42"/>
      <c r="K1" s="43"/>
      <c r="L1" s="42"/>
      <c r="M1" s="43"/>
      <c r="N1" s="42"/>
      <c r="O1" s="43"/>
      <c r="P1" s="42"/>
      <c r="Q1" s="43"/>
    </row>
    <row r="2" spans="1:21">
      <c r="A2" s="111" t="s">
        <v>291</v>
      </c>
      <c r="B2" s="42"/>
      <c r="C2" s="43"/>
      <c r="D2" s="42"/>
      <c r="E2" s="43"/>
      <c r="F2" s="42"/>
      <c r="G2" s="43"/>
      <c r="H2" s="42"/>
      <c r="I2" s="43"/>
      <c r="J2" s="42"/>
      <c r="K2" s="43"/>
      <c r="L2" s="42"/>
      <c r="M2" s="43"/>
      <c r="N2" s="42"/>
      <c r="O2" s="43"/>
      <c r="P2" s="42"/>
      <c r="Q2" s="43"/>
    </row>
    <row r="3" spans="1:21">
      <c r="A3" s="111" t="s">
        <v>387</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6" spans="1:21" ht="16.5" thickBot="1">
      <c r="B6" s="215" t="s">
        <v>0</v>
      </c>
      <c r="C6" s="193"/>
      <c r="D6" s="194"/>
      <c r="E6" s="193"/>
      <c r="F6" s="194"/>
      <c r="G6" s="193"/>
      <c r="H6" s="194"/>
      <c r="J6" s="118" t="s">
        <v>195</v>
      </c>
      <c r="K6" s="43"/>
      <c r="L6" s="42"/>
      <c r="M6" s="43"/>
      <c r="N6" s="42"/>
      <c r="O6" s="43"/>
      <c r="P6" s="42"/>
      <c r="Q6" s="43"/>
    </row>
    <row r="7" spans="1:21" s="11" customFormat="1" ht="16.5" thickBot="1">
      <c r="B7" s="200" t="str">
        <f>+'cbnacomp '!B7</f>
        <v>Déc. 14</v>
      </c>
      <c r="C7" s="201" t="s">
        <v>289</v>
      </c>
      <c r="D7" s="200" t="str">
        <f>+'cbnacomp '!D7</f>
        <v>Mars 15</v>
      </c>
      <c r="E7" s="201" t="s">
        <v>289</v>
      </c>
      <c r="F7" s="200" t="str">
        <f>+'cbnacomp '!F7</f>
        <v>Juin 15</v>
      </c>
      <c r="G7" s="201" t="s">
        <v>289</v>
      </c>
      <c r="H7" s="200" t="str">
        <f>+'cbnacomp '!H7</f>
        <v>Sept. 15</v>
      </c>
      <c r="I7" s="201" t="s">
        <v>289</v>
      </c>
      <c r="J7" s="205" t="str">
        <f>+'cbnacomp '!J7</f>
        <v>2014</v>
      </c>
      <c r="K7" s="204" t="s">
        <v>289</v>
      </c>
      <c r="L7" s="205" t="str">
        <f>+'cbnacomp '!L7</f>
        <v>2013</v>
      </c>
      <c r="M7" s="204" t="s">
        <v>289</v>
      </c>
      <c r="N7" s="205" t="str">
        <f>+'cbnacomp '!N7</f>
        <v>2012</v>
      </c>
      <c r="O7" s="204" t="s">
        <v>289</v>
      </c>
      <c r="P7" s="205" t="str">
        <f>+'cbnacomp '!P7</f>
        <v>2011</v>
      </c>
      <c r="Q7" s="204" t="s">
        <v>289</v>
      </c>
      <c r="R7" s="2"/>
      <c r="S7" s="3"/>
      <c r="T7" s="3"/>
      <c r="U7" s="3"/>
    </row>
    <row r="8" spans="1:21">
      <c r="A8" s="86" t="s">
        <v>244</v>
      </c>
      <c r="B8" s="120"/>
      <c r="C8" s="119"/>
      <c r="D8" s="120"/>
      <c r="E8" s="119"/>
      <c r="F8" s="120"/>
      <c r="G8" s="119"/>
      <c r="H8" s="120"/>
      <c r="I8" s="119"/>
      <c r="J8" s="197"/>
      <c r="K8" s="119"/>
      <c r="L8" s="197"/>
      <c r="M8" s="119"/>
      <c r="N8" s="197"/>
      <c r="O8" s="119"/>
      <c r="P8" s="197"/>
      <c r="Q8" s="119"/>
      <c r="R8" s="22"/>
      <c r="S8" s="17"/>
      <c r="T8" s="17"/>
      <c r="U8" s="17"/>
    </row>
    <row r="9" spans="1:21">
      <c r="A9" s="10" t="s">
        <v>255</v>
      </c>
      <c r="B9"/>
    </row>
    <row r="10" spans="1:21">
      <c r="A10" s="10" t="s">
        <v>256</v>
      </c>
      <c r="B10" s="20">
        <f>+scotiavar!B10</f>
        <v>94300</v>
      </c>
      <c r="C10" s="52">
        <f t="shared" ref="C10:C15" si="0">+B10/$B$23</f>
        <v>1.5374126014358096E-2</v>
      </c>
      <c r="D10" s="20">
        <f>+scotiavar!D10</f>
        <v>0</v>
      </c>
      <c r="E10" s="49">
        <v>0</v>
      </c>
      <c r="F10" s="20">
        <f>+scotiavar!F10</f>
        <v>0</v>
      </c>
      <c r="G10" s="49">
        <v>0</v>
      </c>
      <c r="H10" s="20">
        <f>+scotiavar!H10</f>
        <v>0</v>
      </c>
      <c r="I10" s="49">
        <v>0</v>
      </c>
      <c r="J10" s="20">
        <f>+scotiavar!J10</f>
        <v>84224</v>
      </c>
      <c r="K10" s="52">
        <f t="shared" ref="K10:K15" si="1">+J10/$J$23</f>
        <v>1.4262379418172681E-2</v>
      </c>
      <c r="L10" s="20">
        <f>+scotiavar!L10</f>
        <v>81028</v>
      </c>
      <c r="M10" s="52">
        <f t="shared" ref="M10:M15" si="2">+L10/$L$23</f>
        <v>1.3901243662751589E-2</v>
      </c>
      <c r="N10" s="20">
        <f>+scotiavar!N10</f>
        <v>81129</v>
      </c>
      <c r="O10" s="52">
        <f t="shared" ref="O10:O15" si="3">+N10/$N$23</f>
        <v>1.6390481726094766E-2</v>
      </c>
      <c r="P10" s="20">
        <f>+scotiavar!P10</f>
        <v>42212</v>
      </c>
      <c r="Q10" s="52">
        <f>+P10/$P$23</f>
        <v>9.2083023932162389E-3</v>
      </c>
    </row>
    <row r="11" spans="1:21">
      <c r="A11" s="10" t="s">
        <v>257</v>
      </c>
      <c r="B11" s="20">
        <f>+scotiavar!B11</f>
        <v>2414139</v>
      </c>
      <c r="C11" s="52">
        <f t="shared" si="0"/>
        <v>0.39358724498596437</v>
      </c>
      <c r="D11" s="20">
        <f>+scotiavar!D11</f>
        <v>0</v>
      </c>
      <c r="E11" s="49">
        <v>0</v>
      </c>
      <c r="F11" s="20">
        <f>+scotiavar!F11</f>
        <v>0</v>
      </c>
      <c r="G11" s="49">
        <v>0</v>
      </c>
      <c r="H11" s="20">
        <f>+scotiavar!H11</f>
        <v>0</v>
      </c>
      <c r="I11" s="49">
        <v>0</v>
      </c>
      <c r="J11" s="20">
        <f>+scotiavar!J11</f>
        <v>2114692</v>
      </c>
      <c r="K11" s="52">
        <f t="shared" si="1"/>
        <v>0.35809911256381105</v>
      </c>
      <c r="L11" s="20">
        <f>+scotiavar!L11</f>
        <v>1971725</v>
      </c>
      <c r="M11" s="52">
        <f t="shared" si="2"/>
        <v>0.33827108729005867</v>
      </c>
      <c r="N11" s="20">
        <f>+scotiavar!N11</f>
        <v>1637353</v>
      </c>
      <c r="O11" s="52">
        <f t="shared" si="3"/>
        <v>0.33079422186476404</v>
      </c>
      <c r="P11" s="20">
        <f>+scotiavar!P11</f>
        <v>1361981</v>
      </c>
      <c r="Q11" s="52">
        <f t="shared" ref="Q11:Q28" si="4">+P11/$P$23</f>
        <v>0.297108237037218</v>
      </c>
    </row>
    <row r="12" spans="1:21">
      <c r="A12" s="10" t="s">
        <v>258</v>
      </c>
      <c r="B12" s="20">
        <f>+scotiavar!B12</f>
        <v>1449049</v>
      </c>
      <c r="C12" s="52">
        <f t="shared" si="0"/>
        <v>0.23624455914082276</v>
      </c>
      <c r="D12" s="20">
        <f>+scotiavar!D12</f>
        <v>0</v>
      </c>
      <c r="E12" s="49">
        <v>0</v>
      </c>
      <c r="F12" s="20">
        <f>+scotiavar!F12</f>
        <v>0</v>
      </c>
      <c r="G12" s="49">
        <v>0</v>
      </c>
      <c r="H12" s="20">
        <f>+scotiavar!H12</f>
        <v>0</v>
      </c>
      <c r="I12" s="49">
        <v>0</v>
      </c>
      <c r="J12" s="20">
        <f>+scotiavar!J12</f>
        <v>1444586</v>
      </c>
      <c r="K12" s="52">
        <f t="shared" si="1"/>
        <v>0.24462425952436834</v>
      </c>
      <c r="L12" s="20">
        <f>+scotiavar!L12</f>
        <v>1397046</v>
      </c>
      <c r="M12" s="52">
        <f t="shared" si="2"/>
        <v>0.23967859078432707</v>
      </c>
      <c r="N12" s="20">
        <f>+scotiavar!N12</f>
        <v>1020107</v>
      </c>
      <c r="O12" s="52">
        <f t="shared" si="3"/>
        <v>0.20609208966166662</v>
      </c>
      <c r="P12" s="20">
        <f>+scotiavar!P12</f>
        <v>1099940</v>
      </c>
      <c r="Q12" s="52">
        <f t="shared" si="4"/>
        <v>0.23994551630802308</v>
      </c>
    </row>
    <row r="13" spans="1:21">
      <c r="A13" s="10" t="s">
        <v>259</v>
      </c>
      <c r="B13" s="20">
        <f>+scotiavar!B13</f>
        <v>0</v>
      </c>
      <c r="C13" s="52">
        <f t="shared" si="0"/>
        <v>0</v>
      </c>
      <c r="D13" s="20">
        <f>+scotiavar!D13</f>
        <v>0</v>
      </c>
      <c r="E13" s="49">
        <v>0</v>
      </c>
      <c r="F13" s="20">
        <f>+scotiavar!F13</f>
        <v>0</v>
      </c>
      <c r="G13" s="49">
        <v>0</v>
      </c>
      <c r="H13" s="20">
        <f>+scotiavar!H13</f>
        <v>0</v>
      </c>
      <c r="I13" s="49">
        <v>0</v>
      </c>
      <c r="J13" s="20">
        <f>+scotiavar!J13</f>
        <v>0</v>
      </c>
      <c r="K13" s="52">
        <f t="shared" si="1"/>
        <v>0</v>
      </c>
      <c r="L13" s="20">
        <f>+scotiavar!L13</f>
        <v>0</v>
      </c>
      <c r="M13" s="52">
        <f t="shared" si="2"/>
        <v>0</v>
      </c>
      <c r="N13" s="20">
        <f>+scotiavar!N13</f>
        <v>0</v>
      </c>
      <c r="O13" s="52">
        <f t="shared" si="3"/>
        <v>0</v>
      </c>
      <c r="P13" s="20">
        <f>+scotiavar!P13</f>
        <v>0</v>
      </c>
      <c r="Q13" s="52">
        <f t="shared" si="4"/>
        <v>0</v>
      </c>
    </row>
    <row r="14" spans="1:21">
      <c r="A14" s="10" t="s">
        <v>260</v>
      </c>
      <c r="B14" s="199">
        <f>+scotiavar!B14</f>
        <v>34323</v>
      </c>
      <c r="C14" s="294">
        <f t="shared" si="0"/>
        <v>5.5958231939640824E-3</v>
      </c>
      <c r="D14" s="199">
        <f>+scotiavar!D14</f>
        <v>0</v>
      </c>
      <c r="E14" s="1524">
        <v>0</v>
      </c>
      <c r="F14" s="199">
        <f>+scotiavar!F14</f>
        <v>0</v>
      </c>
      <c r="G14" s="1524">
        <v>0</v>
      </c>
      <c r="H14" s="217">
        <f>+scotiavar!H14</f>
        <v>0</v>
      </c>
      <c r="I14" s="1524">
        <v>0</v>
      </c>
      <c r="J14" s="199">
        <f>+scotiavar!J14</f>
        <v>51527</v>
      </c>
      <c r="K14" s="294">
        <f t="shared" si="1"/>
        <v>8.7255132062141871E-3</v>
      </c>
      <c r="L14" s="199">
        <f>+scotiavar!L14</f>
        <v>85020</v>
      </c>
      <c r="M14" s="294">
        <f t="shared" si="2"/>
        <v>1.4586115123255418E-2</v>
      </c>
      <c r="N14" s="199">
        <f>+scotiavar!N14</f>
        <v>59929</v>
      </c>
      <c r="O14" s="294">
        <f t="shared" si="3"/>
        <v>1.2107448376821274E-2</v>
      </c>
      <c r="P14" s="199">
        <f>+scotiavar!P14</f>
        <v>42646</v>
      </c>
      <c r="Q14" s="294">
        <f t="shared" si="4"/>
        <v>9.3029769700819619E-3</v>
      </c>
    </row>
    <row r="15" spans="1:21" ht="15.6" customHeight="1">
      <c r="A15" s="10"/>
      <c r="B15" s="20">
        <f>SUM(B10:B14)</f>
        <v>3991811</v>
      </c>
      <c r="C15" s="52">
        <f t="shared" si="0"/>
        <v>0.65080175333510937</v>
      </c>
      <c r="D15" s="20">
        <f>SUM(D10:D14)</f>
        <v>0</v>
      </c>
      <c r="E15" s="49">
        <v>0</v>
      </c>
      <c r="F15" s="20">
        <f>SUM(F10:F14)</f>
        <v>0</v>
      </c>
      <c r="G15" s="49">
        <v>0</v>
      </c>
      <c r="H15" s="20">
        <f>SUM(H10:H14)</f>
        <v>0</v>
      </c>
      <c r="I15" s="49">
        <v>0</v>
      </c>
      <c r="J15" s="20">
        <f>SUM(J10:J14)</f>
        <v>3695029</v>
      </c>
      <c r="K15" s="52">
        <f t="shared" si="1"/>
        <v>0.62571126471256622</v>
      </c>
      <c r="L15" s="20">
        <f>SUM(L10:L14)</f>
        <v>3534819</v>
      </c>
      <c r="M15" s="52">
        <f t="shared" si="2"/>
        <v>0.60643703686039274</v>
      </c>
      <c r="N15" s="20">
        <f>SUM(N10:N14)</f>
        <v>2798518</v>
      </c>
      <c r="O15" s="52">
        <f t="shared" si="3"/>
        <v>0.56538424162934675</v>
      </c>
      <c r="P15" s="20">
        <f>SUM(P10:P14)</f>
        <v>2546779</v>
      </c>
      <c r="Q15" s="52">
        <f t="shared" si="4"/>
        <v>0.5555650327085393</v>
      </c>
    </row>
    <row r="16" spans="1:21" ht="7.9" customHeight="1">
      <c r="A16" s="10"/>
      <c r="C16" s="52" t="s">
        <v>0</v>
      </c>
      <c r="E16" s="49" t="s">
        <v>0</v>
      </c>
      <c r="G16" s="49" t="s">
        <v>0</v>
      </c>
      <c r="I16" s="49" t="s">
        <v>0</v>
      </c>
      <c r="K16" s="52" t="s">
        <v>0</v>
      </c>
      <c r="M16" s="52" t="s">
        <v>0</v>
      </c>
      <c r="O16" s="52" t="s">
        <v>0</v>
      </c>
      <c r="Q16" s="52" t="s">
        <v>0</v>
      </c>
    </row>
    <row r="17" spans="1:17" ht="15.6" customHeight="1">
      <c r="A17" s="10" t="s">
        <v>261</v>
      </c>
      <c r="B17" s="20">
        <f>+scotiavar!B17</f>
        <v>0</v>
      </c>
      <c r="C17" s="52">
        <f>+B17/$B$23</f>
        <v>0</v>
      </c>
      <c r="D17" s="20">
        <f>+scotiavar!D17</f>
        <v>0</v>
      </c>
      <c r="E17" s="49">
        <v>0</v>
      </c>
      <c r="F17" s="20">
        <f>+scotiavar!F17</f>
        <v>0</v>
      </c>
      <c r="G17" s="49">
        <v>0</v>
      </c>
      <c r="H17" s="20">
        <f>+scotiavar!H17</f>
        <v>0</v>
      </c>
      <c r="I17" s="49">
        <v>0</v>
      </c>
      <c r="J17" s="20">
        <f>+scotiavar!J17</f>
        <v>0</v>
      </c>
      <c r="K17" s="52">
        <f>+J17/$J$23</f>
        <v>0</v>
      </c>
      <c r="L17" s="20">
        <f>+scotiavar!L17</f>
        <v>0</v>
      </c>
      <c r="M17" s="52">
        <v>0</v>
      </c>
      <c r="N17" s="20">
        <f>+scotiavar!N17</f>
        <v>0</v>
      </c>
      <c r="O17" s="52">
        <f>+N17/$N$23</f>
        <v>0</v>
      </c>
      <c r="P17" s="20">
        <f>+scotiavar!P17</f>
        <v>150000</v>
      </c>
      <c r="Q17" s="52">
        <v>0</v>
      </c>
    </row>
    <row r="18" spans="1:17" ht="15.6" customHeight="1">
      <c r="A18" s="10" t="s">
        <v>909</v>
      </c>
      <c r="B18" s="20">
        <v>0</v>
      </c>
      <c r="C18" s="52">
        <v>0</v>
      </c>
      <c r="D18" s="20">
        <v>0</v>
      </c>
      <c r="E18" s="49">
        <v>0</v>
      </c>
      <c r="F18" s="20">
        <v>0</v>
      </c>
      <c r="G18" s="49">
        <v>0</v>
      </c>
      <c r="H18" s="20">
        <v>0</v>
      </c>
      <c r="I18" s="49">
        <v>0</v>
      </c>
      <c r="J18" s="20">
        <v>0</v>
      </c>
      <c r="K18" s="52">
        <v>0</v>
      </c>
      <c r="L18" s="20">
        <v>0</v>
      </c>
      <c r="M18" s="52">
        <v>0</v>
      </c>
      <c r="N18" s="20">
        <v>0</v>
      </c>
      <c r="O18" s="52">
        <v>0</v>
      </c>
      <c r="P18" s="20">
        <v>0</v>
      </c>
      <c r="Q18" s="52">
        <v>0</v>
      </c>
    </row>
    <row r="19" spans="1:17">
      <c r="A19" s="10" t="s">
        <v>262</v>
      </c>
      <c r="B19" s="20">
        <f>+scotiavar!B19</f>
        <v>0</v>
      </c>
      <c r="C19" s="52">
        <f>+B19/$B$23</f>
        <v>0</v>
      </c>
      <c r="D19" s="20">
        <f>+scotiavar!D19</f>
        <v>0</v>
      </c>
      <c r="E19" s="49">
        <v>0</v>
      </c>
      <c r="F19" s="20">
        <f>+scotiavar!F19</f>
        <v>0</v>
      </c>
      <c r="G19" s="49">
        <v>0</v>
      </c>
      <c r="H19" s="20">
        <f>+scotiavar!H19</f>
        <v>0</v>
      </c>
      <c r="I19" s="49">
        <v>0</v>
      </c>
      <c r="J19" s="20">
        <f>+scotiavar!J19</f>
        <v>0</v>
      </c>
      <c r="K19" s="52">
        <f>+J19/$J$23</f>
        <v>0</v>
      </c>
      <c r="L19" s="20">
        <f>+scotiavar!L19</f>
        <v>0</v>
      </c>
      <c r="M19" s="52">
        <f>+L19/$L$23</f>
        <v>0</v>
      </c>
      <c r="N19" s="20">
        <f>+scotiavar!N19</f>
        <v>0</v>
      </c>
      <c r="O19" s="52">
        <f>+N19/$N$23</f>
        <v>0</v>
      </c>
      <c r="P19" s="20">
        <f>+scotiavar!P19</f>
        <v>0</v>
      </c>
      <c r="Q19" s="52">
        <f t="shared" si="4"/>
        <v>0</v>
      </c>
    </row>
    <row r="20" spans="1:17">
      <c r="A20" s="10" t="s">
        <v>263</v>
      </c>
      <c r="B20" s="20">
        <f>+scotiavar!B20</f>
        <v>2063611</v>
      </c>
      <c r="C20" s="52">
        <f>+B20/$B$23</f>
        <v>0.33643918938086453</v>
      </c>
      <c r="D20" s="20">
        <f>+scotiavar!D20</f>
        <v>0</v>
      </c>
      <c r="E20" s="49">
        <v>0</v>
      </c>
      <c r="F20" s="20">
        <f>+scotiavar!F20</f>
        <v>0</v>
      </c>
      <c r="G20" s="49">
        <v>0</v>
      </c>
      <c r="H20" s="20">
        <f>+scotiavar!H20</f>
        <v>0</v>
      </c>
      <c r="I20" s="49">
        <v>0</v>
      </c>
      <c r="J20" s="20">
        <f>+scotiavar!J20</f>
        <v>2154182</v>
      </c>
      <c r="K20" s="52">
        <f>+J20/$J$23</f>
        <v>0.36478629630269355</v>
      </c>
      <c r="L20" s="20">
        <f>+scotiavar!L20</f>
        <v>2201715</v>
      </c>
      <c r="M20" s="52">
        <f>+L20/$L$23</f>
        <v>0.37772839871322395</v>
      </c>
      <c r="N20" s="20">
        <f>+scotiavar!N20</f>
        <v>2086555</v>
      </c>
      <c r="O20" s="52">
        <f>+N20/$N$23</f>
        <v>0.4215464457591202</v>
      </c>
      <c r="P20" s="20">
        <f>+scotiavar!P20</f>
        <v>1823893</v>
      </c>
      <c r="Q20" s="52">
        <f t="shared" si="4"/>
        <v>0.39787165443168643</v>
      </c>
    </row>
    <row r="21" spans="1:17">
      <c r="A21" s="10" t="s">
        <v>264</v>
      </c>
      <c r="B21" s="20">
        <f>+scotiavar!B21</f>
        <v>65712</v>
      </c>
      <c r="C21" s="52">
        <f>+B21/$B$23</f>
        <v>1.0713304015434775E-2</v>
      </c>
      <c r="D21" s="20">
        <f>+scotiavar!D21</f>
        <v>0</v>
      </c>
      <c r="E21" s="49">
        <v>0</v>
      </c>
      <c r="F21" s="20">
        <f>+scotiavar!F21</f>
        <v>0</v>
      </c>
      <c r="G21" s="49">
        <v>0</v>
      </c>
      <c r="H21" s="20">
        <f>+scotiavar!H21</f>
        <v>0</v>
      </c>
      <c r="I21" s="49">
        <v>0</v>
      </c>
      <c r="J21" s="20">
        <f>+scotiavar!J21</f>
        <v>47824</v>
      </c>
      <c r="K21" s="52">
        <f>+J21/$J$23</f>
        <v>8.0984521430315613E-3</v>
      </c>
      <c r="L21" s="20">
        <f>+scotiavar!L21</f>
        <v>75578</v>
      </c>
      <c r="M21" s="52">
        <f>+L21/$L$23</f>
        <v>1.2966236283055727E-2</v>
      </c>
      <c r="N21" s="20">
        <f>+scotiavar!N21</f>
        <v>54511</v>
      </c>
      <c r="O21" s="52">
        <f>+N21/$N$23</f>
        <v>1.1012850514256945E-2</v>
      </c>
      <c r="P21" s="20">
        <f>+scotiavar!P21</f>
        <v>48614</v>
      </c>
      <c r="Q21" s="52">
        <f t="shared" si="4"/>
        <v>1.0604861474078799E-2</v>
      </c>
    </row>
    <row r="22" spans="1:17" ht="16.5" thickBot="1">
      <c r="A22" s="10" t="s">
        <v>265</v>
      </c>
      <c r="B22" s="97">
        <f>+scotiavar!B22</f>
        <v>12548</v>
      </c>
      <c r="C22" s="295">
        <f>+B22/$B$23</f>
        <v>2.0457532685913618E-3</v>
      </c>
      <c r="D22" s="97">
        <f>+scotiavar!D22</f>
        <v>0</v>
      </c>
      <c r="E22" s="209">
        <v>0</v>
      </c>
      <c r="F22" s="97">
        <f>+scotiavar!F22</f>
        <v>0</v>
      </c>
      <c r="G22" s="209">
        <v>0</v>
      </c>
      <c r="H22" s="79">
        <f>+scotiavar!H22</f>
        <v>0</v>
      </c>
      <c r="I22" s="209">
        <v>0</v>
      </c>
      <c r="J22" s="97">
        <f>+scotiavar!J22</f>
        <v>8291</v>
      </c>
      <c r="K22" s="295">
        <f>+J22/$J$23</f>
        <v>1.4039868417086542E-3</v>
      </c>
      <c r="L22" s="97">
        <f>+scotiavar!L22</f>
        <v>16719</v>
      </c>
      <c r="M22" s="295">
        <f>+L22/$L$23</f>
        <v>2.8683281433275385E-3</v>
      </c>
      <c r="N22" s="97">
        <f>+scotiavar!N22</f>
        <v>10179</v>
      </c>
      <c r="O22" s="295">
        <f>+N22/$N$23</f>
        <v>2.0564620972761726E-3</v>
      </c>
      <c r="P22" s="97">
        <f>+scotiavar!P22</f>
        <v>14838</v>
      </c>
      <c r="Q22" s="295">
        <f t="shared" si="4"/>
        <v>3.2368234367133176E-3</v>
      </c>
    </row>
    <row r="23" spans="1:17">
      <c r="A23" s="10" t="s">
        <v>54</v>
      </c>
      <c r="B23" s="13">
        <f t="shared" ref="B23:H23" si="5">SUM(B15:B22)</f>
        <v>6133682</v>
      </c>
      <c r="C23" s="109">
        <f t="shared" si="5"/>
        <v>1</v>
      </c>
      <c r="D23" s="13">
        <f t="shared" si="5"/>
        <v>0</v>
      </c>
      <c r="E23" s="47">
        <v>0</v>
      </c>
      <c r="F23" s="13">
        <f t="shared" si="5"/>
        <v>0</v>
      </c>
      <c r="G23" s="47">
        <v>0</v>
      </c>
      <c r="H23" s="13">
        <f t="shared" si="5"/>
        <v>0</v>
      </c>
      <c r="I23" s="47">
        <v>0</v>
      </c>
      <c r="J23" s="13">
        <f t="shared" ref="J23:Q23" si="6">SUM(J15:J22)</f>
        <v>5905326</v>
      </c>
      <c r="K23" s="109">
        <f t="shared" si="6"/>
        <v>0.99999999999999989</v>
      </c>
      <c r="L23" s="13">
        <f t="shared" si="6"/>
        <v>5828831</v>
      </c>
      <c r="M23" s="109">
        <f t="shared" si="6"/>
        <v>0.99999999999999989</v>
      </c>
      <c r="N23" s="13">
        <f t="shared" si="6"/>
        <v>4949763</v>
      </c>
      <c r="O23" s="109">
        <f t="shared" si="6"/>
        <v>1</v>
      </c>
      <c r="P23" s="13">
        <f t="shared" si="6"/>
        <v>4584124</v>
      </c>
      <c r="Q23" s="109">
        <f t="shared" si="6"/>
        <v>0.96727837205101785</v>
      </c>
    </row>
    <row r="24" spans="1:17" ht="7.9" customHeight="1">
      <c r="A24" s="10"/>
      <c r="C24" s="112" t="s">
        <v>0</v>
      </c>
      <c r="E24" s="49" t="s">
        <v>0</v>
      </c>
      <c r="G24" s="49" t="s">
        <v>0</v>
      </c>
      <c r="I24" s="49" t="s">
        <v>0</v>
      </c>
      <c r="K24" s="52" t="s">
        <v>0</v>
      </c>
      <c r="M24" s="52" t="s">
        <v>0</v>
      </c>
      <c r="O24" s="52" t="s">
        <v>0</v>
      </c>
      <c r="Q24" s="52" t="s">
        <v>0</v>
      </c>
    </row>
    <row r="25" spans="1:17">
      <c r="A25" s="86" t="s">
        <v>266</v>
      </c>
      <c r="C25" s="112" t="s">
        <v>0</v>
      </c>
      <c r="E25" s="49" t="s">
        <v>0</v>
      </c>
      <c r="G25" s="49" t="s">
        <v>0</v>
      </c>
      <c r="I25" s="49" t="s">
        <v>0</v>
      </c>
      <c r="K25" s="52" t="s">
        <v>0</v>
      </c>
      <c r="M25" s="52" t="s">
        <v>0</v>
      </c>
      <c r="O25" s="52" t="s">
        <v>0</v>
      </c>
      <c r="Q25" s="52" t="s">
        <v>0</v>
      </c>
    </row>
    <row r="26" spans="1:17">
      <c r="A26" s="10" t="s">
        <v>267</v>
      </c>
      <c r="C26" s="112" t="s">
        <v>0</v>
      </c>
      <c r="E26" s="49" t="s">
        <v>0</v>
      </c>
      <c r="G26" s="49" t="s">
        <v>0</v>
      </c>
      <c r="I26" s="49" t="s">
        <v>0</v>
      </c>
      <c r="K26" s="52" t="s">
        <v>0</v>
      </c>
      <c r="M26" s="52" t="s">
        <v>0</v>
      </c>
      <c r="O26" s="52" t="s">
        <v>0</v>
      </c>
      <c r="Q26" s="52" t="s">
        <v>0</v>
      </c>
    </row>
    <row r="27" spans="1:17">
      <c r="A27" s="10" t="s">
        <v>268</v>
      </c>
      <c r="B27" s="20">
        <f>+scotiavar!B27</f>
        <v>3211364</v>
      </c>
      <c r="C27" s="52">
        <f>+B27/$B$23</f>
        <v>0.52356219314923724</v>
      </c>
      <c r="D27" s="20">
        <f>+scotiavar!D27</f>
        <v>0</v>
      </c>
      <c r="E27" s="49">
        <v>0</v>
      </c>
      <c r="F27" s="20">
        <f>+scotiavar!F27</f>
        <v>0</v>
      </c>
      <c r="G27" s="49">
        <v>0</v>
      </c>
      <c r="H27" s="20">
        <f>+scotiavar!H27</f>
        <v>0</v>
      </c>
      <c r="I27" s="49">
        <v>0</v>
      </c>
      <c r="J27" s="20">
        <f>+scotiavar!J27</f>
        <v>3067361</v>
      </c>
      <c r="K27" s="52">
        <f>+J27/$J$23</f>
        <v>0.51942280578582789</v>
      </c>
      <c r="L27" s="20">
        <f>+scotiavar!L27</f>
        <v>2773264</v>
      </c>
      <c r="M27" s="52">
        <f>+L27/$L$23</f>
        <v>0.47578390932933207</v>
      </c>
      <c r="N27" s="20">
        <f>+scotiavar!N27</f>
        <v>2216716</v>
      </c>
      <c r="O27" s="52">
        <f>+N27/$N$23</f>
        <v>0.44784285631453463</v>
      </c>
      <c r="P27" s="20">
        <f>+scotiavar!P27</f>
        <v>1913087</v>
      </c>
      <c r="Q27" s="52">
        <f t="shared" si="4"/>
        <v>0.41732880698689651</v>
      </c>
    </row>
    <row r="28" spans="1:17">
      <c r="A28" s="10" t="s">
        <v>269</v>
      </c>
      <c r="B28" s="20">
        <f>+scotiavar!B28</f>
        <v>1689229</v>
      </c>
      <c r="C28" s="52">
        <f>+B28/$B$23</f>
        <v>0.27540211572755158</v>
      </c>
      <c r="D28" s="20">
        <f>+scotiavar!D28</f>
        <v>0</v>
      </c>
      <c r="E28" s="49">
        <v>0</v>
      </c>
      <c r="F28" s="20">
        <f>+scotiavar!F28</f>
        <v>0</v>
      </c>
      <c r="G28" s="49">
        <v>0</v>
      </c>
      <c r="H28" s="20">
        <f>+scotiavar!H28</f>
        <v>0</v>
      </c>
      <c r="I28" s="49">
        <v>0</v>
      </c>
      <c r="J28" s="20">
        <f>+scotiavar!J28</f>
        <v>1522098</v>
      </c>
      <c r="K28" s="52">
        <f>+J28/$J$23</f>
        <v>0.2577500378471908</v>
      </c>
      <c r="L28" s="20">
        <f>+scotiavar!L28</f>
        <v>1388451</v>
      </c>
      <c r="M28" s="52">
        <f>+L28/$L$23</f>
        <v>0.23820402410020122</v>
      </c>
      <c r="N28" s="20">
        <f>+scotiavar!N28</f>
        <v>1290146</v>
      </c>
      <c r="O28" s="52">
        <f>+N28/$N$23</f>
        <v>0.26064803506753759</v>
      </c>
      <c r="P28" s="20">
        <f>+scotiavar!P28</f>
        <v>1143934</v>
      </c>
      <c r="Q28" s="52">
        <f t="shared" si="4"/>
        <v>0.24954255164127323</v>
      </c>
    </row>
    <row r="29" spans="1:17">
      <c r="A29" s="10" t="s">
        <v>270</v>
      </c>
      <c r="B29" s="199">
        <f>+scotiavar!B29</f>
        <v>325603</v>
      </c>
      <c r="C29" s="294">
        <f>+B29/$B$23</f>
        <v>5.3084427917847711E-2</v>
      </c>
      <c r="D29" s="199">
        <f>+scotiavar!D29</f>
        <v>0</v>
      </c>
      <c r="E29" s="1524">
        <v>0</v>
      </c>
      <c r="F29" s="199">
        <f>+scotiavar!F29</f>
        <v>0</v>
      </c>
      <c r="G29" s="1524">
        <v>0</v>
      </c>
      <c r="H29" s="217">
        <f>+scotiavar!H29</f>
        <v>0</v>
      </c>
      <c r="I29" s="1524">
        <v>0</v>
      </c>
      <c r="J29" s="199">
        <f>+scotiavar!J29</f>
        <v>435309</v>
      </c>
      <c r="K29" s="294">
        <f>+J29/$J$23</f>
        <v>7.3714643357538606E-2</v>
      </c>
      <c r="L29" s="199">
        <f>+scotiavar!L29</f>
        <v>547339</v>
      </c>
      <c r="M29" s="294">
        <f>+L29/$L$23</f>
        <v>9.3902019118413282E-2</v>
      </c>
      <c r="N29" s="199">
        <f>+scotiavar!N29</f>
        <v>661199</v>
      </c>
      <c r="O29" s="294">
        <f>+N29/$N$23</f>
        <v>0.13358195129746617</v>
      </c>
      <c r="P29" s="199">
        <f>+scotiavar!P29</f>
        <v>709119</v>
      </c>
      <c r="Q29" s="294">
        <f t="shared" ref="Q29:Q45" si="7">+P29/$P$23</f>
        <v>0.15469018726369532</v>
      </c>
    </row>
    <row r="30" spans="1:17">
      <c r="A30" s="10"/>
      <c r="B30" s="20">
        <f>SUM(B27:B29)</f>
        <v>5226196</v>
      </c>
      <c r="C30" s="52">
        <f>+B30/$B$23</f>
        <v>0.85204873679463655</v>
      </c>
      <c r="D30" s="20">
        <f>SUM(D27:D29)</f>
        <v>0</v>
      </c>
      <c r="E30" s="49">
        <v>0</v>
      </c>
      <c r="F30" s="20">
        <f>SUM(F27:F29)</f>
        <v>0</v>
      </c>
      <c r="G30" s="49">
        <v>0</v>
      </c>
      <c r="H30" s="20">
        <f>SUM(H27:H29)</f>
        <v>0</v>
      </c>
      <c r="I30" s="49">
        <v>0</v>
      </c>
      <c r="J30" s="20">
        <f>SUM(J27:J29)</f>
        <v>5024768</v>
      </c>
      <c r="K30" s="52">
        <f>+J30/$J$23</f>
        <v>0.85088748699055738</v>
      </c>
      <c r="L30" s="20">
        <f>SUM(L27:L29)</f>
        <v>4709054</v>
      </c>
      <c r="M30" s="52">
        <f>+L30/$L$23</f>
        <v>0.8078899525479466</v>
      </c>
      <c r="N30" s="20">
        <f>SUM(N27:N29)</f>
        <v>4168061</v>
      </c>
      <c r="O30" s="52">
        <f>+N30/$N$23</f>
        <v>0.84207284267953841</v>
      </c>
      <c r="P30" s="20">
        <f>SUM(P27:P29)</f>
        <v>3766140</v>
      </c>
      <c r="Q30" s="52">
        <f t="shared" si="7"/>
        <v>0.82156154589186503</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+scotiavar!B33</f>
        <v>0</v>
      </c>
      <c r="C33" s="52">
        <f>+B33/$B$23</f>
        <v>0</v>
      </c>
      <c r="D33" s="20">
        <f>+scotiavar!D33</f>
        <v>0</v>
      </c>
      <c r="E33" s="49">
        <v>0</v>
      </c>
      <c r="F33" s="20">
        <f>+scotiavar!F33</f>
        <v>0</v>
      </c>
      <c r="G33" s="49">
        <v>0</v>
      </c>
      <c r="H33" s="20">
        <f>+scotiavar!H33</f>
        <v>0</v>
      </c>
      <c r="I33" s="49">
        <v>0</v>
      </c>
      <c r="J33" s="20">
        <f>+scotiavar!J33</f>
        <v>0</v>
      </c>
      <c r="K33" s="52">
        <f>+J33/$J$23</f>
        <v>0</v>
      </c>
      <c r="L33" s="20">
        <f>+scotiavar!L33</f>
        <v>0</v>
      </c>
      <c r="M33" s="52">
        <f>+L33/$L$23</f>
        <v>0</v>
      </c>
      <c r="N33" s="20">
        <f>+scotiavar!N33</f>
        <v>0</v>
      </c>
      <c r="O33" s="52">
        <f>+N33/$N$23</f>
        <v>0</v>
      </c>
      <c r="P33" s="20">
        <f>+scotiavar!P33</f>
        <v>0</v>
      </c>
      <c r="Q33" s="52">
        <f t="shared" si="7"/>
        <v>0</v>
      </c>
    </row>
    <row r="34" spans="1:21">
      <c r="A34" s="10" t="s">
        <v>273</v>
      </c>
      <c r="B34" s="20">
        <f>+scotiavar!B34</f>
        <v>0</v>
      </c>
      <c r="C34" s="52">
        <f>+B34/$B$23</f>
        <v>0</v>
      </c>
      <c r="D34" s="20">
        <f>+scotiavar!D34</f>
        <v>0</v>
      </c>
      <c r="E34" s="49">
        <v>0</v>
      </c>
      <c r="F34" s="20">
        <f>+scotiavar!F34</f>
        <v>0</v>
      </c>
      <c r="G34" s="49">
        <v>0</v>
      </c>
      <c r="H34" s="20">
        <f>+scotiavar!H34</f>
        <v>0</v>
      </c>
      <c r="I34" s="49">
        <v>0</v>
      </c>
      <c r="J34" s="20">
        <f>+scotiavar!J34</f>
        <v>0</v>
      </c>
      <c r="K34" s="52">
        <f>+J34/$J$23</f>
        <v>0</v>
      </c>
      <c r="L34" s="20">
        <f>+scotiavar!L34</f>
        <v>0</v>
      </c>
      <c r="M34" s="52">
        <f>+L34/$L$23</f>
        <v>0</v>
      </c>
      <c r="N34" s="20">
        <f>+scotiavar!N34</f>
        <v>0</v>
      </c>
      <c r="O34" s="52">
        <f>+N34/$N$23</f>
        <v>0</v>
      </c>
      <c r="P34" s="20">
        <f>+scotiavar!P34</f>
        <v>0</v>
      </c>
      <c r="Q34" s="52">
        <f t="shared" si="7"/>
        <v>0</v>
      </c>
    </row>
    <row r="35" spans="1:21" ht="18">
      <c r="A35" s="10" t="s">
        <v>274</v>
      </c>
      <c r="B35" s="199">
        <f>+scotiavar!B35</f>
        <v>229687</v>
      </c>
      <c r="C35" s="294">
        <f>+B35/$B$23</f>
        <v>3.7446838619934975E-2</v>
      </c>
      <c r="D35" s="199">
        <f>+scotiavar!D35</f>
        <v>0</v>
      </c>
      <c r="E35" s="1524">
        <v>0</v>
      </c>
      <c r="F35" s="199">
        <f>+scotiavar!F35</f>
        <v>0</v>
      </c>
      <c r="G35" s="1524">
        <v>0</v>
      </c>
      <c r="H35" s="217">
        <f>+scotiavar!H35</f>
        <v>0</v>
      </c>
      <c r="I35" s="1524">
        <v>0</v>
      </c>
      <c r="J35" s="199">
        <f>+scotiavar!J35</f>
        <v>219650</v>
      </c>
      <c r="K35" s="294">
        <f>+J35/$J$23</f>
        <v>3.7195236977602929E-2</v>
      </c>
      <c r="L35" s="199">
        <f>+scotiavar!L35</f>
        <v>172132</v>
      </c>
      <c r="M35" s="294">
        <f>+L35/$L$23</f>
        <v>2.9531135831524367E-2</v>
      </c>
      <c r="N35" s="199">
        <f>+scotiavar!N35</f>
        <v>160285</v>
      </c>
      <c r="O35" s="294">
        <f>+N35/$N$23</f>
        <v>3.2382358508882145E-2</v>
      </c>
      <c r="P35" s="199">
        <f>+scotiavar!P35</f>
        <v>227942</v>
      </c>
      <c r="Q35" s="294">
        <f t="shared" si="7"/>
        <v>4.9724222119645979E-2</v>
      </c>
      <c r="R35" s="14"/>
      <c r="S35" s="15"/>
      <c r="T35" s="15"/>
      <c r="U35" s="15"/>
    </row>
    <row r="36" spans="1:21">
      <c r="A36" s="10"/>
      <c r="B36" s="20">
        <f>SUM(B33:B35)</f>
        <v>229687</v>
      </c>
      <c r="C36" s="52">
        <f>+B36/$B$23</f>
        <v>3.7446838619934975E-2</v>
      </c>
      <c r="D36" s="20">
        <f>SUM(D33:D35)</f>
        <v>0</v>
      </c>
      <c r="E36" s="49">
        <v>0</v>
      </c>
      <c r="F36" s="20">
        <f>SUM(F33:F35)</f>
        <v>0</v>
      </c>
      <c r="G36" s="49">
        <v>0</v>
      </c>
      <c r="H36" s="20">
        <f>SUM(H33:H35)</f>
        <v>0</v>
      </c>
      <c r="I36" s="49">
        <v>0</v>
      </c>
      <c r="J36" s="20">
        <f>SUM(J33:J35)</f>
        <v>219650</v>
      </c>
      <c r="K36" s="52">
        <f>+J36/$J$23</f>
        <v>3.7195236977602929E-2</v>
      </c>
      <c r="L36" s="20">
        <f>SUM(L33:L35)</f>
        <v>172132</v>
      </c>
      <c r="M36" s="52">
        <f>+L36/$L$23</f>
        <v>2.9531135831524367E-2</v>
      </c>
      <c r="N36" s="20">
        <f>SUM(N33:N35)</f>
        <v>160285</v>
      </c>
      <c r="O36" s="52">
        <f>+N36/$N$23</f>
        <v>3.2382358508882145E-2</v>
      </c>
      <c r="P36" s="20">
        <f>SUM(P33:P35)</f>
        <v>227942</v>
      </c>
      <c r="Q36" s="52">
        <f t="shared" si="7"/>
        <v>4.9724222119645979E-2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+scotiavar!B39</f>
        <v>0</v>
      </c>
      <c r="C39" s="52">
        <f>+B39/$B$23</f>
        <v>0</v>
      </c>
      <c r="D39" s="20">
        <f>+scotiavar!D39</f>
        <v>0</v>
      </c>
      <c r="E39" s="49">
        <v>0</v>
      </c>
      <c r="F39" s="20">
        <f>+scotiavar!F39</f>
        <v>0</v>
      </c>
      <c r="G39" s="49">
        <v>0</v>
      </c>
      <c r="H39" s="20">
        <f>+scotiavar!H39</f>
        <v>0</v>
      </c>
      <c r="I39" s="49">
        <v>0</v>
      </c>
      <c r="J39" s="20">
        <f>+scotiavar!J39</f>
        <v>0</v>
      </c>
      <c r="K39" s="52">
        <f>+J39/$J$23</f>
        <v>0</v>
      </c>
      <c r="L39" s="20">
        <f>+scotiavar!L39</f>
        <v>0</v>
      </c>
      <c r="M39" s="52">
        <f>+L39/$L$23</f>
        <v>0</v>
      </c>
      <c r="N39" s="20">
        <f>+scotiavar!N39</f>
        <v>0</v>
      </c>
      <c r="O39" s="52">
        <f>+N39/$N$23</f>
        <v>0</v>
      </c>
      <c r="P39" s="20">
        <f>+scotiavar!P39</f>
        <v>0</v>
      </c>
      <c r="Q39" s="52">
        <f t="shared" si="7"/>
        <v>0</v>
      </c>
    </row>
    <row r="40" spans="1:21">
      <c r="A40" s="10" t="s">
        <v>276</v>
      </c>
      <c r="B40" s="20">
        <f>+scotiavar!B40</f>
        <v>0</v>
      </c>
      <c r="C40" s="52">
        <f>+B40/$B$23</f>
        <v>0</v>
      </c>
      <c r="D40" s="20">
        <f>+scotiavar!D40</f>
        <v>0</v>
      </c>
      <c r="E40" s="49">
        <v>0</v>
      </c>
      <c r="F40" s="20">
        <f>+scotiavar!F40</f>
        <v>0</v>
      </c>
      <c r="G40" s="49">
        <v>0</v>
      </c>
      <c r="H40" s="20">
        <f>+scotiavar!H40</f>
        <v>0</v>
      </c>
      <c r="I40" s="49">
        <v>0</v>
      </c>
      <c r="J40" s="20">
        <f>+scotiavar!J40</f>
        <v>0</v>
      </c>
      <c r="K40" s="52">
        <f>+J40/$J$23</f>
        <v>0</v>
      </c>
      <c r="L40" s="20">
        <f>+scotiavar!L40</f>
        <v>0</v>
      </c>
      <c r="M40" s="52">
        <f>+L40/$L$23</f>
        <v>0</v>
      </c>
      <c r="N40" s="20">
        <f>+scotiavar!N40</f>
        <v>0</v>
      </c>
      <c r="O40" s="52">
        <f>+N40/$N$23</f>
        <v>0</v>
      </c>
      <c r="P40" s="20">
        <f>+scotiavar!P40</f>
        <v>0</v>
      </c>
      <c r="Q40" s="52">
        <f t="shared" si="7"/>
        <v>0</v>
      </c>
    </row>
    <row r="41" spans="1:21">
      <c r="A41" s="10" t="s">
        <v>274</v>
      </c>
      <c r="B41" s="199">
        <f>+scotiavar!B41</f>
        <v>29171</v>
      </c>
      <c r="C41" s="294">
        <f>+B41/$B$23</f>
        <v>4.7558709434235421E-3</v>
      </c>
      <c r="D41" s="199">
        <f>+scotiavar!D41</f>
        <v>0</v>
      </c>
      <c r="E41" s="1524">
        <v>0</v>
      </c>
      <c r="F41" s="199">
        <f>+scotiavar!F41</f>
        <v>0</v>
      </c>
      <c r="G41" s="1524">
        <v>0</v>
      </c>
      <c r="H41" s="217">
        <f>+scotiavar!H41</f>
        <v>0</v>
      </c>
      <c r="I41" s="1524">
        <v>0</v>
      </c>
      <c r="J41" s="199">
        <f>+scotiavar!J41</f>
        <v>32145</v>
      </c>
      <c r="K41" s="294">
        <f>+J41/$J$23</f>
        <v>5.4433912708629463E-3</v>
      </c>
      <c r="L41" s="199">
        <f>+scotiavar!L41</f>
        <v>64486</v>
      </c>
      <c r="M41" s="294">
        <f>+L41/$L$23</f>
        <v>1.1063281814140777E-2</v>
      </c>
      <c r="N41" s="199">
        <f>+scotiavar!N41</f>
        <v>53924</v>
      </c>
      <c r="O41" s="294">
        <f>+N41/$N$23</f>
        <v>1.0894258977652062E-2</v>
      </c>
      <c r="P41" s="199">
        <f>+scotiavar!P41</f>
        <v>28117</v>
      </c>
      <c r="Q41" s="294">
        <f t="shared" si="7"/>
        <v>6.1335600869435467E-3</v>
      </c>
    </row>
    <row r="42" spans="1:21">
      <c r="A42" s="10"/>
      <c r="B42" s="20">
        <f>SUM(B39:B41)</f>
        <v>29171</v>
      </c>
      <c r="C42" s="52">
        <f>+B42/$B$23</f>
        <v>4.7558709434235421E-3</v>
      </c>
      <c r="D42" s="20">
        <f>SUM(D39:D41)</f>
        <v>0</v>
      </c>
      <c r="E42" s="49">
        <v>0</v>
      </c>
      <c r="F42" s="20">
        <f>SUM(F39:F41)</f>
        <v>0</v>
      </c>
      <c r="G42" s="49">
        <v>0</v>
      </c>
      <c r="H42" s="20">
        <f>SUM(H39:H41)</f>
        <v>0</v>
      </c>
      <c r="I42" s="49">
        <v>0</v>
      </c>
      <c r="J42" s="20">
        <f>SUM(J39:J41)</f>
        <v>32145</v>
      </c>
      <c r="K42" s="52">
        <f>+J42/$J$23</f>
        <v>5.4433912708629463E-3</v>
      </c>
      <c r="L42" s="20">
        <f>SUM(L39:L41)</f>
        <v>64486</v>
      </c>
      <c r="M42" s="52">
        <f>+L42/$L$23</f>
        <v>1.1063281814140777E-2</v>
      </c>
      <c r="N42" s="20">
        <f>SUM(N39:N41)</f>
        <v>53924</v>
      </c>
      <c r="O42" s="52">
        <f>+N42/$N$23</f>
        <v>1.0894258977652062E-2</v>
      </c>
      <c r="P42" s="20">
        <f>SUM(P39:P41)</f>
        <v>28117</v>
      </c>
      <c r="Q42" s="52">
        <f t="shared" si="7"/>
        <v>6.1335600869435467E-3</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+scotiavar!B44</f>
        <v>375869</v>
      </c>
      <c r="C44" s="294">
        <f>+B44/$B$23</f>
        <v>6.1279505523762073E-2</v>
      </c>
      <c r="D44" s="199">
        <f>+scotiavar!D44</f>
        <v>0</v>
      </c>
      <c r="E44" s="1524">
        <v>0</v>
      </c>
      <c r="F44" s="199">
        <f>+scotiavar!F44</f>
        <v>0</v>
      </c>
      <c r="G44" s="1524">
        <v>0</v>
      </c>
      <c r="H44" s="217">
        <f>+scotiavar!H44</f>
        <v>0</v>
      </c>
      <c r="I44" s="1524">
        <v>0</v>
      </c>
      <c r="J44" s="199">
        <f>+scotiavar!J44</f>
        <v>381529</v>
      </c>
      <c r="K44" s="294">
        <f>+J44/$J$23</f>
        <v>6.4607610147179001E-2</v>
      </c>
      <c r="L44" s="199">
        <f>+scotiavar!L44</f>
        <v>625199</v>
      </c>
      <c r="M44" s="294">
        <f>+L44/$L$23</f>
        <v>0.10725975757403157</v>
      </c>
      <c r="N44" s="199">
        <f>+scotiavar!N44</f>
        <v>363592</v>
      </c>
      <c r="O44" s="294">
        <f>+N44/$N$23</f>
        <v>7.3456446298539951E-2</v>
      </c>
      <c r="P44" s="199">
        <f>+scotiavar!P44</f>
        <v>346382</v>
      </c>
      <c r="Q44" s="294">
        <f t="shared" si="7"/>
        <v>7.5561219548162306E-2</v>
      </c>
      <c r="R44" s="14"/>
    </row>
    <row r="45" spans="1:21">
      <c r="A45" s="10"/>
      <c r="B45" s="20">
        <f>+B30+B36+B42+B44</f>
        <v>5860923</v>
      </c>
      <c r="C45" s="52">
        <f>+B45/$B$23</f>
        <v>0.95553095188175718</v>
      </c>
      <c r="D45" s="20">
        <f>+D30+D36+D42+D44</f>
        <v>0</v>
      </c>
      <c r="E45" s="49">
        <v>0</v>
      </c>
      <c r="F45" s="20">
        <f>+F30+F36+F42+F44</f>
        <v>0</v>
      </c>
      <c r="G45" s="49">
        <v>0</v>
      </c>
      <c r="H45" s="20">
        <f>+H30+H36+H42+H44</f>
        <v>0</v>
      </c>
      <c r="I45" s="49">
        <v>0</v>
      </c>
      <c r="J45" s="20">
        <f>+J30+J36+J42+J44</f>
        <v>5658092</v>
      </c>
      <c r="K45" s="52">
        <f>+J45/$J$23</f>
        <v>0.95813372538620223</v>
      </c>
      <c r="L45" s="20">
        <f>+L30+L36+L42+L44</f>
        <v>5570871</v>
      </c>
      <c r="M45" s="52">
        <f>+L45/$L$23</f>
        <v>0.95574412776764328</v>
      </c>
      <c r="N45" s="20">
        <f>+N30+N36+N42+N44</f>
        <v>4745862</v>
      </c>
      <c r="O45" s="52">
        <f>+N45/$N$23</f>
        <v>0.9588059064646125</v>
      </c>
      <c r="P45" s="20">
        <f>+P30+P36+P42+P44</f>
        <v>4368581</v>
      </c>
      <c r="Q45" s="52">
        <f t="shared" si="7"/>
        <v>0.95298054764661688</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+scotiavar!B48</f>
        <v>94373</v>
      </c>
      <c r="C48" s="52">
        <f t="shared" ref="C48:C53" si="8">+B48/$B$23</f>
        <v>1.538602751169689E-2</v>
      </c>
      <c r="D48" s="20">
        <f>+scotiavar!D48</f>
        <v>0</v>
      </c>
      <c r="E48" s="49">
        <v>0</v>
      </c>
      <c r="F48" s="20">
        <f>+scotiavar!F48</f>
        <v>0</v>
      </c>
      <c r="G48" s="49">
        <v>0</v>
      </c>
      <c r="H48" s="20">
        <f>+scotiavar!H48</f>
        <v>0</v>
      </c>
      <c r="I48" s="49">
        <v>0</v>
      </c>
      <c r="J48" s="20">
        <f>+scotiavar!J48</f>
        <v>94373</v>
      </c>
      <c r="K48" s="52">
        <f t="shared" ref="K48:K53" si="9">+J48/$J$23</f>
        <v>1.5980997492771779E-2</v>
      </c>
      <c r="L48" s="20">
        <f>+scotiavar!L48</f>
        <v>94373</v>
      </c>
      <c r="M48" s="52">
        <f t="shared" ref="M48:M53" si="10">+L48/$L$23</f>
        <v>1.6190725035603194E-2</v>
      </c>
      <c r="N48" s="20">
        <f>+scotiavar!N48</f>
        <v>94373</v>
      </c>
      <c r="O48" s="52">
        <f t="shared" ref="O48:O53" si="11">+N48/$N$23</f>
        <v>1.9066165390140902E-2</v>
      </c>
      <c r="P48" s="20">
        <f>+scotiavar!P48</f>
        <v>94372</v>
      </c>
      <c r="Q48" s="52">
        <f t="shared" ref="Q48:Q53" si="12">+P48/$P$23</f>
        <v>2.0586703152008976E-2</v>
      </c>
    </row>
    <row r="49" spans="1:21">
      <c r="A49" s="10" t="s">
        <v>280</v>
      </c>
      <c r="B49" s="20">
        <f>+scotiavar!B49</f>
        <v>72418</v>
      </c>
      <c r="C49" s="52">
        <f t="shared" si="8"/>
        <v>1.1806611428502489E-2</v>
      </c>
      <c r="D49" s="20">
        <f>+scotiavar!D49</f>
        <v>0</v>
      </c>
      <c r="E49" s="49">
        <v>0</v>
      </c>
      <c r="F49" s="20">
        <f>+scotiavar!F49</f>
        <v>0</v>
      </c>
      <c r="G49" s="49">
        <v>0</v>
      </c>
      <c r="H49" s="20">
        <f>+scotiavar!H49</f>
        <v>0</v>
      </c>
      <c r="I49" s="49">
        <v>0</v>
      </c>
      <c r="J49" s="20">
        <f>+scotiavar!J49</f>
        <v>73658</v>
      </c>
      <c r="K49" s="52">
        <f t="shared" si="9"/>
        <v>1.2473147121767706E-2</v>
      </c>
      <c r="L49" s="20">
        <f>+scotiavar!L49</f>
        <v>73899</v>
      </c>
      <c r="M49" s="52">
        <f t="shared" si="10"/>
        <v>1.2678185385714563E-2</v>
      </c>
      <c r="N49" s="20">
        <f>+scotiavar!N49</f>
        <v>71875</v>
      </c>
      <c r="O49" s="52">
        <f t="shared" si="11"/>
        <v>1.4520897263161893E-2</v>
      </c>
      <c r="P49" s="20">
        <f>+scotiavar!P49</f>
        <v>67566</v>
      </c>
      <c r="Q49" s="52">
        <f t="shared" si="12"/>
        <v>1.4739130093339534E-2</v>
      </c>
    </row>
    <row r="50" spans="1:21">
      <c r="A50" s="10" t="s">
        <v>290</v>
      </c>
      <c r="B50" s="20">
        <f>+scotiavar!B50</f>
        <v>0</v>
      </c>
      <c r="C50" s="52">
        <f t="shared" si="8"/>
        <v>0</v>
      </c>
      <c r="D50" s="20">
        <f>+scotiavar!D50</f>
        <v>0</v>
      </c>
      <c r="E50" s="49">
        <v>0</v>
      </c>
      <c r="F50" s="20">
        <f>+scotiavar!F50</f>
        <v>0</v>
      </c>
      <c r="G50" s="49">
        <v>0</v>
      </c>
      <c r="H50" s="20">
        <f>+scotiavar!H50</f>
        <v>0</v>
      </c>
      <c r="I50" s="49">
        <v>0</v>
      </c>
      <c r="J50" s="20">
        <f>+scotiavar!J50</f>
        <v>0</v>
      </c>
      <c r="K50" s="52">
        <f t="shared" si="9"/>
        <v>0</v>
      </c>
      <c r="L50" s="20">
        <f>+scotiavar!L50</f>
        <v>0</v>
      </c>
      <c r="M50" s="52">
        <f t="shared" si="10"/>
        <v>0</v>
      </c>
      <c r="N50" s="20">
        <v>0</v>
      </c>
      <c r="O50" s="52">
        <f t="shared" si="11"/>
        <v>0</v>
      </c>
      <c r="P50" s="20">
        <v>0</v>
      </c>
      <c r="Q50" s="52">
        <f t="shared" si="12"/>
        <v>0</v>
      </c>
    </row>
    <row r="51" spans="1:21" ht="18">
      <c r="A51" s="10" t="s">
        <v>282</v>
      </c>
      <c r="B51" s="199">
        <f>+scotiavar!B51</f>
        <v>105968</v>
      </c>
      <c r="C51" s="294">
        <f t="shared" si="8"/>
        <v>1.7276409178043465E-2</v>
      </c>
      <c r="D51" s="199">
        <f>+scotiavar!D51</f>
        <v>0</v>
      </c>
      <c r="E51" s="49">
        <v>0</v>
      </c>
      <c r="F51" s="199">
        <f>+scotiavar!F51</f>
        <v>0</v>
      </c>
      <c r="G51" s="49">
        <v>0</v>
      </c>
      <c r="H51" s="217">
        <f>+scotiavar!H51</f>
        <v>0</v>
      </c>
      <c r="I51" s="49">
        <v>0</v>
      </c>
      <c r="J51" s="199">
        <f>+scotiavar!J51</f>
        <v>79203</v>
      </c>
      <c r="K51" s="294">
        <f t="shared" si="9"/>
        <v>1.3412129999258296E-2</v>
      </c>
      <c r="L51" s="199">
        <f>+scotiavar!L51</f>
        <v>89688</v>
      </c>
      <c r="M51" s="294">
        <f t="shared" si="10"/>
        <v>1.5386961811038954E-2</v>
      </c>
      <c r="N51" s="199">
        <f>+scotiavar!N51</f>
        <v>37653</v>
      </c>
      <c r="O51" s="294">
        <f t="shared" si="11"/>
        <v>7.6070308820846578E-3</v>
      </c>
      <c r="P51" s="199">
        <f>+scotiavar!P51</f>
        <v>53605</v>
      </c>
      <c r="Q51" s="294">
        <f t="shared" si="12"/>
        <v>1.1693619108034599E-2</v>
      </c>
      <c r="R51" s="14"/>
      <c r="S51" s="15"/>
      <c r="T51" s="15"/>
      <c r="U51" s="15"/>
    </row>
    <row r="52" spans="1:21" ht="16.5" thickBot="1">
      <c r="A52" s="10" t="s">
        <v>54</v>
      </c>
      <c r="B52" s="79">
        <f>SUM(B48:B51)</f>
        <v>272759</v>
      </c>
      <c r="C52" s="208">
        <f t="shared" si="8"/>
        <v>4.4469048118242843E-2</v>
      </c>
      <c r="D52" s="79">
        <f>SUM(D48:D51)</f>
        <v>0</v>
      </c>
      <c r="E52" s="1525">
        <v>0</v>
      </c>
      <c r="F52" s="79">
        <f>SUM(F48:F51)</f>
        <v>0</v>
      </c>
      <c r="G52" s="1525">
        <v>0</v>
      </c>
      <c r="H52" s="79">
        <f>SUM(H48:H51)</f>
        <v>0</v>
      </c>
      <c r="I52" s="1525">
        <v>0</v>
      </c>
      <c r="J52" s="79">
        <f>SUM(J48:J51)</f>
        <v>247234</v>
      </c>
      <c r="K52" s="208">
        <f t="shared" si="9"/>
        <v>4.1866274613797778E-2</v>
      </c>
      <c r="L52" s="79">
        <f>SUM(L48:L51)</f>
        <v>257960</v>
      </c>
      <c r="M52" s="208">
        <f t="shared" si="10"/>
        <v>4.4255872232356712E-2</v>
      </c>
      <c r="N52" s="79">
        <f>SUM(N48:N51)</f>
        <v>203901</v>
      </c>
      <c r="O52" s="208">
        <f t="shared" si="11"/>
        <v>4.1194093535387451E-2</v>
      </c>
      <c r="P52" s="79">
        <f>SUM(P48:P51)</f>
        <v>215543</v>
      </c>
      <c r="Q52" s="208">
        <f t="shared" si="12"/>
        <v>4.7019452353383111E-2</v>
      </c>
    </row>
    <row r="53" spans="1:21">
      <c r="A53" s="10" t="s">
        <v>0</v>
      </c>
      <c r="B53" s="13">
        <f>+B30+B36+B42+B44+B52</f>
        <v>6133682</v>
      </c>
      <c r="C53" s="109">
        <f t="shared" si="8"/>
        <v>1</v>
      </c>
      <c r="D53" s="13">
        <f>+D30+D36+D42+D44+D52</f>
        <v>0</v>
      </c>
      <c r="E53" s="47">
        <v>0</v>
      </c>
      <c r="F53" s="13">
        <f>+F30+F36+F42+F44+F52</f>
        <v>0</v>
      </c>
      <c r="G53" s="47">
        <v>0</v>
      </c>
      <c r="H53" s="13">
        <f>+H30+H36+H42+H44+H52</f>
        <v>0</v>
      </c>
      <c r="I53" s="47">
        <v>0</v>
      </c>
      <c r="J53" s="13">
        <f>+J30+J36+J42+J44+J52</f>
        <v>5905326</v>
      </c>
      <c r="K53" s="52">
        <f t="shared" si="9"/>
        <v>1</v>
      </c>
      <c r="L53" s="13">
        <f>+L30+L36+L42+L44+L52</f>
        <v>5828831</v>
      </c>
      <c r="M53" s="52">
        <f t="shared" si="10"/>
        <v>1</v>
      </c>
      <c r="N53" s="13">
        <f>+N30+N36+N42+N44+N52</f>
        <v>4949763</v>
      </c>
      <c r="O53" s="52">
        <f t="shared" si="11"/>
        <v>1</v>
      </c>
      <c r="P53" s="13">
        <f>+P30+P36+P42+P44+P52</f>
        <v>4584124</v>
      </c>
      <c r="Q53" s="52">
        <f t="shared" si="12"/>
        <v>1</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sheetData>
  <phoneticPr fontId="0" type="noConversion"/>
  <pageMargins left="0.2" right="0.2" top="0.5" bottom="0.55000000000000004" header="0.38" footer="0.36"/>
  <pageSetup scale="53" orientation="landscape" r:id="rId1"/>
  <headerFooter alignWithMargins="0">
    <oddFooter>&amp;R&amp;P</oddFooter>
  </headerFooter>
</worksheet>
</file>

<file path=xl/worksheets/sheet99.xml><?xml version="1.0" encoding="utf-8"?>
<worksheet xmlns="http://schemas.openxmlformats.org/spreadsheetml/2006/main" xmlns:r="http://schemas.openxmlformats.org/officeDocument/2006/relationships">
  <sheetPr>
    <pageSetUpPr fitToPage="1"/>
  </sheetPr>
  <dimension ref="A1:O172"/>
  <sheetViews>
    <sheetView topLeftCell="A7" workbookViewId="0">
      <pane xSplit="1" ySplit="2" topLeftCell="B9" activePane="bottomRight" state="frozen"/>
      <selection activeCell="N58" sqref="N58"/>
      <selection pane="topRight" activeCell="N58" sqref="N58"/>
      <selection pane="bottomLeft" activeCell="N58" sqref="N58"/>
      <selection pane="bottomRight" activeCell="B9" sqref="B9"/>
    </sheetView>
  </sheetViews>
  <sheetFormatPr baseColWidth="10" defaultColWidth="9" defaultRowHeight="15.75"/>
  <cols>
    <col min="1" max="1" width="33.25" customWidth="1"/>
    <col min="2" max="2" width="18.125" style="20" customWidth="1"/>
    <col min="3" max="3" width="15.75" style="21" customWidth="1"/>
    <col min="4" max="4" width="15.75" style="20" customWidth="1"/>
    <col min="5" max="5" width="14.5" style="21" customWidth="1"/>
    <col min="6" max="6" width="9.125" style="20" customWidth="1"/>
    <col min="7" max="7" width="9.75" style="21" customWidth="1"/>
    <col min="8" max="8" width="18.125" style="20" customWidth="1"/>
    <col min="9" max="9" width="15.75" style="20" customWidth="1"/>
    <col min="10" max="10" width="15.75" style="21" customWidth="1"/>
    <col min="11" max="11" width="14.5" style="20" customWidth="1"/>
    <col min="12" max="12" width="15.75" style="20" customWidth="1"/>
    <col min="13" max="15" width="15.75" customWidth="1"/>
  </cols>
  <sheetData>
    <row r="1" spans="1:15">
      <c r="A1" s="111" t="s">
        <v>406</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c r="K5" s="42"/>
    </row>
    <row r="6" spans="1:15">
      <c r="B6" s="215" t="s">
        <v>0</v>
      </c>
      <c r="C6" s="193"/>
      <c r="D6" s="194"/>
    </row>
    <row r="7" spans="1:15" ht="16.5" thickBot="1">
      <c r="B7" s="367" t="str">
        <f>+'cbnagdes&amp;$'!B7</f>
        <v>Décembre 14</v>
      </c>
      <c r="C7" s="43"/>
      <c r="D7" s="42"/>
      <c r="E7" s="43"/>
      <c r="H7" s="332" t="str">
        <f>+'cbnagdes&amp;$'!H7</f>
        <v>Septembre 14</v>
      </c>
      <c r="I7" s="193"/>
      <c r="J7" s="194"/>
      <c r="K7" s="42"/>
    </row>
    <row r="8" spans="1:15" ht="16.5" thickTop="1">
      <c r="A8" s="86" t="s">
        <v>244</v>
      </c>
      <c r="B8" s="348" t="s">
        <v>297</v>
      </c>
      <c r="C8" s="349" t="s">
        <v>294</v>
      </c>
      <c r="D8" s="350" t="s">
        <v>295</v>
      </c>
      <c r="E8" s="351" t="s">
        <v>296</v>
      </c>
      <c r="F8" s="120" t="s">
        <v>0</v>
      </c>
      <c r="G8" s="119" t="s">
        <v>0</v>
      </c>
      <c r="H8" s="348" t="s">
        <v>297</v>
      </c>
      <c r="I8" s="350" t="s">
        <v>294</v>
      </c>
      <c r="J8" s="352" t="s">
        <v>295</v>
      </c>
      <c r="K8" s="353" t="s">
        <v>296</v>
      </c>
      <c r="L8" s="22"/>
      <c r="M8" s="17"/>
      <c r="N8" s="17"/>
      <c r="O8" s="17"/>
    </row>
    <row r="9" spans="1:15">
      <c r="A9" s="10" t="s">
        <v>255</v>
      </c>
      <c r="B9" s="121"/>
      <c r="C9" s="122"/>
      <c r="D9" s="81"/>
      <c r="E9" s="336" t="s">
        <v>0</v>
      </c>
      <c r="H9" s="128"/>
      <c r="I9" s="81"/>
      <c r="J9" s="326" t="s">
        <v>0</v>
      </c>
      <c r="K9" s="328" t="s">
        <v>0</v>
      </c>
    </row>
    <row r="10" spans="1:15">
      <c r="A10" s="10" t="s">
        <v>256</v>
      </c>
      <c r="B10" s="124">
        <v>42209</v>
      </c>
      <c r="C10" s="91">
        <v>52091</v>
      </c>
      <c r="D10" s="91">
        <f t="shared" ref="D10:D15" si="0">SUM(B10:C10)</f>
        <v>94300</v>
      </c>
      <c r="E10" s="337">
        <f t="shared" ref="E10:E15" si="1">+B10/D10</f>
        <v>0.44760339342523858</v>
      </c>
      <c r="F10" s="87" t="s">
        <v>0</v>
      </c>
      <c r="G10" s="98" t="s">
        <v>0</v>
      </c>
      <c r="H10" s="124">
        <v>30150</v>
      </c>
      <c r="I10" s="91">
        <v>54074</v>
      </c>
      <c r="J10" s="323">
        <f t="shared" ref="J10:J15" si="2">SUM(H10:I10)</f>
        <v>84224</v>
      </c>
      <c r="K10" s="329">
        <f t="shared" ref="K10:K15" si="3">+H10/J10</f>
        <v>0.35797397416413373</v>
      </c>
    </row>
    <row r="11" spans="1:15">
      <c r="A11" s="10" t="s">
        <v>257</v>
      </c>
      <c r="B11" s="124">
        <v>1229128</v>
      </c>
      <c r="C11" s="91">
        <v>1185011</v>
      </c>
      <c r="D11" s="91">
        <f t="shared" si="0"/>
        <v>2414139</v>
      </c>
      <c r="E11" s="337">
        <f t="shared" si="1"/>
        <v>0.50913721206608231</v>
      </c>
      <c r="F11" s="87" t="s">
        <v>0</v>
      </c>
      <c r="G11" s="98" t="s">
        <v>0</v>
      </c>
      <c r="H11" s="124">
        <v>1133224</v>
      </c>
      <c r="I11" s="91">
        <v>981468</v>
      </c>
      <c r="J11" s="323">
        <f t="shared" si="2"/>
        <v>2114692</v>
      </c>
      <c r="K11" s="329">
        <f t="shared" si="3"/>
        <v>0.5358813482057907</v>
      </c>
    </row>
    <row r="12" spans="1:15">
      <c r="A12" s="10" t="s">
        <v>258</v>
      </c>
      <c r="B12" s="124">
        <v>1449049</v>
      </c>
      <c r="C12" s="91">
        <v>0</v>
      </c>
      <c r="D12" s="91">
        <f t="shared" si="0"/>
        <v>1449049</v>
      </c>
      <c r="E12" s="337">
        <f t="shared" si="1"/>
        <v>1</v>
      </c>
      <c r="F12" s="87" t="s">
        <v>0</v>
      </c>
      <c r="G12" s="98" t="s">
        <v>0</v>
      </c>
      <c r="H12" s="124">
        <v>1444586</v>
      </c>
      <c r="I12" s="91">
        <v>0</v>
      </c>
      <c r="J12" s="323">
        <f t="shared" si="2"/>
        <v>1444586</v>
      </c>
      <c r="K12" s="329">
        <f t="shared" si="3"/>
        <v>1</v>
      </c>
    </row>
    <row r="13" spans="1:15">
      <c r="A13" s="10" t="s">
        <v>259</v>
      </c>
      <c r="B13" s="124">
        <v>0</v>
      </c>
      <c r="C13" s="91">
        <v>0</v>
      </c>
      <c r="D13" s="91">
        <f t="shared" si="0"/>
        <v>0</v>
      </c>
      <c r="E13" s="338">
        <v>0</v>
      </c>
      <c r="F13" s="87" t="s">
        <v>0</v>
      </c>
      <c r="G13" s="98" t="s">
        <v>0</v>
      </c>
      <c r="H13" s="124">
        <v>0</v>
      </c>
      <c r="I13" s="91">
        <v>0</v>
      </c>
      <c r="J13" s="323">
        <f t="shared" si="2"/>
        <v>0</v>
      </c>
      <c r="K13" s="129">
        <v>0</v>
      </c>
    </row>
    <row r="14" spans="1:15">
      <c r="A14" s="10" t="s">
        <v>260</v>
      </c>
      <c r="B14" s="685">
        <v>18013</v>
      </c>
      <c r="C14" s="224">
        <v>16310</v>
      </c>
      <c r="D14" s="684">
        <f t="shared" si="0"/>
        <v>34323</v>
      </c>
      <c r="E14" s="337">
        <f t="shared" si="1"/>
        <v>0.52480843749089534</v>
      </c>
      <c r="F14" s="87" t="s">
        <v>0</v>
      </c>
      <c r="G14" s="98" t="s">
        <v>0</v>
      </c>
      <c r="H14" s="685">
        <v>35859</v>
      </c>
      <c r="I14" s="224">
        <v>15668</v>
      </c>
      <c r="J14" s="684">
        <f t="shared" si="2"/>
        <v>51527</v>
      </c>
      <c r="K14" s="329">
        <f t="shared" si="3"/>
        <v>0.69592640751450696</v>
      </c>
    </row>
    <row r="15" spans="1:15" ht="15.6" customHeight="1">
      <c r="A15" s="10"/>
      <c r="B15" s="124">
        <f>SUM(B10:B14)</f>
        <v>2738399</v>
      </c>
      <c r="C15" s="91">
        <f>SUM(C10:C14)</f>
        <v>1253412</v>
      </c>
      <c r="D15" s="91">
        <f t="shared" si="0"/>
        <v>3991811</v>
      </c>
      <c r="E15" s="337">
        <f t="shared" si="1"/>
        <v>0.68600417204121134</v>
      </c>
      <c r="F15" s="87" t="s">
        <v>0</v>
      </c>
      <c r="G15" s="98" t="s">
        <v>0</v>
      </c>
      <c r="H15" s="124">
        <f>SUM(H10:H14)</f>
        <v>2643819</v>
      </c>
      <c r="I15" s="91">
        <f>SUM(I10:I14)</f>
        <v>1051210</v>
      </c>
      <c r="J15" s="323">
        <f t="shared" si="2"/>
        <v>3695029</v>
      </c>
      <c r="K15" s="329">
        <f t="shared" si="3"/>
        <v>0.71550696895748311</v>
      </c>
    </row>
    <row r="16" spans="1:15" ht="7.9" customHeight="1">
      <c r="A16" s="10"/>
      <c r="B16" s="124"/>
      <c r="C16" s="92" t="s">
        <v>0</v>
      </c>
      <c r="D16" s="91"/>
      <c r="E16" s="337" t="s">
        <v>0</v>
      </c>
      <c r="F16" s="87"/>
      <c r="G16" s="98" t="s">
        <v>0</v>
      </c>
      <c r="H16" s="124"/>
      <c r="I16" s="92" t="s">
        <v>0</v>
      </c>
      <c r="J16" s="323" t="s">
        <v>0</v>
      </c>
      <c r="K16" s="329" t="s">
        <v>0</v>
      </c>
    </row>
    <row r="17" spans="1:11" ht="15.6" customHeight="1">
      <c r="A17" s="10" t="s">
        <v>261</v>
      </c>
      <c r="B17" s="124">
        <v>0</v>
      </c>
      <c r="C17" s="91">
        <v>0</v>
      </c>
      <c r="D17" s="91">
        <f t="shared" ref="D17:D23" si="4">SUM(B17:C17)</f>
        <v>0</v>
      </c>
      <c r="E17" s="338">
        <v>0</v>
      </c>
      <c r="F17"/>
      <c r="G17"/>
      <c r="H17" s="124">
        <v>0</v>
      </c>
      <c r="I17" s="91">
        <v>0</v>
      </c>
      <c r="J17" s="323">
        <f t="shared" ref="J17:J23" si="5">SUM(H17:I17)</f>
        <v>0</v>
      </c>
      <c r="K17" s="129">
        <v>0</v>
      </c>
    </row>
    <row r="18" spans="1:11" ht="15.6" customHeight="1">
      <c r="A18" s="10" t="s">
        <v>909</v>
      </c>
      <c r="B18" s="124">
        <v>0</v>
      </c>
      <c r="C18" s="91">
        <v>0</v>
      </c>
      <c r="D18" s="91">
        <f t="shared" si="4"/>
        <v>0</v>
      </c>
      <c r="E18" s="338">
        <v>0</v>
      </c>
      <c r="F18"/>
      <c r="G18"/>
      <c r="H18" s="124">
        <v>0</v>
      </c>
      <c r="I18" s="91">
        <v>0</v>
      </c>
      <c r="J18" s="323">
        <f t="shared" si="5"/>
        <v>0</v>
      </c>
      <c r="K18" s="129">
        <v>0</v>
      </c>
    </row>
    <row r="19" spans="1:11">
      <c r="A19" s="10" t="s">
        <v>262</v>
      </c>
      <c r="B19" s="124">
        <v>0</v>
      </c>
      <c r="C19" s="91">
        <v>0</v>
      </c>
      <c r="D19" s="91">
        <f t="shared" si="4"/>
        <v>0</v>
      </c>
      <c r="E19" s="338">
        <v>0</v>
      </c>
      <c r="F19"/>
      <c r="G19"/>
      <c r="H19" s="124">
        <v>0</v>
      </c>
      <c r="I19" s="91">
        <v>0</v>
      </c>
      <c r="J19" s="323">
        <f t="shared" si="5"/>
        <v>0</v>
      </c>
      <c r="K19" s="129">
        <v>0</v>
      </c>
    </row>
    <row r="20" spans="1:11">
      <c r="A20" s="10" t="s">
        <v>298</v>
      </c>
      <c r="B20" s="124">
        <v>426866</v>
      </c>
      <c r="C20" s="91">
        <v>1636745</v>
      </c>
      <c r="D20" s="91">
        <f t="shared" si="4"/>
        <v>2063611</v>
      </c>
      <c r="E20" s="337">
        <f>+B20/D20</f>
        <v>0.2068539080282088</v>
      </c>
      <c r="F20"/>
      <c r="G20"/>
      <c r="H20" s="124">
        <v>470102</v>
      </c>
      <c r="I20" s="91">
        <v>1684080</v>
      </c>
      <c r="J20" s="323">
        <f t="shared" si="5"/>
        <v>2154182</v>
      </c>
      <c r="K20" s="329">
        <f>+H20/J20</f>
        <v>0.21822761493689949</v>
      </c>
    </row>
    <row r="21" spans="1:11">
      <c r="A21" s="10" t="s">
        <v>264</v>
      </c>
      <c r="B21" s="1468">
        <v>0</v>
      </c>
      <c r="C21" s="132">
        <v>65712</v>
      </c>
      <c r="D21" s="91">
        <f t="shared" si="4"/>
        <v>65712</v>
      </c>
      <c r="E21" s="338">
        <v>0</v>
      </c>
      <c r="F21"/>
      <c r="G21"/>
      <c r="H21" s="1468">
        <v>0</v>
      </c>
      <c r="I21" s="132">
        <v>47824</v>
      </c>
      <c r="J21" s="323">
        <f t="shared" si="5"/>
        <v>47824</v>
      </c>
      <c r="K21" s="129">
        <v>0</v>
      </c>
    </row>
    <row r="22" spans="1:11">
      <c r="A22" s="10" t="s">
        <v>265</v>
      </c>
      <c r="B22" s="1469">
        <v>-5892</v>
      </c>
      <c r="C22" s="217">
        <v>18440</v>
      </c>
      <c r="D22" s="684">
        <f t="shared" si="4"/>
        <v>12548</v>
      </c>
      <c r="E22" s="337">
        <f>+B22/D22</f>
        <v>-0.46955690149824675</v>
      </c>
      <c r="F22"/>
      <c r="G22"/>
      <c r="H22" s="1469">
        <v>-426</v>
      </c>
      <c r="I22" s="217">
        <v>8717</v>
      </c>
      <c r="J22" s="684">
        <f t="shared" si="5"/>
        <v>8291</v>
      </c>
      <c r="K22" s="329">
        <f>+H22/J22</f>
        <v>-5.1381015559039921E-2</v>
      </c>
    </row>
    <row r="23" spans="1:11">
      <c r="A23" s="10" t="s">
        <v>54</v>
      </c>
      <c r="B23" s="125">
        <f>SUM(B15:B22)</f>
        <v>3159373</v>
      </c>
      <c r="C23" s="94">
        <f>SUM(C15:C22)</f>
        <v>2974309</v>
      </c>
      <c r="D23" s="339">
        <f t="shared" si="4"/>
        <v>6133682</v>
      </c>
      <c r="E23" s="370">
        <f>+B23/D23</f>
        <v>0.5150858815308651</v>
      </c>
      <c r="F23"/>
      <c r="G23"/>
      <c r="H23" s="125">
        <f>SUM(H15:H22)</f>
        <v>3113495</v>
      </c>
      <c r="I23" s="94">
        <f>SUM(I15:I22)</f>
        <v>2791831</v>
      </c>
      <c r="J23" s="324">
        <f t="shared" si="5"/>
        <v>5905326</v>
      </c>
      <c r="K23" s="369">
        <f>+H23/J23</f>
        <v>0.52723507559108507</v>
      </c>
    </row>
    <row r="24" spans="1:11" ht="7.9" customHeight="1">
      <c r="A24" s="10"/>
      <c r="B24" s="124"/>
      <c r="C24" s="92" t="s">
        <v>0</v>
      </c>
      <c r="D24" s="91"/>
      <c r="E24" s="337" t="s">
        <v>0</v>
      </c>
      <c r="F24"/>
      <c r="G24"/>
      <c r="H24" s="124"/>
      <c r="I24" s="92" t="s">
        <v>0</v>
      </c>
      <c r="J24" s="323" t="s">
        <v>0</v>
      </c>
      <c r="K24" s="329" t="s">
        <v>0</v>
      </c>
    </row>
    <row r="25" spans="1:11">
      <c r="A25" s="86" t="s">
        <v>266</v>
      </c>
      <c r="B25" s="124"/>
      <c r="C25" s="92" t="s">
        <v>0</v>
      </c>
      <c r="D25" s="91"/>
      <c r="E25" s="337" t="s">
        <v>0</v>
      </c>
      <c r="F25"/>
      <c r="G25"/>
      <c r="H25" s="124"/>
      <c r="I25" s="92" t="s">
        <v>0</v>
      </c>
      <c r="J25" s="323" t="s">
        <v>0</v>
      </c>
      <c r="K25" s="329" t="s">
        <v>0</v>
      </c>
    </row>
    <row r="26" spans="1:11">
      <c r="A26" s="10" t="s">
        <v>267</v>
      </c>
      <c r="B26" s="124"/>
      <c r="C26" s="92" t="s">
        <v>0</v>
      </c>
      <c r="D26" s="91"/>
      <c r="E26" s="337" t="s">
        <v>0</v>
      </c>
      <c r="F26"/>
      <c r="G26"/>
      <c r="H26" s="124"/>
      <c r="I26" s="92" t="s">
        <v>0</v>
      </c>
      <c r="J26" s="323" t="s">
        <v>0</v>
      </c>
      <c r="K26" s="329" t="s">
        <v>0</v>
      </c>
    </row>
    <row r="27" spans="1:11">
      <c r="A27" s="10" t="s">
        <v>268</v>
      </c>
      <c r="B27" s="124">
        <v>1813309</v>
      </c>
      <c r="C27" s="91">
        <v>1398055</v>
      </c>
      <c r="D27" s="91">
        <f>SUM(B27:C27)</f>
        <v>3211364</v>
      </c>
      <c r="E27" s="337">
        <f>+B27/D27</f>
        <v>0.56465383556644466</v>
      </c>
      <c r="F27"/>
      <c r="G27"/>
      <c r="H27" s="124">
        <v>1841754</v>
      </c>
      <c r="I27" s="91">
        <v>1225607</v>
      </c>
      <c r="J27" s="323">
        <f>SUM(H27:I27)</f>
        <v>3067361</v>
      </c>
      <c r="K27" s="329">
        <f>+H27/J27</f>
        <v>0.60043600997730617</v>
      </c>
    </row>
    <row r="28" spans="1:11">
      <c r="A28" s="10" t="s">
        <v>269</v>
      </c>
      <c r="B28" s="1468">
        <v>792166</v>
      </c>
      <c r="C28" s="132">
        <v>897063</v>
      </c>
      <c r="D28" s="91">
        <f>SUM(B28:C28)</f>
        <v>1689229</v>
      </c>
      <c r="E28" s="337">
        <f>+B28/D28</f>
        <v>0.46895121975765275</v>
      </c>
      <c r="F28"/>
      <c r="G28"/>
      <c r="H28" s="1468">
        <v>705571</v>
      </c>
      <c r="I28" s="132">
        <v>816527</v>
      </c>
      <c r="J28" s="323">
        <f>SUM(H28:I28)</f>
        <v>1522098</v>
      </c>
      <c r="K28" s="329">
        <f>+H28/J28</f>
        <v>0.46355162413983858</v>
      </c>
    </row>
    <row r="29" spans="1:11">
      <c r="A29" s="10" t="s">
        <v>270</v>
      </c>
      <c r="B29" s="685">
        <v>47399</v>
      </c>
      <c r="C29" s="224">
        <v>278204</v>
      </c>
      <c r="D29" s="684">
        <f>SUM(B29:C29)</f>
        <v>325603</v>
      </c>
      <c r="E29" s="337">
        <f>+B29/D29</f>
        <v>0.14557298304991048</v>
      </c>
      <c r="F29"/>
      <c r="G29"/>
      <c r="H29" s="685">
        <v>61454</v>
      </c>
      <c r="I29" s="224">
        <v>373855</v>
      </c>
      <c r="J29" s="684">
        <f>SUM(H29:I29)</f>
        <v>435309</v>
      </c>
      <c r="K29" s="329">
        <f>+H29/J29</f>
        <v>0.14117328150807817</v>
      </c>
    </row>
    <row r="30" spans="1:11">
      <c r="A30" s="10"/>
      <c r="B30" s="124">
        <f>SUM(B27:B29)</f>
        <v>2652874</v>
      </c>
      <c r="C30" s="91">
        <f>SUM(C27:C29)</f>
        <v>2573322</v>
      </c>
      <c r="D30" s="91">
        <f>SUM(B30:C30)</f>
        <v>5226196</v>
      </c>
      <c r="E30" s="337">
        <f>+B30/D30</f>
        <v>0.50761088944999389</v>
      </c>
      <c r="F30"/>
      <c r="G30"/>
      <c r="H30" s="124">
        <f>SUM(H27:H29)</f>
        <v>2608779</v>
      </c>
      <c r="I30" s="91">
        <f>SUM(I27:I29)</f>
        <v>2415989</v>
      </c>
      <c r="J30" s="323">
        <f>SUM(H30:I30)</f>
        <v>5024768</v>
      </c>
      <c r="K30" s="329">
        <f>+H30/J30</f>
        <v>0.51918397028479724</v>
      </c>
    </row>
    <row r="31" spans="1:11" ht="7.9" customHeight="1">
      <c r="A31" s="10"/>
      <c r="B31" s="124"/>
      <c r="C31" s="92" t="s">
        <v>0</v>
      </c>
      <c r="D31" s="91"/>
      <c r="E31" s="337" t="s">
        <v>0</v>
      </c>
      <c r="F31"/>
      <c r="G31"/>
      <c r="H31" s="124"/>
      <c r="I31" s="92" t="s">
        <v>0</v>
      </c>
      <c r="J31" s="323" t="s">
        <v>0</v>
      </c>
      <c r="K31" s="329" t="s">
        <v>0</v>
      </c>
    </row>
    <row r="32" spans="1:11">
      <c r="A32" s="10" t="s">
        <v>271</v>
      </c>
      <c r="B32" s="124"/>
      <c r="C32" s="92" t="s">
        <v>0</v>
      </c>
      <c r="D32" s="91"/>
      <c r="E32" s="337" t="s">
        <v>0</v>
      </c>
      <c r="F32"/>
      <c r="G32"/>
      <c r="H32" s="124"/>
      <c r="I32" s="92" t="s">
        <v>0</v>
      </c>
      <c r="J32" s="323" t="s">
        <v>0</v>
      </c>
      <c r="K32" s="329" t="s">
        <v>0</v>
      </c>
    </row>
    <row r="33" spans="1:15">
      <c r="A33" s="10" t="s">
        <v>272</v>
      </c>
      <c r="B33" s="124">
        <v>0</v>
      </c>
      <c r="C33" s="91">
        <v>0</v>
      </c>
      <c r="D33" s="91">
        <f>SUM(B33:C33)</f>
        <v>0</v>
      </c>
      <c r="E33" s="338">
        <v>0</v>
      </c>
      <c r="F33"/>
      <c r="G33"/>
      <c r="H33" s="124">
        <v>0</v>
      </c>
      <c r="I33" s="91">
        <v>0</v>
      </c>
      <c r="J33" s="323">
        <f>SUM(H33:I33)</f>
        <v>0</v>
      </c>
      <c r="K33" s="129">
        <v>0</v>
      </c>
    </row>
    <row r="34" spans="1:15">
      <c r="A34" s="10" t="s">
        <v>273</v>
      </c>
      <c r="B34" s="124">
        <v>0</v>
      </c>
      <c r="C34" s="91">
        <v>0</v>
      </c>
      <c r="D34" s="91">
        <f>SUM(B34:C34)</f>
        <v>0</v>
      </c>
      <c r="E34" s="338">
        <v>0</v>
      </c>
      <c r="F34"/>
      <c r="G34"/>
      <c r="H34" s="124">
        <v>0</v>
      </c>
      <c r="I34" s="91">
        <v>0</v>
      </c>
      <c r="J34" s="323">
        <f>SUM(H34:I34)</f>
        <v>0</v>
      </c>
      <c r="K34" s="129">
        <v>0</v>
      </c>
    </row>
    <row r="35" spans="1:15" ht="18">
      <c r="A35" s="10" t="s">
        <v>274</v>
      </c>
      <c r="B35" s="685">
        <v>135500</v>
      </c>
      <c r="C35" s="224">
        <v>94187</v>
      </c>
      <c r="D35" s="684">
        <f>SUM(B35:C35)</f>
        <v>229687</v>
      </c>
      <c r="E35" s="337">
        <f>+B35/D35</f>
        <v>0.58993325699756627</v>
      </c>
      <c r="F35"/>
      <c r="G35"/>
      <c r="H35" s="685">
        <v>130316</v>
      </c>
      <c r="I35" s="224">
        <v>89334</v>
      </c>
      <c r="J35" s="684">
        <f>SUM(H35:I35)</f>
        <v>219650</v>
      </c>
      <c r="K35" s="329">
        <f>+H35/J35</f>
        <v>0.59328932392442524</v>
      </c>
      <c r="L35" s="14"/>
      <c r="M35" s="15"/>
      <c r="N35" s="15"/>
      <c r="O35" s="15"/>
    </row>
    <row r="36" spans="1:15">
      <c r="A36" s="10"/>
      <c r="B36" s="124">
        <f>SUM(B33:B35)</f>
        <v>135500</v>
      </c>
      <c r="C36" s="91">
        <f>SUM(C33:C35)</f>
        <v>94187</v>
      </c>
      <c r="D36" s="91">
        <f>SUM(B36:C36)</f>
        <v>229687</v>
      </c>
      <c r="E36" s="337">
        <f>+B36/D36</f>
        <v>0.58993325699756627</v>
      </c>
      <c r="F36"/>
      <c r="G36"/>
      <c r="H36" s="124">
        <f>SUM(H33:H35)</f>
        <v>130316</v>
      </c>
      <c r="I36" s="91">
        <f>SUM(I33:I35)</f>
        <v>89334</v>
      </c>
      <c r="J36" s="323">
        <f>SUM(H36:I36)</f>
        <v>219650</v>
      </c>
      <c r="K36" s="329">
        <f>+H36/J36</f>
        <v>0.59328932392442524</v>
      </c>
    </row>
    <row r="37" spans="1:15" ht="7.15" customHeight="1">
      <c r="A37" s="10"/>
      <c r="B37" s="124"/>
      <c r="C37" s="92" t="s">
        <v>0</v>
      </c>
      <c r="D37" s="91"/>
      <c r="E37" s="337" t="s">
        <v>54</v>
      </c>
      <c r="F37"/>
      <c r="G37"/>
      <c r="H37" s="124"/>
      <c r="I37" s="92" t="s">
        <v>0</v>
      </c>
      <c r="J37" s="323" t="s">
        <v>0</v>
      </c>
      <c r="K37" s="329" t="s">
        <v>54</v>
      </c>
    </row>
    <row r="38" spans="1:15">
      <c r="A38" s="10" t="s">
        <v>275</v>
      </c>
      <c r="B38" s="124"/>
      <c r="C38" s="92" t="s">
        <v>0</v>
      </c>
      <c r="D38" s="91"/>
      <c r="E38" s="337" t="s">
        <v>0</v>
      </c>
      <c r="F38"/>
      <c r="G38"/>
      <c r="H38" s="124"/>
      <c r="I38" s="92" t="s">
        <v>0</v>
      </c>
      <c r="J38" s="323" t="s">
        <v>0</v>
      </c>
      <c r="K38" s="329" t="s">
        <v>0</v>
      </c>
    </row>
    <row r="39" spans="1:15">
      <c r="A39" s="10" t="s">
        <v>272</v>
      </c>
      <c r="B39" s="124">
        <v>0</v>
      </c>
      <c r="C39" s="91">
        <v>0</v>
      </c>
      <c r="D39" s="91">
        <f>SUM(B39:C39)</f>
        <v>0</v>
      </c>
      <c r="E39" s="338">
        <v>0</v>
      </c>
      <c r="F39"/>
      <c r="G39"/>
      <c r="H39" s="124">
        <v>0</v>
      </c>
      <c r="I39" s="91">
        <v>0</v>
      </c>
      <c r="J39" s="323">
        <f>SUM(H39:I39)</f>
        <v>0</v>
      </c>
      <c r="K39" s="129">
        <v>0</v>
      </c>
    </row>
    <row r="40" spans="1:15">
      <c r="A40" s="10" t="s">
        <v>276</v>
      </c>
      <c r="B40" s="124">
        <v>0</v>
      </c>
      <c r="C40" s="91">
        <v>0</v>
      </c>
      <c r="D40" s="91">
        <f>SUM(B40:C40)</f>
        <v>0</v>
      </c>
      <c r="E40" s="338">
        <v>0</v>
      </c>
      <c r="F40"/>
      <c r="G40"/>
      <c r="H40" s="124">
        <v>0</v>
      </c>
      <c r="I40" s="91">
        <v>0</v>
      </c>
      <c r="J40" s="323">
        <f>SUM(H40:I40)</f>
        <v>0</v>
      </c>
      <c r="K40" s="129">
        <v>0</v>
      </c>
    </row>
    <row r="41" spans="1:15">
      <c r="A41" s="10" t="s">
        <v>274</v>
      </c>
      <c r="B41" s="685">
        <v>0</v>
      </c>
      <c r="C41" s="224">
        <v>29171</v>
      </c>
      <c r="D41" s="684">
        <f>SUM(B41:C41)</f>
        <v>29171</v>
      </c>
      <c r="E41" s="338">
        <f>+B41/D41</f>
        <v>0</v>
      </c>
      <c r="F41"/>
      <c r="G41"/>
      <c r="H41" s="685">
        <v>0</v>
      </c>
      <c r="I41" s="224">
        <v>32145</v>
      </c>
      <c r="J41" s="684">
        <f>SUM(H41:I41)</f>
        <v>32145</v>
      </c>
      <c r="K41" s="129">
        <f>+H41/J41</f>
        <v>0</v>
      </c>
    </row>
    <row r="42" spans="1:15">
      <c r="A42" s="10"/>
      <c r="B42" s="124">
        <f>SUM(B39:B41)</f>
        <v>0</v>
      </c>
      <c r="C42" s="91">
        <f>SUM(C39:C41)</f>
        <v>29171</v>
      </c>
      <c r="D42" s="91">
        <f>SUM(B42:C42)</f>
        <v>29171</v>
      </c>
      <c r="E42" s="338">
        <v>0</v>
      </c>
      <c r="F42"/>
      <c r="G42"/>
      <c r="H42" s="124">
        <f>SUM(H39:H41)</f>
        <v>0</v>
      </c>
      <c r="I42" s="91">
        <f>SUM(I39:I41)</f>
        <v>32145</v>
      </c>
      <c r="J42" s="323">
        <f>SUM(H42:I42)</f>
        <v>32145</v>
      </c>
      <c r="K42" s="129">
        <f>+H42/J42</f>
        <v>0</v>
      </c>
    </row>
    <row r="43" spans="1:15" ht="8.4499999999999993" customHeight="1">
      <c r="A43" s="10"/>
      <c r="B43" s="124"/>
      <c r="C43" s="92" t="s">
        <v>0</v>
      </c>
      <c r="D43" s="91"/>
      <c r="E43" s="337" t="s">
        <v>0</v>
      </c>
      <c r="F43"/>
      <c r="G43"/>
      <c r="H43" s="124"/>
      <c r="I43" s="92" t="s">
        <v>0</v>
      </c>
      <c r="J43" s="323" t="s">
        <v>0</v>
      </c>
      <c r="K43" s="329" t="s">
        <v>0</v>
      </c>
    </row>
    <row r="44" spans="1:15" ht="18">
      <c r="A44" s="10" t="s">
        <v>277</v>
      </c>
      <c r="B44" s="685">
        <v>367928</v>
      </c>
      <c r="C44" s="224">
        <v>7941</v>
      </c>
      <c r="D44" s="684">
        <f>SUM(B44:C44)</f>
        <v>375869</v>
      </c>
      <c r="E44" s="337">
        <f>+B44/D44</f>
        <v>0.97887295839773969</v>
      </c>
      <c r="F44"/>
      <c r="G44"/>
      <c r="H44" s="685">
        <v>374400</v>
      </c>
      <c r="I44" s="224">
        <v>7129</v>
      </c>
      <c r="J44" s="684">
        <f>SUM(H44:I44)</f>
        <v>381529</v>
      </c>
      <c r="K44" s="329">
        <f>+H44/J44</f>
        <v>0.98131465760138814</v>
      </c>
      <c r="L44" s="14"/>
    </row>
    <row r="45" spans="1:15">
      <c r="A45" s="10"/>
      <c r="B45" s="124">
        <f>+B30+B36+B42+B44</f>
        <v>3156302</v>
      </c>
      <c r="C45" s="91">
        <f>+C30+C36+C42+C44</f>
        <v>2704621</v>
      </c>
      <c r="D45" s="91">
        <f>+D30+D36+D42+D44</f>
        <v>5860923</v>
      </c>
      <c r="E45" s="337">
        <f>+B45/D45</f>
        <v>0.53853326515294608</v>
      </c>
      <c r="F45"/>
      <c r="G45"/>
      <c r="H45" s="124">
        <f>+H30+H36+H42+H44</f>
        <v>3113495</v>
      </c>
      <c r="I45" s="91">
        <f>+I30+I36+I42+I44</f>
        <v>2544597</v>
      </c>
      <c r="J45" s="323">
        <f>SUM(H45:I45)</f>
        <v>5658092</v>
      </c>
      <c r="K45" s="329">
        <f>+H45/J45</f>
        <v>0.55027295420435018</v>
      </c>
    </row>
    <row r="46" spans="1:15" ht="8.4499999999999993" customHeight="1">
      <c r="A46" s="10"/>
      <c r="B46" s="124"/>
      <c r="C46" s="92" t="s">
        <v>0</v>
      </c>
      <c r="D46" s="91"/>
      <c r="E46" s="337" t="s">
        <v>0</v>
      </c>
      <c r="F46"/>
      <c r="G46"/>
      <c r="H46" s="124"/>
      <c r="I46" s="92" t="s">
        <v>0</v>
      </c>
      <c r="J46" s="323" t="s">
        <v>0</v>
      </c>
      <c r="K46" s="329" t="s">
        <v>0</v>
      </c>
    </row>
    <row r="47" spans="1:15">
      <c r="A47" s="86" t="s">
        <v>278</v>
      </c>
      <c r="B47" s="124"/>
      <c r="C47" s="92" t="s">
        <v>0</v>
      </c>
      <c r="D47" s="91"/>
      <c r="E47" s="337" t="s">
        <v>0</v>
      </c>
      <c r="F47"/>
      <c r="G47"/>
      <c r="H47" s="124"/>
      <c r="I47" s="92" t="s">
        <v>0</v>
      </c>
      <c r="J47" s="323" t="s">
        <v>0</v>
      </c>
      <c r="K47" s="329" t="s">
        <v>0</v>
      </c>
    </row>
    <row r="48" spans="1:15">
      <c r="A48" s="10" t="s">
        <v>279</v>
      </c>
      <c r="B48" s="124">
        <v>0</v>
      </c>
      <c r="C48" s="91">
        <f>+scotiavar!B48</f>
        <v>94373</v>
      </c>
      <c r="D48" s="91">
        <f>SUM(B48:C48)</f>
        <v>94373</v>
      </c>
      <c r="E48" s="338">
        <f>+B48/D48</f>
        <v>0</v>
      </c>
      <c r="F48"/>
      <c r="G48"/>
      <c r="H48" s="124">
        <v>0</v>
      </c>
      <c r="I48" s="91">
        <f>+'scotiacomp  '!J48</f>
        <v>94373</v>
      </c>
      <c r="J48" s="323">
        <f>SUM(H48:I48)</f>
        <v>94373</v>
      </c>
      <c r="K48" s="129">
        <f>+H48/J48</f>
        <v>0</v>
      </c>
    </row>
    <row r="49" spans="1:15">
      <c r="A49" s="10" t="s">
        <v>280</v>
      </c>
      <c r="B49" s="124">
        <v>0</v>
      </c>
      <c r="C49" s="91">
        <f>+scotiavar!B49</f>
        <v>72418</v>
      </c>
      <c r="D49" s="91">
        <f>SUM(B49:C49)</f>
        <v>72418</v>
      </c>
      <c r="E49" s="338">
        <v>0</v>
      </c>
      <c r="F49"/>
      <c r="G49"/>
      <c r="H49" s="124">
        <v>0</v>
      </c>
      <c r="I49" s="91">
        <f>+'scotiacomp  '!J49</f>
        <v>73658</v>
      </c>
      <c r="J49" s="323">
        <f>SUM(H49:I49)</f>
        <v>73658</v>
      </c>
      <c r="K49" s="129">
        <v>0</v>
      </c>
    </row>
    <row r="50" spans="1:15">
      <c r="A50" s="10" t="s">
        <v>290</v>
      </c>
      <c r="B50" s="124">
        <v>0</v>
      </c>
      <c r="C50" s="91">
        <f>+scotiavar!B50</f>
        <v>0</v>
      </c>
      <c r="D50" s="91">
        <f>SUM(B50:C50)</f>
        <v>0</v>
      </c>
      <c r="E50" s="338">
        <v>0</v>
      </c>
      <c r="F50"/>
      <c r="G50"/>
      <c r="H50" s="124">
        <v>0</v>
      </c>
      <c r="I50" s="91">
        <f>+'scotiacomp  '!J50</f>
        <v>0</v>
      </c>
      <c r="J50" s="323">
        <f>SUM(H50:I50)</f>
        <v>0</v>
      </c>
      <c r="K50" s="129">
        <v>0</v>
      </c>
    </row>
    <row r="51" spans="1:15" ht="18">
      <c r="A51" s="10" t="s">
        <v>282</v>
      </c>
      <c r="B51" s="685">
        <v>0</v>
      </c>
      <c r="C51" s="199">
        <f>+scotiavar!B51</f>
        <v>105968</v>
      </c>
      <c r="D51" s="684">
        <f>SUM(B51:C51)</f>
        <v>105968</v>
      </c>
      <c r="E51" s="338">
        <f>+B51/D51</f>
        <v>0</v>
      </c>
      <c r="F51"/>
      <c r="G51"/>
      <c r="H51" s="685">
        <v>0</v>
      </c>
      <c r="I51" s="199">
        <f>+'scotiacomp  '!J51</f>
        <v>79203</v>
      </c>
      <c r="J51" s="684">
        <f>SUM(H51:I51)</f>
        <v>79203</v>
      </c>
      <c r="K51" s="129">
        <f>+H51/J51</f>
        <v>0</v>
      </c>
      <c r="L51" s="14"/>
      <c r="M51" s="15"/>
      <c r="N51" s="15"/>
      <c r="O51" s="15"/>
    </row>
    <row r="52" spans="1:15">
      <c r="A52" s="10" t="s">
        <v>54</v>
      </c>
      <c r="B52" s="124">
        <f>SUM(B48:B51)</f>
        <v>0</v>
      </c>
      <c r="C52" s="91">
        <f>SUM(C48:C51)</f>
        <v>272759</v>
      </c>
      <c r="D52" s="91">
        <f>SUM(B52:C52)</f>
        <v>272759</v>
      </c>
      <c r="E52" s="338">
        <f>+B52/D52</f>
        <v>0</v>
      </c>
      <c r="F52"/>
      <c r="G52"/>
      <c r="H52" s="124">
        <f>SUM(H48:H51)</f>
        <v>0</v>
      </c>
      <c r="I52" s="91">
        <f>SUM(I48:I51)</f>
        <v>247234</v>
      </c>
      <c r="J52" s="323">
        <f>SUM(H52:I52)</f>
        <v>247234</v>
      </c>
      <c r="K52" s="129">
        <f>+H52/J52</f>
        <v>0</v>
      </c>
    </row>
    <row r="53" spans="1:15">
      <c r="A53" s="10" t="s">
        <v>0</v>
      </c>
      <c r="B53" s="124"/>
      <c r="C53" s="92" t="s">
        <v>0</v>
      </c>
      <c r="D53" s="91"/>
      <c r="E53" s="337" t="s">
        <v>0</v>
      </c>
      <c r="F53"/>
      <c r="G53"/>
      <c r="H53" s="124"/>
      <c r="I53" s="92" t="s">
        <v>0</v>
      </c>
      <c r="J53" s="323" t="s">
        <v>0</v>
      </c>
      <c r="K53" s="329" t="s">
        <v>0</v>
      </c>
    </row>
    <row r="54" spans="1:15" ht="16.5" thickBot="1">
      <c r="A54" s="10" t="s">
        <v>0</v>
      </c>
      <c r="B54" s="126">
        <f>+B30+B36+B42+B44+B52</f>
        <v>3156302</v>
      </c>
      <c r="C54" s="127">
        <f>+C30+C36+C42+C44+C52</f>
        <v>2977380</v>
      </c>
      <c r="D54" s="340">
        <f>SUM(B54:C54)</f>
        <v>6133682</v>
      </c>
      <c r="E54" s="371">
        <f>+B54/D54</f>
        <v>0.51458520347158521</v>
      </c>
      <c r="F54"/>
      <c r="G54"/>
      <c r="H54" s="126">
        <f>+H30+H36+H42+H44+H52</f>
        <v>3113495</v>
      </c>
      <c r="I54" s="127">
        <f>+I30+I36+I42+I44+I52</f>
        <v>2791831</v>
      </c>
      <c r="J54" s="325">
        <f>SUM(H54:I54)</f>
        <v>5905326</v>
      </c>
      <c r="K54" s="368">
        <f>+H54/J54</f>
        <v>0.52723507559108507</v>
      </c>
    </row>
    <row r="55" spans="1:15" ht="16.5" thickTop="1">
      <c r="A55" s="10"/>
      <c r="B55" s="94"/>
      <c r="C55" s="94"/>
      <c r="D55" s="339"/>
      <c r="E55" s="237"/>
      <c r="F55"/>
      <c r="G55"/>
      <c r="H55" s="94"/>
      <c r="I55" s="94"/>
      <c r="J55" s="339"/>
      <c r="K55" s="230"/>
    </row>
    <row r="56" spans="1:15">
      <c r="A56" s="10"/>
      <c r="B56" s="90" t="str">
        <f>+'cbnagdes&amp;$'!B56</f>
        <v xml:space="preserve">* converties au taux de 46,7477 Gdes </v>
      </c>
      <c r="C56"/>
      <c r="D56" s="90"/>
      <c r="E56" s="98" t="s">
        <v>0</v>
      </c>
      <c r="F56"/>
      <c r="G56"/>
      <c r="H56" s="90" t="str">
        <f>+'cbnagdes&amp;$'!H56</f>
        <v xml:space="preserve">* converties au taux de 45,5577 Gdes </v>
      </c>
      <c r="I56"/>
      <c r="J56" s="88" t="s">
        <v>0</v>
      </c>
    </row>
    <row r="57" spans="1:15">
      <c r="C57" s="48"/>
      <c r="E57" s="112" t="s">
        <v>0</v>
      </c>
      <c r="F57"/>
      <c r="G57"/>
      <c r="H57"/>
      <c r="J57" s="48"/>
    </row>
    <row r="58" spans="1:15">
      <c r="B58"/>
      <c r="C58" s="48"/>
      <c r="E58" s="112" t="s">
        <v>0</v>
      </c>
      <c r="F58"/>
      <c r="G58"/>
      <c r="H58"/>
      <c r="J58" s="48"/>
    </row>
    <row r="59" spans="1:15">
      <c r="B59"/>
      <c r="C59" s="48"/>
      <c r="E59" s="112" t="s">
        <v>0</v>
      </c>
      <c r="F59"/>
      <c r="G59"/>
      <c r="H59"/>
      <c r="J59" s="48"/>
    </row>
    <row r="60" spans="1:15">
      <c r="B60"/>
      <c r="C60" s="48"/>
      <c r="E60" s="112" t="s">
        <v>0</v>
      </c>
      <c r="F60"/>
      <c r="G60"/>
      <c r="H60"/>
      <c r="J60" s="48"/>
    </row>
    <row r="61" spans="1:15">
      <c r="B61"/>
      <c r="C61" s="48"/>
      <c r="E61" s="112" t="s">
        <v>0</v>
      </c>
      <c r="F61"/>
      <c r="G61"/>
      <c r="H61"/>
      <c r="J61" s="48"/>
    </row>
    <row r="62" spans="1:15">
      <c r="B62"/>
      <c r="C62" s="48"/>
      <c r="E62" s="112" t="s">
        <v>0</v>
      </c>
      <c r="F62"/>
      <c r="G62"/>
      <c r="H62"/>
      <c r="J62" s="48"/>
    </row>
    <row r="63" spans="1:15">
      <c r="B63"/>
      <c r="C63" s="48"/>
      <c r="E63" s="112" t="s">
        <v>0</v>
      </c>
      <c r="F63"/>
      <c r="G63"/>
      <c r="H63"/>
      <c r="I63"/>
      <c r="J63"/>
    </row>
    <row r="64" spans="1:15">
      <c r="B64"/>
      <c r="C64" s="48"/>
      <c r="E64" s="112" t="s">
        <v>0</v>
      </c>
      <c r="F64"/>
      <c r="G64"/>
      <c r="H64"/>
      <c r="I64"/>
      <c r="J64"/>
    </row>
    <row r="65" spans="2:12">
      <c r="B65"/>
      <c r="C65" s="48"/>
      <c r="E65" s="112" t="s">
        <v>0</v>
      </c>
      <c r="F65"/>
      <c r="G65"/>
      <c r="H65"/>
      <c r="I65"/>
      <c r="J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68" right="0.28999999999999998" top="0.66" bottom="0.55000000000000004" header="0.36" footer="0.34"/>
  <pageSetup scale="64" orientation="landscape" r:id="rId1"/>
  <headerFooter alignWithMargins="0">
    <oddFooter>&amp;R&amp;P</oddFooter>
  </headerFooter>
</worksheet>
</file>

<file path=xl/worksheets/sheet100.xml><?xml version="1.0" encoding="utf-8"?>
<worksheet xmlns="http://schemas.openxmlformats.org/spreadsheetml/2006/main" xmlns:r="http://schemas.openxmlformats.org/officeDocument/2006/relationships">
  <sheetPr>
    <pageSetUpPr fitToPage="1"/>
  </sheetPr>
  <dimension ref="A1:V121"/>
  <sheetViews>
    <sheetView workbookViewId="0">
      <selection activeCell="B79" sqref="B79"/>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8.75" style="33" customWidth="1"/>
    <col min="12" max="12" width="15.75" style="33" customWidth="1"/>
    <col min="13" max="13" width="9" style="33"/>
    <col min="14" max="14" width="15.75" style="33" customWidth="1"/>
    <col min="15" max="15" width="9" style="33"/>
    <col min="16" max="16" width="15.75" style="33" customWidth="1"/>
    <col min="17" max="17" width="9" style="33"/>
    <col min="18" max="18" width="15.75" style="33" customWidth="1"/>
    <col min="19" max="19" width="10.5" style="33" customWidth="1"/>
    <col min="20" max="20" width="17.25" style="33" customWidth="1"/>
    <col min="21" max="21" width="12.75" style="33" customWidth="1"/>
  </cols>
  <sheetData>
    <row r="1" spans="1:22">
      <c r="A1" s="111" t="s">
        <v>406</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5" spans="1:22">
      <c r="A5" s="111"/>
      <c r="B5" s="45"/>
      <c r="C5" s="45"/>
      <c r="D5" s="45"/>
      <c r="E5" s="45"/>
      <c r="F5" s="45"/>
      <c r="G5" s="45"/>
      <c r="H5" s="45"/>
      <c r="I5" s="45"/>
      <c r="J5" s="45"/>
      <c r="K5" s="45"/>
      <c r="L5" s="45"/>
      <c r="M5" s="45"/>
      <c r="N5" s="45"/>
      <c r="O5" s="45"/>
      <c r="P5" s="45"/>
      <c r="Q5" s="45"/>
      <c r="R5" s="45"/>
      <c r="S5" s="45"/>
      <c r="T5" s="45"/>
    </row>
    <row r="6" spans="1:22" s="11" customFormat="1" ht="16.5" thickBot="1">
      <c r="B6" s="1022">
        <f>+'CBNARÉSULT         '!B6</f>
        <v>2015</v>
      </c>
      <c r="C6" s="345"/>
      <c r="D6" s="346"/>
      <c r="E6" s="345"/>
      <c r="F6" s="346"/>
      <c r="G6" s="345"/>
      <c r="H6" s="346"/>
      <c r="I6" s="347"/>
      <c r="J6" s="332" t="str">
        <f>+'CBNARÉSULT         '!J6</f>
        <v>2014</v>
      </c>
      <c r="K6" s="345"/>
      <c r="L6" s="346"/>
      <c r="M6" s="345"/>
      <c r="N6" s="346"/>
      <c r="O6" s="345"/>
      <c r="P6" s="346"/>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35" t="s">
        <v>0</v>
      </c>
      <c r="E9" s="35" t="s">
        <v>0</v>
      </c>
      <c r="F9" s="35" t="s">
        <v>0</v>
      </c>
      <c r="G9" s="35" t="s">
        <v>0</v>
      </c>
      <c r="H9" s="35" t="s">
        <v>0</v>
      </c>
      <c r="I9" s="35" t="s">
        <v>0</v>
      </c>
      <c r="J9" s="24" t="s">
        <v>0</v>
      </c>
      <c r="K9" s="52" t="s">
        <v>0</v>
      </c>
      <c r="L9" s="24" t="s">
        <v>0</v>
      </c>
      <c r="M9" s="52" t="s">
        <v>0</v>
      </c>
      <c r="N9" s="24" t="s">
        <v>0</v>
      </c>
      <c r="O9" s="52" t="s">
        <v>0</v>
      </c>
      <c r="P9" s="24" t="s">
        <v>0</v>
      </c>
      <c r="Q9" s="35" t="s">
        <v>0</v>
      </c>
      <c r="R9" s="35" t="s">
        <v>0</v>
      </c>
      <c r="T9" s="35" t="s">
        <v>0</v>
      </c>
    </row>
    <row r="10" spans="1:22">
      <c r="A10" t="s">
        <v>302</v>
      </c>
      <c r="B10" s="20">
        <f>+B50</f>
        <v>46737</v>
      </c>
      <c r="C10" s="48">
        <v>0</v>
      </c>
      <c r="D10" s="20">
        <f>+F50</f>
        <v>0</v>
      </c>
      <c r="E10" s="48">
        <v>0</v>
      </c>
      <c r="F10" s="20">
        <f>+J50</f>
        <v>0</v>
      </c>
      <c r="G10" s="48">
        <v>0</v>
      </c>
      <c r="H10" s="20">
        <f>+N50</f>
        <v>0</v>
      </c>
      <c r="J10" s="20">
        <f>+D50</f>
        <v>46748</v>
      </c>
      <c r="K10" s="51">
        <f t="shared" ref="K10:K15" si="0">+(-J10+L10)/ABS(J10)</f>
        <v>1.6941901257807819E-2</v>
      </c>
      <c r="L10" s="20">
        <f>+H50</f>
        <v>47540</v>
      </c>
      <c r="M10" s="51">
        <f t="shared" ref="M10:M15" si="1">+(-L10+N10)/ABS(L10)</f>
        <v>-1.1506100126209508E-2</v>
      </c>
      <c r="N10" s="20">
        <f>+L50</f>
        <v>46993</v>
      </c>
      <c r="O10" s="51">
        <f t="shared" ref="O10:O15" si="2">+(-N10+P10)/ABS(N10)</f>
        <v>-9.724852637626881E-3</v>
      </c>
      <c r="P10" s="20">
        <f>+P50</f>
        <v>46536</v>
      </c>
    </row>
    <row r="11" spans="1:22">
      <c r="A11" t="s">
        <v>322</v>
      </c>
      <c r="B11" s="20">
        <f>+B51</f>
        <v>0</v>
      </c>
      <c r="C11" s="48">
        <v>0</v>
      </c>
      <c r="D11" s="20">
        <f>+F51</f>
        <v>0</v>
      </c>
      <c r="E11" s="48">
        <v>0</v>
      </c>
      <c r="F11" s="20">
        <f>+J51</f>
        <v>0</v>
      </c>
      <c r="G11" s="48">
        <v>0</v>
      </c>
      <c r="H11" s="20">
        <f>+N51</f>
        <v>0</v>
      </c>
      <c r="J11" s="20">
        <f>+D51</f>
        <v>0</v>
      </c>
      <c r="K11" s="51" t="e">
        <f t="shared" si="0"/>
        <v>#DIV/0!</v>
      </c>
      <c r="L11" s="20">
        <f>+H51</f>
        <v>0</v>
      </c>
      <c r="M11" s="48">
        <v>0</v>
      </c>
      <c r="N11" s="20">
        <f>+L51</f>
        <v>0</v>
      </c>
      <c r="O11" s="48">
        <v>0</v>
      </c>
      <c r="P11" s="20">
        <f>+P51</f>
        <v>0</v>
      </c>
    </row>
    <row r="12" spans="1:22">
      <c r="A12" t="s">
        <v>304</v>
      </c>
      <c r="B12" s="217">
        <f>+B52</f>
        <v>465</v>
      </c>
      <c r="C12" s="48">
        <v>0</v>
      </c>
      <c r="D12" s="217">
        <f>+F52</f>
        <v>0</v>
      </c>
      <c r="E12" s="48">
        <v>0</v>
      </c>
      <c r="F12" s="217">
        <f>+J52</f>
        <v>0</v>
      </c>
      <c r="G12" s="48">
        <v>0</v>
      </c>
      <c r="H12" s="217">
        <f>+N52</f>
        <v>0</v>
      </c>
      <c r="J12" s="199">
        <f>+D52</f>
        <v>758</v>
      </c>
      <c r="K12" s="51">
        <f t="shared" si="0"/>
        <v>-8.1794195250659632E-2</v>
      </c>
      <c r="L12" s="199">
        <f>+H52</f>
        <v>696</v>
      </c>
      <c r="M12" s="51">
        <f t="shared" si="1"/>
        <v>0.71982758620689657</v>
      </c>
      <c r="N12" s="199">
        <f>+L52</f>
        <v>1197</v>
      </c>
      <c r="O12" s="51">
        <f t="shared" si="2"/>
        <v>0.14118629908103592</v>
      </c>
      <c r="P12" s="199">
        <f>+P52</f>
        <v>1366</v>
      </c>
    </row>
    <row r="13" spans="1:22">
      <c r="B13" s="20">
        <f>SUM(B10:B12)</f>
        <v>47202</v>
      </c>
      <c r="C13" s="48">
        <v>0</v>
      </c>
      <c r="D13" s="20">
        <f>SUM(D10:D12)</f>
        <v>0</v>
      </c>
      <c r="E13" s="48">
        <v>0</v>
      </c>
      <c r="F13" s="20">
        <f>SUM(F10:F12)</f>
        <v>0</v>
      </c>
      <c r="G13" s="48">
        <v>0</v>
      </c>
      <c r="H13" s="20">
        <f>SUM(H10:H12)</f>
        <v>0</v>
      </c>
      <c r="J13" s="20">
        <f>SUM(J10:J12)</f>
        <v>47506</v>
      </c>
      <c r="K13" s="51">
        <f t="shared" si="0"/>
        <v>1.5366480023575969E-2</v>
      </c>
      <c r="L13" s="20">
        <f>SUM(L10:L12)</f>
        <v>48236</v>
      </c>
      <c r="M13" s="51">
        <f t="shared" si="1"/>
        <v>-9.5364458081101248E-4</v>
      </c>
      <c r="N13" s="20">
        <f>SUM(N10:N12)</f>
        <v>48190</v>
      </c>
      <c r="O13" s="51">
        <f t="shared" si="2"/>
        <v>-5.9763436397592858E-3</v>
      </c>
      <c r="P13" s="20">
        <f>SUM(P10:P12)</f>
        <v>47902</v>
      </c>
    </row>
    <row r="14" spans="1:22">
      <c r="A14" t="s">
        <v>305</v>
      </c>
      <c r="B14" s="217">
        <f>+B54</f>
        <v>310</v>
      </c>
      <c r="C14" s="48">
        <v>0</v>
      </c>
      <c r="D14" s="217">
        <f>+F54</f>
        <v>0</v>
      </c>
      <c r="E14" s="48">
        <v>0</v>
      </c>
      <c r="F14" s="217">
        <f>+J54</f>
        <v>0</v>
      </c>
      <c r="G14" s="48">
        <v>0</v>
      </c>
      <c r="H14" s="217">
        <f>+N54</f>
        <v>0</v>
      </c>
      <c r="J14" s="217">
        <f>+D54</f>
        <v>841</v>
      </c>
      <c r="K14" s="51">
        <f t="shared" si="0"/>
        <v>-9.7502972651605235E-2</v>
      </c>
      <c r="L14" s="217">
        <f>+H54</f>
        <v>759</v>
      </c>
      <c r="M14" s="51">
        <f t="shared" si="1"/>
        <v>0.20289855072463769</v>
      </c>
      <c r="N14" s="217">
        <f>+L54</f>
        <v>913</v>
      </c>
      <c r="O14" s="51">
        <f t="shared" si="2"/>
        <v>0.12267250821467689</v>
      </c>
      <c r="P14" s="217">
        <f>+P54</f>
        <v>1025</v>
      </c>
    </row>
    <row r="15" spans="1:22">
      <c r="B15" s="20">
        <f>+B13-B14</f>
        <v>46892</v>
      </c>
      <c r="C15" s="48">
        <v>0</v>
      </c>
      <c r="D15" s="20">
        <f>+D13-D14</f>
        <v>0</v>
      </c>
      <c r="E15" s="48">
        <v>0</v>
      </c>
      <c r="F15" s="20">
        <f>+F13-F14</f>
        <v>0</v>
      </c>
      <c r="G15" s="48">
        <v>0</v>
      </c>
      <c r="H15" s="20">
        <f>+H13-H14</f>
        <v>0</v>
      </c>
      <c r="J15" s="20">
        <f>+J13-J14</f>
        <v>46665</v>
      </c>
      <c r="K15" s="51">
        <f t="shared" si="0"/>
        <v>1.74006214507661E-2</v>
      </c>
      <c r="L15" s="20">
        <f>+L13-L14</f>
        <v>47477</v>
      </c>
      <c r="M15" s="51">
        <f t="shared" si="1"/>
        <v>-4.2125660846304529E-3</v>
      </c>
      <c r="N15" s="20">
        <f>+N13-N14</f>
        <v>47277</v>
      </c>
      <c r="O15" s="51">
        <f t="shared" si="2"/>
        <v>-8.4607737377583175E-3</v>
      </c>
      <c r="P15" s="20">
        <f>+P13-P14</f>
        <v>46877</v>
      </c>
    </row>
    <row r="16" spans="1:22" ht="9" customHeight="1">
      <c r="B16" s="20"/>
      <c r="C16" s="49" t="s">
        <v>0</v>
      </c>
      <c r="E16" s="49" t="s">
        <v>0</v>
      </c>
      <c r="G16" s="49" t="s">
        <v>0</v>
      </c>
      <c r="J16" s="20"/>
      <c r="K16" s="51"/>
      <c r="L16" s="20"/>
      <c r="M16" s="51"/>
      <c r="N16" s="20"/>
      <c r="O16" s="51"/>
      <c r="P16" s="20"/>
    </row>
    <row r="17" spans="1:16">
      <c r="A17" t="s">
        <v>306</v>
      </c>
      <c r="B17" s="20"/>
      <c r="C17" s="49" t="s">
        <v>0</v>
      </c>
      <c r="E17" s="49" t="s">
        <v>0</v>
      </c>
      <c r="G17" s="49" t="s">
        <v>0</v>
      </c>
      <c r="J17" s="20"/>
      <c r="K17" s="51"/>
      <c r="L17" s="20"/>
      <c r="M17" s="51"/>
      <c r="N17" s="20"/>
      <c r="O17" s="52" t="s">
        <v>0</v>
      </c>
      <c r="P17" s="20"/>
    </row>
    <row r="18" spans="1:16">
      <c r="A18" t="s">
        <v>307</v>
      </c>
      <c r="B18" s="20">
        <f>+B58</f>
        <v>18096</v>
      </c>
      <c r="C18" s="48">
        <v>0</v>
      </c>
      <c r="D18" s="20">
        <f>+F58</f>
        <v>0</v>
      </c>
      <c r="E18" s="48">
        <v>0</v>
      </c>
      <c r="F18" s="20">
        <f>+J58</f>
        <v>0</v>
      </c>
      <c r="G18" s="48">
        <v>0</v>
      </c>
      <c r="H18" s="20">
        <f>+N58</f>
        <v>0</v>
      </c>
      <c r="J18" s="20">
        <f>+D58</f>
        <v>18481</v>
      </c>
      <c r="K18" s="51">
        <f>+(-J18+L18)/ABS(J18)</f>
        <v>-0.15258914560900383</v>
      </c>
      <c r="L18" s="20">
        <f>+H58</f>
        <v>15661</v>
      </c>
      <c r="M18" s="51">
        <f>+(-L18+N18)/ABS(L18)</f>
        <v>9.4949236958048661E-2</v>
      </c>
      <c r="N18" s="20">
        <f>+L58</f>
        <v>17148</v>
      </c>
      <c r="O18" s="51">
        <f>+(-N18+P18)/ABS(N18)</f>
        <v>0.24533473291345931</v>
      </c>
      <c r="P18" s="20">
        <f>+P58</f>
        <v>21355</v>
      </c>
    </row>
    <row r="19" spans="1:16">
      <c r="A19" t="s">
        <v>308</v>
      </c>
      <c r="B19" s="20">
        <f>+B59</f>
        <v>8252</v>
      </c>
      <c r="C19" s="48">
        <v>0</v>
      </c>
      <c r="D19" s="20">
        <f>+F59</f>
        <v>0</v>
      </c>
      <c r="E19" s="48">
        <v>0</v>
      </c>
      <c r="F19" s="20">
        <f>+J59</f>
        <v>0</v>
      </c>
      <c r="G19" s="48">
        <v>0</v>
      </c>
      <c r="H19" s="20">
        <f>+N59</f>
        <v>0</v>
      </c>
      <c r="J19" s="20">
        <f>+D59</f>
        <v>9612</v>
      </c>
      <c r="K19" s="51">
        <f>+(-J19+L19)/ABS(J19)</f>
        <v>-3.7141073657927591E-2</v>
      </c>
      <c r="L19" s="20">
        <f>+H59</f>
        <v>9255</v>
      </c>
      <c r="M19" s="51">
        <f>+(-L19+N19)/ABS(L19)</f>
        <v>-0.24689357104267964</v>
      </c>
      <c r="N19" s="20">
        <f>+L59</f>
        <v>6970</v>
      </c>
      <c r="O19" s="51">
        <f>+(-N19+P19)/ABS(N19)</f>
        <v>1.5781922525107604E-2</v>
      </c>
      <c r="P19" s="20">
        <f>+P59</f>
        <v>7080</v>
      </c>
    </row>
    <row r="20" spans="1:16">
      <c r="A20" t="s">
        <v>274</v>
      </c>
      <c r="B20" s="217">
        <f>+B60</f>
        <v>592</v>
      </c>
      <c r="C20" s="48">
        <v>0</v>
      </c>
      <c r="D20" s="217">
        <f>+F60</f>
        <v>0</v>
      </c>
      <c r="E20" s="48">
        <v>0</v>
      </c>
      <c r="F20" s="217">
        <f>+J60</f>
        <v>0</v>
      </c>
      <c r="G20" s="1535">
        <v>0</v>
      </c>
      <c r="H20" s="217">
        <f>+N60</f>
        <v>0</v>
      </c>
      <c r="J20" s="217">
        <f>+D60</f>
        <v>-5767</v>
      </c>
      <c r="K20" s="51">
        <f>+(-J20+L20)/ABS(J20)</f>
        <v>0.76677648690827116</v>
      </c>
      <c r="L20" s="217">
        <f>+H60</f>
        <v>-1345</v>
      </c>
      <c r="M20" s="51">
        <f>+(-L20+N20)/ABS(L20)</f>
        <v>0.96728624535315988</v>
      </c>
      <c r="N20" s="217">
        <f>+L60</f>
        <v>-44</v>
      </c>
      <c r="O20" s="51">
        <f>+(-N20+P20)/ABS(N20)</f>
        <v>-113.95454545454545</v>
      </c>
      <c r="P20" s="217">
        <f>+P60</f>
        <v>-5058</v>
      </c>
    </row>
    <row r="21" spans="1:16">
      <c r="B21" s="20">
        <f>SUM(B18:B20)</f>
        <v>26940</v>
      </c>
      <c r="C21" s="48">
        <v>0</v>
      </c>
      <c r="D21" s="20">
        <f>SUM(D18:D20)</f>
        <v>0</v>
      </c>
      <c r="E21" s="48">
        <v>0</v>
      </c>
      <c r="F21" s="20">
        <f>SUM(F18:F20)</f>
        <v>0</v>
      </c>
      <c r="G21" s="48">
        <v>0</v>
      </c>
      <c r="H21" s="20">
        <f>SUM(H18:H20)</f>
        <v>0</v>
      </c>
      <c r="J21" s="20">
        <f>SUM(J18:J20)</f>
        <v>22326</v>
      </c>
      <c r="K21" s="51">
        <f>+(-J21+L21)/ABS(J21)</f>
        <v>5.5764579414135984E-2</v>
      </c>
      <c r="L21" s="20">
        <f>SUM(L18:L20)</f>
        <v>23571</v>
      </c>
      <c r="M21" s="51">
        <f>+(-L21+N21)/ABS(L21)</f>
        <v>2.1339781935429129E-2</v>
      </c>
      <c r="N21" s="20">
        <f>SUM(N18:N20)</f>
        <v>24074</v>
      </c>
      <c r="O21" s="51">
        <f>+(-N21+P21)/ABS(N21)</f>
        <v>-2.8952396776605466E-2</v>
      </c>
      <c r="P21" s="20">
        <f>SUM(P18:P20)</f>
        <v>23377</v>
      </c>
    </row>
    <row r="22" spans="1:16">
      <c r="B22" s="217"/>
      <c r="C22" s="49" t="s">
        <v>0</v>
      </c>
      <c r="D22" s="334"/>
      <c r="E22" s="49" t="s">
        <v>0</v>
      </c>
      <c r="F22" s="334"/>
      <c r="G22" s="49" t="s">
        <v>0</v>
      </c>
      <c r="H22" s="334"/>
      <c r="J22" s="217"/>
      <c r="K22" s="51"/>
      <c r="L22" s="217"/>
      <c r="M22" s="51"/>
      <c r="N22" s="217"/>
      <c r="O22" s="51"/>
      <c r="P22" s="217"/>
    </row>
    <row r="23" spans="1:16">
      <c r="A23" t="s">
        <v>309</v>
      </c>
      <c r="B23" s="20">
        <f>+B15+B21</f>
        <v>73832</v>
      </c>
      <c r="C23" s="48">
        <v>0</v>
      </c>
      <c r="D23" s="20">
        <f>+D15+D21</f>
        <v>0</v>
      </c>
      <c r="E23" s="48">
        <v>0</v>
      </c>
      <c r="F23" s="20">
        <f>+F15+F21</f>
        <v>0</v>
      </c>
      <c r="G23" s="48">
        <v>0</v>
      </c>
      <c r="H23" s="20">
        <f>+H15+H21</f>
        <v>0</v>
      </c>
      <c r="J23" s="20">
        <f>+J15+J21</f>
        <v>68991</v>
      </c>
      <c r="K23" s="51">
        <f>+(-J23+L23)/ABS(J23)</f>
        <v>2.9815483178965371E-2</v>
      </c>
      <c r="L23" s="20">
        <f>+L15+L21</f>
        <v>71048</v>
      </c>
      <c r="M23" s="51">
        <f>+(-L23+N23)/ABS(L23)</f>
        <v>4.264722441166535E-3</v>
      </c>
      <c r="N23" s="20">
        <f>+N15+N21</f>
        <v>71351</v>
      </c>
      <c r="O23" s="51">
        <f>+(-N23+P23)/ABS(N23)</f>
        <v>-1.537469692085605E-2</v>
      </c>
      <c r="P23" s="20">
        <f>+P15+P21</f>
        <v>70254</v>
      </c>
    </row>
    <row r="24" spans="1:16">
      <c r="B24" s="20"/>
      <c r="C24" s="49" t="s">
        <v>0</v>
      </c>
      <c r="E24" s="49" t="s">
        <v>0</v>
      </c>
      <c r="G24" s="49" t="s">
        <v>0</v>
      </c>
      <c r="J24" s="20"/>
      <c r="K24" s="51"/>
      <c r="L24" s="20"/>
      <c r="M24" s="52" t="s">
        <v>0</v>
      </c>
      <c r="N24" s="20"/>
      <c r="O24" s="51"/>
      <c r="P24" s="20"/>
    </row>
    <row r="25" spans="1:16">
      <c r="A25" t="s">
        <v>310</v>
      </c>
      <c r="B25" s="20">
        <f>+B65</f>
        <v>-5602</v>
      </c>
      <c r="C25" s="48">
        <v>0</v>
      </c>
      <c r="D25" s="20">
        <f>+F65</f>
        <v>0</v>
      </c>
      <c r="E25" s="48">
        <v>0</v>
      </c>
      <c r="F25" s="20">
        <f>+J65</f>
        <v>0</v>
      </c>
      <c r="G25" s="48">
        <v>0</v>
      </c>
      <c r="H25" s="20">
        <f>+N65</f>
        <v>0</v>
      </c>
      <c r="J25" s="20">
        <f>+D65</f>
        <v>3699.7</v>
      </c>
      <c r="K25" s="51">
        <f>+(-J25+L25)/ABS(J25)</f>
        <v>-1.8243100791956104</v>
      </c>
      <c r="L25" s="20">
        <f>+H65</f>
        <v>-3049.7</v>
      </c>
      <c r="M25" s="51">
        <f>+(-L25+N25)/ABS(L25)</f>
        <v>6.2159228776600983</v>
      </c>
      <c r="N25" s="20">
        <f>+L65</f>
        <v>15907</v>
      </c>
      <c r="O25" s="1403">
        <f>+(-N25+P25)/ABS(N25)</f>
        <v>-2.00048406361979</v>
      </c>
      <c r="P25" s="20">
        <f>+P65</f>
        <v>-15914.7</v>
      </c>
    </row>
    <row r="26" spans="1:16">
      <c r="B26" s="20"/>
      <c r="C26" s="49" t="s">
        <v>0</v>
      </c>
      <c r="E26" s="49" t="s">
        <v>0</v>
      </c>
      <c r="G26" s="49" t="s">
        <v>0</v>
      </c>
      <c r="J26" s="20"/>
      <c r="K26" s="51"/>
      <c r="L26" s="20"/>
      <c r="M26" s="51"/>
      <c r="N26" s="20"/>
      <c r="O26" s="51"/>
      <c r="P26" s="20"/>
    </row>
    <row r="27" spans="1:16">
      <c r="A27" t="s">
        <v>311</v>
      </c>
      <c r="B27" s="217"/>
      <c r="C27" s="49" t="s">
        <v>0</v>
      </c>
      <c r="D27" s="334"/>
      <c r="E27" s="49" t="s">
        <v>0</v>
      </c>
      <c r="F27" s="334"/>
      <c r="G27" s="49" t="s">
        <v>0</v>
      </c>
      <c r="H27" s="334"/>
      <c r="J27" s="217"/>
      <c r="K27" s="51"/>
      <c r="L27" s="217"/>
      <c r="M27" s="51"/>
      <c r="N27" s="217"/>
      <c r="O27" s="51"/>
      <c r="P27" s="217"/>
    </row>
    <row r="28" spans="1:16">
      <c r="A28" t="s">
        <v>312</v>
      </c>
      <c r="B28" s="20">
        <f>+B23-B25</f>
        <v>79434</v>
      </c>
      <c r="C28" s="48">
        <v>0</v>
      </c>
      <c r="D28" s="20">
        <f>+D23-D25</f>
        <v>0</v>
      </c>
      <c r="E28" s="48">
        <v>0</v>
      </c>
      <c r="F28" s="20">
        <f>+F23-F25</f>
        <v>0</v>
      </c>
      <c r="G28" s="48">
        <v>0</v>
      </c>
      <c r="H28" s="20">
        <f>+H23-H25</f>
        <v>0</v>
      </c>
      <c r="J28" s="20">
        <f>+J23-J25</f>
        <v>65291.3</v>
      </c>
      <c r="K28" s="51">
        <f>+(-J28+L28)/ABS(J28)</f>
        <v>0.1348786132302465</v>
      </c>
      <c r="L28" s="20">
        <f>+L23-L25</f>
        <v>74097.7</v>
      </c>
      <c r="M28" s="51">
        <f>+(-L28+N28)/ABS(L28)</f>
        <v>-0.25174465604195539</v>
      </c>
      <c r="N28" s="20">
        <f>+N23-N25</f>
        <v>55444</v>
      </c>
      <c r="O28" s="51">
        <f>+(-N28+P28)/ABS(N28)</f>
        <v>0.55415734795469296</v>
      </c>
      <c r="P28" s="20">
        <f>+P23-P25</f>
        <v>86168.7</v>
      </c>
    </row>
    <row r="29" spans="1:16">
      <c r="B29" s="20"/>
      <c r="C29" s="49" t="s">
        <v>0</v>
      </c>
      <c r="E29" s="49" t="s">
        <v>0</v>
      </c>
      <c r="G29" s="49" t="s">
        <v>0</v>
      </c>
      <c r="J29" s="20"/>
      <c r="K29" s="51"/>
      <c r="L29" s="20"/>
      <c r="M29" s="51"/>
      <c r="N29" s="20"/>
      <c r="O29" s="51"/>
      <c r="P29" s="20"/>
    </row>
    <row r="30" spans="1:16">
      <c r="A30" t="s">
        <v>313</v>
      </c>
      <c r="B30" s="20"/>
      <c r="C30" s="49" t="s">
        <v>0</v>
      </c>
      <c r="E30" s="49" t="s">
        <v>0</v>
      </c>
      <c r="G30" s="49" t="s">
        <v>0</v>
      </c>
      <c r="J30" s="20"/>
      <c r="K30" s="51"/>
      <c r="L30" s="20"/>
      <c r="M30" s="51"/>
      <c r="N30" s="20"/>
      <c r="O30" s="51"/>
      <c r="P30" s="20"/>
    </row>
    <row r="31" spans="1:16">
      <c r="A31" t="s">
        <v>314</v>
      </c>
      <c r="B31" s="20">
        <f>+B71</f>
        <v>18420</v>
      </c>
      <c r="C31" s="48">
        <v>0</v>
      </c>
      <c r="D31" s="20">
        <f>+F71</f>
        <v>0</v>
      </c>
      <c r="E31" s="48">
        <v>0</v>
      </c>
      <c r="F31" s="20">
        <f>+J71</f>
        <v>0</v>
      </c>
      <c r="G31" s="48">
        <v>0</v>
      </c>
      <c r="H31" s="20">
        <f>+N71</f>
        <v>0</v>
      </c>
      <c r="J31" s="20">
        <f>+D71</f>
        <v>23848</v>
      </c>
      <c r="K31" s="51">
        <f>+(-J31+L31)/ABS(J31)</f>
        <v>-0.11003019121100302</v>
      </c>
      <c r="L31" s="20">
        <f>+H71</f>
        <v>21224</v>
      </c>
      <c r="M31" s="51">
        <f>+(-L31+N31)/ABS(L31)</f>
        <v>-0.12283264229174519</v>
      </c>
      <c r="N31" s="20">
        <f>+L71</f>
        <v>18617</v>
      </c>
      <c r="O31" s="51">
        <f>+(-N31+P31)/ABS(N31)</f>
        <v>0.41483590266960307</v>
      </c>
      <c r="P31" s="20">
        <f>+P71</f>
        <v>26340</v>
      </c>
    </row>
    <row r="32" spans="1:16">
      <c r="A32" t="s">
        <v>315</v>
      </c>
      <c r="B32" s="20">
        <f>+B72</f>
        <v>5296</v>
      </c>
      <c r="C32" s="48">
        <v>0</v>
      </c>
      <c r="D32" s="20">
        <f>+F72</f>
        <v>0</v>
      </c>
      <c r="E32" s="48">
        <v>0</v>
      </c>
      <c r="F32" s="20">
        <f>+J72</f>
        <v>0</v>
      </c>
      <c r="G32" s="48">
        <v>0</v>
      </c>
      <c r="H32" s="20">
        <f>+N72</f>
        <v>0</v>
      </c>
      <c r="J32" s="20">
        <f>+D72</f>
        <v>5321</v>
      </c>
      <c r="K32" s="51">
        <f>+(-J32+L32)/ABS(J32)</f>
        <v>-4.7171584288667544E-2</v>
      </c>
      <c r="L32" s="20">
        <f>+H72</f>
        <v>5070</v>
      </c>
      <c r="M32" s="51">
        <f>+(-L32+N32)/ABS(L32)</f>
        <v>2.2879684418145956E-2</v>
      </c>
      <c r="N32" s="20">
        <f>+L72</f>
        <v>5186</v>
      </c>
      <c r="O32" s="51">
        <f>+(-N32+P32)/ABS(N32)</f>
        <v>6.7489394523717701E-3</v>
      </c>
      <c r="P32" s="20">
        <f>+P72</f>
        <v>5221</v>
      </c>
    </row>
    <row r="33" spans="1:22">
      <c r="A33" t="s">
        <v>316</v>
      </c>
      <c r="B33" s="20">
        <f>+B73</f>
        <v>1295</v>
      </c>
      <c r="C33" s="48">
        <v>0</v>
      </c>
      <c r="D33" s="20">
        <f>+F73</f>
        <v>0</v>
      </c>
      <c r="E33" s="48">
        <v>0</v>
      </c>
      <c r="F33" s="20">
        <f>+J73</f>
        <v>0</v>
      </c>
      <c r="G33" s="48">
        <v>0</v>
      </c>
      <c r="H33" s="20">
        <f>+N73</f>
        <v>0</v>
      </c>
      <c r="J33" s="20">
        <f>+D73</f>
        <v>1254</v>
      </c>
      <c r="K33" s="51">
        <f>+(-J33+L33)/ABS(J33)</f>
        <v>-0.11802232854864433</v>
      </c>
      <c r="L33" s="20">
        <f>+H73</f>
        <v>1106</v>
      </c>
      <c r="M33" s="51">
        <f>+(-L33+N33)/ABS(L33)</f>
        <v>4.3399638336347197E-2</v>
      </c>
      <c r="N33" s="20">
        <f>+L73</f>
        <v>1154</v>
      </c>
      <c r="O33" s="51">
        <f>+(-N33+P33)/ABS(N33)</f>
        <v>0.30069324090121319</v>
      </c>
      <c r="P33" s="20">
        <f>+P73</f>
        <v>1501</v>
      </c>
    </row>
    <row r="34" spans="1:22">
      <c r="A34" t="s">
        <v>317</v>
      </c>
      <c r="B34" s="217">
        <f>+B74</f>
        <v>21372</v>
      </c>
      <c r="C34" s="48">
        <v>0</v>
      </c>
      <c r="D34" s="217">
        <f>+F74</f>
        <v>0</v>
      </c>
      <c r="E34" s="48">
        <v>0</v>
      </c>
      <c r="F34" s="217">
        <f>+J74</f>
        <v>0</v>
      </c>
      <c r="G34" s="48">
        <v>0</v>
      </c>
      <c r="H34" s="217">
        <f>+N74</f>
        <v>0</v>
      </c>
      <c r="J34" s="217">
        <f>+D74</f>
        <v>28944</v>
      </c>
      <c r="K34" s="51">
        <f>+(-J34+L34)/ABS(J34)</f>
        <v>0.14272388059701493</v>
      </c>
      <c r="L34" s="217">
        <f>+H74</f>
        <v>33075</v>
      </c>
      <c r="M34" s="51">
        <f>+(-L34+N34)/ABS(L34)</f>
        <v>0.26164777021919877</v>
      </c>
      <c r="N34" s="217">
        <f>+L74</f>
        <v>41729</v>
      </c>
      <c r="O34" s="51">
        <f>+(-N34+P34)/ABS(N34)</f>
        <v>0.35986963502600111</v>
      </c>
      <c r="P34" s="217">
        <f>+P74</f>
        <v>56746</v>
      </c>
    </row>
    <row r="35" spans="1:22">
      <c r="B35" s="20">
        <f>SUM(B31:B34)</f>
        <v>46383</v>
      </c>
      <c r="C35" s="48">
        <v>0</v>
      </c>
      <c r="D35" s="20">
        <f>SUM(D31:D34)</f>
        <v>0</v>
      </c>
      <c r="E35" s="48">
        <v>0</v>
      </c>
      <c r="F35" s="20">
        <f>SUM(F31:F34)</f>
        <v>0</v>
      </c>
      <c r="G35" s="48">
        <v>0</v>
      </c>
      <c r="H35" s="20">
        <f>SUM(H31:H34)</f>
        <v>0</v>
      </c>
      <c r="J35" s="20">
        <f>SUM(J31:J34)</f>
        <v>59367</v>
      </c>
      <c r="K35" s="51">
        <f>+(-J35+L35)/ABS(J35)</f>
        <v>1.8663567301699598E-2</v>
      </c>
      <c r="L35" s="20">
        <f>SUM(L31:L34)</f>
        <v>60475</v>
      </c>
      <c r="M35" s="51">
        <f>+(-L35+N35)/ABS(L35)</f>
        <v>0.1027035965274907</v>
      </c>
      <c r="N35" s="20">
        <f>SUM(N31:N34)</f>
        <v>66686</v>
      </c>
      <c r="O35" s="51">
        <f>+(-N35+P35)/ABS(N35)</f>
        <v>0.34672944845994663</v>
      </c>
      <c r="P35" s="20">
        <f>SUM(P31:P34)</f>
        <v>89808</v>
      </c>
    </row>
    <row r="36" spans="1:22">
      <c r="B36" s="217"/>
      <c r="C36" s="48"/>
      <c r="D36" s="334"/>
      <c r="E36" s="48"/>
      <c r="F36" s="334"/>
      <c r="G36" s="48"/>
      <c r="H36" s="334"/>
      <c r="J36" s="217"/>
      <c r="K36" s="51"/>
      <c r="L36" s="217"/>
      <c r="M36" s="51"/>
      <c r="N36" s="217"/>
      <c r="O36" s="51"/>
      <c r="P36" s="217"/>
    </row>
    <row r="37" spans="1:22">
      <c r="A37" t="s">
        <v>318</v>
      </c>
      <c r="B37" s="20">
        <f>+B28-B35</f>
        <v>33051</v>
      </c>
      <c r="C37" s="48">
        <v>0</v>
      </c>
      <c r="D37" s="20">
        <f>+D28-D35</f>
        <v>0</v>
      </c>
      <c r="E37" s="48">
        <v>0</v>
      </c>
      <c r="F37" s="20">
        <f>+F28-F35</f>
        <v>0</v>
      </c>
      <c r="G37" s="48">
        <v>0</v>
      </c>
      <c r="H37" s="20">
        <f>+H28-H35</f>
        <v>0</v>
      </c>
      <c r="J37" s="20">
        <f>+J28-J35</f>
        <v>5924.3000000000029</v>
      </c>
      <c r="K37" s="51">
        <f>+(-J37+L37)/ABS(J37)</f>
        <v>1.29946153975997</v>
      </c>
      <c r="L37" s="20">
        <f>+L28-L35</f>
        <v>13622.699999999997</v>
      </c>
      <c r="M37" s="51">
        <f>+(-L37+N37)/ABS(L37)</f>
        <v>-1.8252402240378194</v>
      </c>
      <c r="N37" s="20">
        <f>+N28-N35</f>
        <v>-11242</v>
      </c>
      <c r="O37" s="52">
        <f>+(-N37+P37)/ABS(N37)</f>
        <v>0.67627646326276436</v>
      </c>
      <c r="P37" s="20">
        <f>+P28-P35</f>
        <v>-3639.3000000000029</v>
      </c>
    </row>
    <row r="38" spans="1:22">
      <c r="B38" s="20"/>
      <c r="C38" s="49" t="s">
        <v>0</v>
      </c>
      <c r="E38" s="49" t="s">
        <v>0</v>
      </c>
      <c r="G38" s="49" t="s">
        <v>0</v>
      </c>
      <c r="J38" s="20"/>
      <c r="K38" s="51"/>
      <c r="L38" s="20"/>
      <c r="M38" s="51"/>
      <c r="N38" s="20"/>
      <c r="O38" s="51"/>
      <c r="P38" s="20"/>
    </row>
    <row r="39" spans="1:22">
      <c r="A39" t="s">
        <v>319</v>
      </c>
      <c r="B39" s="20">
        <f>+B79</f>
        <v>9915.2999999999993</v>
      </c>
      <c r="C39" s="48">
        <v>0</v>
      </c>
      <c r="D39" s="20">
        <f>+F79</f>
        <v>0</v>
      </c>
      <c r="E39" s="48">
        <v>0</v>
      </c>
      <c r="F39" s="20">
        <f>+J79</f>
        <v>0</v>
      </c>
      <c r="G39" s="48">
        <v>0</v>
      </c>
      <c r="H39" s="20">
        <f>+N79</f>
        <v>0</v>
      </c>
      <c r="J39" s="20">
        <f>+D79</f>
        <v>1973.1899999999998</v>
      </c>
      <c r="K39" s="51">
        <f>+(-J39+L39)/ABS(J39)</f>
        <v>1.1865608481697154</v>
      </c>
      <c r="L39" s="20">
        <f>+H79</f>
        <v>4314.5</v>
      </c>
      <c r="M39" s="51">
        <f>+(-L39+N39)/ABS(L39)</f>
        <v>-0.30473983080310585</v>
      </c>
      <c r="N39" s="20">
        <f>+L79</f>
        <v>2999.7</v>
      </c>
      <c r="O39" s="52">
        <f>+(-N39+P39)/ABS(N39)</f>
        <v>8.0508050805080514E-2</v>
      </c>
      <c r="P39" s="20">
        <f>+P79</f>
        <v>3241.2</v>
      </c>
    </row>
    <row r="40" spans="1:22" ht="16.5" thickBot="1">
      <c r="B40" s="79"/>
      <c r="C40" s="49" t="s">
        <v>0</v>
      </c>
      <c r="D40" s="36"/>
      <c r="E40" s="49" t="s">
        <v>0</v>
      </c>
      <c r="F40" s="36"/>
      <c r="G40" s="49" t="s">
        <v>0</v>
      </c>
      <c r="H40" s="36"/>
      <c r="J40" s="79"/>
      <c r="K40" s="51"/>
      <c r="L40" s="79"/>
      <c r="M40" s="51"/>
      <c r="N40" s="79"/>
      <c r="O40" s="51"/>
      <c r="P40" s="79"/>
    </row>
    <row r="41" spans="1:22" s="11" customFormat="1">
      <c r="A41" s="11" t="s">
        <v>326</v>
      </c>
      <c r="B41" s="13">
        <f>+B37-B39</f>
        <v>23135.7</v>
      </c>
      <c r="C41" s="47">
        <v>0</v>
      </c>
      <c r="D41" s="13">
        <f>+D37-D39</f>
        <v>0</v>
      </c>
      <c r="E41" s="47">
        <v>0</v>
      </c>
      <c r="F41" s="13">
        <f>+F37-F39</f>
        <v>0</v>
      </c>
      <c r="G41" s="47">
        <v>0</v>
      </c>
      <c r="H41" s="13">
        <f>+H37-H39</f>
        <v>0</v>
      </c>
      <c r="I41" s="137"/>
      <c r="J41" s="13">
        <f>+J37-J39</f>
        <v>3951.1100000000033</v>
      </c>
      <c r="K41" s="109">
        <f>+(-J41+L41)/ABS(J41)</f>
        <v>1.3558443070428283</v>
      </c>
      <c r="L41" s="13">
        <f>+L37-L39</f>
        <v>9308.1999999999971</v>
      </c>
      <c r="M41" s="109">
        <f>+(-L41+N41)/ABS(L41)</f>
        <v>-2.5300165445521161</v>
      </c>
      <c r="N41" s="13">
        <f>+N37-N39</f>
        <v>-14241.7</v>
      </c>
      <c r="O41" s="104">
        <f>+(-N41+P41)/ABS(N41)</f>
        <v>0.51687649648567224</v>
      </c>
      <c r="P41" s="13">
        <f>+P37-P39</f>
        <v>-6880.5000000000027</v>
      </c>
      <c r="Q41" s="137"/>
      <c r="R41" s="137"/>
      <c r="S41" s="137"/>
      <c r="T41" s="137"/>
      <c r="U41" s="137"/>
    </row>
    <row r="42" spans="1:22" ht="5.45" customHeight="1">
      <c r="C42" s="35"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218" t="str">
        <f>+'CBNARÉSULT         '!B46</f>
        <v xml:space="preserve"> 2015</v>
      </c>
      <c r="C46" s="137" t="s">
        <v>0</v>
      </c>
      <c r="D46" s="218" t="str">
        <f>+'CBNARÉSULT         '!D46</f>
        <v xml:space="preserve"> 2014</v>
      </c>
      <c r="E46" s="137"/>
      <c r="F46" s="218" t="str">
        <f>+'CBNARÉSULT         '!F46</f>
        <v xml:space="preserve"> 2015</v>
      </c>
      <c r="G46" s="137" t="s">
        <v>0</v>
      </c>
      <c r="H46" s="218" t="str">
        <f>+'CBNARÉSULT         '!H46</f>
        <v xml:space="preserve"> 2014</v>
      </c>
      <c r="I46" s="137"/>
      <c r="J46" s="218" t="str">
        <f>+'CBNARÉSULT         '!J46</f>
        <v xml:space="preserve"> 2015</v>
      </c>
      <c r="K46" s="137" t="s">
        <v>0</v>
      </c>
      <c r="L46" s="218" t="str">
        <f>+'CBNARÉSULT         '!L46</f>
        <v xml:space="preserve"> 2014</v>
      </c>
      <c r="M46" s="137"/>
      <c r="N46" s="218" t="str">
        <f>+'CBNARÉSULT         '!N46</f>
        <v xml:space="preserve"> 2015</v>
      </c>
      <c r="O46" s="137" t="s">
        <v>0</v>
      </c>
      <c r="P46" s="218" t="str">
        <f>+'CBNARÉSULT         '!P46</f>
        <v xml:space="preserve"> 2014</v>
      </c>
      <c r="Q46" s="137"/>
      <c r="R46" s="1021" t="str">
        <f>+'CBNARÉSULT         '!R46</f>
        <v xml:space="preserve"> 2014 (oct.-déc. 14)</v>
      </c>
      <c r="S46" s="137"/>
      <c r="T46" s="1021" t="str">
        <f>+'CBNARÉSULT         '!T46</f>
        <v xml:space="preserve"> 2013 (oct. -déc. 13)</v>
      </c>
      <c r="U46" s="218" t="str">
        <f>+'CBNARÉSULT         '!U46</f>
        <v>2014</v>
      </c>
    </row>
    <row r="47" spans="1:22" ht="16.5" thickBot="1">
      <c r="B47" s="220"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2">
      <c r="A49" t="s">
        <v>301</v>
      </c>
      <c r="B49" s="24" t="s">
        <v>0</v>
      </c>
      <c r="C49" s="52" t="s">
        <v>0</v>
      </c>
      <c r="D49" s="24" t="s">
        <v>0</v>
      </c>
      <c r="E49" s="35" t="s">
        <v>0</v>
      </c>
      <c r="F49" s="35" t="s">
        <v>0</v>
      </c>
      <c r="G49" s="52" t="s">
        <v>0</v>
      </c>
      <c r="H49" s="24" t="s">
        <v>0</v>
      </c>
      <c r="I49" s="35" t="s">
        <v>0</v>
      </c>
      <c r="J49" s="35" t="s">
        <v>0</v>
      </c>
      <c r="K49" s="52" t="s">
        <v>0</v>
      </c>
      <c r="L49" s="24" t="s">
        <v>0</v>
      </c>
      <c r="M49" s="35" t="s">
        <v>0</v>
      </c>
      <c r="N49" s="35" t="s">
        <v>0</v>
      </c>
      <c r="O49" s="52" t="s">
        <v>0</v>
      </c>
      <c r="P49" s="24" t="s">
        <v>0</v>
      </c>
      <c r="Q49" s="35" t="s">
        <v>0</v>
      </c>
      <c r="R49" s="24" t="s">
        <v>0</v>
      </c>
      <c r="S49" s="52" t="s">
        <v>0</v>
      </c>
      <c r="T49" s="24" t="s">
        <v>0</v>
      </c>
      <c r="U49" s="24" t="s">
        <v>0</v>
      </c>
      <c r="V49" t="s">
        <v>0</v>
      </c>
    </row>
    <row r="50" spans="1:22">
      <c r="A50" t="s">
        <v>302</v>
      </c>
      <c r="B50" s="20">
        <v>46737</v>
      </c>
      <c r="C50" s="51">
        <f t="shared" ref="C50:C55" si="3">+(B50-D50)/ABS(D50)</f>
        <v>-2.3530418413621974E-4</v>
      </c>
      <c r="D50" s="20">
        <v>46748</v>
      </c>
      <c r="E50" s="35"/>
      <c r="F50" s="20">
        <v>0</v>
      </c>
      <c r="G50" s="48">
        <v>0</v>
      </c>
      <c r="H50" s="20">
        <v>47540</v>
      </c>
      <c r="J50" s="20">
        <v>0</v>
      </c>
      <c r="K50" s="48">
        <v>0</v>
      </c>
      <c r="L50" s="20">
        <v>46993</v>
      </c>
      <c r="M50" s="35"/>
      <c r="N50" s="20">
        <v>0</v>
      </c>
      <c r="O50" s="48">
        <v>0</v>
      </c>
      <c r="P50" s="20">
        <v>46536</v>
      </c>
      <c r="R50" s="20">
        <f>+B50+F50+J50+N50</f>
        <v>46737</v>
      </c>
      <c r="S50" s="51">
        <f t="shared" ref="S50:S55" si="4">+(R50-T50)/ABS(T50)</f>
        <v>-2.3530418413621974E-4</v>
      </c>
      <c r="T50" s="81">
        <f>+D50</f>
        <v>46748</v>
      </c>
      <c r="U50" s="20">
        <f>+D50+H50+L50+P50</f>
        <v>187817</v>
      </c>
    </row>
    <row r="51" spans="1:22">
      <c r="A51" t="s">
        <v>322</v>
      </c>
      <c r="B51" s="20">
        <v>0</v>
      </c>
      <c r="C51" s="48">
        <v>0</v>
      </c>
      <c r="D51" s="20">
        <v>0</v>
      </c>
      <c r="E51" s="35"/>
      <c r="F51" s="20">
        <v>0</v>
      </c>
      <c r="G51" s="48">
        <v>0</v>
      </c>
      <c r="H51" s="20">
        <v>0</v>
      </c>
      <c r="J51" s="20">
        <v>0</v>
      </c>
      <c r="K51" s="48">
        <v>0</v>
      </c>
      <c r="L51" s="20">
        <v>0</v>
      </c>
      <c r="M51" s="35"/>
      <c r="N51" s="20">
        <v>0</v>
      </c>
      <c r="O51" s="48">
        <v>0</v>
      </c>
      <c r="P51" s="20">
        <v>0</v>
      </c>
      <c r="R51" s="20">
        <f>+B51+F51+J51+N51</f>
        <v>0</v>
      </c>
      <c r="S51" s="48">
        <v>0</v>
      </c>
      <c r="T51" s="81">
        <f>+D51</f>
        <v>0</v>
      </c>
      <c r="U51" s="20">
        <f>+D51+H51+L51+P51</f>
        <v>0</v>
      </c>
    </row>
    <row r="52" spans="1:22">
      <c r="A52" t="s">
        <v>304</v>
      </c>
      <c r="B52" s="199">
        <v>465</v>
      </c>
      <c r="C52" s="51">
        <f t="shared" si="3"/>
        <v>-0.38654353562005278</v>
      </c>
      <c r="D52" s="199">
        <v>758</v>
      </c>
      <c r="E52" s="35"/>
      <c r="F52" s="199">
        <v>0</v>
      </c>
      <c r="G52" s="48">
        <v>0</v>
      </c>
      <c r="H52" s="199">
        <v>696</v>
      </c>
      <c r="J52" s="199">
        <v>0</v>
      </c>
      <c r="K52" s="48">
        <v>0</v>
      </c>
      <c r="L52" s="199">
        <v>1197</v>
      </c>
      <c r="M52" s="35"/>
      <c r="N52" s="199">
        <v>0</v>
      </c>
      <c r="O52" s="48">
        <v>0</v>
      </c>
      <c r="P52" s="199">
        <v>1366</v>
      </c>
      <c r="R52" s="217">
        <f>+B52+F52+J52+N52</f>
        <v>465</v>
      </c>
      <c r="S52" s="51">
        <f t="shared" si="4"/>
        <v>-0.38654353562005278</v>
      </c>
      <c r="T52" s="217">
        <f>+D52</f>
        <v>758</v>
      </c>
      <c r="U52" s="217">
        <f>+D52+H52+L52+P52</f>
        <v>4017</v>
      </c>
    </row>
    <row r="53" spans="1:22">
      <c r="B53" s="20">
        <f>SUM(B50:B52)</f>
        <v>47202</v>
      </c>
      <c r="C53" s="51">
        <f t="shared" si="3"/>
        <v>-6.399191681050815E-3</v>
      </c>
      <c r="D53" s="20">
        <f>SUM(D50:D52)</f>
        <v>47506</v>
      </c>
      <c r="E53" s="35"/>
      <c r="F53" s="20">
        <f>SUM(F50:F52)</f>
        <v>0</v>
      </c>
      <c r="G53" s="48">
        <v>0</v>
      </c>
      <c r="H53" s="20">
        <f>SUM(H50:H52)</f>
        <v>48236</v>
      </c>
      <c r="J53" s="20">
        <f>SUM(J50:J52)</f>
        <v>0</v>
      </c>
      <c r="K53" s="48">
        <v>0</v>
      </c>
      <c r="L53" s="20">
        <f>SUM(L50:L52)</f>
        <v>48190</v>
      </c>
      <c r="M53" s="35"/>
      <c r="N53" s="20">
        <f>SUM(N50:N52)</f>
        <v>0</v>
      </c>
      <c r="O53" s="48">
        <v>0</v>
      </c>
      <c r="P53" s="20">
        <f>SUM(P50:P52)</f>
        <v>47902</v>
      </c>
      <c r="R53" s="20">
        <f>SUM(R50:R52)</f>
        <v>47202</v>
      </c>
      <c r="S53" s="51">
        <f t="shared" si="4"/>
        <v>-6.399191681050815E-3</v>
      </c>
      <c r="T53" s="20">
        <f>SUM(T50:T52)</f>
        <v>47506</v>
      </c>
      <c r="U53" s="20">
        <f>SUM(U50:U52)</f>
        <v>191834</v>
      </c>
    </row>
    <row r="54" spans="1:22">
      <c r="A54" t="s">
        <v>305</v>
      </c>
      <c r="B54" s="217">
        <v>310</v>
      </c>
      <c r="C54" s="51">
        <f t="shared" si="3"/>
        <v>-0.63139120095124857</v>
      </c>
      <c r="D54" s="217">
        <v>841</v>
      </c>
      <c r="E54" s="35" t="s">
        <v>0</v>
      </c>
      <c r="F54" s="217">
        <v>0</v>
      </c>
      <c r="G54" s="48">
        <v>0</v>
      </c>
      <c r="H54" s="217">
        <v>759</v>
      </c>
      <c r="J54" s="217">
        <v>0</v>
      </c>
      <c r="K54" s="48">
        <v>0</v>
      </c>
      <c r="L54" s="217">
        <v>913</v>
      </c>
      <c r="M54" s="35" t="s">
        <v>0</v>
      </c>
      <c r="N54" s="217">
        <v>0</v>
      </c>
      <c r="O54" s="48">
        <v>0</v>
      </c>
      <c r="P54" s="217">
        <v>1025</v>
      </c>
      <c r="R54" s="217">
        <f>+B54+F54+J54+N54</f>
        <v>310</v>
      </c>
      <c r="S54" s="51">
        <f t="shared" si="4"/>
        <v>-0.63139120095124857</v>
      </c>
      <c r="T54" s="217">
        <f>+D54</f>
        <v>841</v>
      </c>
      <c r="U54" s="217">
        <f>+D54+H54+L54+P54</f>
        <v>3538</v>
      </c>
    </row>
    <row r="55" spans="1:22">
      <c r="B55" s="20">
        <f>+B53-B54</f>
        <v>46892</v>
      </c>
      <c r="C55" s="51">
        <f t="shared" si="3"/>
        <v>4.8644594449801775E-3</v>
      </c>
      <c r="D55" s="20">
        <f>+D53-D54</f>
        <v>46665</v>
      </c>
      <c r="E55" s="35" t="s">
        <v>0</v>
      </c>
      <c r="F55" s="20">
        <f>+F53-F54</f>
        <v>0</v>
      </c>
      <c r="G55" s="48">
        <v>0</v>
      </c>
      <c r="H55" s="20">
        <f>+H53-H54</f>
        <v>47477</v>
      </c>
      <c r="J55" s="20">
        <f>+J53-J54</f>
        <v>0</v>
      </c>
      <c r="K55" s="48">
        <v>0</v>
      </c>
      <c r="L55" s="20">
        <f>+L53-L54</f>
        <v>47277</v>
      </c>
      <c r="M55" s="35" t="s">
        <v>0</v>
      </c>
      <c r="N55" s="20">
        <f>+N53-N54</f>
        <v>0</v>
      </c>
      <c r="O55" s="48">
        <v>0</v>
      </c>
      <c r="P55" s="20">
        <f>+P53-P54</f>
        <v>46877</v>
      </c>
      <c r="R55" s="20">
        <f>+R53-R54</f>
        <v>46892</v>
      </c>
      <c r="S55" s="51">
        <f t="shared" si="4"/>
        <v>4.8644594449801775E-3</v>
      </c>
      <c r="T55" s="20">
        <f>+T53-T54</f>
        <v>46665</v>
      </c>
      <c r="U55" s="20">
        <f>+U53-U54</f>
        <v>188296</v>
      </c>
    </row>
    <row r="56" spans="1:22">
      <c r="B56" s="20"/>
      <c r="C56" s="52" t="s">
        <v>0</v>
      </c>
      <c r="D56" s="20"/>
      <c r="E56" s="35" t="s">
        <v>0</v>
      </c>
      <c r="G56" s="49" t="s">
        <v>0</v>
      </c>
      <c r="K56" s="49" t="s">
        <v>0</v>
      </c>
      <c r="M56" s="35" t="s">
        <v>0</v>
      </c>
      <c r="O56" s="49" t="s">
        <v>0</v>
      </c>
      <c r="R56" s="20"/>
      <c r="S56" s="51"/>
      <c r="T56" s="20"/>
      <c r="U56" s="20"/>
    </row>
    <row r="57" spans="1:22">
      <c r="A57" t="s">
        <v>306</v>
      </c>
      <c r="B57" s="20"/>
      <c r="C57" s="52" t="s">
        <v>0</v>
      </c>
      <c r="D57" s="20"/>
      <c r="E57" s="35" t="s">
        <v>0</v>
      </c>
      <c r="F57" s="35" t="s">
        <v>0</v>
      </c>
      <c r="G57" s="49" t="s">
        <v>0</v>
      </c>
      <c r="H57" s="35" t="s">
        <v>0</v>
      </c>
      <c r="J57" s="35" t="s">
        <v>0</v>
      </c>
      <c r="K57" s="49" t="s">
        <v>0</v>
      </c>
      <c r="L57" s="35" t="s">
        <v>0</v>
      </c>
      <c r="M57" s="35" t="s">
        <v>0</v>
      </c>
      <c r="N57" s="35" t="s">
        <v>0</v>
      </c>
      <c r="O57" s="49" t="s">
        <v>0</v>
      </c>
      <c r="P57" s="35" t="s">
        <v>0</v>
      </c>
      <c r="R57" s="20"/>
      <c r="S57" s="52" t="s">
        <v>0</v>
      </c>
      <c r="T57" s="20"/>
      <c r="U57" s="20"/>
    </row>
    <row r="58" spans="1:22">
      <c r="A58" t="s">
        <v>307</v>
      </c>
      <c r="B58" s="20">
        <v>18096</v>
      </c>
      <c r="C58" s="51">
        <f>+(B58-D58)/ABS(D58)</f>
        <v>-2.0832206049456198E-2</v>
      </c>
      <c r="D58" s="20">
        <v>18481</v>
      </c>
      <c r="E58" s="35" t="s">
        <v>0</v>
      </c>
      <c r="F58" s="20">
        <v>0</v>
      </c>
      <c r="G58" s="48">
        <v>0</v>
      </c>
      <c r="H58" s="20">
        <v>15661</v>
      </c>
      <c r="J58" s="20">
        <v>0</v>
      </c>
      <c r="K58" s="48">
        <v>0</v>
      </c>
      <c r="L58" s="20">
        <v>17148</v>
      </c>
      <c r="M58" s="35" t="s">
        <v>0</v>
      </c>
      <c r="N58" s="20">
        <v>0</v>
      </c>
      <c r="O58" s="48">
        <v>0</v>
      </c>
      <c r="P58" s="20">
        <v>21355</v>
      </c>
      <c r="R58" s="20">
        <f>+B58+F58+J58+N58</f>
        <v>18096</v>
      </c>
      <c r="S58" s="51">
        <f>+(R58-T58)/ABS(T58)</f>
        <v>-2.0832206049456198E-2</v>
      </c>
      <c r="T58" s="81">
        <f>+D58</f>
        <v>18481</v>
      </c>
      <c r="U58" s="20">
        <f>+D58+H58+L58+P58</f>
        <v>72645</v>
      </c>
    </row>
    <row r="59" spans="1:22">
      <c r="A59" t="s">
        <v>308</v>
      </c>
      <c r="B59" s="20">
        <v>8252</v>
      </c>
      <c r="C59" s="51">
        <f>+(B59-D59)/ABS(D59)</f>
        <v>-0.14148980441115272</v>
      </c>
      <c r="D59" s="20">
        <v>9612</v>
      </c>
      <c r="E59" s="35" t="s">
        <v>0</v>
      </c>
      <c r="F59" s="20">
        <v>0</v>
      </c>
      <c r="G59" s="48">
        <v>0</v>
      </c>
      <c r="H59" s="20">
        <v>9255</v>
      </c>
      <c r="J59" s="20">
        <v>0</v>
      </c>
      <c r="K59" s="48">
        <v>0</v>
      </c>
      <c r="L59" s="20">
        <v>6970</v>
      </c>
      <c r="M59" s="35" t="s">
        <v>0</v>
      </c>
      <c r="N59" s="20">
        <v>0</v>
      </c>
      <c r="O59" s="48">
        <v>0</v>
      </c>
      <c r="P59" s="20">
        <v>7080</v>
      </c>
      <c r="R59" s="20">
        <f>+B59+F59+J59+N59</f>
        <v>8252</v>
      </c>
      <c r="S59" s="51">
        <f>+(R59-T59)/ABS(T59)</f>
        <v>-0.14148980441115272</v>
      </c>
      <c r="T59" s="81">
        <f>+D59</f>
        <v>9612</v>
      </c>
      <c r="U59" s="20">
        <f>+D59+H59+L59+P59</f>
        <v>32917</v>
      </c>
    </row>
    <row r="60" spans="1:22">
      <c r="A60" t="s">
        <v>274</v>
      </c>
      <c r="B60" s="217">
        <v>592</v>
      </c>
      <c r="C60" s="51">
        <f>+(B60-D60)/ABS(D60)</f>
        <v>1.1026530258366569</v>
      </c>
      <c r="D60" s="217">
        <v>-5767</v>
      </c>
      <c r="E60" s="35" t="s">
        <v>0</v>
      </c>
      <c r="F60" s="217">
        <v>0</v>
      </c>
      <c r="G60" s="48">
        <v>0</v>
      </c>
      <c r="H60" s="217">
        <v>-1345</v>
      </c>
      <c r="J60" s="217">
        <v>0</v>
      </c>
      <c r="K60" s="48">
        <v>0</v>
      </c>
      <c r="L60" s="217">
        <v>-44</v>
      </c>
      <c r="M60" s="35" t="s">
        <v>0</v>
      </c>
      <c r="N60" s="217">
        <v>0</v>
      </c>
      <c r="O60" s="48">
        <v>0</v>
      </c>
      <c r="P60" s="217">
        <v>-5058</v>
      </c>
      <c r="R60" s="217">
        <f>+B60+F60+J60+N60</f>
        <v>592</v>
      </c>
      <c r="S60" s="51">
        <f>+(R60-T60)/ABS(T60)</f>
        <v>1.1026530258366569</v>
      </c>
      <c r="T60" s="217">
        <f>+D60</f>
        <v>-5767</v>
      </c>
      <c r="U60" s="217">
        <f>+D60+H60+L60+P60</f>
        <v>-12214</v>
      </c>
    </row>
    <row r="61" spans="1:22">
      <c r="B61" s="20">
        <f>SUM(B58:B60)</f>
        <v>26940</v>
      </c>
      <c r="C61" s="51">
        <f>+(B61-D61)/ABS(D61)</f>
        <v>0.20666487503359313</v>
      </c>
      <c r="D61" s="20">
        <f>SUM(D58:D60)</f>
        <v>22326</v>
      </c>
      <c r="E61" s="35" t="s">
        <v>0</v>
      </c>
      <c r="F61" s="20">
        <f>SUM(F58:F60)</f>
        <v>0</v>
      </c>
      <c r="G61" s="48">
        <v>0</v>
      </c>
      <c r="H61" s="20">
        <f>SUM(H58:H60)</f>
        <v>23571</v>
      </c>
      <c r="J61" s="20">
        <f>SUM(J58:J60)</f>
        <v>0</v>
      </c>
      <c r="K61" s="48">
        <v>0</v>
      </c>
      <c r="L61" s="20">
        <f>SUM(L58:L60)</f>
        <v>24074</v>
      </c>
      <c r="M61" s="35" t="s">
        <v>0</v>
      </c>
      <c r="N61" s="20">
        <f>SUM(N58:N60)</f>
        <v>0</v>
      </c>
      <c r="O61" s="48">
        <v>0</v>
      </c>
      <c r="P61" s="20">
        <f>SUM(P58:P60)</f>
        <v>23377</v>
      </c>
      <c r="R61" s="20">
        <f>SUM(R58:R60)</f>
        <v>26940</v>
      </c>
      <c r="S61" s="51">
        <f>+(R61-T61)/ABS(T61)</f>
        <v>0.20666487503359313</v>
      </c>
      <c r="T61" s="20">
        <f>SUM(T58:T60)</f>
        <v>22326</v>
      </c>
      <c r="U61" s="20">
        <f>SUM(U58:U60)</f>
        <v>93348</v>
      </c>
    </row>
    <row r="62" spans="1:22">
      <c r="B62" s="217"/>
      <c r="C62" s="52" t="s">
        <v>0</v>
      </c>
      <c r="D62" s="217"/>
      <c r="E62" s="35" t="s">
        <v>0</v>
      </c>
      <c r="F62" s="217"/>
      <c r="G62" s="49" t="s">
        <v>0</v>
      </c>
      <c r="H62" s="217"/>
      <c r="J62" s="217"/>
      <c r="K62" s="49" t="s">
        <v>0</v>
      </c>
      <c r="L62" s="217"/>
      <c r="M62" s="35" t="s">
        <v>0</v>
      </c>
      <c r="N62" s="217"/>
      <c r="O62" s="49" t="s">
        <v>0</v>
      </c>
      <c r="P62" s="217"/>
      <c r="R62" s="217"/>
      <c r="S62" s="51"/>
      <c r="T62" s="217"/>
      <c r="U62" s="217"/>
    </row>
    <row r="63" spans="1:22">
      <c r="A63" t="s">
        <v>309</v>
      </c>
      <c r="B63" s="20">
        <f>+B55+B61</f>
        <v>73832</v>
      </c>
      <c r="C63" s="51">
        <f>+(B63-D63)/ABS(D63)</f>
        <v>7.0168572712382776E-2</v>
      </c>
      <c r="D63" s="20">
        <f>+D55+D61</f>
        <v>68991</v>
      </c>
      <c r="E63" s="35" t="s">
        <v>0</v>
      </c>
      <c r="F63" s="20">
        <f>+F55+F61</f>
        <v>0</v>
      </c>
      <c r="G63" s="48">
        <v>0</v>
      </c>
      <c r="H63" s="20">
        <f>+H55+H61</f>
        <v>71048</v>
      </c>
      <c r="J63" s="20">
        <f>+J55+J61</f>
        <v>0</v>
      </c>
      <c r="K63" s="48">
        <v>0</v>
      </c>
      <c r="L63" s="20">
        <f>+L55+L61</f>
        <v>71351</v>
      </c>
      <c r="M63" s="35" t="s">
        <v>0</v>
      </c>
      <c r="N63" s="20">
        <f>+N55+N61</f>
        <v>0</v>
      </c>
      <c r="O63" s="48">
        <v>0</v>
      </c>
      <c r="P63" s="20">
        <f>+P55+P61</f>
        <v>70254</v>
      </c>
      <c r="R63" s="20">
        <f>+R55+R61</f>
        <v>73832</v>
      </c>
      <c r="S63" s="51">
        <f>+(R63-T63)/ABS(T63)</f>
        <v>7.0168572712382776E-2</v>
      </c>
      <c r="T63" s="20">
        <f>+T55+T61</f>
        <v>68991</v>
      </c>
      <c r="U63" s="20">
        <f>+U55+U61</f>
        <v>281644</v>
      </c>
    </row>
    <row r="64" spans="1:22">
      <c r="B64" s="20"/>
      <c r="C64" s="52" t="s">
        <v>0</v>
      </c>
      <c r="D64" s="20"/>
      <c r="E64" s="35" t="s">
        <v>0</v>
      </c>
      <c r="F64" s="20"/>
      <c r="G64" s="49" t="s">
        <v>0</v>
      </c>
      <c r="H64" s="20"/>
      <c r="J64" s="20"/>
      <c r="K64" s="49" t="s">
        <v>0</v>
      </c>
      <c r="L64" s="20"/>
      <c r="M64" s="35" t="s">
        <v>0</v>
      </c>
      <c r="N64" s="20"/>
      <c r="O64" s="49" t="s">
        <v>0</v>
      </c>
      <c r="P64" s="20"/>
      <c r="R64" s="20"/>
      <c r="S64" s="51"/>
      <c r="T64" s="20"/>
      <c r="U64" s="20"/>
    </row>
    <row r="65" spans="1:21">
      <c r="A65" t="s">
        <v>310</v>
      </c>
      <c r="B65" s="20">
        <v>-5602</v>
      </c>
      <c r="C65" s="51">
        <f>+(B65-D65)/ABS(D65)</f>
        <v>-2.5141768251479855</v>
      </c>
      <c r="D65" s="20">
        <v>3699.7</v>
      </c>
      <c r="E65" s="35" t="s">
        <v>0</v>
      </c>
      <c r="F65" s="20">
        <v>0</v>
      </c>
      <c r="G65" s="48">
        <v>0</v>
      </c>
      <c r="H65" s="20">
        <v>-3049.7</v>
      </c>
      <c r="J65" s="20">
        <v>0</v>
      </c>
      <c r="K65" s="48">
        <v>0</v>
      </c>
      <c r="L65" s="20">
        <v>15907</v>
      </c>
      <c r="M65" s="35" t="s">
        <v>0</v>
      </c>
      <c r="N65" s="20">
        <v>0</v>
      </c>
      <c r="O65" s="48">
        <v>0</v>
      </c>
      <c r="P65" s="20">
        <v>-15914.7</v>
      </c>
      <c r="R65" s="20">
        <f>+B65+F65+J65+N65</f>
        <v>-5602</v>
      </c>
      <c r="S65" s="51">
        <f>+(R65-T65)/ABS(T65)</f>
        <v>-2.5141768251479855</v>
      </c>
      <c r="T65" s="81">
        <f>+D65</f>
        <v>3699.7</v>
      </c>
      <c r="U65" s="20">
        <f>+D65+H65+L65+P65</f>
        <v>642.29999999999927</v>
      </c>
    </row>
    <row r="66" spans="1:21">
      <c r="B66" s="20"/>
      <c r="C66" s="52" t="s">
        <v>0</v>
      </c>
      <c r="D66" s="20"/>
      <c r="E66" s="35" t="s">
        <v>0</v>
      </c>
      <c r="F66" s="20"/>
      <c r="G66" s="49" t="s">
        <v>0</v>
      </c>
      <c r="H66" s="20"/>
      <c r="J66" s="20"/>
      <c r="K66" s="49" t="s">
        <v>0</v>
      </c>
      <c r="L66" s="20"/>
      <c r="M66" s="35" t="s">
        <v>0</v>
      </c>
      <c r="N66" s="20"/>
      <c r="O66" s="49" t="s">
        <v>0</v>
      </c>
      <c r="P66" s="20"/>
      <c r="R66" s="20"/>
      <c r="S66" s="51"/>
      <c r="T66" s="20"/>
      <c r="U66" s="20"/>
    </row>
    <row r="67" spans="1:21">
      <c r="A67" t="s">
        <v>311</v>
      </c>
      <c r="B67" s="217"/>
      <c r="C67" s="272" t="s">
        <v>0</v>
      </c>
      <c r="D67" s="217"/>
      <c r="E67" s="35" t="s">
        <v>0</v>
      </c>
      <c r="F67" s="217"/>
      <c r="G67" s="266" t="s">
        <v>0</v>
      </c>
      <c r="H67" s="217"/>
      <c r="J67" s="217"/>
      <c r="K67" s="266" t="s">
        <v>0</v>
      </c>
      <c r="L67" s="217"/>
      <c r="M67" s="35" t="s">
        <v>0</v>
      </c>
      <c r="N67" s="217"/>
      <c r="O67" s="266" t="s">
        <v>0</v>
      </c>
      <c r="P67" s="217"/>
      <c r="R67" s="217"/>
      <c r="S67" s="51"/>
      <c r="T67" s="217"/>
      <c r="U67" s="217"/>
    </row>
    <row r="68" spans="1:21">
      <c r="A68" t="s">
        <v>312</v>
      </c>
      <c r="B68" s="20">
        <f>+B63-B65</f>
        <v>79434</v>
      </c>
      <c r="C68" s="51">
        <f>+(B68-D68)/ABS(D68)</f>
        <v>0.21660925728236374</v>
      </c>
      <c r="D68" s="20">
        <f>+D63-D65</f>
        <v>65291.3</v>
      </c>
      <c r="E68" s="35" t="s">
        <v>0</v>
      </c>
      <c r="F68" s="20">
        <f>+F63-F65</f>
        <v>0</v>
      </c>
      <c r="G68" s="48">
        <v>0</v>
      </c>
      <c r="H68" s="20">
        <f>+H63-H65</f>
        <v>74097.7</v>
      </c>
      <c r="J68" s="20">
        <f>+J63-J65</f>
        <v>0</v>
      </c>
      <c r="K68" s="48">
        <v>0</v>
      </c>
      <c r="L68" s="20">
        <f>+L63-L65</f>
        <v>55444</v>
      </c>
      <c r="M68" s="35" t="s">
        <v>0</v>
      </c>
      <c r="N68" s="20">
        <f>+N63-N65</f>
        <v>0</v>
      </c>
      <c r="O68" s="48">
        <v>0</v>
      </c>
      <c r="P68" s="20">
        <f>+P63-P65</f>
        <v>86168.7</v>
      </c>
      <c r="R68" s="20">
        <f>+R63-R65</f>
        <v>79434</v>
      </c>
      <c r="S68" s="51">
        <f>+(R68-T68)/ABS(T68)</f>
        <v>0.21660925728236374</v>
      </c>
      <c r="T68" s="20">
        <f>+T63-T65</f>
        <v>65291.3</v>
      </c>
      <c r="U68" s="20">
        <f>+U63-U65</f>
        <v>281001.7</v>
      </c>
    </row>
    <row r="69" spans="1:21">
      <c r="B69" s="20"/>
      <c r="C69" s="52" t="s">
        <v>0</v>
      </c>
      <c r="D69" s="20"/>
      <c r="E69" s="35" t="s">
        <v>0</v>
      </c>
      <c r="F69" s="20"/>
      <c r="G69" s="49" t="s">
        <v>0</v>
      </c>
      <c r="H69" s="20"/>
      <c r="J69" s="20"/>
      <c r="K69" s="49" t="s">
        <v>0</v>
      </c>
      <c r="L69" s="20"/>
      <c r="M69" s="35" t="s">
        <v>0</v>
      </c>
      <c r="N69" s="20"/>
      <c r="O69" s="49" t="s">
        <v>0</v>
      </c>
      <c r="P69" s="20"/>
      <c r="R69" s="20"/>
      <c r="S69" s="51"/>
      <c r="T69" s="20"/>
      <c r="U69" s="20"/>
    </row>
    <row r="70" spans="1:21">
      <c r="A70" t="s">
        <v>313</v>
      </c>
      <c r="B70" s="20"/>
      <c r="C70" s="52" t="s">
        <v>0</v>
      </c>
      <c r="D70" s="20"/>
      <c r="E70" s="35" t="s">
        <v>0</v>
      </c>
      <c r="F70" s="20"/>
      <c r="G70" s="49" t="s">
        <v>0</v>
      </c>
      <c r="H70" s="20"/>
      <c r="J70" s="20"/>
      <c r="K70" s="49" t="s">
        <v>0</v>
      </c>
      <c r="L70" s="20"/>
      <c r="M70" s="35" t="s">
        <v>0</v>
      </c>
      <c r="N70" s="20"/>
      <c r="O70" s="49" t="s">
        <v>0</v>
      </c>
      <c r="P70" s="20"/>
      <c r="R70" s="20"/>
      <c r="S70" s="51"/>
      <c r="T70" s="20"/>
      <c r="U70" s="20"/>
    </row>
    <row r="71" spans="1:21">
      <c r="A71" t="s">
        <v>314</v>
      </c>
      <c r="B71" s="20">
        <v>18420</v>
      </c>
      <c r="C71" s="51">
        <f>+(B71-D71)/ABS(D71)</f>
        <v>-0.22760818517276082</v>
      </c>
      <c r="D71" s="20">
        <v>23848</v>
      </c>
      <c r="E71" s="35" t="s">
        <v>0</v>
      </c>
      <c r="F71" s="20">
        <v>0</v>
      </c>
      <c r="G71" s="48">
        <v>0</v>
      </c>
      <c r="H71" s="20">
        <v>21224</v>
      </c>
      <c r="J71" s="20">
        <v>0</v>
      </c>
      <c r="K71" s="48">
        <v>0</v>
      </c>
      <c r="L71" s="20">
        <v>18617</v>
      </c>
      <c r="M71" s="35" t="s">
        <v>0</v>
      </c>
      <c r="N71" s="20">
        <v>0</v>
      </c>
      <c r="O71" s="48">
        <v>0</v>
      </c>
      <c r="P71" s="20">
        <v>26340</v>
      </c>
      <c r="R71" s="20">
        <f>+B71+F71+J71+N71</f>
        <v>18420</v>
      </c>
      <c r="S71" s="51">
        <f>+(R71-T71)/ABS(T71)</f>
        <v>-0.22760818517276082</v>
      </c>
      <c r="T71" s="81">
        <f>+D71</f>
        <v>23848</v>
      </c>
      <c r="U71" s="20">
        <f>+D71+H71+L71+P71</f>
        <v>90029</v>
      </c>
    </row>
    <row r="72" spans="1:21">
      <c r="A72" t="s">
        <v>315</v>
      </c>
      <c r="B72" s="20">
        <v>5296</v>
      </c>
      <c r="C72" s="51">
        <f>+(B72-D72)/ABS(D72)</f>
        <v>-4.6983649689907913E-3</v>
      </c>
      <c r="D72" s="20">
        <v>5321</v>
      </c>
      <c r="E72" s="35" t="s">
        <v>0</v>
      </c>
      <c r="F72" s="20">
        <v>0</v>
      </c>
      <c r="G72" s="48">
        <v>0</v>
      </c>
      <c r="H72" s="20">
        <v>5070</v>
      </c>
      <c r="J72" s="20">
        <v>0</v>
      </c>
      <c r="K72" s="48">
        <v>0</v>
      </c>
      <c r="L72" s="20">
        <v>5186</v>
      </c>
      <c r="M72" s="35" t="s">
        <v>0</v>
      </c>
      <c r="N72" s="20">
        <v>0</v>
      </c>
      <c r="O72" s="48">
        <v>0</v>
      </c>
      <c r="P72" s="20">
        <v>5221</v>
      </c>
      <c r="R72" s="20">
        <f>+B72+F72+J72+N72</f>
        <v>5296</v>
      </c>
      <c r="S72" s="51">
        <f>+(R72-T72)/ABS(T72)</f>
        <v>-4.6983649689907913E-3</v>
      </c>
      <c r="T72" s="81">
        <f>+D72</f>
        <v>5321</v>
      </c>
      <c r="U72" s="20">
        <f>+D72+H72+L72+P72</f>
        <v>20798</v>
      </c>
    </row>
    <row r="73" spans="1:21">
      <c r="A73" t="s">
        <v>316</v>
      </c>
      <c r="B73" s="20">
        <v>1295</v>
      </c>
      <c r="C73" s="51">
        <f>+(B73-D73)/ABS(D73)</f>
        <v>3.2695374800637958E-2</v>
      </c>
      <c r="D73" s="20">
        <v>1254</v>
      </c>
      <c r="E73" s="35" t="s">
        <v>0</v>
      </c>
      <c r="F73" s="24">
        <v>0</v>
      </c>
      <c r="G73" s="48">
        <v>0</v>
      </c>
      <c r="H73" s="24">
        <v>1106</v>
      </c>
      <c r="J73" s="24">
        <v>0</v>
      </c>
      <c r="K73" s="48">
        <v>0</v>
      </c>
      <c r="L73" s="24">
        <v>1154</v>
      </c>
      <c r="M73" s="35" t="s">
        <v>0</v>
      </c>
      <c r="N73" s="24">
        <v>0</v>
      </c>
      <c r="O73" s="48">
        <v>0</v>
      </c>
      <c r="P73" s="24">
        <v>1501</v>
      </c>
      <c r="R73" s="20">
        <f>+B73+F73+J73+N73</f>
        <v>1295</v>
      </c>
      <c r="S73" s="51">
        <f>+(R73-T73)/ABS(T73)</f>
        <v>3.2695374800637958E-2</v>
      </c>
      <c r="T73" s="81">
        <f>+D73</f>
        <v>1254</v>
      </c>
      <c r="U73" s="20">
        <f>+D73+H73+L73+P73</f>
        <v>5015</v>
      </c>
    </row>
    <row r="74" spans="1:21">
      <c r="A74" t="s">
        <v>317</v>
      </c>
      <c r="B74" s="217">
        <v>21372</v>
      </c>
      <c r="C74" s="51">
        <f>+(B74-D74)/ABS(D74)</f>
        <v>-0.26160862354892206</v>
      </c>
      <c r="D74" s="217">
        <v>28944</v>
      </c>
      <c r="E74" s="35" t="s">
        <v>0</v>
      </c>
      <c r="F74" s="217">
        <v>0</v>
      </c>
      <c r="G74" s="48">
        <v>0</v>
      </c>
      <c r="H74" s="217">
        <v>33075</v>
      </c>
      <c r="J74" s="217">
        <v>0</v>
      </c>
      <c r="K74" s="48">
        <v>0</v>
      </c>
      <c r="L74" s="217">
        <v>41729</v>
      </c>
      <c r="M74" s="35" t="s">
        <v>0</v>
      </c>
      <c r="N74" s="217">
        <v>0</v>
      </c>
      <c r="O74" s="48">
        <v>0</v>
      </c>
      <c r="P74" s="217">
        <v>56746</v>
      </c>
      <c r="R74" s="217">
        <f>+B74+F74+J74+N74</f>
        <v>21372</v>
      </c>
      <c r="S74" s="51">
        <f>+(R74-T74)/ABS(T74)</f>
        <v>-0.26160862354892206</v>
      </c>
      <c r="T74" s="217">
        <f>+D74</f>
        <v>28944</v>
      </c>
      <c r="U74" s="217">
        <f>+D74+H74+L74+P74</f>
        <v>160494</v>
      </c>
    </row>
    <row r="75" spans="1:21">
      <c r="B75" s="20">
        <f>SUM(B71:B74)</f>
        <v>46383</v>
      </c>
      <c r="C75" s="51">
        <f>+(B75-D75)/ABS(D75)</f>
        <v>-0.21870736267623428</v>
      </c>
      <c r="D75" s="20">
        <f>SUM(D71:D74)</f>
        <v>59367</v>
      </c>
      <c r="E75" s="35" t="s">
        <v>0</v>
      </c>
      <c r="F75" s="20">
        <f>SUM(F71:F74)</f>
        <v>0</v>
      </c>
      <c r="G75" s="48">
        <v>0</v>
      </c>
      <c r="H75" s="20">
        <f>SUM(H71:H74)</f>
        <v>60475</v>
      </c>
      <c r="J75" s="20">
        <f>SUM(J71:J74)</f>
        <v>0</v>
      </c>
      <c r="K75" s="48">
        <v>0</v>
      </c>
      <c r="L75" s="20">
        <f>SUM(L71:L74)</f>
        <v>66686</v>
      </c>
      <c r="M75" s="35" t="s">
        <v>0</v>
      </c>
      <c r="N75" s="20">
        <f>SUM(N71:N74)</f>
        <v>0</v>
      </c>
      <c r="O75" s="48">
        <v>0</v>
      </c>
      <c r="P75" s="20">
        <f>SUM(P71:P74)</f>
        <v>89808</v>
      </c>
      <c r="R75" s="20">
        <f>SUM(R71:R74)</f>
        <v>46383</v>
      </c>
      <c r="S75" s="51">
        <f>+(R75-T75)/ABS(T75)</f>
        <v>-0.21870736267623428</v>
      </c>
      <c r="T75" s="20">
        <f>SUM(T71:T74)</f>
        <v>59367</v>
      </c>
      <c r="U75" s="20">
        <f>SUM(U71:U74)</f>
        <v>276336</v>
      </c>
    </row>
    <row r="76" spans="1:21">
      <c r="B76" s="217"/>
      <c r="C76" s="51"/>
      <c r="D76" s="217"/>
      <c r="E76" s="35"/>
      <c r="F76" s="334"/>
      <c r="G76" s="48"/>
      <c r="H76" s="334"/>
      <c r="J76" s="334"/>
      <c r="K76" s="48"/>
      <c r="L76" s="334"/>
      <c r="M76" s="35"/>
      <c r="N76" s="334"/>
      <c r="O76" s="48"/>
      <c r="P76" s="334"/>
      <c r="R76" s="217"/>
      <c r="S76" s="51"/>
      <c r="T76" s="217"/>
      <c r="U76" s="217"/>
    </row>
    <row r="77" spans="1:21">
      <c r="A77" t="s">
        <v>318</v>
      </c>
      <c r="B77" s="20">
        <f>+B68-B75</f>
        <v>33051</v>
      </c>
      <c r="C77" s="51">
        <f>+(B77-D77)/ABS(D77)</f>
        <v>4.5788869571088542</v>
      </c>
      <c r="D77" s="20">
        <f>+D68-D75</f>
        <v>5924.3000000000029</v>
      </c>
      <c r="E77" s="35" t="s">
        <v>0</v>
      </c>
      <c r="F77" s="20">
        <f>+F68-F75</f>
        <v>0</v>
      </c>
      <c r="G77" s="48">
        <v>0</v>
      </c>
      <c r="H77" s="20">
        <f>+H68-H75</f>
        <v>13622.699999999997</v>
      </c>
      <c r="J77" s="20">
        <f>+J68-J75</f>
        <v>0</v>
      </c>
      <c r="K77" s="48">
        <v>0</v>
      </c>
      <c r="L77" s="20">
        <f>+L68-L75</f>
        <v>-11242</v>
      </c>
      <c r="M77" s="35" t="s">
        <v>0</v>
      </c>
      <c r="N77" s="20">
        <f>+N68-N75</f>
        <v>0</v>
      </c>
      <c r="O77" s="48">
        <v>0</v>
      </c>
      <c r="P77" s="20">
        <f>+P68-P75</f>
        <v>-3639.3000000000029</v>
      </c>
      <c r="R77" s="20">
        <f>+R68-R75</f>
        <v>33051</v>
      </c>
      <c r="S77" s="51">
        <f>+(R77-T77)/ABS(T77)</f>
        <v>4.5788869571088542</v>
      </c>
      <c r="T77" s="20">
        <f>+T68-T75</f>
        <v>5924.3000000000029</v>
      </c>
      <c r="U77" s="20">
        <f>+U68-U75</f>
        <v>4665.7000000000116</v>
      </c>
    </row>
    <row r="78" spans="1:21">
      <c r="B78" s="20"/>
      <c r="C78" s="52" t="s">
        <v>0</v>
      </c>
      <c r="D78" s="20"/>
      <c r="E78" s="35" t="s">
        <v>0</v>
      </c>
      <c r="G78" s="49" t="s">
        <v>0</v>
      </c>
      <c r="K78" s="49" t="s">
        <v>0</v>
      </c>
      <c r="M78" s="35" t="s">
        <v>0</v>
      </c>
      <c r="O78" s="49" t="s">
        <v>0</v>
      </c>
      <c r="R78" s="20"/>
      <c r="S78" s="51"/>
      <c r="T78" s="20"/>
      <c r="U78" s="20"/>
    </row>
    <row r="79" spans="1:21">
      <c r="A79" t="s">
        <v>319</v>
      </c>
      <c r="B79" s="20">
        <v>9915.2999999999993</v>
      </c>
      <c r="C79" s="51">
        <f>+(B79-D79)/ABS(D79)</f>
        <v>4.0250102625697473</v>
      </c>
      <c r="D79" s="20">
        <v>1973.1899999999998</v>
      </c>
      <c r="E79" s="35" t="s">
        <v>0</v>
      </c>
      <c r="F79" s="20">
        <v>0</v>
      </c>
      <c r="G79" s="48">
        <v>0</v>
      </c>
      <c r="H79" s="20">
        <v>4314.5</v>
      </c>
      <c r="J79" s="20">
        <v>0</v>
      </c>
      <c r="K79" s="48">
        <v>0</v>
      </c>
      <c r="L79" s="20">
        <v>2999.7</v>
      </c>
      <c r="M79" s="35" t="s">
        <v>0</v>
      </c>
      <c r="N79" s="20">
        <v>0</v>
      </c>
      <c r="O79" s="48">
        <v>0</v>
      </c>
      <c r="P79" s="20">
        <v>3241.2</v>
      </c>
      <c r="R79" s="20">
        <f>+B79+F79+J79+N79</f>
        <v>9915.2999999999993</v>
      </c>
      <c r="S79" s="51">
        <f>+(R79-T79)/ABS(T79)</f>
        <v>4.0250102625697473</v>
      </c>
      <c r="T79" s="81">
        <f>+D79</f>
        <v>1973.1899999999998</v>
      </c>
      <c r="U79" s="20">
        <f>+D79+H79+L79+P79</f>
        <v>12528.59</v>
      </c>
    </row>
    <row r="80" spans="1:21" ht="16.5" thickBot="1">
      <c r="B80" s="79"/>
      <c r="C80" s="52" t="s">
        <v>0</v>
      </c>
      <c r="D80" s="79"/>
      <c r="E80" s="35" t="s">
        <v>0</v>
      </c>
      <c r="F80" s="36"/>
      <c r="G80" s="49" t="s">
        <v>0</v>
      </c>
      <c r="H80" s="36"/>
      <c r="J80" s="36"/>
      <c r="K80" s="49" t="s">
        <v>0</v>
      </c>
      <c r="L80" s="36"/>
      <c r="M80" s="35" t="s">
        <v>0</v>
      </c>
      <c r="N80" s="36"/>
      <c r="O80" s="49" t="s">
        <v>0</v>
      </c>
      <c r="P80" s="36"/>
      <c r="R80" s="79"/>
      <c r="S80" s="51"/>
      <c r="T80" s="79"/>
      <c r="U80" s="79"/>
    </row>
    <row r="81" spans="1:21" s="11" customFormat="1">
      <c r="A81" s="11" t="s">
        <v>326</v>
      </c>
      <c r="B81" s="13">
        <f>+B77-B79</f>
        <v>23135.7</v>
      </c>
      <c r="C81" s="109">
        <f>+(B81-D81)/ABS(D81)</f>
        <v>4.8554937726360388</v>
      </c>
      <c r="D81" s="13">
        <f>+D77-D79</f>
        <v>3951.1100000000033</v>
      </c>
      <c r="E81" s="137" t="s">
        <v>0</v>
      </c>
      <c r="F81" s="13">
        <f>+F77-F79</f>
        <v>0</v>
      </c>
      <c r="G81" s="47">
        <v>0</v>
      </c>
      <c r="H81" s="13">
        <f>+H77-H79</f>
        <v>9308.1999999999971</v>
      </c>
      <c r="I81" s="137"/>
      <c r="J81" s="13">
        <f>+J77-J79</f>
        <v>0</v>
      </c>
      <c r="K81" s="47">
        <v>0</v>
      </c>
      <c r="L81" s="13">
        <f>+L77-L79</f>
        <v>-14241.7</v>
      </c>
      <c r="M81" s="137" t="s">
        <v>0</v>
      </c>
      <c r="N81" s="13">
        <f>+N77-N79</f>
        <v>0</v>
      </c>
      <c r="O81" s="47">
        <v>0</v>
      </c>
      <c r="P81" s="13">
        <f>+P77-P79</f>
        <v>-6880.5000000000027</v>
      </c>
      <c r="Q81" s="137"/>
      <c r="R81" s="13">
        <f>+R77-R79</f>
        <v>23135.7</v>
      </c>
      <c r="S81" s="109">
        <f>+(R81-T81)/ABS(T81)</f>
        <v>4.8554937726360388</v>
      </c>
      <c r="T81" s="13">
        <f>+T77-T79</f>
        <v>3951.1100000000033</v>
      </c>
      <c r="U81" s="13">
        <f>+U77-U79</f>
        <v>-7862.8899999999885</v>
      </c>
    </row>
    <row r="82" spans="1:21">
      <c r="E82" s="35"/>
      <c r="M82" s="35"/>
    </row>
    <row r="83" spans="1:21">
      <c r="E83" s="35"/>
      <c r="F83" s="35" t="s">
        <v>0</v>
      </c>
      <c r="M83" s="35"/>
    </row>
    <row r="84" spans="1:21">
      <c r="B84"/>
      <c r="C84"/>
      <c r="D84"/>
      <c r="E84"/>
      <c r="F84"/>
      <c r="G84"/>
      <c r="H84"/>
      <c r="M84" s="35" t="s">
        <v>0</v>
      </c>
      <c r="N84" s="35" t="s">
        <v>0</v>
      </c>
    </row>
    <row r="85" spans="1:21">
      <c r="B85"/>
      <c r="C85"/>
      <c r="D85"/>
      <c r="E85"/>
      <c r="F85"/>
      <c r="G85"/>
      <c r="H85"/>
      <c r="M85" s="35" t="s">
        <v>0</v>
      </c>
    </row>
    <row r="86" spans="1:21">
      <c r="B86"/>
      <c r="C86"/>
      <c r="D86"/>
      <c r="E86"/>
      <c r="F86"/>
      <c r="G86"/>
      <c r="H86"/>
      <c r="M86" s="35"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19" spans="2:8">
      <c r="B119"/>
      <c r="C119"/>
      <c r="D119"/>
      <c r="E119"/>
      <c r="F119"/>
      <c r="G119"/>
      <c r="H119"/>
    </row>
    <row r="120" spans="2:8">
      <c r="B120"/>
      <c r="C120"/>
      <c r="D120"/>
      <c r="E120"/>
      <c r="F120"/>
      <c r="G120"/>
      <c r="H120"/>
    </row>
    <row r="121" spans="2:8">
      <c r="B121" s="35" t="s">
        <v>0</v>
      </c>
    </row>
  </sheetData>
  <phoneticPr fontId="0" type="noConversion"/>
  <pageMargins left="0.2" right="0.2" top="0.43" bottom="0.39" header="0.31" footer="0.2"/>
  <pageSetup scale="43" orientation="landscape" r:id="rId1"/>
  <headerFooter alignWithMargins="0">
    <oddFooter>&amp;R&amp;16&amp;P</oddFooter>
  </headerFooter>
</worksheet>
</file>

<file path=xl/worksheets/sheet101.xml><?xml version="1.0" encoding="utf-8"?>
<worksheet xmlns="http://schemas.openxmlformats.org/spreadsheetml/2006/main" xmlns:r="http://schemas.openxmlformats.org/officeDocument/2006/relationships">
  <dimension ref="A1:N45"/>
  <sheetViews>
    <sheetView workbookViewId="0">
      <selection activeCell="B10" sqref="B10"/>
    </sheetView>
  </sheetViews>
  <sheetFormatPr baseColWidth="10" defaultColWidth="9" defaultRowHeight="15.75"/>
  <cols>
    <col min="1" max="1" width="50" customWidth="1"/>
    <col min="2" max="2" width="15.75" customWidth="1"/>
    <col min="3" max="3" width="9.875" customWidth="1"/>
    <col min="4" max="4" width="15.75" customWidth="1"/>
    <col min="5" max="5" width="6.125" customWidth="1"/>
    <col min="6" max="6" width="16" customWidth="1"/>
    <col min="8" max="8" width="16" customWidth="1"/>
    <col min="10" max="10" width="15.875" customWidth="1"/>
    <col min="12" max="12" width="15.875" customWidth="1"/>
  </cols>
  <sheetData>
    <row r="1" spans="1:14">
      <c r="A1" s="111" t="s">
        <v>406</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+'CBNAVARAN           '!B9:D9</f>
        <v xml:space="preserve">     CUMUL (Octobre - Décembre )</v>
      </c>
      <c r="C8" s="111"/>
      <c r="D8" s="39"/>
      <c r="E8" s="11"/>
      <c r="F8" s="111" t="s">
        <v>214</v>
      </c>
      <c r="G8" s="111"/>
      <c r="H8" s="111"/>
      <c r="I8" s="111"/>
      <c r="J8" s="111"/>
      <c r="K8" s="111"/>
      <c r="L8" s="111"/>
    </row>
    <row r="9" spans="1:14" ht="16.5" thickBot="1">
      <c r="B9" s="223" t="str">
        <f>+'CBNAVARAN           '!B10</f>
        <v xml:space="preserve"> 2015</v>
      </c>
      <c r="C9" s="203" t="s">
        <v>196</v>
      </c>
      <c r="D9" s="223" t="str">
        <f>+'CBNAVARAN           '!D10</f>
        <v xml:space="preserve"> 2014</v>
      </c>
      <c r="E9" s="11"/>
      <c r="F9" s="223" t="str">
        <f>+'CBNAVARAN           '!F10</f>
        <v>2014</v>
      </c>
      <c r="G9" s="203" t="s">
        <v>196</v>
      </c>
      <c r="H9" s="223" t="str">
        <f>+'CBNAVARAN           '!H10</f>
        <v>2013</v>
      </c>
      <c r="I9" s="203" t="s">
        <v>196</v>
      </c>
      <c r="J9" s="223" t="str">
        <f>+'CBNAVARAN           '!J10</f>
        <v>2012</v>
      </c>
      <c r="K9" s="203" t="s">
        <v>196</v>
      </c>
      <c r="L9" s="223" t="str">
        <f>+'CBNAVARAN           '!L10</f>
        <v>2011</v>
      </c>
    </row>
    <row r="10" spans="1:14">
      <c r="A10" t="s">
        <v>300</v>
      </c>
    </row>
    <row r="11" spans="1:14">
      <c r="A11" t="s">
        <v>301</v>
      </c>
      <c r="B11" s="24" t="s">
        <v>0</v>
      </c>
      <c r="C11" s="52" t="s">
        <v>0</v>
      </c>
      <c r="D11" s="24" t="s">
        <v>0</v>
      </c>
      <c r="E11" s="49" t="s">
        <v>0</v>
      </c>
      <c r="F11" s="24" t="s">
        <v>0</v>
      </c>
      <c r="G11" s="49" t="s">
        <v>0</v>
      </c>
      <c r="H11" s="24" t="s">
        <v>0</v>
      </c>
      <c r="J11" s="24" t="s">
        <v>0</v>
      </c>
      <c r="L11" s="24" t="s">
        <v>0</v>
      </c>
      <c r="M11" s="48"/>
      <c r="N11" s="48"/>
    </row>
    <row r="12" spans="1:14">
      <c r="A12" t="s">
        <v>302</v>
      </c>
      <c r="B12" s="20">
        <f>+'SCOTIARÉSULT         '!R50</f>
        <v>46737</v>
      </c>
      <c r="C12" s="51">
        <f t="shared" ref="C12:C17" si="0">+(B12-D12)/ABS(D12)</f>
        <v>-2.3530418413621974E-4</v>
      </c>
      <c r="D12" s="20">
        <f>+'SCOTIARÉSULT         '!T50</f>
        <v>46748</v>
      </c>
      <c r="E12" s="49"/>
      <c r="F12" s="20">
        <f>+'SCOTIARÉSULT         '!U50</f>
        <v>187817</v>
      </c>
      <c r="G12" s="51">
        <f t="shared" ref="G12:G17" si="1">+(F12-H12)/ABS(H12)</f>
        <v>-0.16092066995179527</v>
      </c>
      <c r="H12" s="20">
        <v>223837</v>
      </c>
      <c r="I12" s="51">
        <f t="shared" ref="I12:I17" si="2">+(H12-J12)/ABS(J12)</f>
        <v>8.5949515090650644E-2</v>
      </c>
      <c r="J12" s="20">
        <v>206121</v>
      </c>
      <c r="K12" s="51">
        <f t="shared" ref="K12:K17" si="3">+(J12-L12)/ABS(L12)</f>
        <v>-5.7336113931344843E-2</v>
      </c>
      <c r="L12" s="20">
        <v>218658</v>
      </c>
      <c r="M12" s="48"/>
      <c r="N12" s="48"/>
    </row>
    <row r="13" spans="1:14">
      <c r="A13" t="s">
        <v>322</v>
      </c>
      <c r="B13" s="20">
        <f>+'SCOTIARÉSULT         '!R51</f>
        <v>0</v>
      </c>
      <c r="C13" s="48">
        <v>0</v>
      </c>
      <c r="D13" s="20">
        <f>+'SCOTIARÉSULT         '!T51</f>
        <v>0</v>
      </c>
      <c r="E13" s="49"/>
      <c r="F13" s="20">
        <f>+'SCOTIARÉSULT         '!U51</f>
        <v>0</v>
      </c>
      <c r="G13" s="51">
        <f t="shared" si="1"/>
        <v>-1</v>
      </c>
      <c r="H13" s="20">
        <v>875</v>
      </c>
      <c r="I13" s="51">
        <f t="shared" si="2"/>
        <v>2.7393162393162394</v>
      </c>
      <c r="J13" s="20">
        <v>234</v>
      </c>
      <c r="K13" s="51">
        <f t="shared" si="3"/>
        <v>-0.34818941504178275</v>
      </c>
      <c r="L13" s="20">
        <v>359</v>
      </c>
      <c r="M13" s="48"/>
      <c r="N13" s="48"/>
    </row>
    <row r="14" spans="1:14">
      <c r="A14" t="s">
        <v>304</v>
      </c>
      <c r="B14" s="199">
        <f>+'SCOTIARÉSULT         '!R52</f>
        <v>465</v>
      </c>
      <c r="C14" s="51">
        <f t="shared" si="0"/>
        <v>-0.38654353562005278</v>
      </c>
      <c r="D14" s="217">
        <f>+'SCOTIARÉSULT         '!T52</f>
        <v>758</v>
      </c>
      <c r="E14" s="49"/>
      <c r="F14" s="217">
        <f>+'SCOTIARÉSULT         '!U52</f>
        <v>4017</v>
      </c>
      <c r="G14" s="51">
        <f t="shared" si="1"/>
        <v>0.17113702623906704</v>
      </c>
      <c r="H14" s="217">
        <v>3430</v>
      </c>
      <c r="I14" s="51">
        <f t="shared" si="2"/>
        <v>-0.16545012165450121</v>
      </c>
      <c r="J14" s="217">
        <v>4110</v>
      </c>
      <c r="K14" s="51">
        <f t="shared" si="3"/>
        <v>0.25842008573178199</v>
      </c>
      <c r="L14" s="217">
        <v>3266</v>
      </c>
      <c r="M14" s="48"/>
      <c r="N14" s="48"/>
    </row>
    <row r="15" spans="1:14">
      <c r="B15" s="20">
        <f>SUM(B12:B14)</f>
        <v>47202</v>
      </c>
      <c r="C15" s="51">
        <f t="shared" si="0"/>
        <v>-6.399191681050815E-3</v>
      </c>
      <c r="D15" s="20">
        <f>SUM(D12:D14)</f>
        <v>47506</v>
      </c>
      <c r="E15" s="49"/>
      <c r="F15" s="20">
        <f>SUM(F12:F14)</f>
        <v>191834</v>
      </c>
      <c r="G15" s="51">
        <f t="shared" si="1"/>
        <v>-0.1591464964802623</v>
      </c>
      <c r="H15" s="20">
        <f>SUM(H12:H14)</f>
        <v>228142</v>
      </c>
      <c r="I15" s="51">
        <f t="shared" si="2"/>
        <v>8.3990212149288479E-2</v>
      </c>
      <c r="J15" s="20">
        <f>SUM(J12:J14)</f>
        <v>210465</v>
      </c>
      <c r="K15" s="51">
        <f t="shared" si="3"/>
        <v>-5.3166458973470755E-2</v>
      </c>
      <c r="L15" s="20">
        <f>SUM(L12:L14)</f>
        <v>222283</v>
      </c>
      <c r="M15" s="48"/>
      <c r="N15" s="48"/>
    </row>
    <row r="16" spans="1:14">
      <c r="A16" t="s">
        <v>305</v>
      </c>
      <c r="B16" s="217">
        <f>+'SCOTIARÉSULT         '!R54</f>
        <v>310</v>
      </c>
      <c r="C16" s="51">
        <f t="shared" si="0"/>
        <v>-0.63139120095124857</v>
      </c>
      <c r="D16" s="217">
        <f>+'SCOTIARÉSULT         '!T54</f>
        <v>841</v>
      </c>
      <c r="E16" s="49" t="s">
        <v>0</v>
      </c>
      <c r="F16" s="217">
        <f>+'SCOTIARÉSULT         '!U54</f>
        <v>3538</v>
      </c>
      <c r="G16" s="51">
        <f t="shared" si="1"/>
        <v>-0.25594111461619345</v>
      </c>
      <c r="H16" s="217">
        <v>4755</v>
      </c>
      <c r="I16" s="51">
        <f t="shared" si="2"/>
        <v>-0.34386642748723611</v>
      </c>
      <c r="J16" s="217">
        <v>7247</v>
      </c>
      <c r="K16" s="51">
        <f t="shared" si="3"/>
        <v>-0.57900546067154646</v>
      </c>
      <c r="L16" s="217">
        <v>17214</v>
      </c>
      <c r="M16" s="48"/>
      <c r="N16" s="48"/>
    </row>
    <row r="17" spans="1:14" s="187" customFormat="1">
      <c r="B17" s="24">
        <f>+B15-B16</f>
        <v>46892</v>
      </c>
      <c r="C17" s="51">
        <f t="shared" si="0"/>
        <v>4.8644594449801775E-3</v>
      </c>
      <c r="D17" s="24">
        <f>+D15-D16</f>
        <v>46665</v>
      </c>
      <c r="E17" s="49" t="s">
        <v>0</v>
      </c>
      <c r="F17" s="24">
        <f>+F15-F16</f>
        <v>188296</v>
      </c>
      <c r="G17" s="51">
        <f t="shared" si="1"/>
        <v>-0.15708613303370383</v>
      </c>
      <c r="H17" s="24">
        <f>+H15-H16</f>
        <v>223387</v>
      </c>
      <c r="I17" s="51">
        <f t="shared" si="2"/>
        <v>9.9248098101546126E-2</v>
      </c>
      <c r="J17" s="24">
        <f>+J15-J16</f>
        <v>203218</v>
      </c>
      <c r="K17" s="51">
        <f t="shared" si="3"/>
        <v>-9.0262301956902311E-3</v>
      </c>
      <c r="L17" s="24">
        <f>+L15-L16</f>
        <v>205069</v>
      </c>
      <c r="M17" s="49"/>
      <c r="N17" s="49"/>
    </row>
    <row r="18" spans="1:14">
      <c r="B18" s="20"/>
      <c r="C18" s="51"/>
      <c r="D18" s="20"/>
      <c r="E18" s="49"/>
      <c r="F18" s="20"/>
      <c r="G18" s="48"/>
      <c r="H18" s="20"/>
      <c r="I18" s="48"/>
      <c r="J18" s="20"/>
      <c r="K18" s="48"/>
      <c r="L18" s="20"/>
      <c r="M18" s="48"/>
      <c r="N18" s="48"/>
    </row>
    <row r="19" spans="1:14">
      <c r="A19" t="s">
        <v>306</v>
      </c>
      <c r="B19" s="20"/>
      <c r="C19" s="51"/>
      <c r="D19" s="20"/>
      <c r="E19" s="49" t="s">
        <v>0</v>
      </c>
      <c r="F19" s="20"/>
      <c r="G19" s="48"/>
      <c r="H19" s="20"/>
      <c r="I19" s="48"/>
      <c r="J19" s="20"/>
      <c r="K19" s="48"/>
      <c r="L19" s="20"/>
      <c r="M19" s="48"/>
      <c r="N19" s="48"/>
    </row>
    <row r="20" spans="1:14">
      <c r="A20" t="s">
        <v>307</v>
      </c>
      <c r="B20" s="20">
        <f>+'SCOTIARÉSULT         '!R58</f>
        <v>18096</v>
      </c>
      <c r="C20" s="51">
        <f>+(B20-D20)/ABS(D20)</f>
        <v>-2.0832206049456198E-2</v>
      </c>
      <c r="D20" s="20">
        <f>+'SCOTIARÉSULT         '!T58</f>
        <v>18481</v>
      </c>
      <c r="E20" s="49" t="s">
        <v>0</v>
      </c>
      <c r="F20" s="20">
        <f>+'SCOTIARÉSULT         '!U58</f>
        <v>72645</v>
      </c>
      <c r="G20" s="51">
        <f>+(F20-H20)/ABS(H20)</f>
        <v>0.12291901751348677</v>
      </c>
      <c r="H20" s="20">
        <v>64693</v>
      </c>
      <c r="I20" s="51">
        <f>+(H20-J20)/ABS(J20)</f>
        <v>2.9716996148091555E-2</v>
      </c>
      <c r="J20" s="20">
        <v>62826</v>
      </c>
      <c r="K20" s="51">
        <f>+(J20-L20)/ABS(L20)</f>
        <v>0.11310726055065377</v>
      </c>
      <c r="L20" s="20">
        <v>56442</v>
      </c>
      <c r="M20" s="48"/>
      <c r="N20" s="48"/>
    </row>
    <row r="21" spans="1:14">
      <c r="A21" t="s">
        <v>308</v>
      </c>
      <c r="B21" s="20">
        <f>+'SCOTIARÉSULT         '!R59</f>
        <v>8252</v>
      </c>
      <c r="C21" s="51">
        <f>+(B21-D21)/ABS(D21)</f>
        <v>-0.14148980441115272</v>
      </c>
      <c r="D21" s="20">
        <f>+'SCOTIARÉSULT         '!T59</f>
        <v>9612</v>
      </c>
      <c r="E21" s="49" t="s">
        <v>0</v>
      </c>
      <c r="F21" s="20">
        <f>+'SCOTIARÉSULT         '!U59</f>
        <v>32917</v>
      </c>
      <c r="G21" s="51">
        <f>+(F21-H21)/ABS(H21)</f>
        <v>-9.9422724412464775E-2</v>
      </c>
      <c r="H21" s="20">
        <v>36551</v>
      </c>
      <c r="I21" s="51">
        <f>+(H21-J21)/ABS(J21)</f>
        <v>-0.12105326439822051</v>
      </c>
      <c r="J21" s="20">
        <v>41585</v>
      </c>
      <c r="K21" s="51">
        <f>+(J21-L21)/ABS(L21)</f>
        <v>-0.1330136557906807</v>
      </c>
      <c r="L21" s="20">
        <v>47965</v>
      </c>
      <c r="M21" s="48"/>
      <c r="N21" s="48"/>
    </row>
    <row r="22" spans="1:14">
      <c r="A22" t="s">
        <v>274</v>
      </c>
      <c r="B22" s="217">
        <f>+'SCOTIARÉSULT         '!R60</f>
        <v>592</v>
      </c>
      <c r="C22" s="51">
        <f>+(B22-D22)/ABS(D22)</f>
        <v>1.1026530258366569</v>
      </c>
      <c r="D22" s="217">
        <f>+'SCOTIARÉSULT         '!T60</f>
        <v>-5767</v>
      </c>
      <c r="E22" s="49" t="s">
        <v>0</v>
      </c>
      <c r="F22" s="217">
        <f>+'SCOTIARÉSULT         '!U60</f>
        <v>-12214</v>
      </c>
      <c r="G22" s="51">
        <f>+(F22-H22)/ABS(H22)</f>
        <v>-3.1841917024320456</v>
      </c>
      <c r="H22" s="217">
        <v>5592</v>
      </c>
      <c r="I22" s="51">
        <f>+(H22-J22)/ABS(J22)</f>
        <v>1.4186851211072664</v>
      </c>
      <c r="J22" s="217">
        <v>2312</v>
      </c>
      <c r="K22" s="51">
        <f>+(J22-L22)/ABS(L22)</f>
        <v>35</v>
      </c>
      <c r="L22" s="217">
        <v>-68</v>
      </c>
      <c r="M22" s="48"/>
      <c r="N22" s="48"/>
    </row>
    <row r="23" spans="1:14" s="187" customFormat="1">
      <c r="B23" s="24">
        <f>SUM(B20:B22)</f>
        <v>26940</v>
      </c>
      <c r="C23" s="51">
        <f>+(B23-D23)/ABS(D23)</f>
        <v>0.20666487503359313</v>
      </c>
      <c r="D23" s="24">
        <f>SUM(D20:D22)</f>
        <v>22326</v>
      </c>
      <c r="E23" s="49" t="s">
        <v>0</v>
      </c>
      <c r="F23" s="24">
        <f>SUM(F20:F22)</f>
        <v>93348</v>
      </c>
      <c r="G23" s="51">
        <f>+(F23-H23)/ABS(H23)</f>
        <v>-0.12624957879366505</v>
      </c>
      <c r="H23" s="24">
        <f>SUM(H20:H22)</f>
        <v>106836</v>
      </c>
      <c r="I23" s="51">
        <f>+(H23-J23)/ABS(J23)</f>
        <v>1.0588158128988128E-3</v>
      </c>
      <c r="J23" s="24">
        <f>SUM(J20:J22)</f>
        <v>106723</v>
      </c>
      <c r="K23" s="51">
        <f>+(J23-L23)/ABS(L23)</f>
        <v>2.2848599277355542E-2</v>
      </c>
      <c r="L23" s="24">
        <f>SUM(L20:L22)</f>
        <v>104339</v>
      </c>
      <c r="M23" s="49"/>
      <c r="N23" s="49"/>
    </row>
    <row r="24" spans="1:14">
      <c r="B24" s="217"/>
      <c r="C24" s="51"/>
      <c r="D24" s="217"/>
      <c r="E24" s="49"/>
      <c r="F24" s="217"/>
      <c r="G24" s="48"/>
      <c r="H24" s="217"/>
      <c r="I24" s="48"/>
      <c r="J24" s="217"/>
      <c r="K24" s="48"/>
      <c r="L24" s="217"/>
      <c r="M24" s="48"/>
      <c r="N24" s="48"/>
    </row>
    <row r="25" spans="1:14" s="187" customFormat="1">
      <c r="A25" s="187" t="s">
        <v>309</v>
      </c>
      <c r="B25" s="24">
        <f>+B17+B23</f>
        <v>73832</v>
      </c>
      <c r="C25" s="51">
        <f>+(B25-D25)/ABS(D25)</f>
        <v>7.0168572712382776E-2</v>
      </c>
      <c r="D25" s="24">
        <f>+D17+D23</f>
        <v>68991</v>
      </c>
      <c r="E25" s="49" t="s">
        <v>0</v>
      </c>
      <c r="F25" s="24">
        <f>+F17+F23</f>
        <v>281644</v>
      </c>
      <c r="G25" s="51">
        <f>+(F25-H25)/ABS(H25)</f>
        <v>-0.14710968042807437</v>
      </c>
      <c r="H25" s="24">
        <f>+H17+H23</f>
        <v>330223</v>
      </c>
      <c r="I25" s="51">
        <f>+(H25-J25)/ABS(J25)</f>
        <v>6.5438260830287059E-2</v>
      </c>
      <c r="J25" s="24">
        <f>+J17+J23</f>
        <v>309941</v>
      </c>
      <c r="K25" s="51">
        <f>+(J25-L25)/ABS(L25)</f>
        <v>1.7226445340779812E-3</v>
      </c>
      <c r="L25" s="24">
        <f>+L17+L23</f>
        <v>309408</v>
      </c>
      <c r="M25" s="49"/>
      <c r="N25" s="49"/>
    </row>
    <row r="26" spans="1:14">
      <c r="B26" s="20"/>
      <c r="C26" s="51"/>
      <c r="D26" s="20"/>
      <c r="E26" s="49" t="s">
        <v>0</v>
      </c>
      <c r="F26" s="20"/>
      <c r="G26" s="48"/>
      <c r="H26" s="20"/>
      <c r="I26" s="48"/>
      <c r="J26" s="20"/>
      <c r="K26" s="48"/>
      <c r="L26" s="20"/>
      <c r="M26" s="48"/>
      <c r="N26" s="48"/>
    </row>
    <row r="27" spans="1:14">
      <c r="A27" t="s">
        <v>310</v>
      </c>
      <c r="B27" s="20">
        <f>+'SCOTIARÉSULT         '!R65</f>
        <v>-5602</v>
      </c>
      <c r="C27" s="51">
        <f>+(B27-D27)/ABS(D27)</f>
        <v>-2.5141768251479855</v>
      </c>
      <c r="D27" s="20">
        <f>+'SCOTIARÉSULT         '!T65</f>
        <v>3699.7</v>
      </c>
      <c r="E27" s="49" t="s">
        <v>0</v>
      </c>
      <c r="F27" s="20">
        <f>+'SCOTIARÉSULT         '!U65</f>
        <v>642.29999999999927</v>
      </c>
      <c r="G27" s="51">
        <f>+(F27-H27)/ABS(H27)</f>
        <v>1.0074840165037537</v>
      </c>
      <c r="H27" s="20">
        <v>-85822.9</v>
      </c>
      <c r="I27" s="51">
        <f>+(H27-J27)/ABS(J27)</f>
        <v>-3.9411549006168607</v>
      </c>
      <c r="J27" s="20">
        <v>29180</v>
      </c>
      <c r="K27" s="51">
        <f>+(J27-L27)/ABS(L27)</f>
        <v>0.48872993683866833</v>
      </c>
      <c r="L27" s="20">
        <v>19600.599999999999</v>
      </c>
      <c r="M27" s="48"/>
      <c r="N27" s="48"/>
    </row>
    <row r="28" spans="1:14">
      <c r="B28" s="20"/>
      <c r="C28" s="51"/>
      <c r="D28" s="20"/>
      <c r="E28" s="49" t="s">
        <v>0</v>
      </c>
      <c r="F28" s="20"/>
      <c r="G28" s="48"/>
      <c r="H28" s="20"/>
      <c r="I28" s="48"/>
      <c r="J28" s="20"/>
      <c r="K28" s="48"/>
      <c r="L28" s="20"/>
      <c r="M28" s="48"/>
      <c r="N28" s="48"/>
    </row>
    <row r="29" spans="1:14">
      <c r="A29" t="s">
        <v>311</v>
      </c>
      <c r="B29" s="217"/>
      <c r="C29" s="51"/>
      <c r="D29" s="217"/>
      <c r="E29" s="49" t="s">
        <v>0</v>
      </c>
      <c r="F29" s="217"/>
      <c r="G29" s="48"/>
      <c r="H29" s="217"/>
      <c r="I29" s="48"/>
      <c r="J29" s="217"/>
      <c r="K29" s="48"/>
      <c r="L29" s="217"/>
      <c r="M29" s="48"/>
      <c r="N29" s="48"/>
    </row>
    <row r="30" spans="1:14" s="187" customFormat="1">
      <c r="A30" s="187" t="s">
        <v>312</v>
      </c>
      <c r="B30" s="24">
        <f>+B25-B27</f>
        <v>79434</v>
      </c>
      <c r="C30" s="51">
        <f>+(B30-D30)/ABS(D30)</f>
        <v>0.21660925728236374</v>
      </c>
      <c r="D30" s="24">
        <f>+D25-D27</f>
        <v>65291.3</v>
      </c>
      <c r="E30" s="49" t="s">
        <v>0</v>
      </c>
      <c r="F30" s="24">
        <f>+F25-F27</f>
        <v>281001.7</v>
      </c>
      <c r="G30" s="51">
        <f>+(F30-H30)/ABS(H30)</f>
        <v>-0.32458966666899014</v>
      </c>
      <c r="H30" s="24">
        <f>+H25-H27</f>
        <v>416045.9</v>
      </c>
      <c r="I30" s="51">
        <f>+(H30-J30)/ABS(J30)</f>
        <v>0.48185075562489099</v>
      </c>
      <c r="J30" s="24">
        <f>+J25-J27</f>
        <v>280761</v>
      </c>
      <c r="K30" s="51">
        <f>+(J30-L30)/ABS(L30)</f>
        <v>-3.1215213966241107E-2</v>
      </c>
      <c r="L30" s="24">
        <f>+L25-L27</f>
        <v>289807.40000000002</v>
      </c>
      <c r="M30" s="49"/>
      <c r="N30" s="49"/>
    </row>
    <row r="31" spans="1:14">
      <c r="B31" s="20"/>
      <c r="C31" s="51"/>
      <c r="D31" s="20"/>
      <c r="E31" s="49" t="s">
        <v>0</v>
      </c>
      <c r="F31" s="20"/>
      <c r="G31" s="48"/>
      <c r="H31" s="20"/>
      <c r="I31" s="48"/>
      <c r="J31" s="20"/>
      <c r="K31" s="48"/>
      <c r="L31" s="20"/>
      <c r="M31" s="48"/>
      <c r="N31" s="48"/>
    </row>
    <row r="32" spans="1:14">
      <c r="A32" t="s">
        <v>313</v>
      </c>
      <c r="B32" s="20"/>
      <c r="C32" s="51"/>
      <c r="D32" s="20"/>
      <c r="E32" s="49" t="s">
        <v>0</v>
      </c>
      <c r="F32" s="20"/>
      <c r="G32" s="48"/>
      <c r="H32" s="20"/>
      <c r="I32" s="48"/>
      <c r="J32" s="20"/>
      <c r="K32" s="48"/>
      <c r="L32" s="20"/>
      <c r="M32" s="48"/>
      <c r="N32" s="48"/>
    </row>
    <row r="33" spans="1:14">
      <c r="A33" t="s">
        <v>314</v>
      </c>
      <c r="B33" s="20">
        <f>+'SCOTIARÉSULT         '!R71</f>
        <v>18420</v>
      </c>
      <c r="C33" s="51">
        <f>+(B33-D33)/ABS(D33)</f>
        <v>-0.22760818517276082</v>
      </c>
      <c r="D33" s="20">
        <f>+'SCOTIARÉSULT         '!T71</f>
        <v>23848</v>
      </c>
      <c r="E33" s="49" t="s">
        <v>0</v>
      </c>
      <c r="F33" s="20">
        <f>+'SCOTIARÉSULT         '!U71</f>
        <v>90029</v>
      </c>
      <c r="G33" s="51">
        <f>+(F33-H33)/ABS(H33)</f>
        <v>0.15442515323263151</v>
      </c>
      <c r="H33" s="20">
        <v>77986</v>
      </c>
      <c r="I33" s="51">
        <f>+(H33-J33)/ABS(J33)</f>
        <v>0.15881601236292311</v>
      </c>
      <c r="J33" s="20">
        <v>67298</v>
      </c>
      <c r="K33" s="51">
        <f>+(J33-L33)/ABS(L33)</f>
        <v>0.11755426028329929</v>
      </c>
      <c r="L33" s="20">
        <v>60219</v>
      </c>
      <c r="M33" s="48"/>
      <c r="N33" s="48"/>
    </row>
    <row r="34" spans="1:14">
      <c r="A34" t="s">
        <v>315</v>
      </c>
      <c r="B34" s="20">
        <f>+'SCOTIARÉSULT         '!R72</f>
        <v>5296</v>
      </c>
      <c r="C34" s="51">
        <f>+(B34-D34)/ABS(D34)</f>
        <v>-4.6983649689907913E-3</v>
      </c>
      <c r="D34" s="20">
        <f>+'SCOTIARÉSULT         '!T72</f>
        <v>5321</v>
      </c>
      <c r="E34" s="49" t="s">
        <v>0</v>
      </c>
      <c r="F34" s="20">
        <f>+'SCOTIARÉSULT         '!U72</f>
        <v>20798</v>
      </c>
      <c r="G34" s="51">
        <f>+(F34-H34)/ABS(H34)</f>
        <v>0.13712411153635867</v>
      </c>
      <c r="H34" s="20">
        <v>18290</v>
      </c>
      <c r="I34" s="51">
        <f>+(H34-J34)/ABS(J34)</f>
        <v>4.5919826156573453E-2</v>
      </c>
      <c r="J34" s="20">
        <v>17487</v>
      </c>
      <c r="K34" s="51">
        <f>+(J34-L34)/ABS(L34)</f>
        <v>2.5225018632116037E-3</v>
      </c>
      <c r="L34" s="20">
        <v>17443</v>
      </c>
      <c r="M34" s="48"/>
      <c r="N34" s="48"/>
    </row>
    <row r="35" spans="1:14">
      <c r="A35" t="s">
        <v>316</v>
      </c>
      <c r="B35" s="20">
        <f>+'SCOTIARÉSULT         '!R73</f>
        <v>1295</v>
      </c>
      <c r="C35" s="51">
        <f>+(B35-D35)/ABS(D35)</f>
        <v>3.2695374800637958E-2</v>
      </c>
      <c r="D35" s="20">
        <f>+'SCOTIARÉSULT         '!T73</f>
        <v>1254</v>
      </c>
      <c r="E35" s="49" t="s">
        <v>0</v>
      </c>
      <c r="F35" s="20">
        <f>+'SCOTIARÉSULT         '!U73</f>
        <v>5015</v>
      </c>
      <c r="G35" s="51">
        <f>+(F35-H35)/ABS(H35)</f>
        <v>-0.14971176670057645</v>
      </c>
      <c r="H35" s="20">
        <v>5898</v>
      </c>
      <c r="I35" s="51">
        <f>+(H35-J35)/ABS(J35)</f>
        <v>-6.3065925337569495E-2</v>
      </c>
      <c r="J35" s="20">
        <v>6295</v>
      </c>
      <c r="K35" s="51">
        <f>+(J35-L35)/ABS(L35)</f>
        <v>-0.14481728026083412</v>
      </c>
      <c r="L35" s="20">
        <v>7361</v>
      </c>
      <c r="M35" s="48"/>
      <c r="N35" s="48"/>
    </row>
    <row r="36" spans="1:14">
      <c r="A36" t="s">
        <v>317</v>
      </c>
      <c r="B36" s="217">
        <f>+'SCOTIARÉSULT         '!R74</f>
        <v>21372</v>
      </c>
      <c r="C36" s="51">
        <f>+(B36-D36)/ABS(D36)</f>
        <v>-0.26160862354892206</v>
      </c>
      <c r="D36" s="217">
        <f>+'SCOTIARÉSULT         '!T74</f>
        <v>28944</v>
      </c>
      <c r="E36" s="49" t="s">
        <v>0</v>
      </c>
      <c r="F36" s="217">
        <f>+'SCOTIARÉSULT         '!U74</f>
        <v>160494</v>
      </c>
      <c r="G36" s="51">
        <f>+(F36-H36)/ABS(H36)</f>
        <v>-9.5823732556632846E-2</v>
      </c>
      <c r="H36" s="217">
        <v>177503</v>
      </c>
      <c r="I36" s="51">
        <f>+(H36-J36)/ABS(J36)</f>
        <v>0.3961443470874168</v>
      </c>
      <c r="J36" s="217">
        <v>127138</v>
      </c>
      <c r="K36" s="51">
        <f>+(J36-L36)/ABS(L36)</f>
        <v>0.14690626324952866</v>
      </c>
      <c r="L36" s="217">
        <v>110853</v>
      </c>
      <c r="M36" s="48"/>
      <c r="N36" s="48"/>
    </row>
    <row r="37" spans="1:14" s="187" customFormat="1">
      <c r="B37" s="24">
        <f>SUM(B33:B36)</f>
        <v>46383</v>
      </c>
      <c r="C37" s="51">
        <f>+(B37-D37)/ABS(D37)</f>
        <v>-0.21870736267623428</v>
      </c>
      <c r="D37" s="24">
        <f>SUM(D33:D36)</f>
        <v>59367</v>
      </c>
      <c r="E37" s="49" t="s">
        <v>0</v>
      </c>
      <c r="F37" s="24">
        <f>SUM(F33:F36)</f>
        <v>276336</v>
      </c>
      <c r="G37" s="51">
        <f>+(F37-H37)/ABS(H37)</f>
        <v>-1.1945923332987697E-2</v>
      </c>
      <c r="H37" s="24">
        <f>SUM(H33:H36)</f>
        <v>279677</v>
      </c>
      <c r="I37" s="51">
        <f>+(H37-J37)/ABS(J37)</f>
        <v>0.28164037797065322</v>
      </c>
      <c r="J37" s="24">
        <f>SUM(J33:J36)</f>
        <v>218218</v>
      </c>
      <c r="K37" s="51">
        <f>+(J37-L37)/ABS(L37)</f>
        <v>0.1140619575649901</v>
      </c>
      <c r="L37" s="24">
        <f>SUM(L33:L36)</f>
        <v>195876</v>
      </c>
      <c r="M37" s="49"/>
      <c r="N37" s="49"/>
    </row>
    <row r="38" spans="1:14">
      <c r="B38" s="225"/>
      <c r="C38" s="109"/>
      <c r="D38" s="225"/>
      <c r="E38" s="47"/>
      <c r="F38" s="225"/>
      <c r="G38" s="47"/>
      <c r="H38" s="225"/>
      <c r="I38" s="47"/>
      <c r="J38" s="225"/>
      <c r="K38" s="47"/>
      <c r="L38" s="225"/>
      <c r="M38" s="48"/>
      <c r="N38" s="48"/>
    </row>
    <row r="39" spans="1:14" s="187" customFormat="1">
      <c r="A39" s="187" t="s">
        <v>318</v>
      </c>
      <c r="B39" s="24">
        <f>+B30-B37</f>
        <v>33051</v>
      </c>
      <c r="C39" s="51">
        <f>+(B39-D39)/ABS(D39)</f>
        <v>4.5788869571088542</v>
      </c>
      <c r="D39" s="24">
        <f>+D30-D37</f>
        <v>5924.3000000000029</v>
      </c>
      <c r="E39" s="49" t="s">
        <v>0</v>
      </c>
      <c r="F39" s="24">
        <f>+F30-F37</f>
        <v>4665.7000000000116</v>
      </c>
      <c r="G39" s="51">
        <f>+(F39-H39)/ABS(H39)</f>
        <v>-0.96578618731983601</v>
      </c>
      <c r="H39" s="24">
        <f>+H30-H37</f>
        <v>136368.90000000002</v>
      </c>
      <c r="I39" s="51">
        <f>+(H39-J39)/ABS(J39)</f>
        <v>1.1804022832291388</v>
      </c>
      <c r="J39" s="24">
        <f>+J30-J37</f>
        <v>62543</v>
      </c>
      <c r="K39" s="51">
        <f>+(J39-L39)/ABS(L39)</f>
        <v>-0.33416301683994931</v>
      </c>
      <c r="L39" s="24">
        <f>+L30-L37</f>
        <v>93931.400000000023</v>
      </c>
      <c r="M39" s="49"/>
      <c r="N39" s="49"/>
    </row>
    <row r="40" spans="1:14">
      <c r="B40" s="20"/>
      <c r="C40" s="51"/>
      <c r="D40" s="20"/>
      <c r="E40" s="49" t="s">
        <v>0</v>
      </c>
      <c r="F40" s="20"/>
      <c r="G40" s="51"/>
      <c r="H40" s="20"/>
      <c r="I40" s="51"/>
      <c r="J40" s="20"/>
      <c r="K40" s="51"/>
      <c r="L40" s="20"/>
      <c r="M40" s="48"/>
      <c r="N40" s="48"/>
    </row>
    <row r="41" spans="1:14">
      <c r="A41" t="s">
        <v>319</v>
      </c>
      <c r="B41" s="20">
        <f>+'SCOTIARÉSULT         '!R79</f>
        <v>9915.2999999999993</v>
      </c>
      <c r="C41" s="51">
        <f>+(B41-D41)/ABS(D41)</f>
        <v>4.0250102625697473</v>
      </c>
      <c r="D41" s="20">
        <f>+'SCOTIARÉSULT         '!T79</f>
        <v>1973.1899999999998</v>
      </c>
      <c r="E41" s="49" t="s">
        <v>0</v>
      </c>
      <c r="F41" s="20">
        <f>+'SCOTIARÉSULT         '!U79</f>
        <v>12528.59</v>
      </c>
      <c r="G41" s="102">
        <f>+(F41-H41)/ABS(H41)</f>
        <v>-0.77975319033434864</v>
      </c>
      <c r="H41" s="20">
        <v>56884.32</v>
      </c>
      <c r="I41" s="102">
        <f>+(H41-J41)/ABS(J41)</f>
        <v>1.2286653236138312</v>
      </c>
      <c r="J41" s="20">
        <v>25523.939999999995</v>
      </c>
      <c r="K41" s="102">
        <f>+(J41-L41)/ABS(L41)</f>
        <v>-0.11357664537773116</v>
      </c>
      <c r="L41" s="20">
        <v>28794.3</v>
      </c>
      <c r="M41" s="48"/>
      <c r="N41" s="48"/>
    </row>
    <row r="42" spans="1:14" ht="16.5" thickBot="1">
      <c r="B42" s="79"/>
      <c r="C42" s="51"/>
      <c r="D42" s="79"/>
      <c r="E42" s="49" t="s">
        <v>0</v>
      </c>
      <c r="F42" s="79"/>
      <c r="G42" s="51"/>
      <c r="H42" s="79"/>
      <c r="I42" s="51"/>
      <c r="J42" s="79"/>
      <c r="K42" s="51"/>
      <c r="L42" s="79"/>
      <c r="M42" s="48"/>
      <c r="N42" s="48"/>
    </row>
    <row r="43" spans="1:14">
      <c r="A43" s="11" t="s">
        <v>372</v>
      </c>
      <c r="B43" s="13">
        <f>+B39-B41</f>
        <v>23135.7</v>
      </c>
      <c r="C43" s="109">
        <f>+(B43-D43)/ABS(D43)</f>
        <v>4.8554937726360388</v>
      </c>
      <c r="D43" s="13">
        <f>+D39-D41</f>
        <v>3951.1100000000033</v>
      </c>
      <c r="E43" s="47" t="s">
        <v>0</v>
      </c>
      <c r="F43" s="13">
        <f>+F39-F41</f>
        <v>-7862.8899999999885</v>
      </c>
      <c r="G43" s="109">
        <f>+(F43-H43)/ABS(H43)</f>
        <v>-1.0989234641486434</v>
      </c>
      <c r="H43" s="13">
        <f>+H39-H41</f>
        <v>79484.580000000016</v>
      </c>
      <c r="I43" s="109">
        <f>+(H43-J43)/ABS(J43)</f>
        <v>1.1471258319363054</v>
      </c>
      <c r="J43" s="13">
        <f>+J39-J41</f>
        <v>37019.060000000005</v>
      </c>
      <c r="K43" s="109">
        <f>+(J43-L43)/ABS(L43)</f>
        <v>-0.43167472914821209</v>
      </c>
      <c r="L43" s="13">
        <f>+L39-L41</f>
        <v>65137.10000000002</v>
      </c>
      <c r="M43" s="48"/>
      <c r="N43" s="48"/>
    </row>
    <row r="44" spans="1:14">
      <c r="E44" t="s">
        <v>0</v>
      </c>
    </row>
    <row r="45" spans="1:14">
      <c r="E45" t="s">
        <v>0</v>
      </c>
    </row>
  </sheetData>
  <phoneticPr fontId="0" type="noConversion"/>
  <pageMargins left="0.18" right="0.16" top="0.84" bottom="0.75" header="0.5" footer="0.5"/>
  <pageSetup scale="60" orientation="landscape" r:id="rId1"/>
  <headerFooter alignWithMargins="0">
    <oddFooter>&amp;R&amp;P</oddFooter>
  </headerFooter>
</worksheet>
</file>

<file path=xl/worksheets/sheet102.xml><?xml version="1.0" encoding="utf-8"?>
<worksheet xmlns="http://schemas.openxmlformats.org/spreadsheetml/2006/main" xmlns:r="http://schemas.openxmlformats.org/officeDocument/2006/relationships">
  <sheetPr>
    <pageSetUpPr fitToPage="1"/>
  </sheetPr>
  <dimension ref="A1:AA82"/>
  <sheetViews>
    <sheetView workbookViewId="0">
      <selection activeCell="B6" sqref="B6"/>
    </sheetView>
  </sheetViews>
  <sheetFormatPr baseColWidth="10" defaultColWidth="9" defaultRowHeight="15.75"/>
  <cols>
    <col min="1" max="1" width="34.375" customWidth="1"/>
    <col min="2" max="2" width="14.5" customWidth="1"/>
    <col min="3" max="3" width="12" customWidth="1"/>
    <col min="4" max="4" width="14" customWidth="1"/>
    <col min="5" max="5" width="13.625" customWidth="1"/>
    <col min="6" max="6" width="15.25" customWidth="1"/>
    <col min="7" max="7" width="9.25" customWidth="1"/>
    <col min="8" max="8" width="14.625" customWidth="1"/>
    <col min="9" max="9" width="12.375" customWidth="1"/>
    <col min="10" max="10" width="13.375" customWidth="1"/>
    <col min="11" max="11" width="13.5" customWidth="1"/>
    <col min="12" max="12" width="14.625" customWidth="1"/>
    <col min="14" max="14" width="13.25" customWidth="1"/>
    <col min="15" max="15" width="13.5" customWidth="1"/>
    <col min="16" max="16" width="16" customWidth="1"/>
    <col min="17" max="17" width="10.75" customWidth="1"/>
    <col min="18" max="18" width="15.875" customWidth="1"/>
    <col min="19" max="19" width="9.75" customWidth="1"/>
    <col min="20" max="20" width="13.25" customWidth="1"/>
  </cols>
  <sheetData>
    <row r="1" spans="1:27">
      <c r="A1" s="111" t="s">
        <v>632</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+scotiainfin!I4</f>
        <v>Var. déc. 14</v>
      </c>
      <c r="J4" s="156" t="s">
        <v>195</v>
      </c>
      <c r="K4" s="157"/>
      <c r="L4" s="157"/>
      <c r="M4" s="157"/>
      <c r="N4" s="157"/>
      <c r="O4" s="157"/>
      <c r="P4" s="157"/>
    </row>
    <row r="5" spans="1:27" ht="16.5" thickBot="1">
      <c r="B5" s="1" t="str">
        <f>+scotiainfin!B5</f>
        <v>Déc. 14</v>
      </c>
      <c r="C5" s="1" t="s">
        <v>196</v>
      </c>
      <c r="D5" s="1" t="str">
        <f>+scotiainfin!D5</f>
        <v>Mars 15</v>
      </c>
      <c r="E5" s="1" t="s">
        <v>196</v>
      </c>
      <c r="F5" s="1" t="str">
        <f>+scotiainfin!F5</f>
        <v>Juin 15</v>
      </c>
      <c r="G5" s="1" t="s">
        <v>196</v>
      </c>
      <c r="H5" s="1" t="str">
        <f>+scotiainfin!H5</f>
        <v>Sept. 15</v>
      </c>
      <c r="I5" s="155" t="str">
        <f>+scotiainfin!I5</f>
        <v>/sept. 14</v>
      </c>
      <c r="J5" s="155" t="str">
        <f>+scotiainfin!J5</f>
        <v>2014</v>
      </c>
      <c r="K5" s="1" t="s">
        <v>196</v>
      </c>
      <c r="L5" s="155" t="str">
        <f>+scotiainfin!L5</f>
        <v>2013</v>
      </c>
      <c r="M5" s="1" t="s">
        <v>196</v>
      </c>
      <c r="N5" s="155" t="str">
        <f>+scotiainfin!N5</f>
        <v>2012</v>
      </c>
      <c r="O5" s="1" t="s">
        <v>196</v>
      </c>
      <c r="P5" s="155" t="str">
        <f>+scotiainfin!P5</f>
        <v>2011</v>
      </c>
    </row>
    <row r="6" spans="1:27">
      <c r="B6" s="3"/>
      <c r="D6" s="3"/>
      <c r="F6" s="3"/>
      <c r="H6" s="3"/>
      <c r="J6" s="53"/>
      <c r="L6" s="53"/>
      <c r="N6" s="53"/>
      <c r="P6" s="53"/>
    </row>
    <row r="7" spans="1:27">
      <c r="A7" s="11" t="s">
        <v>197</v>
      </c>
    </row>
    <row r="8" spans="1:27">
      <c r="A8" s="11" t="s">
        <v>198</v>
      </c>
    </row>
    <row r="10" spans="1:27">
      <c r="A10" s="11" t="s">
        <v>18</v>
      </c>
    </row>
    <row r="11" spans="1:27">
      <c r="A11" t="s">
        <v>199</v>
      </c>
      <c r="B11" s="20">
        <f>+sogebkvar!B23</f>
        <v>53105996.676800005</v>
      </c>
      <c r="C11" s="61">
        <v>0</v>
      </c>
      <c r="D11" s="20">
        <f>+sogebkvar!D23</f>
        <v>0</v>
      </c>
      <c r="E11" s="61">
        <v>0</v>
      </c>
      <c r="F11" s="20">
        <f>+sogebkvar!F23</f>
        <v>0</v>
      </c>
      <c r="G11" s="61">
        <v>0</v>
      </c>
      <c r="H11" s="20">
        <f>+sogebkvar!H23</f>
        <v>0</v>
      </c>
      <c r="I11" s="51">
        <f>+(B11-J11)/ABS(J11)</f>
        <v>2.0221798833725803E-2</v>
      </c>
      <c r="J11" s="20">
        <f>+sogebkvar!J23</f>
        <v>52053383.624530002</v>
      </c>
      <c r="K11" s="51">
        <f>+(-L11+J11)/ABS(L11)</f>
        <v>0.10182578029135081</v>
      </c>
      <c r="L11" s="20">
        <f>+sogebkvar!L23</f>
        <v>47242844.155240007</v>
      </c>
      <c r="M11" s="51">
        <f>+(-N11+L11)/ABS(N11)</f>
        <v>3.0233827479754526E-2</v>
      </c>
      <c r="N11" s="20">
        <f>+sogebkvar!N23</f>
        <v>45856428.798119999</v>
      </c>
      <c r="O11" s="51">
        <f>+(-P11+N11)/ABS(P11)</f>
        <v>6.6147593661334048E-2</v>
      </c>
      <c r="P11" s="20">
        <f>+sogebkvar!P23</f>
        <v>43011332.643579997</v>
      </c>
      <c r="Q11" s="48"/>
      <c r="R11" s="48"/>
      <c r="S11" s="48"/>
      <c r="T11" s="48"/>
      <c r="U11" s="48"/>
      <c r="V11" s="48"/>
      <c r="W11" s="48"/>
      <c r="X11" s="48"/>
      <c r="Y11" s="48"/>
      <c r="Z11" s="48"/>
      <c r="AA11" s="48"/>
    </row>
    <row r="12" spans="1:27">
      <c r="A12" t="s">
        <v>200</v>
      </c>
      <c r="B12" s="20">
        <f>+sogebkvar!B17</f>
        <v>1300000</v>
      </c>
      <c r="C12" s="61">
        <v>0</v>
      </c>
      <c r="D12" s="20">
        <f>+sogebkvar!D17</f>
        <v>0</v>
      </c>
      <c r="E12" s="61">
        <v>0</v>
      </c>
      <c r="F12" s="20">
        <f>+sogebkvar!F17</f>
        <v>0</v>
      </c>
      <c r="G12" s="61">
        <v>0</v>
      </c>
      <c r="H12" s="20">
        <f>+sogebkvar!H17</f>
        <v>0</v>
      </c>
      <c r="I12" s="51">
        <f>+(B12-J12)/ABS(J12)</f>
        <v>-0.33333333333333331</v>
      </c>
      <c r="J12" s="20">
        <f>+sogebkvar!J17</f>
        <v>1950000</v>
      </c>
      <c r="K12" s="51">
        <f>+(-L12+J12)/ABS(L12)</f>
        <v>18.5</v>
      </c>
      <c r="L12" s="20">
        <f>+sogebkvar!L17</f>
        <v>100000</v>
      </c>
      <c r="M12" s="51">
        <f>+(-N12+L12)/ABS(N12)</f>
        <v>-0.8333332236110389</v>
      </c>
      <c r="N12" s="20">
        <f>+sogebkvar!N17</f>
        <v>599999.60499999998</v>
      </c>
      <c r="O12" s="51">
        <f>+(-P12+N12)/ABS(P12)</f>
        <v>-0.57894764561403511</v>
      </c>
      <c r="P12" s="20">
        <f>+sogebkvar!P17</f>
        <v>1425000</v>
      </c>
      <c r="Q12" s="48"/>
      <c r="R12" s="48"/>
      <c r="S12" s="48"/>
      <c r="T12" s="48"/>
      <c r="U12" s="48"/>
      <c r="V12" s="48"/>
      <c r="W12" s="48"/>
      <c r="X12" s="48"/>
      <c r="Y12" s="48"/>
      <c r="Z12" s="48"/>
      <c r="AA12" s="48"/>
    </row>
    <row r="13" spans="1:27">
      <c r="A13" t="s">
        <v>382</v>
      </c>
      <c r="B13" s="20">
        <f>+sogebkvar!B20</f>
        <v>19215072.525990002</v>
      </c>
      <c r="C13" s="61">
        <v>0</v>
      </c>
      <c r="D13" s="20">
        <f>+sogebkvar!D20</f>
        <v>0</v>
      </c>
      <c r="E13" s="61">
        <v>0</v>
      </c>
      <c r="F13" s="20">
        <f>+sogebkvar!F20</f>
        <v>0</v>
      </c>
      <c r="G13" s="61">
        <v>0</v>
      </c>
      <c r="H13" s="20">
        <f>+sogebkvar!H20</f>
        <v>0</v>
      </c>
      <c r="I13" s="51">
        <f>+(B13-J13)/ABS(J13)</f>
        <v>1.1264105441782298E-2</v>
      </c>
      <c r="J13" s="20">
        <f>+sogebkvar!J20</f>
        <v>19001042.77665</v>
      </c>
      <c r="K13" s="51">
        <f>+(-L13+J13)/ABS(L13)</f>
        <v>1.3540113035739636E-2</v>
      </c>
      <c r="L13" s="20">
        <f>+sogebkvar!L20</f>
        <v>18747203.52186</v>
      </c>
      <c r="M13" s="51">
        <f>+(-N13+L13)/ABS(N13)</f>
        <v>0.15638849654170975</v>
      </c>
      <c r="N13" s="20">
        <f>+sogebkvar!N20</f>
        <v>16211855.77159</v>
      </c>
      <c r="O13" s="51">
        <f>+(-P13+N13)/ABS(P13)</f>
        <v>0.39191266692813653</v>
      </c>
      <c r="P13" s="20">
        <f>+sogebkvar!P20</f>
        <v>11647178.847340001</v>
      </c>
      <c r="Q13" s="48"/>
      <c r="R13" s="48"/>
      <c r="S13" s="48"/>
      <c r="T13" s="48"/>
      <c r="U13" s="48"/>
      <c r="V13" s="48"/>
      <c r="W13" s="48"/>
      <c r="X13" s="48"/>
      <c r="Y13" s="48"/>
      <c r="Z13" s="48"/>
      <c r="AA13" s="48"/>
    </row>
    <row r="14" spans="1:27">
      <c r="A14" t="s">
        <v>202</v>
      </c>
      <c r="B14" s="20">
        <f>+sogebkvar!B30</f>
        <v>42844618.908360004</v>
      </c>
      <c r="C14" s="61">
        <v>0</v>
      </c>
      <c r="D14" s="20">
        <f>+sogebkvar!D30</f>
        <v>0</v>
      </c>
      <c r="E14" s="61">
        <v>0</v>
      </c>
      <c r="F14" s="20">
        <f>+sogebkvar!F30</f>
        <v>0</v>
      </c>
      <c r="G14" s="61">
        <v>0</v>
      </c>
      <c r="H14" s="20">
        <f>+sogebkvar!H30</f>
        <v>0</v>
      </c>
      <c r="I14" s="51">
        <f>+(B14-J14)/ABS(J14)</f>
        <v>3.3445287089325051E-2</v>
      </c>
      <c r="J14" s="20">
        <f>+sogebkvar!J30</f>
        <v>41458042.765893191</v>
      </c>
      <c r="K14" s="51">
        <f>+(-L14+J14)/ABS(L14)</f>
        <v>7.2381049124007724E-2</v>
      </c>
      <c r="L14" s="20">
        <f>+sogebkvar!L30</f>
        <v>38659805.485894106</v>
      </c>
      <c r="M14" s="51">
        <f>+(-N14+L14)/ABS(N14)</f>
        <v>1.5647801070331389E-3</v>
      </c>
      <c r="N14" s="20">
        <f>+sogebkvar!N30</f>
        <v>38599405.903393179</v>
      </c>
      <c r="O14" s="51">
        <f>+(-P14+N14)/ABS(P14)</f>
        <v>6.0222504794822853E-3</v>
      </c>
      <c r="P14" s="20">
        <f>+sogebkvar!P30</f>
        <v>38368342.136564314</v>
      </c>
      <c r="Q14" s="48"/>
      <c r="R14" s="48"/>
      <c r="S14" s="48"/>
      <c r="T14" s="48"/>
      <c r="U14" s="48"/>
      <c r="V14" s="48"/>
      <c r="W14" s="48"/>
      <c r="X14" s="48"/>
      <c r="Y14" s="48"/>
      <c r="Z14" s="48"/>
      <c r="AA14" s="48"/>
    </row>
    <row r="15" spans="1:27">
      <c r="A15" t="s">
        <v>203</v>
      </c>
      <c r="B15" s="20">
        <f>+sogebkvar!B52</f>
        <v>3881092.5410900004</v>
      </c>
      <c r="C15" s="61">
        <v>0</v>
      </c>
      <c r="D15" s="20">
        <f>+sogebkvar!D52</f>
        <v>0</v>
      </c>
      <c r="E15" s="61">
        <v>0</v>
      </c>
      <c r="F15" s="20">
        <f>+sogebkvar!F52</f>
        <v>0</v>
      </c>
      <c r="G15" s="61">
        <v>0</v>
      </c>
      <c r="H15" s="20">
        <f>+sogebkvar!H52</f>
        <v>0</v>
      </c>
      <c r="I15" s="51">
        <f>+(B15-J15)/ABS(J15)</f>
        <v>3.0167026933698542E-2</v>
      </c>
      <c r="J15" s="20">
        <f>+sogebkvar!J52</f>
        <v>3767440.0748800002</v>
      </c>
      <c r="K15" s="51">
        <f>+(-L15+J15)/ABS(L15)</f>
        <v>8.4052471241579996E-2</v>
      </c>
      <c r="L15" s="20">
        <f>+sogebkvar!L52</f>
        <v>3475330</v>
      </c>
      <c r="M15" s="51">
        <f>+(-N15+L15)/ABS(N15)</f>
        <v>0.16193346044502574</v>
      </c>
      <c r="N15" s="20">
        <f>+sogebkvar!N52</f>
        <v>2990988.8288000012</v>
      </c>
      <c r="O15" s="51">
        <f>+(-P15+N15)/ABS(P15)</f>
        <v>0.15128393969452672</v>
      </c>
      <c r="P15" s="20">
        <f>+sogebkvar!P52</f>
        <v>2597959.30932</v>
      </c>
      <c r="Q15" s="48"/>
      <c r="R15" s="48"/>
      <c r="S15" s="48"/>
      <c r="T15" s="48"/>
      <c r="U15" s="48"/>
      <c r="V15" s="48"/>
      <c r="W15" s="48"/>
      <c r="X15" s="48"/>
      <c r="Y15" s="48"/>
      <c r="Z15" s="48"/>
      <c r="AA15" s="48"/>
    </row>
    <row r="16" spans="1:27">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27">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row>
    <row r="18" spans="1:27">
      <c r="B18" s="56" t="str">
        <f>+scotiainfin!B19</f>
        <v>2015</v>
      </c>
      <c r="C18" s="48"/>
      <c r="D18" s="56" t="str">
        <f>+scotiainfin!D19</f>
        <v>2014</v>
      </c>
      <c r="E18" s="48"/>
      <c r="F18" s="56" t="str">
        <f>+scotiainfin!F19</f>
        <v>2015</v>
      </c>
      <c r="G18" s="48"/>
      <c r="H18" s="56" t="str">
        <f>+scotiainfin!H19</f>
        <v>2014</v>
      </c>
      <c r="I18" s="48"/>
      <c r="J18" s="56" t="str">
        <f>+scotiainfin!J19</f>
        <v>2015</v>
      </c>
      <c r="K18" s="48"/>
      <c r="L18" s="56" t="str">
        <f>+scotiainfin!L19</f>
        <v>2014</v>
      </c>
      <c r="M18" s="48"/>
      <c r="N18" s="56" t="str">
        <f>+scotiainfin!N19</f>
        <v>2015</v>
      </c>
      <c r="O18" s="48"/>
      <c r="P18" s="56" t="str">
        <f>+scotiainfin!P19</f>
        <v>2014</v>
      </c>
      <c r="Q18" s="48"/>
      <c r="R18" s="56" t="str">
        <f>+scotiainfin!R19</f>
        <v>2015</v>
      </c>
      <c r="S18" s="48"/>
      <c r="T18" s="56" t="str">
        <f>+scotiainfin!T19</f>
        <v>2014</v>
      </c>
      <c r="U18" s="48"/>
      <c r="V18" s="48"/>
      <c r="W18" s="48"/>
      <c r="X18" s="48"/>
      <c r="Y18" s="48"/>
      <c r="Z18" s="48"/>
      <c r="AA18" s="48"/>
    </row>
    <row r="19" spans="1:27">
      <c r="B19" s="55" t="s">
        <v>204</v>
      </c>
      <c r="C19" s="55" t="s">
        <v>196</v>
      </c>
      <c r="D19" s="55" t="s">
        <v>204</v>
      </c>
      <c r="E19" s="48"/>
      <c r="F19" s="55" t="s">
        <v>205</v>
      </c>
      <c r="G19" s="55" t="s">
        <v>196</v>
      </c>
      <c r="H19" s="55" t="s">
        <v>205</v>
      </c>
      <c r="I19" s="48"/>
      <c r="J19" s="55" t="s">
        <v>206</v>
      </c>
      <c r="K19" s="55" t="s">
        <v>196</v>
      </c>
      <c r="L19" s="55" t="s">
        <v>206</v>
      </c>
      <c r="M19" s="48"/>
      <c r="N19" s="55" t="s">
        <v>207</v>
      </c>
      <c r="O19" s="55" t="s">
        <v>196</v>
      </c>
      <c r="P19" s="55" t="s">
        <v>207</v>
      </c>
      <c r="Q19" s="48"/>
      <c r="R19" s="55" t="s">
        <v>208</v>
      </c>
      <c r="S19" s="55" t="s">
        <v>196</v>
      </c>
      <c r="T19" s="55" t="s">
        <v>208</v>
      </c>
      <c r="U19" s="48"/>
      <c r="V19" s="48"/>
      <c r="W19" s="48"/>
      <c r="X19" s="48"/>
      <c r="Y19" s="48"/>
      <c r="Z19" s="48"/>
      <c r="AA19" s="48"/>
    </row>
    <row r="20" spans="1:27" ht="16.5" thickBot="1">
      <c r="B20" s="292" t="str">
        <f>+scotiainfin!B21</f>
        <v>(oct. - déc. 14)</v>
      </c>
      <c r="C20" s="292"/>
      <c r="D20" s="292" t="str">
        <f>+scotiainfin!D21</f>
        <v>(oct. - déc. 13)</v>
      </c>
      <c r="E20" s="186"/>
      <c r="F20" s="292" t="str">
        <f>+scotiainfin!F21</f>
        <v>(janv. - mars 15)</v>
      </c>
      <c r="G20" s="292"/>
      <c r="H20" s="292" t="str">
        <f>+scotiainfin!H21</f>
        <v>(janv. - mars 14)</v>
      </c>
      <c r="I20" s="186"/>
      <c r="J20" s="292" t="str">
        <f>+scotiainfin!J21</f>
        <v>(avril - juin 15)</v>
      </c>
      <c r="K20" s="292"/>
      <c r="L20" s="292" t="str">
        <f>+scotiainfin!L21</f>
        <v>(avril - juin 14)</v>
      </c>
      <c r="M20" s="186"/>
      <c r="N20" s="292" t="str">
        <f>+scotiainfin!N21</f>
        <v>(juil. - sept. 15)</v>
      </c>
      <c r="O20" s="292"/>
      <c r="P20" s="292" t="str">
        <f>+scotiainfin!P21</f>
        <v>(juil. - sept. 14)</v>
      </c>
      <c r="Q20" s="186"/>
      <c r="R20" s="292" t="str">
        <f>+scotiainfin!R21</f>
        <v>(oct. - déc. 14)</v>
      </c>
      <c r="S20" s="292"/>
      <c r="T20" s="292" t="str">
        <f>+scotiainfin!T21</f>
        <v>(oct. - déc. 13)</v>
      </c>
      <c r="U20" s="48"/>
      <c r="V20" s="48"/>
      <c r="W20" s="48"/>
      <c r="X20" s="48"/>
      <c r="Y20" s="48"/>
      <c r="Z20" s="48"/>
      <c r="AA20" s="48"/>
    </row>
    <row r="21" spans="1:27">
      <c r="A21" s="11" t="s">
        <v>22</v>
      </c>
      <c r="B21" s="48"/>
      <c r="C21" s="48"/>
      <c r="D21" s="48"/>
      <c r="E21" s="48"/>
      <c r="F21" s="48"/>
      <c r="G21" s="48"/>
      <c r="H21" s="48"/>
      <c r="I21" s="48"/>
      <c r="J21" s="48"/>
      <c r="K21" s="48"/>
      <c r="L21" s="48"/>
      <c r="M21" s="48"/>
      <c r="N21" s="48"/>
      <c r="O21" s="48"/>
      <c r="P21" s="48"/>
      <c r="Q21" s="48"/>
      <c r="R21" s="48"/>
      <c r="S21" s="52" t="s">
        <v>0</v>
      </c>
      <c r="T21" s="48"/>
      <c r="U21" s="48"/>
      <c r="V21" s="48"/>
      <c r="W21" s="48"/>
      <c r="X21" s="48"/>
      <c r="Y21" s="48"/>
      <c r="Z21" s="48"/>
      <c r="AA21" s="48"/>
    </row>
    <row r="22" spans="1:27">
      <c r="A22" t="s">
        <v>209</v>
      </c>
      <c r="B22" s="20">
        <f>+SOGEBKRÉSULT!B15</f>
        <v>377690.66683</v>
      </c>
      <c r="C22" s="51">
        <f>+(-D22+B22)/ABS(D22)</f>
        <v>8.3238709266931429E-2</v>
      </c>
      <c r="D22" s="20">
        <f>+SOGEBKRÉSULT!D55</f>
        <v>348667.99311999988</v>
      </c>
      <c r="E22" s="48"/>
      <c r="F22" s="20">
        <f>+SOGEBKRÉSULT!D15</f>
        <v>0</v>
      </c>
      <c r="G22" s="48">
        <v>0</v>
      </c>
      <c r="H22" s="20">
        <f>+SOGEBKRÉSULT!H55</f>
        <v>339005.42042000004</v>
      </c>
      <c r="I22" s="48"/>
      <c r="J22" s="20">
        <f>+SOGEBKRÉSULT!F15</f>
        <v>0</v>
      </c>
      <c r="K22" s="48">
        <v>0</v>
      </c>
      <c r="L22" s="20">
        <f>+SOGEBKRÉSULT!L55</f>
        <v>397129.83161999995</v>
      </c>
      <c r="M22" s="48"/>
      <c r="N22" s="20">
        <f>+SOGEBKRÉSULT!H15</f>
        <v>0</v>
      </c>
      <c r="O22" s="48">
        <v>0</v>
      </c>
      <c r="P22" s="20">
        <f>+SOGEBKRÉSULT!P55</f>
        <v>365625.99676000001</v>
      </c>
      <c r="Q22" s="48"/>
      <c r="R22" s="20">
        <f>+SOGEBKRÉSULT!R55</f>
        <v>377690.66683</v>
      </c>
      <c r="S22" s="51">
        <f>+(-T22+R22)/ABS(T22)</f>
        <v>8.3238709266931429E-2</v>
      </c>
      <c r="T22" s="20">
        <f>+SOGEBKRÉSULT!T55</f>
        <v>348667.99311999988</v>
      </c>
      <c r="U22" s="48"/>
      <c r="V22" s="48"/>
      <c r="W22" s="48"/>
      <c r="X22" s="48"/>
      <c r="Y22" s="48"/>
      <c r="Z22" s="48"/>
      <c r="AA22" s="48"/>
    </row>
    <row r="23" spans="1:27">
      <c r="A23" t="s">
        <v>210</v>
      </c>
      <c r="B23" s="20">
        <f>+SOGEBKRÉSULT!B21</f>
        <v>377357.21606999997</v>
      </c>
      <c r="C23" s="51">
        <f>+(-D23+B23)/ABS(D23)</f>
        <v>0.20328600757470716</v>
      </c>
      <c r="D23" s="20">
        <f>+SOGEBKRÉSULT!D61</f>
        <v>313605.58811000001</v>
      </c>
      <c r="E23" s="48"/>
      <c r="F23" s="20">
        <f>+SOGEBKRÉSULT!D21</f>
        <v>0</v>
      </c>
      <c r="G23" s="48">
        <v>0</v>
      </c>
      <c r="H23" s="20">
        <f>+SOGEBKRÉSULT!H61</f>
        <v>372053.83601000003</v>
      </c>
      <c r="I23" s="48"/>
      <c r="J23" s="20">
        <f>+SOGEBKRÉSULT!F21</f>
        <v>0</v>
      </c>
      <c r="K23" s="48">
        <v>0</v>
      </c>
      <c r="L23" s="20">
        <f>+SOGEBKRÉSULT!L61</f>
        <v>394022.70814196207</v>
      </c>
      <c r="M23" s="48"/>
      <c r="N23" s="20">
        <f>+SOGEBKRÉSULT!H21</f>
        <v>0</v>
      </c>
      <c r="O23" s="48">
        <v>0</v>
      </c>
      <c r="P23" s="20">
        <f>+SOGEBKRÉSULT!P61</f>
        <v>480236.49114629801</v>
      </c>
      <c r="Q23" s="48"/>
      <c r="R23" s="20">
        <f>+SOGEBKRÉSULT!R61</f>
        <v>377357.21606999997</v>
      </c>
      <c r="S23" s="51">
        <f>+(-T23+R23)/ABS(T23)</f>
        <v>0.20328600757470716</v>
      </c>
      <c r="T23" s="20">
        <f>+SOGEBKRÉSULT!T61</f>
        <v>313605.58811000001</v>
      </c>
      <c r="U23" s="48"/>
      <c r="V23" s="48"/>
      <c r="W23" s="48"/>
      <c r="X23" s="48"/>
      <c r="Y23" s="48"/>
      <c r="Z23" s="48"/>
      <c r="AA23" s="48"/>
    </row>
    <row r="24" spans="1:27">
      <c r="A24" t="s">
        <v>643</v>
      </c>
      <c r="B24" s="20">
        <f>+SOGEBKRÉSULT!B25</f>
        <v>102622.75981</v>
      </c>
      <c r="C24" s="51">
        <f>+(-D24+B24)/ABS(D24)</f>
        <v>0.32115299824947219</v>
      </c>
      <c r="D24" s="20">
        <f>+SOGEBKRÉSULT!D65</f>
        <v>77676.665720000005</v>
      </c>
      <c r="E24" s="48"/>
      <c r="F24" s="20">
        <f>+SOGEBKRÉSULT!D25</f>
        <v>0</v>
      </c>
      <c r="G24" s="48">
        <v>0</v>
      </c>
      <c r="H24" s="20">
        <f>+SOGEBKRÉSULT!H65</f>
        <v>91132.05554999999</v>
      </c>
      <c r="I24" s="48"/>
      <c r="J24" s="20">
        <f>+SOGEBKRÉSULT!F25</f>
        <v>0</v>
      </c>
      <c r="K24" s="48">
        <v>0</v>
      </c>
      <c r="L24" s="20">
        <f>+SOGEBKRÉSULT!L65</f>
        <v>100316.01732000001</v>
      </c>
      <c r="M24" s="48"/>
      <c r="N24" s="20">
        <f>+SOGEBKRÉSULT!H25</f>
        <v>0</v>
      </c>
      <c r="O24" s="48">
        <v>0</v>
      </c>
      <c r="P24" s="20">
        <f>+SOGEBKRÉSULT!P65</f>
        <v>140664.27518</v>
      </c>
      <c r="Q24" s="48"/>
      <c r="R24" s="20">
        <f>+SOGEBKRÉSULT!R65</f>
        <v>102622.75981</v>
      </c>
      <c r="S24" s="51">
        <f>+(-T24+R24)/ABS(T24)</f>
        <v>0.32115299824947219</v>
      </c>
      <c r="T24" s="20">
        <f>+SOGEBKRÉSULT!T65</f>
        <v>77676.665720000005</v>
      </c>
      <c r="U24" s="48"/>
      <c r="V24" s="48"/>
      <c r="W24" s="48"/>
      <c r="X24" s="48"/>
      <c r="Y24" s="48"/>
      <c r="Z24" s="48"/>
      <c r="AA24" s="48"/>
    </row>
    <row r="25" spans="1:27">
      <c r="A25" t="s">
        <v>212</v>
      </c>
      <c r="B25" s="20">
        <f>+SOGEBKRÉSULT!B35</f>
        <v>554618.62898999988</v>
      </c>
      <c r="C25" s="51">
        <f>+(-D25+B25)/ABS(D25)</f>
        <v>0.20287777914352462</v>
      </c>
      <c r="D25" s="20">
        <f>+SOGEBKRÉSULT!D75</f>
        <v>461076.46063999995</v>
      </c>
      <c r="E25" s="48"/>
      <c r="F25" s="20">
        <f>+SOGEBKRÉSULT!D35</f>
        <v>0</v>
      </c>
      <c r="G25" s="48">
        <v>0</v>
      </c>
      <c r="H25" s="20">
        <f>+SOGEBKRÉSULT!H75</f>
        <v>520272.25634000002</v>
      </c>
      <c r="I25" s="48"/>
      <c r="J25" s="20">
        <f>+SOGEBKRÉSULT!F35</f>
        <v>0</v>
      </c>
      <c r="K25" s="48">
        <v>0</v>
      </c>
      <c r="L25" s="20">
        <f>+SOGEBKRÉSULT!L75</f>
        <v>528235.69192999997</v>
      </c>
      <c r="M25" s="48"/>
      <c r="N25" s="20">
        <f>+SOGEBKRÉSULT!H35</f>
        <v>0</v>
      </c>
      <c r="O25" s="48">
        <v>0</v>
      </c>
      <c r="P25" s="20">
        <f>+SOGEBKRÉSULT!P75</f>
        <v>536156.97066999995</v>
      </c>
      <c r="Q25" s="48"/>
      <c r="R25" s="20">
        <f>+SOGEBKRÉSULT!R75</f>
        <v>554618.62898999988</v>
      </c>
      <c r="S25" s="51">
        <f>+(-T25+R25)/ABS(T25)</f>
        <v>0.20287777914352462</v>
      </c>
      <c r="T25" s="20">
        <f>+SOGEBKRÉSULT!T75</f>
        <v>461076.46063999995</v>
      </c>
      <c r="U25" s="48"/>
      <c r="V25" s="48"/>
      <c r="W25" s="48"/>
      <c r="X25" s="48"/>
      <c r="Y25" s="48"/>
      <c r="Z25" s="48"/>
      <c r="AA25" s="48"/>
    </row>
    <row r="26" spans="1:27">
      <c r="A26" t="s">
        <v>383</v>
      </c>
      <c r="B26" s="20">
        <f>+SOGEBKRÉSULT!B41</f>
        <v>82636.494100000127</v>
      </c>
      <c r="C26" s="51">
        <f>+(-D26+B26)/ABS(D26)</f>
        <v>-0.17909779271630474</v>
      </c>
      <c r="D26" s="20">
        <f>+SOGEBKRÉSULT!D81</f>
        <v>100665.4548699999</v>
      </c>
      <c r="E26" s="48"/>
      <c r="F26" s="20">
        <f>+SOGEBKRÉSULT!D41</f>
        <v>0</v>
      </c>
      <c r="G26" s="48">
        <v>0</v>
      </c>
      <c r="H26" s="20">
        <f>+SOGEBKRÉSULT!H81</f>
        <v>83409.944540000113</v>
      </c>
      <c r="I26" s="48"/>
      <c r="J26" s="20">
        <f>+SOGEBKRÉSULT!F41</f>
        <v>0</v>
      </c>
      <c r="K26" s="48">
        <v>0</v>
      </c>
      <c r="L26" s="20">
        <f>+SOGEBKRÉSULT!L81</f>
        <v>128000.83051196206</v>
      </c>
      <c r="M26" s="48"/>
      <c r="N26" s="20">
        <f>+SOGEBKRÉSULT!H41</f>
        <v>0</v>
      </c>
      <c r="O26" s="48">
        <v>0</v>
      </c>
      <c r="P26" s="20">
        <f>+SOGEBKRÉSULT!P81</f>
        <v>141611.24205629807</v>
      </c>
      <c r="Q26" s="48"/>
      <c r="R26" s="20">
        <f>+SOGEBKRÉSULT!R81</f>
        <v>82636.494100000127</v>
      </c>
      <c r="S26" s="51">
        <f>+(-T26+R26)/ABS(T26)</f>
        <v>-0.17909779271630474</v>
      </c>
      <c r="T26" s="20">
        <f>+SOGEBKRÉSULT!T81</f>
        <v>100665.4548699999</v>
      </c>
      <c r="U26" s="48"/>
      <c r="V26" s="48"/>
      <c r="W26" s="48"/>
      <c r="X26" s="48"/>
      <c r="Y26" s="48"/>
      <c r="Z26" s="48"/>
      <c r="AA26" s="48"/>
    </row>
    <row r="27" spans="1:27" ht="9" customHeight="1">
      <c r="B27" s="48"/>
      <c r="C27" s="48"/>
      <c r="D27" s="48"/>
      <c r="E27" s="48"/>
      <c r="F27" s="48"/>
      <c r="G27" s="48"/>
      <c r="H27" s="48"/>
      <c r="I27" s="48"/>
      <c r="J27" s="48"/>
      <c r="K27" s="48"/>
      <c r="L27" s="48"/>
      <c r="M27" s="48"/>
      <c r="N27" s="48"/>
      <c r="O27" s="52" t="s">
        <v>0</v>
      </c>
      <c r="P27" s="48"/>
      <c r="Q27" s="48"/>
      <c r="R27" s="48"/>
      <c r="S27" s="48"/>
      <c r="T27" s="48"/>
      <c r="U27" s="48"/>
      <c r="V27" s="48"/>
      <c r="W27" s="48"/>
      <c r="X27" s="48"/>
      <c r="Y27" s="48"/>
      <c r="Z27" s="48"/>
      <c r="AA27" s="48"/>
    </row>
    <row r="28" spans="1:27">
      <c r="B28" s="48"/>
      <c r="C28" s="48"/>
      <c r="D28" s="48"/>
      <c r="E28" s="48"/>
      <c r="F28" s="48"/>
      <c r="G28" s="48"/>
      <c r="H28" s="48"/>
      <c r="I28" s="48"/>
      <c r="J28" s="48"/>
      <c r="K28" s="48"/>
      <c r="L28" s="48"/>
      <c r="M28" s="48"/>
      <c r="N28" s="48"/>
      <c r="O28" s="52" t="s">
        <v>0</v>
      </c>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52" t="s">
        <v>0</v>
      </c>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56" t="str">
        <f>+scotiainfin!B32</f>
        <v>2015</v>
      </c>
      <c r="C31" s="56" t="str">
        <f>+scotiainfin!C32</f>
        <v>2014</v>
      </c>
      <c r="D31" s="48"/>
      <c r="E31" s="56" t="str">
        <f>+scotiainfin!E32</f>
        <v>2015</v>
      </c>
      <c r="F31" s="56" t="str">
        <f>+scotiainfin!F32</f>
        <v>2014</v>
      </c>
      <c r="G31" s="48"/>
      <c r="H31" s="56" t="str">
        <f>+scotiainfin!H32</f>
        <v>2015</v>
      </c>
      <c r="I31" s="56" t="str">
        <f>+scotiainfin!I32</f>
        <v>2014</v>
      </c>
      <c r="J31" s="48"/>
      <c r="K31" s="56" t="str">
        <f>+scotiainfin!K32</f>
        <v>2015</v>
      </c>
      <c r="L31" s="56" t="str">
        <f>+scotiainfin!L32</f>
        <v>2014</v>
      </c>
      <c r="M31" s="48"/>
      <c r="N31" s="56" t="str">
        <f>+scotiainfin!N32</f>
        <v>2015</v>
      </c>
      <c r="O31" s="56" t="str">
        <f>+scotiainfin!O32</f>
        <v>2014</v>
      </c>
      <c r="P31" s="48"/>
      <c r="U31" s="48"/>
      <c r="V31" s="48"/>
      <c r="W31" s="48"/>
      <c r="X31" s="48"/>
      <c r="Y31" s="48"/>
      <c r="Z31" s="48"/>
      <c r="AA31" s="48"/>
    </row>
    <row r="32" spans="1:27" ht="16.5" thickBot="1">
      <c r="B32" s="55" t="s">
        <v>204</v>
      </c>
      <c r="C32" s="55" t="s">
        <v>204</v>
      </c>
      <c r="D32" s="48"/>
      <c r="E32" s="55" t="s">
        <v>205</v>
      </c>
      <c r="F32" s="55" t="s">
        <v>205</v>
      </c>
      <c r="G32" s="48"/>
      <c r="H32" s="55" t="s">
        <v>206</v>
      </c>
      <c r="I32" s="55" t="s">
        <v>206</v>
      </c>
      <c r="J32" s="48"/>
      <c r="K32" s="55" t="s">
        <v>207</v>
      </c>
      <c r="L32" s="55" t="s">
        <v>207</v>
      </c>
      <c r="M32" s="48"/>
      <c r="N32" s="55" t="s">
        <v>208</v>
      </c>
      <c r="O32" s="55" t="s">
        <v>208</v>
      </c>
      <c r="P32" s="48"/>
      <c r="Q32" s="111" t="s">
        <v>214</v>
      </c>
      <c r="R32" s="111"/>
      <c r="S32" s="111"/>
      <c r="T32" s="111"/>
      <c r="U32" s="48"/>
      <c r="V32" s="48"/>
      <c r="W32" s="48"/>
      <c r="X32" s="48"/>
      <c r="Y32" s="48"/>
      <c r="Z32" s="48"/>
      <c r="AA32" s="48"/>
    </row>
    <row r="33" spans="1:27" ht="16.5" thickBot="1">
      <c r="B33" s="292" t="str">
        <f>+scotiainfin!B34</f>
        <v>(oct. - déc. 14)</v>
      </c>
      <c r="C33" s="292" t="str">
        <f>+scotiainfin!C34</f>
        <v>(oct. - déc. 13)</v>
      </c>
      <c r="D33" s="186"/>
      <c r="E33" s="292" t="str">
        <f>+scotiainfin!E34</f>
        <v>(janv. - mars 15)</v>
      </c>
      <c r="F33" s="292" t="str">
        <f>+scotiainfin!F34</f>
        <v>(janv. - mars 14)</v>
      </c>
      <c r="G33" s="186"/>
      <c r="H33" s="292" t="str">
        <f>+scotiainfin!H34</f>
        <v>(avril - juin 15)</v>
      </c>
      <c r="I33" s="292" t="str">
        <f>+scotiainfin!I34</f>
        <v>(avril - juin 14)</v>
      </c>
      <c r="J33" s="186"/>
      <c r="K33" s="292" t="str">
        <f>+scotiainfin!K34</f>
        <v>(juil. - sept. 15)</v>
      </c>
      <c r="L33" s="292" t="str">
        <f>+scotiainfin!L34</f>
        <v>(juil. - sept. 14)</v>
      </c>
      <c r="M33" s="186"/>
      <c r="N33" s="292" t="str">
        <f>+scotiainfin!N34</f>
        <v>(oct. - déc. 14)</v>
      </c>
      <c r="O33" s="292" t="str">
        <f>+scotiainfin!O34</f>
        <v>(oct. - déc. 13)</v>
      </c>
      <c r="P33" s="48"/>
      <c r="Q33" s="163" t="str">
        <f>+scotiainfin!Q34</f>
        <v>2014</v>
      </c>
      <c r="R33" s="163" t="str">
        <f>+scotiainfin!R34</f>
        <v>2013</v>
      </c>
      <c r="S33" s="163" t="str">
        <f>+scotiainfin!S34</f>
        <v>2012</v>
      </c>
      <c r="T33" s="163" t="str">
        <f>+scotiainfin!T34</f>
        <v>2011</v>
      </c>
      <c r="U33" s="48"/>
      <c r="V33" s="48"/>
      <c r="W33" s="48"/>
      <c r="X33" s="48"/>
      <c r="Y33" s="48"/>
      <c r="Z33" s="48"/>
      <c r="AA33" s="48"/>
    </row>
    <row r="34" spans="1:27">
      <c r="A34" s="11" t="s">
        <v>215</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row>
    <row r="35" spans="1:27">
      <c r="A35" s="164" t="s">
        <v>216</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spans="1:27">
      <c r="A36" s="11" t="s">
        <v>384</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1" t="s">
        <v>218</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t="s">
        <v>219</v>
      </c>
      <c r="B40" s="61"/>
      <c r="C40" s="61"/>
      <c r="D40" s="61"/>
      <c r="E40" s="61"/>
      <c r="F40" s="61"/>
      <c r="G40" s="61"/>
      <c r="H40" s="61"/>
      <c r="I40" s="61"/>
      <c r="J40" s="61"/>
      <c r="K40" s="61"/>
      <c r="L40" s="61"/>
      <c r="M40" s="61"/>
      <c r="N40" s="61"/>
      <c r="O40" s="61"/>
      <c r="P40" s="61"/>
      <c r="Q40" s="61"/>
      <c r="R40" s="61"/>
      <c r="S40" s="61"/>
      <c r="T40" s="61"/>
      <c r="U40" s="48"/>
      <c r="V40" s="48"/>
      <c r="W40" s="48"/>
      <c r="X40" s="48"/>
      <c r="Y40" s="48"/>
      <c r="Z40" s="48"/>
      <c r="AA40" s="48"/>
    </row>
    <row r="41" spans="1:27">
      <c r="A41" t="s">
        <v>220</v>
      </c>
      <c r="B41" s="62">
        <f>+sogebkvar!B52/sogebkvar!B23</f>
        <v>7.3082001731557794E-2</v>
      </c>
      <c r="C41" s="63">
        <v>7.6364503255185817E-2</v>
      </c>
      <c r="D41" s="63"/>
      <c r="E41" s="321">
        <v>0</v>
      </c>
      <c r="F41" s="62">
        <v>7.208221332595692E-2</v>
      </c>
      <c r="G41" s="61"/>
      <c r="H41" s="321">
        <v>0</v>
      </c>
      <c r="I41" s="62">
        <v>7.302000093478006E-2</v>
      </c>
      <c r="J41" s="61"/>
      <c r="K41" s="321">
        <v>0</v>
      </c>
      <c r="L41" s="63">
        <v>7.2376468397428159E-2</v>
      </c>
      <c r="M41" s="63"/>
      <c r="N41" s="62">
        <f>+B41</f>
        <v>7.3082001731557794E-2</v>
      </c>
      <c r="O41" s="62">
        <f>+C41</f>
        <v>7.6364503255185817E-2</v>
      </c>
      <c r="P41" s="63"/>
      <c r="Q41" s="63">
        <v>7.2400000000000006E-2</v>
      </c>
      <c r="R41" s="63">
        <v>7.3599999999999999E-2</v>
      </c>
      <c r="S41" s="63">
        <v>6.5199999999999994E-2</v>
      </c>
      <c r="T41" s="63">
        <v>6.0401739486855434E-2</v>
      </c>
      <c r="U41" s="48"/>
      <c r="V41" s="48"/>
      <c r="W41" s="48"/>
      <c r="X41" s="48"/>
      <c r="Y41" s="48"/>
      <c r="Z41" s="48"/>
      <c r="AA41" s="48"/>
    </row>
    <row r="42" spans="1:27">
      <c r="B42" s="62"/>
      <c r="C42" s="62"/>
      <c r="D42" s="63"/>
      <c r="E42" s="61"/>
      <c r="F42" s="61"/>
      <c r="G42" s="61"/>
      <c r="H42" s="61"/>
      <c r="I42" s="63"/>
      <c r="J42" s="61"/>
      <c r="K42" s="61"/>
      <c r="L42" s="63"/>
      <c r="M42" s="63"/>
      <c r="N42" s="62"/>
      <c r="O42" s="63"/>
      <c r="P42" s="63"/>
      <c r="Q42" s="63"/>
      <c r="R42" s="63"/>
      <c r="S42" s="63"/>
      <c r="T42" s="63"/>
      <c r="U42" s="48"/>
      <c r="V42" s="48"/>
      <c r="W42" s="48"/>
      <c r="X42" s="48"/>
      <c r="Y42" s="48"/>
      <c r="Z42" s="48"/>
      <c r="AA42" s="48"/>
    </row>
    <row r="43" spans="1:27">
      <c r="A43" t="s">
        <v>221</v>
      </c>
      <c r="B43" s="62">
        <f>+sogebkvar!B30/sogebkvar!B23</f>
        <v>0.80677553552209658</v>
      </c>
      <c r="C43" s="62">
        <v>0.79724980697053793</v>
      </c>
      <c r="D43" s="63"/>
      <c r="E43" s="321">
        <v>0</v>
      </c>
      <c r="F43" s="62">
        <v>0.82267390765855974</v>
      </c>
      <c r="G43" s="61"/>
      <c r="H43" s="321">
        <v>0</v>
      </c>
      <c r="I43" s="62">
        <v>0.82565043212494527</v>
      </c>
      <c r="J43" s="61"/>
      <c r="K43" s="321">
        <v>0</v>
      </c>
      <c r="L43" s="63">
        <v>0.79645240864527034</v>
      </c>
      <c r="M43" s="63"/>
      <c r="N43" s="62">
        <f>+B43</f>
        <v>0.80677553552209658</v>
      </c>
      <c r="O43" s="62">
        <f>+C43</f>
        <v>0.79724980697053793</v>
      </c>
      <c r="P43" s="63"/>
      <c r="Q43" s="63">
        <v>0.79649999999999999</v>
      </c>
      <c r="R43" s="63">
        <v>0.81830000000000003</v>
      </c>
      <c r="S43" s="63">
        <v>0.8417</v>
      </c>
      <c r="T43" s="63">
        <v>0.89205192627974272</v>
      </c>
      <c r="U43" s="48"/>
      <c r="V43" s="48"/>
      <c r="W43" s="48"/>
      <c r="X43" s="48"/>
      <c r="Y43" s="48"/>
      <c r="Z43" s="48"/>
      <c r="AA43" s="48"/>
    </row>
    <row r="44" spans="1:27">
      <c r="A44" t="s">
        <v>0</v>
      </c>
      <c r="B44" s="61"/>
      <c r="C44" s="63"/>
      <c r="D44" s="63"/>
      <c r="E44" s="46"/>
      <c r="F44" s="46"/>
      <c r="G44" s="61"/>
      <c r="H44" s="46"/>
      <c r="I44" s="133"/>
      <c r="J44" s="61"/>
      <c r="K44" s="46"/>
      <c r="L44" s="61"/>
      <c r="M44" s="63"/>
      <c r="N44" s="63"/>
      <c r="O44" s="63"/>
      <c r="P44" s="63"/>
      <c r="Q44" s="63"/>
      <c r="R44" s="63"/>
      <c r="S44" s="63"/>
      <c r="T44" s="63"/>
      <c r="U44" s="48"/>
      <c r="V44" s="48"/>
      <c r="W44" s="48"/>
      <c r="X44" s="48"/>
      <c r="Y44" s="48"/>
      <c r="Z44" s="48"/>
      <c r="AA44" s="48"/>
    </row>
    <row r="45" spans="1:27">
      <c r="A45" s="11" t="s">
        <v>222</v>
      </c>
      <c r="B45" s="61"/>
      <c r="C45" s="63"/>
      <c r="D45" s="63"/>
      <c r="E45" s="61"/>
      <c r="F45" s="61"/>
      <c r="G45" s="61"/>
      <c r="H45" s="61"/>
      <c r="I45" s="63"/>
      <c r="J45" s="61"/>
      <c r="K45" s="61"/>
      <c r="L45" s="61"/>
      <c r="M45" s="63"/>
      <c r="N45" s="63"/>
      <c r="O45" s="63"/>
      <c r="P45" s="63"/>
      <c r="Q45" s="63"/>
      <c r="R45" s="63"/>
      <c r="S45" s="63"/>
      <c r="T45" s="63"/>
      <c r="U45" s="48"/>
      <c r="V45" s="48"/>
      <c r="W45" s="48"/>
      <c r="X45" s="48"/>
      <c r="Y45" s="48"/>
      <c r="Z45" s="48"/>
      <c r="AA45" s="48"/>
    </row>
    <row r="46" spans="1:27">
      <c r="A46" s="11"/>
      <c r="B46" s="61"/>
      <c r="C46" s="63"/>
      <c r="D46" s="63"/>
      <c r="E46" s="61"/>
      <c r="F46" s="61"/>
      <c r="G46" s="61"/>
      <c r="H46" s="61"/>
      <c r="I46" s="63"/>
      <c r="J46" s="61"/>
      <c r="K46" s="61"/>
      <c r="L46" s="61"/>
      <c r="M46" s="63"/>
      <c r="N46" s="63"/>
      <c r="O46" s="63"/>
      <c r="P46" s="63"/>
      <c r="Q46" s="63"/>
      <c r="R46" s="63"/>
      <c r="S46" s="63"/>
      <c r="T46" s="63"/>
      <c r="U46" s="48"/>
      <c r="V46" s="48"/>
      <c r="W46" s="48"/>
      <c r="X46" s="48"/>
      <c r="Y46" s="48"/>
      <c r="Z46" s="48"/>
      <c r="AA46" s="48"/>
    </row>
    <row r="47" spans="1:27">
      <c r="A47" t="s">
        <v>223</v>
      </c>
      <c r="B47" s="61"/>
      <c r="C47" s="63"/>
      <c r="D47" s="63"/>
      <c r="E47" s="61"/>
      <c r="F47" s="61"/>
      <c r="G47" s="61"/>
      <c r="H47" s="61"/>
      <c r="I47" s="63"/>
      <c r="J47" s="61"/>
      <c r="K47" s="61"/>
      <c r="L47" s="61"/>
      <c r="M47" s="63"/>
      <c r="N47" s="62" t="s">
        <v>0</v>
      </c>
      <c r="O47" s="63"/>
      <c r="P47" s="63"/>
      <c r="Q47" s="63" t="s">
        <v>0</v>
      </c>
      <c r="R47" s="63" t="s">
        <v>0</v>
      </c>
      <c r="S47" s="63" t="s">
        <v>0</v>
      </c>
      <c r="T47" s="63" t="s">
        <v>0</v>
      </c>
      <c r="U47" s="48"/>
      <c r="V47" s="48"/>
      <c r="W47" s="48"/>
      <c r="X47" s="48"/>
      <c r="Y47" s="48"/>
      <c r="Z47" s="48"/>
      <c r="AA47" s="48"/>
    </row>
    <row r="48" spans="1:27">
      <c r="A48" t="s">
        <v>224</v>
      </c>
      <c r="B48" s="63">
        <f>+sogebkvar!B63/sogebkvar!B61</f>
        <v>6.5720077290665452E-2</v>
      </c>
      <c r="C48" s="63">
        <v>5.7985681150842759E-2</v>
      </c>
      <c r="D48" s="63"/>
      <c r="E48" s="61">
        <v>0</v>
      </c>
      <c r="F48" s="63">
        <v>7.2111396314350013E-2</v>
      </c>
      <c r="G48" s="61"/>
      <c r="H48" s="61">
        <v>0</v>
      </c>
      <c r="I48" s="63">
        <v>3.9304479799887444E-2</v>
      </c>
      <c r="J48" s="61"/>
      <c r="K48" s="61">
        <v>0</v>
      </c>
      <c r="L48" s="63">
        <v>2.5832544958976522E-2</v>
      </c>
      <c r="M48" s="63"/>
      <c r="N48" s="62">
        <f>+B48</f>
        <v>6.5720077290665452E-2</v>
      </c>
      <c r="O48" s="62">
        <f>+C48</f>
        <v>5.7985681150842759E-2</v>
      </c>
      <c r="P48" s="63"/>
      <c r="Q48" s="63">
        <v>2.58E-2</v>
      </c>
      <c r="R48" s="63">
        <v>8.5000000000000006E-3</v>
      </c>
      <c r="S48" s="63">
        <v>1.5100000000000001E-2</v>
      </c>
      <c r="T48" s="63">
        <v>1.4532215418822597E-2</v>
      </c>
      <c r="U48" s="48"/>
      <c r="V48" s="48"/>
      <c r="W48" s="48"/>
      <c r="X48" s="48"/>
      <c r="Y48" s="48"/>
      <c r="Z48" s="48"/>
      <c r="AA48" s="48"/>
    </row>
    <row r="49" spans="1:27">
      <c r="B49" s="61"/>
      <c r="C49" s="63"/>
      <c r="D49" s="63"/>
      <c r="E49" s="46"/>
      <c r="F49" s="46"/>
      <c r="G49" s="61"/>
      <c r="H49" s="46"/>
      <c r="I49" s="133"/>
      <c r="J49" s="61"/>
      <c r="K49" s="46"/>
      <c r="L49" s="63"/>
      <c r="M49" s="63"/>
      <c r="N49" s="63"/>
      <c r="O49" s="63"/>
      <c r="P49" s="63"/>
      <c r="Q49" s="63"/>
      <c r="R49" s="63"/>
      <c r="S49" s="63"/>
      <c r="T49" s="63"/>
      <c r="U49" s="48"/>
      <c r="V49" s="48"/>
      <c r="W49" s="48"/>
      <c r="X49" s="48"/>
      <c r="Y49" s="48"/>
      <c r="Z49" s="48"/>
      <c r="AA49" s="48"/>
    </row>
    <row r="50" spans="1:27">
      <c r="A50" t="s">
        <v>225</v>
      </c>
      <c r="B50" s="61"/>
      <c r="C50" s="63"/>
      <c r="D50" s="63"/>
      <c r="E50" s="61"/>
      <c r="F50" s="61"/>
      <c r="G50" s="61"/>
      <c r="H50" s="61"/>
      <c r="I50" s="63"/>
      <c r="J50" s="61"/>
      <c r="K50" s="61"/>
      <c r="L50" s="63"/>
      <c r="M50" s="63"/>
      <c r="N50" s="63"/>
      <c r="O50" s="63"/>
      <c r="P50" s="63"/>
      <c r="Q50" s="63"/>
      <c r="R50" s="63"/>
      <c r="S50" s="63"/>
      <c r="T50" s="63"/>
      <c r="U50" s="48"/>
      <c r="V50" s="48"/>
      <c r="W50" s="48"/>
      <c r="X50" s="48"/>
      <c r="Y50" s="48"/>
      <c r="Z50" s="48"/>
      <c r="AA50" s="48"/>
    </row>
    <row r="51" spans="1:27">
      <c r="A51" t="s">
        <v>226</v>
      </c>
      <c r="B51" s="63">
        <f>+sogebkvar!B62/sogebkvar!B63</f>
        <v>0.46947134668028628</v>
      </c>
      <c r="C51" s="63">
        <v>0.28709748221677872</v>
      </c>
      <c r="D51" s="63"/>
      <c r="E51" s="61">
        <v>0</v>
      </c>
      <c r="F51" s="63">
        <v>0.28886829936273045</v>
      </c>
      <c r="G51" s="61"/>
      <c r="H51" s="61">
        <v>0</v>
      </c>
      <c r="I51" s="63">
        <v>0.6406890130840146</v>
      </c>
      <c r="J51" s="61"/>
      <c r="K51" s="61">
        <v>0</v>
      </c>
      <c r="L51" s="63">
        <v>1.0276485580418497</v>
      </c>
      <c r="M51" s="63"/>
      <c r="N51" s="62">
        <f>+B51</f>
        <v>0.46947134668028628</v>
      </c>
      <c r="O51" s="62">
        <f>+C51</f>
        <v>0.28709748221677872</v>
      </c>
      <c r="P51" s="63"/>
      <c r="Q51" s="63">
        <v>1.0276000000000001</v>
      </c>
      <c r="R51" s="63">
        <v>1.9124000000000001</v>
      </c>
      <c r="S51" s="63">
        <v>1.2322</v>
      </c>
      <c r="T51" s="63">
        <v>1.6222800504193924</v>
      </c>
      <c r="U51" s="48"/>
      <c r="V51" s="48"/>
      <c r="W51" s="48"/>
      <c r="X51" s="48"/>
      <c r="Y51" s="48"/>
      <c r="Z51" s="48"/>
      <c r="AA51" s="48"/>
    </row>
    <row r="52" spans="1:27">
      <c r="B52" s="61"/>
      <c r="C52" s="63"/>
      <c r="D52" s="63"/>
      <c r="E52" s="46"/>
      <c r="F52" s="46"/>
      <c r="G52" s="61"/>
      <c r="H52" s="46"/>
      <c r="I52" s="133"/>
      <c r="J52" s="61"/>
      <c r="K52" s="46"/>
      <c r="L52" s="63"/>
      <c r="M52" s="63"/>
      <c r="N52" s="63"/>
      <c r="O52" s="63"/>
      <c r="P52" s="63"/>
      <c r="Q52" s="63"/>
      <c r="R52" s="63"/>
      <c r="S52" s="63"/>
      <c r="T52" s="63"/>
      <c r="U52" s="48"/>
      <c r="V52" s="48"/>
      <c r="W52" s="48"/>
      <c r="X52" s="48"/>
      <c r="Y52" s="48"/>
      <c r="Z52" s="48"/>
      <c r="AA52" s="48"/>
    </row>
    <row r="53" spans="1:27">
      <c r="A53" t="s">
        <v>227</v>
      </c>
      <c r="B53" s="61"/>
      <c r="C53" s="63"/>
      <c r="D53" s="63"/>
      <c r="E53" s="61"/>
      <c r="F53" s="61"/>
      <c r="G53" s="61"/>
      <c r="H53" s="61"/>
      <c r="I53" s="63"/>
      <c r="J53" s="61"/>
      <c r="K53" s="61"/>
      <c r="L53" s="63"/>
      <c r="M53" s="63"/>
      <c r="N53" s="63"/>
      <c r="O53" s="63"/>
      <c r="P53" s="63"/>
      <c r="Q53" s="63"/>
      <c r="R53" s="63"/>
      <c r="S53" s="63"/>
      <c r="T53" s="63"/>
      <c r="U53" s="48"/>
      <c r="V53" s="48"/>
      <c r="W53" s="48"/>
      <c r="X53" s="48"/>
      <c r="Y53" s="48"/>
      <c r="Z53" s="48"/>
      <c r="AA53" s="48"/>
    </row>
    <row r="54" spans="1:27">
      <c r="A54" t="s">
        <v>228</v>
      </c>
      <c r="B54" s="63">
        <f>+(sogebkvar!B63-sogebkvar!B62)/sogebkvar!B52</f>
        <v>0.17811709151512586</v>
      </c>
      <c r="C54" s="63">
        <v>0.224060811280408</v>
      </c>
      <c r="D54" s="63"/>
      <c r="E54" s="61">
        <v>0</v>
      </c>
      <c r="F54" s="63">
        <v>0.28495418752473411</v>
      </c>
      <c r="G54" s="61"/>
      <c r="H54" s="61">
        <v>0</v>
      </c>
      <c r="I54" s="63">
        <v>7.5931609701654329E-2</v>
      </c>
      <c r="J54" s="61"/>
      <c r="K54" s="61">
        <v>0</v>
      </c>
      <c r="L54" s="63">
        <v>-3.7004596736536052E-3</v>
      </c>
      <c r="M54" s="63"/>
      <c r="N54" s="62">
        <f>+B54</f>
        <v>0.17811709151512586</v>
      </c>
      <c r="O54" s="62">
        <f>+C54</f>
        <v>0.224060811280408</v>
      </c>
      <c r="P54" s="63"/>
      <c r="Q54" s="63">
        <v>-3.7000000000000002E-3</v>
      </c>
      <c r="R54" s="63">
        <v>-4.2299999999999997E-2</v>
      </c>
      <c r="S54" s="63">
        <v>-1.9300000000000001E-2</v>
      </c>
      <c r="T54" s="63">
        <v>-4.1520957327170087E-2</v>
      </c>
      <c r="U54" s="48"/>
      <c r="V54" s="48"/>
      <c r="W54" s="48"/>
      <c r="X54" s="48"/>
      <c r="Y54" s="48"/>
      <c r="Z54" s="48"/>
      <c r="AA54" s="48"/>
    </row>
    <row r="55" spans="1:27">
      <c r="A55" t="s">
        <v>0</v>
      </c>
      <c r="B55" s="61"/>
      <c r="C55" s="63"/>
      <c r="D55" s="63"/>
      <c r="E55" s="46"/>
      <c r="F55" s="46"/>
      <c r="G55" s="61"/>
      <c r="H55" s="46"/>
      <c r="I55" s="133"/>
      <c r="J55" s="61"/>
      <c r="K55" s="46"/>
      <c r="L55" s="61"/>
      <c r="M55" s="63"/>
      <c r="N55" s="61"/>
      <c r="O55" s="63"/>
      <c r="P55" s="63"/>
      <c r="Q55" s="63"/>
      <c r="R55" s="63"/>
      <c r="S55" s="63"/>
      <c r="T55" s="63"/>
      <c r="U55" s="48"/>
      <c r="V55" s="48"/>
      <c r="W55" s="48"/>
      <c r="X55" s="48"/>
      <c r="Y55" s="48"/>
      <c r="Z55" s="48"/>
      <c r="AA55" s="48"/>
    </row>
    <row r="56" spans="1:27">
      <c r="A56" s="11" t="s">
        <v>229</v>
      </c>
      <c r="B56" s="61"/>
      <c r="C56" s="63"/>
      <c r="D56" s="63"/>
      <c r="E56" s="61"/>
      <c r="F56" s="61"/>
      <c r="G56" s="61"/>
      <c r="H56" s="61"/>
      <c r="I56" s="63"/>
      <c r="J56" s="61"/>
      <c r="K56" s="61"/>
      <c r="L56" s="61"/>
      <c r="M56" s="63"/>
      <c r="N56" s="61"/>
      <c r="O56" s="63"/>
      <c r="P56" s="63"/>
      <c r="Q56" s="63"/>
      <c r="R56" s="63"/>
      <c r="S56" s="63"/>
      <c r="T56" s="63"/>
      <c r="U56" s="48"/>
      <c r="V56" s="48"/>
      <c r="W56" s="48"/>
      <c r="X56" s="48"/>
      <c r="Y56" s="48"/>
      <c r="Z56" s="48"/>
      <c r="AA56" s="48"/>
    </row>
    <row r="57" spans="1:27">
      <c r="A57" s="11"/>
      <c r="B57" s="61"/>
      <c r="C57" s="63"/>
      <c r="D57" s="63"/>
      <c r="E57" s="61"/>
      <c r="F57" s="61"/>
      <c r="G57" s="61"/>
      <c r="H57" s="61"/>
      <c r="I57" s="63"/>
      <c r="J57" s="61"/>
      <c r="K57" s="61"/>
      <c r="L57" s="61"/>
      <c r="M57" s="63"/>
      <c r="N57" s="61"/>
      <c r="O57" s="63"/>
      <c r="P57" s="63"/>
      <c r="Q57" s="63"/>
      <c r="R57" s="63"/>
      <c r="S57" s="63"/>
      <c r="T57" s="63"/>
      <c r="U57" s="48"/>
      <c r="V57" s="48"/>
      <c r="W57" s="48"/>
      <c r="X57" s="48"/>
      <c r="Y57" s="48"/>
      <c r="Z57" s="48"/>
      <c r="AA57" s="48"/>
    </row>
    <row r="58" spans="1:27">
      <c r="A58" t="s">
        <v>230</v>
      </c>
      <c r="B58" s="63">
        <f>+(SOGEBKRÉSULT!B41/((sogebkvar!B23+sogebkvar!J23)/2)*4)</f>
        <v>6.2865714014828586E-3</v>
      </c>
      <c r="C58" s="63">
        <v>8.475184410803225E-3</v>
      </c>
      <c r="D58" s="63"/>
      <c r="E58" s="61">
        <v>0</v>
      </c>
      <c r="F58" s="63">
        <v>6.9249591431309E-3</v>
      </c>
      <c r="G58" s="61"/>
      <c r="H58" s="61">
        <v>0</v>
      </c>
      <c r="I58" s="63">
        <v>1.0426833461705077E-2</v>
      </c>
      <c r="J58" s="61"/>
      <c r="K58" s="61">
        <v>0</v>
      </c>
      <c r="L58" s="63">
        <v>1.1141491921435145E-2</v>
      </c>
      <c r="M58" s="63"/>
      <c r="N58" s="320">
        <f>+'sysratfinclédéc. 14'!F37</f>
        <v>6.2865714014828586E-3</v>
      </c>
      <c r="O58" s="320">
        <f>+'sysratfinclédéc. 14'!F38</f>
        <v>8.5000000000000006E-3</v>
      </c>
      <c r="P58" s="63"/>
      <c r="Q58" s="63">
        <v>9.1000000000000004E-3</v>
      </c>
      <c r="R58" s="63">
        <v>1.0699999999999999E-2</v>
      </c>
      <c r="S58" s="63">
        <v>8.6999999999999994E-3</v>
      </c>
      <c r="T58" s="63">
        <v>7.8954833366785774E-3</v>
      </c>
      <c r="U58" s="48"/>
      <c r="V58" s="48"/>
      <c r="W58" s="48"/>
      <c r="X58" s="48"/>
      <c r="Y58" s="48"/>
      <c r="Z58" s="48"/>
      <c r="AA58" s="48"/>
    </row>
    <row r="59" spans="1:27" ht="7.15" customHeight="1">
      <c r="B59" s="61"/>
      <c r="C59" s="63"/>
      <c r="D59" s="63"/>
      <c r="E59" s="46"/>
      <c r="F59" s="46"/>
      <c r="G59" s="61"/>
      <c r="H59" s="46"/>
      <c r="I59" s="133"/>
      <c r="J59" s="61"/>
      <c r="K59" s="46"/>
      <c r="L59" s="63"/>
      <c r="M59" s="63"/>
      <c r="N59" s="46"/>
      <c r="O59" s="61"/>
      <c r="P59" s="63"/>
      <c r="Q59" s="63"/>
      <c r="R59" s="63"/>
      <c r="S59" s="63"/>
      <c r="T59" s="63"/>
      <c r="U59" s="48"/>
      <c r="V59" s="48"/>
      <c r="W59" s="48"/>
      <c r="X59" s="48"/>
      <c r="Y59" s="48"/>
      <c r="Z59" s="48"/>
      <c r="AA59" s="48"/>
    </row>
    <row r="60" spans="1:27">
      <c r="A60" t="s">
        <v>390</v>
      </c>
      <c r="B60" s="63">
        <f>+(SOGEBKRÉSULT!B41/((sogebkvar!J52+sogebkvar!B52)/2)*4)</f>
        <v>8.6433828028614629E-2</v>
      </c>
      <c r="C60" s="63">
        <v>0.11304511849889846</v>
      </c>
      <c r="D60" s="63"/>
      <c r="E60" s="61">
        <v>0</v>
      </c>
      <c r="F60" s="63">
        <v>9.3321314076752426E-2</v>
      </c>
      <c r="G60" s="61"/>
      <c r="H60" s="61">
        <v>0</v>
      </c>
      <c r="I60" s="63">
        <v>0.1437071661052999</v>
      </c>
      <c r="J60" s="61"/>
      <c r="K60" s="61">
        <v>0</v>
      </c>
      <c r="L60" s="63">
        <v>0.15327288214485399</v>
      </c>
      <c r="M60" s="63"/>
      <c r="N60" s="320">
        <f>+'sysratfinclédéc. 14'!F43</f>
        <v>8.6433828028614629E-2</v>
      </c>
      <c r="O60" s="320">
        <f>+'sysratfinclédéc. 14'!F44</f>
        <v>0.113</v>
      </c>
      <c r="P60" s="63"/>
      <c r="Q60" s="63">
        <v>0.12529999999999999</v>
      </c>
      <c r="R60" s="63">
        <v>0.1545</v>
      </c>
      <c r="S60" s="63">
        <v>0.13900000000000001</v>
      </c>
      <c r="T60" s="63">
        <v>0.13539826604622046</v>
      </c>
      <c r="U60" s="48"/>
      <c r="V60" s="48"/>
      <c r="W60" s="48"/>
      <c r="X60" s="48"/>
      <c r="Y60" s="48"/>
      <c r="Z60" s="48"/>
      <c r="AA60" s="48"/>
    </row>
    <row r="61" spans="1:27" ht="7.15" customHeight="1">
      <c r="B61" s="61"/>
      <c r="C61" s="63"/>
      <c r="D61" s="63"/>
      <c r="E61" s="46"/>
      <c r="F61" s="46"/>
      <c r="G61" s="61"/>
      <c r="H61" s="46"/>
      <c r="I61" s="133"/>
      <c r="J61" s="61"/>
      <c r="K61" s="46"/>
      <c r="L61" s="63"/>
      <c r="M61" s="63"/>
      <c r="N61" s="46"/>
      <c r="O61" s="61"/>
      <c r="P61" s="63"/>
      <c r="Q61" s="63"/>
      <c r="R61" s="63"/>
      <c r="S61" s="63"/>
      <c r="T61" s="63"/>
      <c r="U61" s="48"/>
      <c r="V61" s="48"/>
      <c r="W61" s="48"/>
      <c r="X61" s="48"/>
      <c r="Y61" s="48"/>
      <c r="Z61" s="48"/>
      <c r="AA61" s="48"/>
    </row>
    <row r="62" spans="1:27">
      <c r="A62" t="s">
        <v>209</v>
      </c>
      <c r="B62" s="61"/>
      <c r="C62" s="63"/>
      <c r="D62" s="63"/>
      <c r="E62" s="61"/>
      <c r="F62" s="61"/>
      <c r="G62" s="61"/>
      <c r="H62" s="61"/>
      <c r="I62" s="63"/>
      <c r="J62" s="61"/>
      <c r="K62" s="61"/>
      <c r="L62" s="63"/>
      <c r="M62" s="63"/>
      <c r="N62" s="61"/>
      <c r="O62" s="61"/>
      <c r="P62" s="63"/>
      <c r="Q62" s="63"/>
      <c r="R62" s="63"/>
      <c r="S62" s="63"/>
      <c r="T62" s="63"/>
      <c r="U62" s="48"/>
      <c r="V62" s="48"/>
      <c r="W62" s="48"/>
      <c r="X62" s="48"/>
      <c r="Y62" s="48"/>
      <c r="Z62" s="48"/>
      <c r="AA62" s="48"/>
    </row>
    <row r="63" spans="1:27">
      <c r="A63" t="s">
        <v>233</v>
      </c>
      <c r="B63" s="63">
        <f>+SOGEBKRÉSULT!B15/SOGEBKRÉSULT!B13</f>
        <v>0.84298750492905827</v>
      </c>
      <c r="C63" s="63">
        <v>0.90562599945455824</v>
      </c>
      <c r="D63" s="63"/>
      <c r="E63" s="61">
        <v>0</v>
      </c>
      <c r="F63" s="63">
        <v>0.89146980843626478</v>
      </c>
      <c r="G63" s="61"/>
      <c r="H63" s="61">
        <v>0</v>
      </c>
      <c r="I63" s="63">
        <v>0.87370336693932249</v>
      </c>
      <c r="J63" s="61"/>
      <c r="K63" s="61">
        <v>0</v>
      </c>
      <c r="L63" s="63">
        <v>0.84471268316197445</v>
      </c>
      <c r="M63" s="63"/>
      <c r="N63" s="320">
        <f>+'sysratfinclédéc. 14'!F50</f>
        <v>0.84298750492905827</v>
      </c>
      <c r="O63" s="320">
        <f>+'sysratfinclédéc. 14'!F51</f>
        <v>0.90562599945455824</v>
      </c>
      <c r="P63" s="63"/>
      <c r="Q63" s="63">
        <v>0.87760000000000005</v>
      </c>
      <c r="R63" s="63">
        <v>0.90739999999999998</v>
      </c>
      <c r="S63" s="63">
        <v>0.89780000000000004</v>
      </c>
      <c r="T63" s="63">
        <v>0.86860284289788159</v>
      </c>
      <c r="U63" s="48"/>
      <c r="V63" s="48"/>
      <c r="W63" s="48"/>
      <c r="X63" s="48"/>
      <c r="Y63" s="48"/>
      <c r="Z63" s="48"/>
      <c r="AA63" s="48"/>
    </row>
    <row r="64" spans="1:27" ht="7.15" customHeight="1">
      <c r="B64" s="61"/>
      <c r="C64" s="63"/>
      <c r="D64" s="63"/>
      <c r="E64" s="46"/>
      <c r="F64" s="46"/>
      <c r="G64" s="61"/>
      <c r="H64" s="46"/>
      <c r="I64" s="133"/>
      <c r="J64" s="61"/>
      <c r="K64" s="46"/>
      <c r="L64" s="63"/>
      <c r="M64" s="63"/>
      <c r="N64" s="46"/>
      <c r="O64" s="61"/>
      <c r="P64" s="63"/>
      <c r="Q64" s="63"/>
      <c r="R64" s="63"/>
      <c r="S64" s="63"/>
      <c r="T64" s="63"/>
      <c r="U64" s="48"/>
      <c r="V64" s="48"/>
      <c r="W64" s="48"/>
      <c r="X64" s="48"/>
      <c r="Y64" s="48"/>
      <c r="Z64" s="48"/>
      <c r="AA64" s="48"/>
    </row>
    <row r="65" spans="1:20">
      <c r="A65" t="s">
        <v>234</v>
      </c>
      <c r="B65" s="63">
        <f>+(SOGEBKRÉSULT!B10/((sogebkvar!B61+sogebkvar!J61)/2)*4)</f>
        <v>7.3167685775969951E-2</v>
      </c>
      <c r="C65" s="60">
        <v>6.7357933844323342E-2</v>
      </c>
      <c r="D65" s="60"/>
      <c r="E65" s="61">
        <v>0</v>
      </c>
      <c r="F65" s="63">
        <v>6.5555331115223617E-2</v>
      </c>
      <c r="G65" s="54"/>
      <c r="H65" s="61">
        <v>0</v>
      </c>
      <c r="I65" s="63">
        <v>8.0814318235450558E-2</v>
      </c>
      <c r="J65" s="54"/>
      <c r="K65" s="61">
        <v>0</v>
      </c>
      <c r="L65" s="60">
        <v>7.1994392776078386E-2</v>
      </c>
      <c r="M65" s="60"/>
      <c r="N65" s="320">
        <f>+'sysratfinclédéc. 14'!F56</f>
        <v>7.3167685775969951E-2</v>
      </c>
      <c r="O65" s="320">
        <f>+'sysratfinclédéc. 14'!F57</f>
        <v>6.7400000000000002E-2</v>
      </c>
      <c r="P65" s="60"/>
      <c r="Q65" s="60">
        <v>7.22E-2</v>
      </c>
      <c r="R65" s="60">
        <v>6.3600000000000004E-2</v>
      </c>
      <c r="S65" s="60">
        <v>5.8000000000000003E-2</v>
      </c>
      <c r="T65" s="60">
        <v>6.2171390736899645E-2</v>
      </c>
    </row>
    <row r="66" spans="1:20" ht="7.15" customHeight="1">
      <c r="B66" s="17"/>
      <c r="C66" s="60"/>
      <c r="D66" s="60"/>
      <c r="E66" s="46"/>
      <c r="F66" s="46"/>
      <c r="G66" s="54"/>
      <c r="H66" s="46"/>
      <c r="I66" s="133"/>
      <c r="J66" s="54"/>
      <c r="K66" s="46"/>
      <c r="L66" s="60"/>
      <c r="M66" s="60"/>
      <c r="N66" s="46"/>
      <c r="O66" s="17"/>
      <c r="P66" s="60"/>
      <c r="Q66" s="60"/>
      <c r="R66" s="60"/>
      <c r="S66" s="60"/>
      <c r="T66" s="60"/>
    </row>
    <row r="67" spans="1:20" ht="15.75" customHeight="1">
      <c r="A67" t="s">
        <v>630</v>
      </c>
      <c r="B67" s="63">
        <f>+(SOGEBKRÉSULT!B10/((sogebkvar!B61-sogebkvar!B63+sogebkvar!J61-sogebkvar!J63)/2)*4)</f>
        <v>7.6690238816621389E-2</v>
      </c>
      <c r="C67" s="984">
        <v>6.9705765064492026E-2</v>
      </c>
      <c r="D67" s="60"/>
      <c r="E67" s="54">
        <v>0</v>
      </c>
      <c r="F67" s="60">
        <v>7.0112005922109477E-2</v>
      </c>
      <c r="G67" s="54"/>
      <c r="H67" s="54">
        <v>0</v>
      </c>
      <c r="I67" s="63">
        <v>8.5580922358929223E-2</v>
      </c>
      <c r="J67" s="54"/>
      <c r="K67" s="54">
        <v>0</v>
      </c>
      <c r="L67" s="60">
        <v>7.4417614970899618E-2</v>
      </c>
      <c r="M67" s="60"/>
      <c r="N67" s="320">
        <f>+'sysratfinclédéc. 14'!F62</f>
        <v>7.6690238816621389E-2</v>
      </c>
      <c r="O67" s="320">
        <f>+'sysratfinclédéc. 14'!F63</f>
        <v>6.9699999999999998E-2</v>
      </c>
      <c r="P67" s="60"/>
      <c r="Q67" s="60">
        <v>7.3499999999999996E-2</v>
      </c>
      <c r="R67" s="60">
        <v>6.4399999999999999E-2</v>
      </c>
      <c r="S67" s="60">
        <v>5.8900000000000001E-2</v>
      </c>
      <c r="T67" s="60">
        <v>6.3474988573635552E-2</v>
      </c>
    </row>
    <row r="68" spans="1:20" ht="7.15" customHeight="1">
      <c r="B68" s="17"/>
      <c r="C68" s="60"/>
      <c r="D68" s="60"/>
      <c r="E68" s="46"/>
      <c r="F68" s="46"/>
      <c r="G68" s="54"/>
      <c r="H68" s="46"/>
      <c r="I68" s="133"/>
      <c r="J68" s="54"/>
      <c r="K68" s="46"/>
      <c r="L68" s="60"/>
      <c r="M68" s="60"/>
      <c r="N68" s="46"/>
      <c r="O68" s="17"/>
      <c r="P68" s="60"/>
      <c r="Q68" s="60"/>
      <c r="R68" s="60"/>
      <c r="S68" s="60"/>
      <c r="T68" s="60"/>
    </row>
    <row r="69" spans="1:20">
      <c r="A69" t="s">
        <v>235</v>
      </c>
      <c r="B69" s="63">
        <f>+(SOGEBKRÉSULT!B14/((sogebkvar!J30+sogebkvar!B30)/2)*4)</f>
        <v>6.6757187412966167E-3</v>
      </c>
      <c r="C69" s="60">
        <v>3.7872173309496642E-3</v>
      </c>
      <c r="D69" s="60"/>
      <c r="E69" s="61">
        <v>0</v>
      </c>
      <c r="F69" s="63">
        <v>4.2298862726349662E-3</v>
      </c>
      <c r="G69" s="54"/>
      <c r="H69" s="61">
        <v>0</v>
      </c>
      <c r="I69" s="63">
        <v>5.6738633940289166E-3</v>
      </c>
      <c r="J69" s="54"/>
      <c r="K69" s="61">
        <v>0</v>
      </c>
      <c r="L69" s="60">
        <v>6.5230051060894533E-3</v>
      </c>
      <c r="M69" s="60"/>
      <c r="N69" s="320">
        <f>+'sysratfinclédéc. 14'!F68</f>
        <v>6.6757187412966167E-3</v>
      </c>
      <c r="O69" s="320">
        <f>+'sysratfinclédéc. 14'!F69</f>
        <v>3.8E-3</v>
      </c>
      <c r="P69" s="60"/>
      <c r="Q69" s="60">
        <v>5.0000000000000001E-3</v>
      </c>
      <c r="R69" s="60">
        <v>3.3999999999999998E-3</v>
      </c>
      <c r="S69" s="60">
        <v>3.0999999999999999E-3</v>
      </c>
      <c r="T69" s="60">
        <v>3.501365576806735E-3</v>
      </c>
    </row>
    <row r="70" spans="1:20" ht="6" customHeight="1">
      <c r="B70" s="17"/>
      <c r="C70" s="60"/>
      <c r="D70" s="60"/>
      <c r="E70" s="54" t="s">
        <v>0</v>
      </c>
      <c r="F70" s="54" t="s">
        <v>0</v>
      </c>
      <c r="G70" s="54"/>
      <c r="H70" s="54" t="s">
        <v>0</v>
      </c>
      <c r="I70" s="60" t="s">
        <v>0</v>
      </c>
      <c r="J70" s="54"/>
      <c r="K70" s="54" t="s">
        <v>0</v>
      </c>
      <c r="L70" s="60" t="s">
        <v>0</v>
      </c>
      <c r="M70" s="60"/>
      <c r="N70" s="54">
        <v>0</v>
      </c>
      <c r="O70" s="17"/>
      <c r="P70" s="60"/>
      <c r="Q70" s="60"/>
      <c r="R70" s="60"/>
      <c r="S70" s="60"/>
      <c r="T70" s="60"/>
    </row>
    <row r="71" spans="1:20">
      <c r="A71" t="s">
        <v>212</v>
      </c>
      <c r="B71" s="17"/>
      <c r="C71" s="60"/>
      <c r="D71" s="60"/>
      <c r="E71" s="54"/>
      <c r="F71" s="54"/>
      <c r="G71" s="54"/>
      <c r="H71" s="54"/>
      <c r="I71" s="60"/>
      <c r="J71" s="54"/>
      <c r="K71" s="54"/>
      <c r="L71" s="60"/>
      <c r="M71" s="60"/>
      <c r="N71" s="54"/>
      <c r="O71" s="17"/>
      <c r="P71" s="60"/>
      <c r="Q71" s="60"/>
      <c r="R71" s="60"/>
      <c r="S71" s="60"/>
      <c r="T71" s="60"/>
    </row>
    <row r="72" spans="1:20">
      <c r="A72" t="s">
        <v>236</v>
      </c>
      <c r="B72" s="63">
        <f>+SOGEBKRÉSULT!B35/SOGEBKRÉSULT!B23</f>
        <v>0.73454762479408831</v>
      </c>
      <c r="C72" s="60">
        <v>0.6962024059357329</v>
      </c>
      <c r="D72" s="60"/>
      <c r="E72" s="61">
        <v>0</v>
      </c>
      <c r="F72" s="63">
        <v>0.73168621550912616</v>
      </c>
      <c r="G72" s="54"/>
      <c r="H72" s="61">
        <v>0</v>
      </c>
      <c r="I72" s="63">
        <v>0.66767869074771957</v>
      </c>
      <c r="J72" s="54"/>
      <c r="K72" s="61">
        <v>0</v>
      </c>
      <c r="L72" s="60">
        <v>0.63385831424811179</v>
      </c>
      <c r="M72" s="60"/>
      <c r="N72" s="320">
        <f>+'sysratfinclédéc. 14'!F76</f>
        <v>0.73454762479408831</v>
      </c>
      <c r="O72" s="320">
        <f>+'sysratfinclédéc. 14'!F77</f>
        <v>0.6962024059357329</v>
      </c>
      <c r="P72" s="60"/>
      <c r="Q72" s="60">
        <v>0.67959999999999998</v>
      </c>
      <c r="R72" s="60">
        <v>0.66</v>
      </c>
      <c r="S72" s="60">
        <v>0.70289999999999997</v>
      </c>
      <c r="T72" s="60">
        <v>0.72458606228340305</v>
      </c>
    </row>
    <row r="73" spans="1:20">
      <c r="A73" t="s">
        <v>385</v>
      </c>
      <c r="B73" s="17"/>
      <c r="C73" s="60"/>
      <c r="D73" s="60"/>
      <c r="E73" s="46"/>
      <c r="F73" s="46"/>
      <c r="G73" s="54"/>
      <c r="H73" s="46"/>
      <c r="I73" s="46"/>
      <c r="J73" s="54"/>
      <c r="K73" s="46"/>
      <c r="L73" s="54"/>
      <c r="M73" s="60"/>
      <c r="N73" s="46"/>
      <c r="O73" s="60"/>
      <c r="P73" s="60"/>
      <c r="Q73" s="60"/>
      <c r="R73" s="60"/>
      <c r="S73" s="60"/>
      <c r="T73" s="60"/>
    </row>
    <row r="74" spans="1:20">
      <c r="B74" s="17"/>
      <c r="C74" s="60"/>
      <c r="D74" s="60"/>
      <c r="E74" s="46"/>
      <c r="F74" s="46"/>
      <c r="G74" s="54"/>
      <c r="H74" s="46"/>
      <c r="I74" s="46"/>
      <c r="J74" s="54"/>
      <c r="K74" s="46"/>
      <c r="L74" s="54"/>
      <c r="M74" s="60"/>
      <c r="N74" s="46"/>
      <c r="O74" s="60"/>
      <c r="P74" s="60"/>
      <c r="Q74" s="60"/>
      <c r="R74" s="60"/>
      <c r="S74" s="60"/>
      <c r="T74" s="60"/>
    </row>
    <row r="75" spans="1:20">
      <c r="A75" t="s">
        <v>238</v>
      </c>
      <c r="B75" s="1311">
        <f>+(SOGEBKRÉSULT!B23/((employés!Q138+employés!Q136)/2)*4)</f>
        <v>2080.0217159779613</v>
      </c>
      <c r="C75" s="54">
        <v>1957.9411122838135</v>
      </c>
      <c r="D75" s="60"/>
      <c r="E75" s="54">
        <f>+(SOGEBKRÉSULT!D23/((employés!Q130+employés!Q132)/2)*4)</f>
        <v>0</v>
      </c>
      <c r="F75" s="54">
        <v>2058.8034931017014</v>
      </c>
      <c r="G75" s="54"/>
      <c r="H75" s="54">
        <v>0</v>
      </c>
      <c r="I75" s="61">
        <v>2237.2641633424164</v>
      </c>
      <c r="J75" s="54"/>
      <c r="K75" s="54">
        <f>+(SOGEBKRÉSULT!H23/((employés!Q134+employés!Q136)/2)*4)</f>
        <v>0</v>
      </c>
      <c r="L75" s="54">
        <v>2351.2508350418293</v>
      </c>
      <c r="M75" s="60"/>
      <c r="N75" s="663">
        <f>+'sysratfinclédéc. 14'!F82</f>
        <v>2080.0217159779613</v>
      </c>
      <c r="O75" s="663">
        <f>+'sysratfinclédéc. 14'!F83</f>
        <v>1957.94</v>
      </c>
      <c r="P75" s="60"/>
      <c r="Q75" s="54">
        <v>2154.87</v>
      </c>
      <c r="R75" s="54">
        <v>2059.84</v>
      </c>
      <c r="S75" s="54">
        <v>1933.62</v>
      </c>
      <c r="T75" s="54">
        <v>1835.8421144701506</v>
      </c>
    </row>
    <row r="76" spans="1:20" ht="16.5" thickBot="1">
      <c r="B76" s="514"/>
      <c r="C76" s="514"/>
      <c r="D76" s="170"/>
      <c r="E76" s="190"/>
      <c r="F76" s="514"/>
      <c r="G76" s="170"/>
      <c r="H76" s="190"/>
      <c r="I76" s="514"/>
      <c r="J76" s="170"/>
      <c r="K76" s="190"/>
      <c r="L76" s="514"/>
      <c r="M76" s="170"/>
      <c r="N76" s="515"/>
      <c r="O76" s="516"/>
      <c r="P76" s="170"/>
      <c r="Q76" s="514"/>
      <c r="R76" s="514"/>
      <c r="S76" s="514"/>
      <c r="T76" s="514"/>
    </row>
    <row r="77" spans="1:20">
      <c r="B77" s="518"/>
      <c r="C77" s="518"/>
      <c r="D77" s="519"/>
      <c r="E77" s="191"/>
      <c r="F77" s="518"/>
      <c r="G77" s="519"/>
      <c r="H77" s="191"/>
      <c r="I77" s="518"/>
      <c r="J77" s="519"/>
      <c r="K77" s="191"/>
      <c r="L77" s="518"/>
      <c r="M77" s="519"/>
      <c r="N77" s="520"/>
      <c r="O77" s="521"/>
      <c r="P77" s="519"/>
      <c r="Q77" s="518"/>
      <c r="R77" s="518"/>
      <c r="S77" s="518"/>
      <c r="T77" s="518"/>
    </row>
    <row r="78" spans="1:20" ht="18.75">
      <c r="A78" s="522" t="s">
        <v>0</v>
      </c>
      <c r="B78" s="26"/>
      <c r="C78" s="517"/>
      <c r="D78" s="517"/>
      <c r="E78" s="517"/>
      <c r="F78" s="517"/>
      <c r="G78" s="517"/>
      <c r="H78" s="517"/>
      <c r="I78" s="517"/>
      <c r="J78" s="517"/>
      <c r="K78" s="517"/>
      <c r="L78" s="517"/>
      <c r="M78" s="517"/>
      <c r="N78" s="517"/>
      <c r="O78" s="517"/>
      <c r="P78" s="517"/>
      <c r="Q78" s="517"/>
      <c r="R78" s="517"/>
      <c r="S78" s="517"/>
      <c r="T78" s="517"/>
    </row>
    <row r="80" spans="1:20">
      <c r="A80" s="1345"/>
    </row>
    <row r="82" spans="1:1">
      <c r="A82" s="1345"/>
    </row>
  </sheetData>
  <phoneticPr fontId="0" type="noConversion"/>
  <pageMargins left="0.2" right="0.2" top="0.71" bottom="0.54" header="0.43" footer="0.27"/>
  <pageSetup scale="44" orientation="landscape" r:id="rId1"/>
  <headerFooter alignWithMargins="0">
    <oddFooter>&amp;R&amp;16&amp;P</oddFooter>
  </headerFooter>
</worksheet>
</file>

<file path=xl/worksheets/sheet103.xml><?xml version="1.0" encoding="utf-8"?>
<worksheet xmlns="http://schemas.openxmlformats.org/spreadsheetml/2006/main" xmlns:r="http://schemas.openxmlformats.org/officeDocument/2006/relationships">
  <sheetPr>
    <pageSetUpPr fitToPage="1"/>
  </sheetPr>
  <dimension ref="A1:U278"/>
  <sheetViews>
    <sheetView topLeftCell="A7" workbookViewId="0">
      <pane xSplit="1" ySplit="1" topLeftCell="B8" activePane="bottomRight" state="frozen"/>
      <selection activeCell="A39" sqref="A39:K39"/>
      <selection pane="topRight" activeCell="A39" sqref="A39:K39"/>
      <selection pane="bottomLeft" activeCell="A39" sqref="A39:K39"/>
      <selection pane="bottomRight" activeCell="B3" sqref="B3"/>
    </sheetView>
  </sheetViews>
  <sheetFormatPr baseColWidth="10" defaultColWidth="9" defaultRowHeight="15.75"/>
  <cols>
    <col min="1" max="1" width="33.25" customWidth="1"/>
    <col min="2" max="2" width="19.87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11.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11" t="s">
        <v>407</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s="11" customFormat="1" ht="16.5" thickBot="1">
      <c r="B6" s="13"/>
      <c r="C6" s="19"/>
      <c r="D6" s="13"/>
      <c r="E6" s="19"/>
      <c r="F6" s="13"/>
      <c r="G6" s="19"/>
      <c r="H6" s="13"/>
      <c r="I6" s="200" t="str">
        <f>+scotiavar!I6</f>
        <v>Var. déc. 14</v>
      </c>
      <c r="J6" s="118" t="s">
        <v>195</v>
      </c>
      <c r="K6" s="207"/>
      <c r="L6" s="118"/>
      <c r="M6" s="207"/>
      <c r="N6" s="118"/>
      <c r="O6" s="207"/>
      <c r="P6" s="118"/>
      <c r="Q6" s="13"/>
      <c r="R6" s="13"/>
    </row>
    <row r="7" spans="1:21" s="11" customFormat="1" ht="16.5" thickBot="1">
      <c r="B7" s="200" t="str">
        <f>+scotiavar!B7</f>
        <v>Déc. 14</v>
      </c>
      <c r="C7" s="201" t="s">
        <v>196</v>
      </c>
      <c r="D7" s="200" t="str">
        <f>+scotiavar!D7</f>
        <v>Mars 15</v>
      </c>
      <c r="E7" s="201" t="s">
        <v>196</v>
      </c>
      <c r="F7" s="200" t="str">
        <f>+scotiavar!F7</f>
        <v>Juin 15</v>
      </c>
      <c r="G7" s="201" t="s">
        <v>196</v>
      </c>
      <c r="H7" s="200" t="str">
        <f>+scotiavar!H7</f>
        <v>Sept. 15</v>
      </c>
      <c r="I7" s="205" t="str">
        <f>+scotiavar!I7</f>
        <v>/sept. 14</v>
      </c>
      <c r="J7" s="204" t="str">
        <f>+scotiavar!J7</f>
        <v>2014</v>
      </c>
      <c r="K7" s="205" t="s">
        <v>196</v>
      </c>
      <c r="L7" s="204" t="str">
        <f>+scotiavar!L7</f>
        <v>2013</v>
      </c>
      <c r="M7" s="205" t="s">
        <v>196</v>
      </c>
      <c r="N7" s="204" t="str">
        <f>+scotiavar!N7</f>
        <v>2012</v>
      </c>
      <c r="O7" s="205" t="s">
        <v>196</v>
      </c>
      <c r="P7" s="204" t="str">
        <f>+scotiavar!P7</f>
        <v>2011</v>
      </c>
      <c r="Q7" s="2"/>
      <c r="R7" s="2"/>
      <c r="S7" s="3"/>
      <c r="T7" s="3"/>
      <c r="U7" s="3"/>
    </row>
    <row r="8" spans="1:21">
      <c r="A8" s="86" t="s">
        <v>244</v>
      </c>
      <c r="B8" s="120"/>
      <c r="C8" s="119"/>
      <c r="D8" s="120"/>
      <c r="E8" s="119"/>
      <c r="F8" s="120"/>
      <c r="G8" s="119"/>
      <c r="H8" s="120"/>
      <c r="I8" s="119"/>
      <c r="J8" s="197"/>
      <c r="K8" s="119"/>
      <c r="L8" s="197"/>
      <c r="M8" s="119"/>
      <c r="N8" s="197"/>
      <c r="O8" s="119"/>
      <c r="P8" s="197"/>
      <c r="Q8" s="22"/>
      <c r="R8" s="22"/>
      <c r="S8" s="17"/>
      <c r="T8" s="17"/>
      <c r="U8" s="17"/>
    </row>
    <row r="9" spans="1:21">
      <c r="A9" s="10" t="s">
        <v>255</v>
      </c>
      <c r="B9" t="s">
        <v>0</v>
      </c>
    </row>
    <row r="10" spans="1:21">
      <c r="A10" s="10" t="s">
        <v>256</v>
      </c>
      <c r="B10" s="20">
        <v>2519896.56648</v>
      </c>
      <c r="C10" s="49">
        <v>0</v>
      </c>
      <c r="D10" s="12">
        <v>0</v>
      </c>
      <c r="E10" s="49">
        <v>0</v>
      </c>
      <c r="F10" s="20">
        <v>0</v>
      </c>
      <c r="G10" s="49">
        <v>0</v>
      </c>
      <c r="H10" s="20">
        <v>0</v>
      </c>
      <c r="I10" s="52">
        <f t="shared" ref="I10:I15" si="0">+(B10-J10)/ABS(J10)</f>
        <v>0.25992537703439067</v>
      </c>
      <c r="J10" s="20">
        <v>2000036.36121</v>
      </c>
      <c r="K10" s="52">
        <f t="shared" ref="K10:K15" si="1">+(J10-L10)/ABS(L10)</f>
        <v>-0.19539456911866268</v>
      </c>
      <c r="L10" s="20">
        <v>2485735.5971599999</v>
      </c>
      <c r="M10" s="52">
        <f t="shared" ref="M10:M15" si="2">+(L10-N10)/ABS(N10)</f>
        <v>-5.1483155653494596E-3</v>
      </c>
      <c r="N10" s="20">
        <v>2498599.1741800001</v>
      </c>
      <c r="O10" s="52">
        <f t="shared" ref="O10:O15" si="3">+(N10-P10)/ABS(P10)</f>
        <v>0.41450107866180996</v>
      </c>
      <c r="P10" s="20">
        <v>1766417.2985599998</v>
      </c>
    </row>
    <row r="11" spans="1:21">
      <c r="A11" s="10" t="s">
        <v>257</v>
      </c>
      <c r="B11" s="20">
        <v>13434681.62964</v>
      </c>
      <c r="C11" s="49">
        <v>0</v>
      </c>
      <c r="D11" s="20">
        <v>0</v>
      </c>
      <c r="E11" s="49">
        <v>0</v>
      </c>
      <c r="F11" s="20">
        <v>0</v>
      </c>
      <c r="G11" s="49">
        <v>0</v>
      </c>
      <c r="H11" s="20">
        <v>0</v>
      </c>
      <c r="I11" s="52">
        <f t="shared" si="0"/>
        <v>1.9197582198677718E-2</v>
      </c>
      <c r="J11" s="20">
        <v>13181626.275699999</v>
      </c>
      <c r="K11" s="52">
        <f t="shared" si="1"/>
        <v>2.4382851163422758E-2</v>
      </c>
      <c r="L11" s="20">
        <v>12867870.894880001</v>
      </c>
      <c r="M11" s="52">
        <f t="shared" si="2"/>
        <v>0.28116365820281153</v>
      </c>
      <c r="N11" s="20">
        <v>10043893.1533</v>
      </c>
      <c r="O11" s="52">
        <f t="shared" si="3"/>
        <v>-5.661831923757988E-2</v>
      </c>
      <c r="P11" s="20">
        <v>10646690.897349998</v>
      </c>
    </row>
    <row r="12" spans="1:21">
      <c r="A12" s="10" t="s">
        <v>258</v>
      </c>
      <c r="B12" s="20">
        <v>660482.48953999998</v>
      </c>
      <c r="C12" s="49">
        <v>0</v>
      </c>
      <c r="D12" s="20">
        <v>0</v>
      </c>
      <c r="E12" s="49">
        <v>0</v>
      </c>
      <c r="F12" s="20">
        <v>0</v>
      </c>
      <c r="G12" s="49">
        <v>0</v>
      </c>
      <c r="H12" s="20">
        <v>0</v>
      </c>
      <c r="I12" s="52">
        <f t="shared" si="0"/>
        <v>3.9461321186691559E-2</v>
      </c>
      <c r="J12" s="20">
        <v>635408.43327000004</v>
      </c>
      <c r="K12" s="52">
        <f t="shared" si="1"/>
        <v>-0.11058459443325548</v>
      </c>
      <c r="L12" s="20">
        <v>714411.31926999998</v>
      </c>
      <c r="M12" s="52">
        <f t="shared" si="2"/>
        <v>-0.26505296611154805</v>
      </c>
      <c r="N12" s="20">
        <v>972058.23866000003</v>
      </c>
      <c r="O12" s="52">
        <f t="shared" si="3"/>
        <v>-0.42023675817574979</v>
      </c>
      <c r="P12" s="20">
        <v>1676646.8940000001</v>
      </c>
    </row>
    <row r="13" spans="1:21">
      <c r="A13" s="10" t="s">
        <v>259</v>
      </c>
      <c r="B13" s="20">
        <v>28433.644849999997</v>
      </c>
      <c r="C13" s="49">
        <v>0</v>
      </c>
      <c r="D13" s="20">
        <v>0</v>
      </c>
      <c r="E13" s="49">
        <v>0</v>
      </c>
      <c r="F13" s="20">
        <v>0</v>
      </c>
      <c r="G13" s="49">
        <v>0</v>
      </c>
      <c r="H13" s="20">
        <v>0</v>
      </c>
      <c r="I13" s="52">
        <f t="shared" si="0"/>
        <v>0.45460423394232391</v>
      </c>
      <c r="J13" s="20">
        <v>19547.340909999999</v>
      </c>
      <c r="K13" s="52">
        <f t="shared" si="1"/>
        <v>1.2133850837074116</v>
      </c>
      <c r="L13" s="20">
        <v>8831.4234400000005</v>
      </c>
      <c r="M13" s="52">
        <f t="shared" si="2"/>
        <v>2.6702559752588653</v>
      </c>
      <c r="N13" s="20">
        <v>2406.2145799999998</v>
      </c>
      <c r="O13" s="52">
        <f t="shared" si="3"/>
        <v>-0.76878266789852168</v>
      </c>
      <c r="P13" s="20">
        <v>10406.72236</v>
      </c>
    </row>
    <row r="14" spans="1:21">
      <c r="A14" s="10" t="s">
        <v>260</v>
      </c>
      <c r="B14" s="199">
        <v>53365.673020000002</v>
      </c>
      <c r="C14" s="49">
        <v>0</v>
      </c>
      <c r="D14" s="199">
        <v>0</v>
      </c>
      <c r="E14" s="49">
        <v>0</v>
      </c>
      <c r="F14" s="199">
        <v>0</v>
      </c>
      <c r="G14" s="49">
        <v>0</v>
      </c>
      <c r="H14" s="199">
        <v>0</v>
      </c>
      <c r="I14" s="52">
        <f t="shared" si="0"/>
        <v>-0.51444630266200686</v>
      </c>
      <c r="J14" s="199">
        <v>109906.84101999999</v>
      </c>
      <c r="K14" s="52">
        <f t="shared" si="1"/>
        <v>0.90044722009020062</v>
      </c>
      <c r="L14" s="199">
        <v>57832.093339999992</v>
      </c>
      <c r="M14" s="52">
        <f t="shared" si="2"/>
        <v>-0.85813073055248634</v>
      </c>
      <c r="N14" s="199">
        <v>407643.55497999996</v>
      </c>
      <c r="O14" s="52">
        <f t="shared" si="3"/>
        <v>6.9909564753863659E-2</v>
      </c>
      <c r="P14" s="199">
        <v>381007.48737000005</v>
      </c>
    </row>
    <row r="15" spans="1:21" ht="15.6" customHeight="1">
      <c r="A15" s="10"/>
      <c r="B15" s="20">
        <f>SUM(B10:B14)</f>
        <v>16696860.003529999</v>
      </c>
      <c r="C15" s="49">
        <v>0</v>
      </c>
      <c r="D15" s="20">
        <f>SUM(D10:D14)</f>
        <v>0</v>
      </c>
      <c r="E15" s="49">
        <v>0</v>
      </c>
      <c r="F15" s="20">
        <f>SUM(F10:F14)</f>
        <v>0</v>
      </c>
      <c r="G15" s="49">
        <v>0</v>
      </c>
      <c r="H15" s="20">
        <f>SUM(H10:H14)</f>
        <v>0</v>
      </c>
      <c r="I15" s="52">
        <f t="shared" si="0"/>
        <v>4.7053181778313642E-2</v>
      </c>
      <c r="J15" s="20">
        <f>SUM(J10:J14)</f>
        <v>15946525.252109999</v>
      </c>
      <c r="K15" s="52">
        <f t="shared" si="1"/>
        <v>-1.1661592327356841E-2</v>
      </c>
      <c r="L15" s="20">
        <f>SUM(L10:L14)</f>
        <v>16134681.328090001</v>
      </c>
      <c r="M15" s="52">
        <f t="shared" si="2"/>
        <v>0.1587177325817947</v>
      </c>
      <c r="N15" s="20">
        <f>SUM(N10:N14)</f>
        <v>13924600.3357</v>
      </c>
      <c r="O15" s="52">
        <f t="shared" si="3"/>
        <v>-3.8433979495967413E-2</v>
      </c>
      <c r="P15" s="20">
        <f>SUM(P10:P14)</f>
        <v>14481169.299639996</v>
      </c>
    </row>
    <row r="16" spans="1:21" ht="7.9" customHeight="1">
      <c r="A16" s="10"/>
      <c r="C16" s="49" t="s">
        <v>0</v>
      </c>
      <c r="D16" s="24" t="s">
        <v>0</v>
      </c>
      <c r="E16" s="49" t="s">
        <v>0</v>
      </c>
      <c r="F16" s="24" t="s">
        <v>0</v>
      </c>
      <c r="G16" s="49" t="s">
        <v>0</v>
      </c>
      <c r="H16" s="24" t="s">
        <v>0</v>
      </c>
      <c r="I16" s="52" t="s">
        <v>0</v>
      </c>
      <c r="J16" s="24" t="s">
        <v>0</v>
      </c>
      <c r="K16" s="52" t="s">
        <v>0</v>
      </c>
      <c r="L16" s="24" t="s">
        <v>0</v>
      </c>
      <c r="M16" s="52" t="s">
        <v>0</v>
      </c>
      <c r="O16" s="52" t="s">
        <v>0</v>
      </c>
    </row>
    <row r="17" spans="1:17" ht="15.6" customHeight="1">
      <c r="A17" s="10" t="s">
        <v>261</v>
      </c>
      <c r="B17" s="20">
        <v>1300000</v>
      </c>
      <c r="C17" s="49">
        <v>0</v>
      </c>
      <c r="D17" s="20">
        <v>0</v>
      </c>
      <c r="E17" s="49">
        <v>0</v>
      </c>
      <c r="F17" s="20">
        <v>0</v>
      </c>
      <c r="G17" s="49">
        <v>0</v>
      </c>
      <c r="H17" s="20">
        <v>0</v>
      </c>
      <c r="I17" s="52">
        <f>+(B17-J17)/ABS(J17)</f>
        <v>-0.33333333333333331</v>
      </c>
      <c r="J17" s="20">
        <v>1950000</v>
      </c>
      <c r="K17" s="52">
        <f t="shared" ref="K17:K23" si="4">+(J17-L17)/ABS(L17)</f>
        <v>18.5</v>
      </c>
      <c r="L17" s="20">
        <v>100000</v>
      </c>
      <c r="M17" s="52">
        <f t="shared" ref="M17:M23" si="5">+(L17-N17)/ABS(N17)</f>
        <v>-0.8333332236110389</v>
      </c>
      <c r="N17" s="20">
        <v>599999.60499999998</v>
      </c>
      <c r="O17" s="52">
        <f t="shared" ref="O17:O23" si="6">+(N17-P17)/ABS(P17)</f>
        <v>-0.57894764561403511</v>
      </c>
      <c r="P17" s="20">
        <v>1425000</v>
      </c>
    </row>
    <row r="18" spans="1:17" ht="15.6"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c r="Q18" s="12" t="s">
        <v>0</v>
      </c>
    </row>
    <row r="19" spans="1:17">
      <c r="A19" s="10" t="s">
        <v>262</v>
      </c>
      <c r="B19" s="20">
        <v>11372717.669670001</v>
      </c>
      <c r="C19" s="49">
        <v>0</v>
      </c>
      <c r="D19" s="20">
        <v>0</v>
      </c>
      <c r="E19" s="49">
        <v>0</v>
      </c>
      <c r="F19" s="20">
        <v>0</v>
      </c>
      <c r="G19" s="49">
        <v>0</v>
      </c>
      <c r="H19" s="20">
        <v>0</v>
      </c>
      <c r="I19" s="52">
        <f>+(B19-J19)/ABS(J19)</f>
        <v>3.8170504458863309E-2</v>
      </c>
      <c r="J19" s="20">
        <v>10954575.97844</v>
      </c>
      <c r="K19" s="52">
        <f t="shared" si="4"/>
        <v>0.21068333965164712</v>
      </c>
      <c r="L19" s="20">
        <v>9048258.6318499986</v>
      </c>
      <c r="M19" s="52">
        <f t="shared" si="5"/>
        <v>-0.21107264107747756</v>
      </c>
      <c r="N19" s="20">
        <v>11469064.330850001</v>
      </c>
      <c r="O19" s="52">
        <f t="shared" si="6"/>
        <v>-8.2538373175962909E-2</v>
      </c>
      <c r="P19" s="20">
        <v>12500865.426439999</v>
      </c>
    </row>
    <row r="20" spans="1:17">
      <c r="A20" s="10" t="s">
        <v>263</v>
      </c>
      <c r="B20" s="20">
        <v>19215072.525990002</v>
      </c>
      <c r="C20" s="49">
        <v>0</v>
      </c>
      <c r="D20" s="20">
        <v>0</v>
      </c>
      <c r="E20" s="49">
        <v>0</v>
      </c>
      <c r="F20" s="20">
        <v>0</v>
      </c>
      <c r="G20" s="49">
        <v>0</v>
      </c>
      <c r="H20" s="20">
        <v>0</v>
      </c>
      <c r="I20" s="52">
        <f>+(B20-J20)/ABS(J20)</f>
        <v>1.1264105441782298E-2</v>
      </c>
      <c r="J20" s="20">
        <v>19001042.77665</v>
      </c>
      <c r="K20" s="52">
        <f t="shared" si="4"/>
        <v>1.3540113035739636E-2</v>
      </c>
      <c r="L20" s="20">
        <v>18747203.52186</v>
      </c>
      <c r="M20" s="52">
        <f t="shared" si="5"/>
        <v>0.15638849654170975</v>
      </c>
      <c r="N20" s="20">
        <v>16211855.77159</v>
      </c>
      <c r="O20" s="52">
        <f t="shared" si="6"/>
        <v>0.39191266692813653</v>
      </c>
      <c r="P20" s="20">
        <v>11647178.847340001</v>
      </c>
    </row>
    <row r="21" spans="1:17">
      <c r="A21" s="10" t="s">
        <v>264</v>
      </c>
      <c r="B21" s="20">
        <v>2115040.9605199997</v>
      </c>
      <c r="C21" s="49">
        <v>0</v>
      </c>
      <c r="D21" s="20">
        <v>0</v>
      </c>
      <c r="E21" s="49">
        <v>0</v>
      </c>
      <c r="F21" s="20">
        <v>0</v>
      </c>
      <c r="G21" s="49">
        <v>0</v>
      </c>
      <c r="H21" s="20">
        <v>0</v>
      </c>
      <c r="I21" s="52">
        <f>+(B21-J21)/ABS(J21)</f>
        <v>-1.7911086898629112E-2</v>
      </c>
      <c r="J21" s="20">
        <v>2153614.5376499998</v>
      </c>
      <c r="K21" s="52">
        <f t="shared" si="4"/>
        <v>0.36216353980850974</v>
      </c>
      <c r="L21" s="20">
        <v>1581024.9465000001</v>
      </c>
      <c r="M21" s="52">
        <f t="shared" si="5"/>
        <v>0.11310066432816843</v>
      </c>
      <c r="N21" s="20">
        <v>1420379.1239800001</v>
      </c>
      <c r="O21" s="52">
        <f t="shared" si="6"/>
        <v>7.7358491811567454E-2</v>
      </c>
      <c r="P21" s="20">
        <v>1318390.42879</v>
      </c>
    </row>
    <row r="22" spans="1:17" ht="16.5" thickBot="1">
      <c r="A22" s="10" t="s">
        <v>265</v>
      </c>
      <c r="B22" s="97">
        <v>2406305.5170900002</v>
      </c>
      <c r="C22" s="49">
        <v>0</v>
      </c>
      <c r="D22" s="97">
        <v>0</v>
      </c>
      <c r="E22" s="49">
        <v>0</v>
      </c>
      <c r="F22" s="97">
        <v>0</v>
      </c>
      <c r="G22" s="49">
        <v>0</v>
      </c>
      <c r="H22" s="97">
        <v>0</v>
      </c>
      <c r="I22" s="52">
        <f>+(B22-J22)/ABS(J22)</f>
        <v>0.1751689999157727</v>
      </c>
      <c r="J22" s="97">
        <v>2047625.0796800002</v>
      </c>
      <c r="K22" s="52">
        <f t="shared" si="4"/>
        <v>0.25492157900765</v>
      </c>
      <c r="L22" s="97">
        <v>1631675.7269400002</v>
      </c>
      <c r="M22" s="52">
        <f t="shared" si="5"/>
        <v>-0.26848058673469372</v>
      </c>
      <c r="N22" s="97">
        <v>2230529.6310000001</v>
      </c>
      <c r="O22" s="52">
        <f t="shared" si="6"/>
        <v>0.36113421996166861</v>
      </c>
      <c r="P22" s="97">
        <v>1638728.6413700001</v>
      </c>
    </row>
    <row r="23" spans="1:17">
      <c r="A23" s="10" t="s">
        <v>54</v>
      </c>
      <c r="B23" s="13">
        <f>SUM(B15:B22)</f>
        <v>53105996.676800005</v>
      </c>
      <c r="C23" s="49">
        <v>0</v>
      </c>
      <c r="D23" s="13">
        <f>SUM(D15:D22)</f>
        <v>0</v>
      </c>
      <c r="E23" s="49">
        <v>0</v>
      </c>
      <c r="F23" s="13">
        <f>SUM(F15:F22)</f>
        <v>0</v>
      </c>
      <c r="G23" s="49">
        <v>0</v>
      </c>
      <c r="H23" s="13">
        <f>SUM(H15:H22)</f>
        <v>0</v>
      </c>
      <c r="I23" s="52">
        <f>+(B23-J23)/ABS(J23)</f>
        <v>2.0221798833725803E-2</v>
      </c>
      <c r="J23" s="13">
        <f>SUM(J15:J22)</f>
        <v>52053383.624530002</v>
      </c>
      <c r="K23" s="52">
        <f t="shared" si="4"/>
        <v>0.10182578029135081</v>
      </c>
      <c r="L23" s="13">
        <f>SUM(L15:L22)</f>
        <v>47242844.155240007</v>
      </c>
      <c r="M23" s="52">
        <f t="shared" si="5"/>
        <v>3.0233827479754526E-2</v>
      </c>
      <c r="N23" s="13">
        <f>SUM(N15:N22)</f>
        <v>45856428.798119999</v>
      </c>
      <c r="O23" s="52">
        <f t="shared" si="6"/>
        <v>6.6147593661334048E-2</v>
      </c>
      <c r="P23" s="13">
        <f>SUM(P15:P22)</f>
        <v>43011332.643579997</v>
      </c>
    </row>
    <row r="24" spans="1:17" ht="7.9" customHeight="1">
      <c r="A24" s="10"/>
      <c r="C24" s="49" t="s">
        <v>0</v>
      </c>
      <c r="E24" s="49" t="s">
        <v>0</v>
      </c>
      <c r="G24" s="49" t="s">
        <v>0</v>
      </c>
      <c r="I24" s="52" t="s">
        <v>0</v>
      </c>
      <c r="K24" s="52" t="s">
        <v>0</v>
      </c>
      <c r="M24" s="52" t="s">
        <v>0</v>
      </c>
      <c r="O24" s="52" t="s">
        <v>0</v>
      </c>
    </row>
    <row r="25" spans="1:17">
      <c r="A25" s="86" t="s">
        <v>266</v>
      </c>
      <c r="C25" s="49" t="s">
        <v>0</v>
      </c>
      <c r="E25" s="49" t="s">
        <v>0</v>
      </c>
      <c r="G25" s="49" t="s">
        <v>0</v>
      </c>
      <c r="I25" s="52" t="s">
        <v>0</v>
      </c>
      <c r="K25" s="52" t="s">
        <v>0</v>
      </c>
      <c r="M25" s="52" t="s">
        <v>0</v>
      </c>
      <c r="O25" s="52" t="s">
        <v>0</v>
      </c>
    </row>
    <row r="26" spans="1:17">
      <c r="A26" s="10" t="s">
        <v>267</v>
      </c>
      <c r="C26" s="49" t="s">
        <v>0</v>
      </c>
      <c r="E26" s="49" t="s">
        <v>0</v>
      </c>
      <c r="G26" s="49" t="s">
        <v>0</v>
      </c>
      <c r="I26" s="52" t="s">
        <v>0</v>
      </c>
      <c r="K26" s="52" t="s">
        <v>0</v>
      </c>
      <c r="M26" s="52" t="s">
        <v>0</v>
      </c>
      <c r="O26" s="52" t="s">
        <v>0</v>
      </c>
    </row>
    <row r="27" spans="1:17">
      <c r="A27" s="10" t="s">
        <v>268</v>
      </c>
      <c r="B27" s="20">
        <v>14786946.016360004</v>
      </c>
      <c r="C27" s="49">
        <v>0</v>
      </c>
      <c r="D27" s="20">
        <v>0</v>
      </c>
      <c r="E27" s="49">
        <v>0</v>
      </c>
      <c r="F27" s="20">
        <v>0</v>
      </c>
      <c r="G27" s="49">
        <v>0</v>
      </c>
      <c r="H27" s="20">
        <v>0</v>
      </c>
      <c r="I27" s="52">
        <f>+(B27-J27)/ABS(J27)</f>
        <v>7.2835898832995627E-2</v>
      </c>
      <c r="J27" s="20">
        <v>13783045.50812</v>
      </c>
      <c r="K27" s="52">
        <f>+(J27-L27)/ABS(L27)</f>
        <v>-4.4965531892016339E-3</v>
      </c>
      <c r="L27" s="20">
        <v>13845301.643379999</v>
      </c>
      <c r="M27" s="52">
        <f>+(L27-N27)/ABS(N27)</f>
        <v>-9.9169202826357161E-2</v>
      </c>
      <c r="N27" s="20">
        <v>15369480.802409999</v>
      </c>
      <c r="O27" s="52">
        <f>+(N27-P27)/ABS(P27)</f>
        <v>9.0227668206003062E-3</v>
      </c>
      <c r="P27" s="20">
        <v>15232045.606699996</v>
      </c>
    </row>
    <row r="28" spans="1:17">
      <c r="A28" s="10" t="s">
        <v>269</v>
      </c>
      <c r="B28" s="20">
        <v>18578344.729940001</v>
      </c>
      <c r="C28" s="49">
        <v>0</v>
      </c>
      <c r="D28" s="20">
        <v>0</v>
      </c>
      <c r="E28" s="49">
        <v>0</v>
      </c>
      <c r="F28" s="20">
        <v>0</v>
      </c>
      <c r="G28" s="49">
        <v>0</v>
      </c>
      <c r="H28" s="20">
        <v>0</v>
      </c>
      <c r="I28" s="52">
        <f>+(B28-J28)/ABS(J28)</f>
        <v>2.4824854562425732E-3</v>
      </c>
      <c r="J28" s="20">
        <v>18532338.469219998</v>
      </c>
      <c r="K28" s="52">
        <f>+(J28-L28)/ABS(L28)</f>
        <v>6.0758998671176838E-2</v>
      </c>
      <c r="L28" s="20">
        <v>17470828.427980002</v>
      </c>
      <c r="M28" s="52">
        <f>+(L28-N28)/ABS(N28)</f>
        <v>-6.2441615789325207E-3</v>
      </c>
      <c r="N28" s="20">
        <v>17580604.563530002</v>
      </c>
      <c r="O28" s="52">
        <f>+(N28-P28)/ABS(P28)</f>
        <v>3.0636806778584075E-2</v>
      </c>
      <c r="P28" s="20">
        <v>17058001.856620006</v>
      </c>
    </row>
    <row r="29" spans="1:17">
      <c r="A29" s="10" t="s">
        <v>270</v>
      </c>
      <c r="B29" s="199">
        <v>9479328.16206</v>
      </c>
      <c r="C29" s="49">
        <v>0</v>
      </c>
      <c r="D29" s="199">
        <v>0</v>
      </c>
      <c r="E29" s="49">
        <v>0</v>
      </c>
      <c r="F29" s="199">
        <v>0</v>
      </c>
      <c r="G29" s="49">
        <v>0</v>
      </c>
      <c r="H29" s="199">
        <v>0</v>
      </c>
      <c r="I29" s="52">
        <f>+(B29-J29)/ABS(J29)</f>
        <v>3.6824011624313049E-2</v>
      </c>
      <c r="J29" s="199">
        <v>9142658.7885531895</v>
      </c>
      <c r="K29" s="52">
        <f>+(J29-L29)/ABS(L29)</f>
        <v>0.24497043680044106</v>
      </c>
      <c r="L29" s="199">
        <v>7343675.4145341087</v>
      </c>
      <c r="M29" s="52">
        <f>+(L29-N29)/ABS(N29)</f>
        <v>0.29992188721597624</v>
      </c>
      <c r="N29" s="199">
        <v>5649320.5374531783</v>
      </c>
      <c r="O29" s="52">
        <f>+(N29-P29)/ABS(P29)</f>
        <v>-7.0574751447870746E-2</v>
      </c>
      <c r="P29" s="199">
        <v>6078294.6732443124</v>
      </c>
    </row>
    <row r="30" spans="1:17">
      <c r="A30" s="10"/>
      <c r="B30" s="20">
        <f>SUM(B27:B29)</f>
        <v>42844618.908360004</v>
      </c>
      <c r="C30" s="49">
        <v>0</v>
      </c>
      <c r="D30" s="20">
        <f>SUM(D27:D29)</f>
        <v>0</v>
      </c>
      <c r="E30" s="49">
        <v>0</v>
      </c>
      <c r="F30" s="20">
        <f>SUM(F27:F29)</f>
        <v>0</v>
      </c>
      <c r="G30" s="49">
        <v>0</v>
      </c>
      <c r="H30" s="20">
        <f>SUM(H27:H29)</f>
        <v>0</v>
      </c>
      <c r="I30" s="52">
        <f>+(B30-J30)/ABS(J30)</f>
        <v>3.3445287089325051E-2</v>
      </c>
      <c r="J30" s="20">
        <f>SUM(J27:J29)</f>
        <v>41458042.765893191</v>
      </c>
      <c r="K30" s="52">
        <f>+(J30-L30)/ABS(L30)</f>
        <v>7.2381049124007724E-2</v>
      </c>
      <c r="L30" s="20">
        <f>SUM(L27:L29)</f>
        <v>38659805.485894106</v>
      </c>
      <c r="M30" s="52">
        <f>+(L30-N30)/ABS(N30)</f>
        <v>1.5647801070331389E-3</v>
      </c>
      <c r="N30" s="20">
        <f>SUM(N27:N29)</f>
        <v>38599405.903393179</v>
      </c>
      <c r="O30" s="52">
        <f>+(N30-P30)/ABS(P30)</f>
        <v>6.0222504794822853E-3</v>
      </c>
      <c r="P30" s="20">
        <f>SUM(P27:P29)</f>
        <v>38368342.136564314</v>
      </c>
    </row>
    <row r="31" spans="1:17" ht="7.9" customHeight="1">
      <c r="A31" s="10"/>
      <c r="C31" s="49" t="s">
        <v>0</v>
      </c>
      <c r="E31" s="49" t="s">
        <v>0</v>
      </c>
      <c r="G31" s="49" t="s">
        <v>0</v>
      </c>
      <c r="I31" s="52" t="s">
        <v>0</v>
      </c>
      <c r="K31" s="52" t="s">
        <v>0</v>
      </c>
      <c r="M31" s="52" t="s">
        <v>0</v>
      </c>
      <c r="O31" s="52" t="s">
        <v>0</v>
      </c>
    </row>
    <row r="32" spans="1:17">
      <c r="A32" s="10" t="s">
        <v>271</v>
      </c>
      <c r="C32" s="49" t="s">
        <v>0</v>
      </c>
      <c r="E32" s="49" t="s">
        <v>0</v>
      </c>
      <c r="G32" s="49" t="s">
        <v>0</v>
      </c>
      <c r="I32" s="52" t="s">
        <v>0</v>
      </c>
      <c r="K32" s="52" t="s">
        <v>0</v>
      </c>
      <c r="M32" s="52" t="s">
        <v>0</v>
      </c>
      <c r="O32" s="52" t="s">
        <v>0</v>
      </c>
    </row>
    <row r="33" spans="1:21">
      <c r="A33" s="10" t="s">
        <v>272</v>
      </c>
      <c r="B33" s="20">
        <v>0</v>
      </c>
      <c r="C33" s="49">
        <v>0</v>
      </c>
      <c r="D33" s="20">
        <v>0</v>
      </c>
      <c r="E33" s="49">
        <v>0</v>
      </c>
      <c r="F33" s="20">
        <v>0</v>
      </c>
      <c r="G33" s="49">
        <v>0</v>
      </c>
      <c r="H33" s="20">
        <v>0</v>
      </c>
      <c r="I33" s="49">
        <v>0</v>
      </c>
      <c r="J33" s="20">
        <v>0</v>
      </c>
      <c r="K33" s="49">
        <v>0</v>
      </c>
      <c r="L33" s="20">
        <v>0</v>
      </c>
      <c r="M33" s="49">
        <v>0</v>
      </c>
      <c r="N33" s="20">
        <v>0</v>
      </c>
      <c r="O33" s="49">
        <v>0</v>
      </c>
      <c r="P33" s="20">
        <v>0</v>
      </c>
    </row>
    <row r="34" spans="1:21">
      <c r="A34" s="10" t="s">
        <v>273</v>
      </c>
      <c r="B34" s="20">
        <v>0</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199">
        <v>1500006.6468</v>
      </c>
      <c r="C35" s="49">
        <v>0</v>
      </c>
      <c r="D35" s="199">
        <v>0</v>
      </c>
      <c r="E35" s="49">
        <v>0</v>
      </c>
      <c r="F35" s="199">
        <v>0</v>
      </c>
      <c r="G35" s="49">
        <v>0</v>
      </c>
      <c r="H35" s="199">
        <v>0</v>
      </c>
      <c r="I35" s="52">
        <f>+(B35-J35)/ABS(J35)</f>
        <v>-0.10209912787348738</v>
      </c>
      <c r="J35" s="199">
        <v>1670570.43084</v>
      </c>
      <c r="K35" s="52">
        <f>+(J35-L35)/ABS(L35)</f>
        <v>0.13327160650230224</v>
      </c>
      <c r="L35" s="199">
        <v>1474113.0204400001</v>
      </c>
      <c r="M35" s="52">
        <f>+(L35-N35)/ABS(N35)</f>
        <v>-0.24673808423408891</v>
      </c>
      <c r="N35" s="199">
        <v>1956972.7203599999</v>
      </c>
      <c r="O35" s="52">
        <f>+(N35-P35)/ABS(P35)</f>
        <v>0.75953330713088163</v>
      </c>
      <c r="P35" s="199">
        <v>1112211.2394399999</v>
      </c>
      <c r="Q35" s="14"/>
      <c r="R35" s="14"/>
      <c r="S35" s="15"/>
      <c r="T35" s="15"/>
      <c r="U35" s="15"/>
    </row>
    <row r="36" spans="1:21">
      <c r="A36" s="10"/>
      <c r="B36" s="20">
        <f>SUM(B33:B35)</f>
        <v>1500006.6468</v>
      </c>
      <c r="C36" s="49">
        <v>0</v>
      </c>
      <c r="D36" s="20">
        <f>SUM(D33:D35)</f>
        <v>0</v>
      </c>
      <c r="E36" s="49">
        <v>0</v>
      </c>
      <c r="F36" s="20">
        <f>SUM(F33:F35)</f>
        <v>0</v>
      </c>
      <c r="G36" s="49">
        <v>0</v>
      </c>
      <c r="H36" s="20">
        <f>SUM(H33:H35)</f>
        <v>0</v>
      </c>
      <c r="I36" s="52">
        <f>+(B36-J36)/ABS(J36)</f>
        <v>-0.10209912787348738</v>
      </c>
      <c r="J36" s="20">
        <f>SUM(J33:J35)</f>
        <v>1670570.43084</v>
      </c>
      <c r="K36" s="52">
        <f>+(J36-L36)/ABS(L36)</f>
        <v>0.13327160650230224</v>
      </c>
      <c r="L36" s="20">
        <f>SUM(L33:L35)</f>
        <v>1474113.0204400001</v>
      </c>
      <c r="M36" s="52">
        <f>+(L36-N36)/ABS(N36)</f>
        <v>-0.24673808423408891</v>
      </c>
      <c r="N36" s="20">
        <f>SUM(N33:N35)</f>
        <v>1956972.7203599999</v>
      </c>
      <c r="O36" s="52">
        <f>+(N36-P36)/ABS(P36)</f>
        <v>0.75953330713088163</v>
      </c>
      <c r="P36" s="20">
        <f>SUM(P33:P35)</f>
        <v>1112211.2394399999</v>
      </c>
    </row>
    <row r="37" spans="1:21" ht="7.15" customHeight="1">
      <c r="A37" s="10"/>
      <c r="C37" s="49" t="s">
        <v>0</v>
      </c>
      <c r="E37" s="49" t="s">
        <v>0</v>
      </c>
      <c r="G37" s="49" t="s">
        <v>0</v>
      </c>
      <c r="I37" s="52" t="s">
        <v>0</v>
      </c>
      <c r="K37" s="52" t="s">
        <v>0</v>
      </c>
      <c r="M37" s="52" t="s">
        <v>0</v>
      </c>
      <c r="O37" s="52" t="s">
        <v>0</v>
      </c>
    </row>
    <row r="38" spans="1:21">
      <c r="A38" s="10" t="s">
        <v>275</v>
      </c>
      <c r="C38" s="49" t="s">
        <v>0</v>
      </c>
      <c r="E38" s="49" t="s">
        <v>0</v>
      </c>
      <c r="G38" s="49" t="s">
        <v>0</v>
      </c>
      <c r="I38" s="52" t="s">
        <v>0</v>
      </c>
      <c r="K38" s="52" t="s">
        <v>0</v>
      </c>
      <c r="M38" s="52" t="s">
        <v>0</v>
      </c>
      <c r="O38" s="52" t="s">
        <v>0</v>
      </c>
    </row>
    <row r="39" spans="1:21">
      <c r="A39" s="10" t="s">
        <v>272</v>
      </c>
      <c r="B39" s="20">
        <v>0</v>
      </c>
      <c r="C39" s="49">
        <v>0</v>
      </c>
      <c r="D39" s="20">
        <v>0</v>
      </c>
      <c r="E39" s="49">
        <v>0</v>
      </c>
      <c r="F39" s="20">
        <v>0</v>
      </c>
      <c r="G39" s="49">
        <v>0</v>
      </c>
      <c r="H39" s="20">
        <v>0</v>
      </c>
      <c r="I39" s="49">
        <v>0</v>
      </c>
      <c r="J39" s="20">
        <v>0</v>
      </c>
      <c r="K39" s="49">
        <v>0</v>
      </c>
      <c r="L39" s="20">
        <v>0</v>
      </c>
      <c r="M39" s="49">
        <v>0</v>
      </c>
      <c r="N39" s="20">
        <v>0</v>
      </c>
      <c r="O39" s="49">
        <v>0</v>
      </c>
      <c r="P39" s="20">
        <v>0</v>
      </c>
    </row>
    <row r="40" spans="1:21">
      <c r="A40" s="10" t="s">
        <v>276</v>
      </c>
      <c r="B40" s="12">
        <v>2467523.4976900001</v>
      </c>
      <c r="C40" s="49">
        <v>0</v>
      </c>
      <c r="D40" s="20">
        <v>0</v>
      </c>
      <c r="E40" s="49">
        <v>0</v>
      </c>
      <c r="F40" s="20">
        <v>0</v>
      </c>
      <c r="G40" s="49">
        <v>0</v>
      </c>
      <c r="H40" s="20">
        <v>0</v>
      </c>
      <c r="I40" s="52">
        <f>+(B40-J40)/ABS(J40)</f>
        <v>-0.11425168622236692</v>
      </c>
      <c r="J40" s="20">
        <v>2785806.59913</v>
      </c>
      <c r="K40" s="52">
        <f>+(J40-L40)/ABS(L40)</f>
        <v>1.4733973813958441</v>
      </c>
      <c r="L40" s="20">
        <v>1126307.7336800001</v>
      </c>
      <c r="M40" s="52">
        <f>+(L40-N40)/ABS(N40)</f>
        <v>0.77417956168000102</v>
      </c>
      <c r="N40" s="20">
        <v>634833</v>
      </c>
      <c r="O40" s="49">
        <v>0</v>
      </c>
      <c r="P40" s="20">
        <v>-4.5780000000000001E-2</v>
      </c>
    </row>
    <row r="41" spans="1:21">
      <c r="A41" s="10" t="s">
        <v>274</v>
      </c>
      <c r="B41" s="199">
        <v>517789.09642000031</v>
      </c>
      <c r="C41" s="49">
        <v>0</v>
      </c>
      <c r="D41" s="199">
        <v>0</v>
      </c>
      <c r="E41" s="49">
        <v>0</v>
      </c>
      <c r="F41" s="199">
        <v>0</v>
      </c>
      <c r="G41" s="49">
        <v>0</v>
      </c>
      <c r="H41" s="199">
        <v>0</v>
      </c>
      <c r="I41" s="52">
        <f>+(B41-J41)/ABS(J41)</f>
        <v>-9.3209210992962324E-2</v>
      </c>
      <c r="J41" s="199">
        <v>571012.74373000022</v>
      </c>
      <c r="K41" s="52">
        <f>+(J41-L41)/ABS(L41)</f>
        <v>-0.22167474457174577</v>
      </c>
      <c r="L41" s="199">
        <v>733642.83086999995</v>
      </c>
      <c r="M41" s="52">
        <f>+(L41-N41)/ABS(N41)</f>
        <v>1.6667147825615944</v>
      </c>
      <c r="N41" s="199">
        <v>275111.09762000002</v>
      </c>
      <c r="O41" s="52">
        <f>+(N41-P41)/ABS(P41)</f>
        <v>4.7534591661524579E-2</v>
      </c>
      <c r="P41" s="199">
        <v>262627.21996000002</v>
      </c>
    </row>
    <row r="42" spans="1:21">
      <c r="A42" s="10"/>
      <c r="B42" s="20">
        <f>SUM(B39:B41)</f>
        <v>2985312.5941100004</v>
      </c>
      <c r="C42" s="49">
        <v>0</v>
      </c>
      <c r="D42" s="20">
        <f>SUM(D39:D41)</f>
        <v>0</v>
      </c>
      <c r="E42" s="49">
        <v>0</v>
      </c>
      <c r="F42" s="20">
        <f>SUM(F39:F41)</f>
        <v>0</v>
      </c>
      <c r="G42" s="49">
        <v>0</v>
      </c>
      <c r="H42" s="20">
        <f>SUM(H39:H41)</f>
        <v>0</v>
      </c>
      <c r="I42" s="52">
        <f>+(B42-J42)/ABS(J42)</f>
        <v>-0.11067224977126029</v>
      </c>
      <c r="J42" s="20">
        <f>SUM(J39:J41)</f>
        <v>3356819.3428600002</v>
      </c>
      <c r="K42" s="52">
        <f>+(J42-L42)/ABS(L42)</f>
        <v>0.80478955023847931</v>
      </c>
      <c r="L42" s="20">
        <f>SUM(L39:L41)</f>
        <v>1859950.56455</v>
      </c>
      <c r="M42" s="52">
        <f>+(L42-N42)/ABS(N42)</f>
        <v>1.0440272863077906</v>
      </c>
      <c r="N42" s="20">
        <f>SUM(N39:N41)</f>
        <v>909944.09762000002</v>
      </c>
      <c r="O42" s="52">
        <f>+(N42-P42)/ABS(P42)</f>
        <v>2.4647751149937762</v>
      </c>
      <c r="P42" s="20">
        <f>SUM(P39:P41)</f>
        <v>262627.17418000003</v>
      </c>
    </row>
    <row r="43" spans="1:21" ht="8.4499999999999993" customHeight="1">
      <c r="A43" s="10"/>
      <c r="C43" s="49" t="s">
        <v>0</v>
      </c>
      <c r="E43" s="49" t="s">
        <v>0</v>
      </c>
      <c r="G43" s="49" t="s">
        <v>0</v>
      </c>
      <c r="I43" s="52" t="s">
        <v>0</v>
      </c>
      <c r="K43" s="52" t="s">
        <v>0</v>
      </c>
      <c r="M43" s="52" t="s">
        <v>0</v>
      </c>
      <c r="O43" s="52" t="s">
        <v>0</v>
      </c>
    </row>
    <row r="44" spans="1:21" ht="18">
      <c r="A44" s="10" t="s">
        <v>277</v>
      </c>
      <c r="B44" s="199">
        <v>1894965.9864400001</v>
      </c>
      <c r="C44" s="49">
        <v>0</v>
      </c>
      <c r="D44" s="199">
        <v>0</v>
      </c>
      <c r="E44" s="49">
        <v>0</v>
      </c>
      <c r="F44" s="199">
        <v>0</v>
      </c>
      <c r="G44" s="49">
        <v>0</v>
      </c>
      <c r="H44" s="199">
        <v>0</v>
      </c>
      <c r="I44" s="52">
        <f>+(B44-J44)/ABS(J44)</f>
        <v>5.2460093746859546E-2</v>
      </c>
      <c r="J44" s="199">
        <v>1800511.0100599998</v>
      </c>
      <c r="K44" s="52">
        <f>+(J44-L44)/ABS(L44)</f>
        <v>1.5147241923732624E-2</v>
      </c>
      <c r="L44" s="199">
        <v>1773645.17747</v>
      </c>
      <c r="M44" s="52">
        <f>+(L44-N44)/ABS(N44)</f>
        <v>0.26768873761202988</v>
      </c>
      <c r="N44" s="199">
        <v>1399117.24767</v>
      </c>
      <c r="O44" s="52">
        <f>+(N44-P44)/ABS(P44)</f>
        <v>1.0876340075648878</v>
      </c>
      <c r="P44" s="199">
        <v>670192.78408000001</v>
      </c>
      <c r="Q44" s="14"/>
      <c r="R44" s="14"/>
    </row>
    <row r="45" spans="1:21">
      <c r="A45" s="10"/>
      <c r="B45" s="20">
        <f>+B30+B36+B42+B44</f>
        <v>49224904.135710001</v>
      </c>
      <c r="C45" s="49">
        <v>0</v>
      </c>
      <c r="D45" s="20">
        <f>+D30+D36+D42+D44</f>
        <v>0</v>
      </c>
      <c r="E45" s="49">
        <v>0</v>
      </c>
      <c r="F45" s="20">
        <f>+F30+F36+F42+F44</f>
        <v>0</v>
      </c>
      <c r="G45" s="49">
        <v>0</v>
      </c>
      <c r="H45" s="20">
        <f>+H30+H36+H42+H44</f>
        <v>0</v>
      </c>
      <c r="I45" s="52">
        <f>+(B45-J45)/ABS(J45)</f>
        <v>1.9445836966844519E-2</v>
      </c>
      <c r="J45" s="20">
        <f>+J30+J36+J42+J44</f>
        <v>48285943.549653187</v>
      </c>
      <c r="K45" s="52">
        <f>+(J45-L45)/ABS(L45)</f>
        <v>0.10323705558555923</v>
      </c>
      <c r="L45" s="20">
        <f>+L30+L36+L42+L44</f>
        <v>43767514.2483541</v>
      </c>
      <c r="M45" s="52">
        <f>+(L45-N45)/ABS(N45)</f>
        <v>2.1044325684336312E-2</v>
      </c>
      <c r="N45" s="20">
        <f>+N30+N36+N42+N44</f>
        <v>42865439.969043188</v>
      </c>
      <c r="O45" s="52">
        <f>+(N45-P45)/ABS(P45)</f>
        <v>6.0674633975676989E-2</v>
      </c>
      <c r="P45" s="20">
        <f>+P30+P36+P42+P44</f>
        <v>40413373.334264316</v>
      </c>
    </row>
    <row r="46" spans="1:21" ht="8.4499999999999993" customHeight="1">
      <c r="A46" s="10"/>
      <c r="C46" s="49" t="s">
        <v>0</v>
      </c>
      <c r="E46" s="49" t="s">
        <v>0</v>
      </c>
      <c r="G46" s="49" t="s">
        <v>0</v>
      </c>
      <c r="I46" s="52" t="s">
        <v>0</v>
      </c>
      <c r="K46" s="52" t="s">
        <v>0</v>
      </c>
      <c r="M46" s="52" t="s">
        <v>0</v>
      </c>
      <c r="O46" s="52" t="s">
        <v>0</v>
      </c>
    </row>
    <row r="47" spans="1:21">
      <c r="A47" s="86" t="s">
        <v>278</v>
      </c>
      <c r="C47" s="49" t="s">
        <v>0</v>
      </c>
      <c r="E47" s="49" t="s">
        <v>0</v>
      </c>
      <c r="G47" s="49" t="s">
        <v>0</v>
      </c>
      <c r="I47" s="52" t="s">
        <v>0</v>
      </c>
      <c r="K47" s="52" t="s">
        <v>0</v>
      </c>
      <c r="M47" s="52" t="s">
        <v>0</v>
      </c>
      <c r="O47" s="52" t="s">
        <v>0</v>
      </c>
    </row>
    <row r="48" spans="1:21">
      <c r="A48" s="10" t="s">
        <v>279</v>
      </c>
      <c r="B48" s="20">
        <v>1200000</v>
      </c>
      <c r="C48" s="49">
        <v>0</v>
      </c>
      <c r="D48" s="20">
        <v>0</v>
      </c>
      <c r="E48" s="49">
        <v>0</v>
      </c>
      <c r="F48" s="20">
        <v>0</v>
      </c>
      <c r="G48" s="49">
        <v>0</v>
      </c>
      <c r="H48" s="20">
        <v>0</v>
      </c>
      <c r="I48" s="52">
        <f t="shared" ref="I48:I53" si="7">+(B48-J48)/ABS(J48)</f>
        <v>0</v>
      </c>
      <c r="J48" s="20">
        <v>1200000</v>
      </c>
      <c r="K48" s="52">
        <f t="shared" ref="K48:K53" si="8">+(J48-L48)/ABS(L48)</f>
        <v>0.14285714285714285</v>
      </c>
      <c r="L48" s="20">
        <v>1050000</v>
      </c>
      <c r="M48" s="52">
        <f t="shared" ref="M48:M53" si="9">+(L48-N48)/ABS(N48)</f>
        <v>0.4</v>
      </c>
      <c r="N48" s="20">
        <v>750000</v>
      </c>
      <c r="O48" s="52">
        <f t="shared" ref="O48:O53" si="10">+(N48-P48)/ABS(P48)</f>
        <v>0</v>
      </c>
      <c r="P48" s="20">
        <v>750000</v>
      </c>
    </row>
    <row r="49" spans="1:21">
      <c r="A49" s="10" t="s">
        <v>280</v>
      </c>
      <c r="B49" s="20">
        <v>1221203.99306</v>
      </c>
      <c r="C49" s="49">
        <v>0</v>
      </c>
      <c r="D49" s="20">
        <v>0</v>
      </c>
      <c r="E49" s="49">
        <v>0</v>
      </c>
      <c r="F49" s="12">
        <v>0</v>
      </c>
      <c r="G49" s="49">
        <v>0</v>
      </c>
      <c r="H49" s="20">
        <v>0</v>
      </c>
      <c r="I49" s="52">
        <f t="shared" si="7"/>
        <v>0.16445475171930668</v>
      </c>
      <c r="J49" s="20">
        <v>1048734.60412</v>
      </c>
      <c r="K49" s="52">
        <f t="shared" si="8"/>
        <v>-0.19764133760488964</v>
      </c>
      <c r="L49" s="20">
        <v>1307064.6000000001</v>
      </c>
      <c r="M49" s="52">
        <f t="shared" si="9"/>
        <v>0.10834728570331492</v>
      </c>
      <c r="N49" s="20">
        <v>1179291.5603800002</v>
      </c>
      <c r="O49" s="52">
        <f t="shared" si="10"/>
        <v>0.17530391564571315</v>
      </c>
      <c r="P49" s="20">
        <v>1003392.86263</v>
      </c>
    </row>
    <row r="50" spans="1:21">
      <c r="A50" s="10" t="s">
        <v>290</v>
      </c>
      <c r="B50" s="20">
        <v>98479.455170000001</v>
      </c>
      <c r="C50" s="49">
        <v>0</v>
      </c>
      <c r="D50" s="20">
        <v>0</v>
      </c>
      <c r="E50" s="49">
        <v>0</v>
      </c>
      <c r="F50" s="20">
        <v>0</v>
      </c>
      <c r="G50" s="49">
        <v>0</v>
      </c>
      <c r="H50" s="20">
        <v>0</v>
      </c>
      <c r="I50" s="52">
        <f t="shared" si="7"/>
        <v>0</v>
      </c>
      <c r="J50" s="20">
        <v>98479.455170000001</v>
      </c>
      <c r="K50" s="52">
        <f t="shared" si="8"/>
        <v>-4.5522164510289302E-7</v>
      </c>
      <c r="L50" s="20">
        <v>98479.5</v>
      </c>
      <c r="M50" s="52">
        <f t="shared" si="9"/>
        <v>4.5522185232973353E-7</v>
      </c>
      <c r="N50" s="20">
        <v>98479.455170000001</v>
      </c>
      <c r="O50" s="52">
        <f t="shared" si="10"/>
        <v>0</v>
      </c>
      <c r="P50" s="20">
        <v>98479.455170000001</v>
      </c>
    </row>
    <row r="51" spans="1:21" ht="18">
      <c r="A51" s="10" t="s">
        <v>282</v>
      </c>
      <c r="B51" s="199">
        <v>1361409.0928600004</v>
      </c>
      <c r="C51" s="49">
        <v>0</v>
      </c>
      <c r="D51" s="199">
        <v>0</v>
      </c>
      <c r="E51" s="49">
        <v>0</v>
      </c>
      <c r="F51" s="199">
        <v>0</v>
      </c>
      <c r="G51" s="49">
        <v>0</v>
      </c>
      <c r="H51" s="199">
        <v>0</v>
      </c>
      <c r="I51" s="52">
        <f t="shared" si="7"/>
        <v>-4.1413776458365609E-2</v>
      </c>
      <c r="J51" s="199">
        <v>1420226.01559</v>
      </c>
      <c r="K51" s="52">
        <f t="shared" si="8"/>
        <v>0.39267077098241887</v>
      </c>
      <c r="L51" s="199">
        <v>1019785.9</v>
      </c>
      <c r="M51" s="52">
        <f t="shared" si="9"/>
        <v>5.8728239835112814E-2</v>
      </c>
      <c r="N51" s="199">
        <v>963217.81325000105</v>
      </c>
      <c r="O51" s="52">
        <f t="shared" si="10"/>
        <v>0.29102614600965071</v>
      </c>
      <c r="P51" s="199">
        <v>746086.99152000039</v>
      </c>
      <c r="Q51" s="14"/>
      <c r="R51" s="14"/>
      <c r="S51" s="15"/>
      <c r="T51" s="15"/>
      <c r="U51" s="15"/>
    </row>
    <row r="52" spans="1:21" ht="16.5" thickBot="1">
      <c r="A52" s="10" t="s">
        <v>54</v>
      </c>
      <c r="B52" s="79">
        <f>SUM(B48:B51)</f>
        <v>3881092.5410900004</v>
      </c>
      <c r="C52" s="49">
        <v>0</v>
      </c>
      <c r="D52" s="79">
        <f>SUM(D48:D51)</f>
        <v>0</v>
      </c>
      <c r="E52" s="49">
        <v>0</v>
      </c>
      <c r="F52" s="79">
        <f>SUM(F48:F51)</f>
        <v>0</v>
      </c>
      <c r="G52" s="49">
        <v>0</v>
      </c>
      <c r="H52" s="79">
        <f>SUM(H48:H51)</f>
        <v>0</v>
      </c>
      <c r="I52" s="52">
        <f t="shared" si="7"/>
        <v>3.0167026933698542E-2</v>
      </c>
      <c r="J52" s="79">
        <f>SUM(J48:J51)</f>
        <v>3767440.0748800002</v>
      </c>
      <c r="K52" s="52">
        <f t="shared" si="8"/>
        <v>8.4052471241579996E-2</v>
      </c>
      <c r="L52" s="79">
        <f>SUM(L48:L51)</f>
        <v>3475330</v>
      </c>
      <c r="M52" s="52">
        <f t="shared" si="9"/>
        <v>0.16193346044502574</v>
      </c>
      <c r="N52" s="79">
        <f>SUM(N48:N51)</f>
        <v>2990988.8288000012</v>
      </c>
      <c r="O52" s="52">
        <f t="shared" si="10"/>
        <v>0.15128393969452672</v>
      </c>
      <c r="P52" s="79">
        <f>SUM(P48:P51)</f>
        <v>2597959.30932</v>
      </c>
    </row>
    <row r="53" spans="1:21">
      <c r="A53" s="10" t="s">
        <v>0</v>
      </c>
      <c r="B53" s="13">
        <f>+B30+B36+B42+B44+B52</f>
        <v>53105996.676799998</v>
      </c>
      <c r="C53" s="49">
        <v>0</v>
      </c>
      <c r="D53" s="13">
        <f>+D30+D36+D42+D44+D52</f>
        <v>0</v>
      </c>
      <c r="E53" s="49">
        <v>0</v>
      </c>
      <c r="F53" s="13">
        <f>+F30+F36+F42+F44+F52</f>
        <v>0</v>
      </c>
      <c r="G53" s="49">
        <v>0</v>
      </c>
      <c r="H53" s="13">
        <f>+H30+H36+H42+H44+H52</f>
        <v>0</v>
      </c>
      <c r="I53" s="52">
        <f t="shared" si="7"/>
        <v>2.0221798833663162E-2</v>
      </c>
      <c r="J53" s="13">
        <f>+J30+J36+J42+J44+J52</f>
        <v>52053383.624533191</v>
      </c>
      <c r="K53" s="52">
        <f t="shared" si="8"/>
        <v>0.10182577811975592</v>
      </c>
      <c r="L53" s="13">
        <f>+L30+L36+L42+L44+L52</f>
        <v>47242844.2483541</v>
      </c>
      <c r="M53" s="52">
        <f t="shared" si="9"/>
        <v>3.0233829516530523E-2</v>
      </c>
      <c r="N53" s="13">
        <f>+N30+N36+N42+N44+N52</f>
        <v>45856428.797843188</v>
      </c>
      <c r="O53" s="52">
        <f t="shared" si="10"/>
        <v>6.6147593654791156E-2</v>
      </c>
      <c r="P53" s="13">
        <f>+P30+P36+P42+P44+P52</f>
        <v>43011332.643584318</v>
      </c>
    </row>
    <row r="54" spans="1:21">
      <c r="C54" s="48"/>
      <c r="E54" s="48"/>
      <c r="G54" s="48"/>
      <c r="I54" s="88"/>
    </row>
    <row r="55" spans="1:21">
      <c r="C55" s="48"/>
      <c r="E55" s="48"/>
      <c r="F55" s="12" t="s">
        <v>0</v>
      </c>
      <c r="G55" s="48"/>
      <c r="I55" s="46"/>
    </row>
    <row r="56" spans="1:21">
      <c r="A56" s="166" t="s">
        <v>283</v>
      </c>
      <c r="C56" s="48"/>
      <c r="E56" s="48"/>
      <c r="G56" s="48"/>
      <c r="I56" s="46"/>
    </row>
    <row r="57" spans="1:21">
      <c r="A57" t="s">
        <v>284</v>
      </c>
      <c r="B57" s="20">
        <v>67323.023189999993</v>
      </c>
      <c r="C57" s="48"/>
      <c r="D57" s="20">
        <v>0</v>
      </c>
      <c r="E57" s="48"/>
      <c r="F57" s="20">
        <v>0</v>
      </c>
      <c r="G57" s="48"/>
      <c r="H57" s="20">
        <v>0</v>
      </c>
      <c r="I57" s="46" t="s">
        <v>0</v>
      </c>
      <c r="J57" s="20">
        <v>94679.355009999985</v>
      </c>
      <c r="K57" s="20"/>
      <c r="L57" s="20">
        <v>94567</v>
      </c>
      <c r="M57" s="20"/>
      <c r="N57" s="20">
        <v>86017.312829999995</v>
      </c>
      <c r="O57" s="20"/>
      <c r="P57" s="20">
        <v>219678.57767999999</v>
      </c>
    </row>
    <row r="58" spans="1:21">
      <c r="A58" t="s">
        <v>285</v>
      </c>
      <c r="B58" s="20">
        <v>653311.53195000009</v>
      </c>
      <c r="C58" s="48"/>
      <c r="D58" s="20">
        <v>0</v>
      </c>
      <c r="E58" s="48"/>
      <c r="F58" s="20">
        <v>0</v>
      </c>
      <c r="G58" s="48"/>
      <c r="H58" s="20">
        <v>0</v>
      </c>
      <c r="I58" s="46"/>
      <c r="J58" s="20">
        <v>714772.20241999999</v>
      </c>
      <c r="K58" s="20"/>
      <c r="L58" s="20">
        <v>656038.40000000002</v>
      </c>
      <c r="M58" s="20"/>
      <c r="N58" s="20">
        <v>779585.4834400001</v>
      </c>
      <c r="O58" s="20"/>
      <c r="P58" s="20">
        <v>661696.7755499999</v>
      </c>
    </row>
    <row r="59" spans="1:21">
      <c r="A59" t="s">
        <v>274</v>
      </c>
      <c r="B59" s="20">
        <v>3428832.8303299998</v>
      </c>
      <c r="C59" s="48"/>
      <c r="D59" s="20">
        <v>0</v>
      </c>
      <c r="E59" s="48"/>
      <c r="F59" s="20">
        <v>0</v>
      </c>
      <c r="G59" s="48"/>
      <c r="H59" s="20">
        <v>0</v>
      </c>
      <c r="I59" s="46"/>
      <c r="J59" s="20">
        <v>3240235.8544799997</v>
      </c>
      <c r="K59" s="20"/>
      <c r="L59" s="20">
        <v>3213217.7</v>
      </c>
      <c r="M59" s="20"/>
      <c r="N59" s="20">
        <v>1980524.7513399995</v>
      </c>
      <c r="O59" s="20"/>
      <c r="P59" s="20">
        <v>2030626.4121399997</v>
      </c>
    </row>
    <row r="60" spans="1:21">
      <c r="B60" s="46" t="s">
        <v>0</v>
      </c>
      <c r="C60" s="48"/>
      <c r="D60" s="48"/>
      <c r="E60" s="48"/>
      <c r="F60" s="48"/>
      <c r="G60" s="48"/>
      <c r="H60" s="46" t="s">
        <v>0</v>
      </c>
      <c r="I60" s="46"/>
      <c r="J60" s="46" t="s">
        <v>0</v>
      </c>
      <c r="K60" s="20"/>
      <c r="L60" s="91" t="s">
        <v>0</v>
      </c>
      <c r="M60" s="20"/>
      <c r="N60" s="48"/>
      <c r="O60" s="20"/>
      <c r="P60" s="48"/>
    </row>
    <row r="61" spans="1:21">
      <c r="A61" t="s">
        <v>286</v>
      </c>
      <c r="B61" s="20">
        <v>19826802.61067</v>
      </c>
      <c r="C61" s="49">
        <v>0</v>
      </c>
      <c r="D61" s="20">
        <v>0</v>
      </c>
      <c r="E61" s="49">
        <v>0</v>
      </c>
      <c r="F61" s="20">
        <v>0</v>
      </c>
      <c r="G61" s="49">
        <v>0</v>
      </c>
      <c r="H61" s="20">
        <v>0</v>
      </c>
      <c r="I61" s="52">
        <f>+(B61-J61)/ABS(J61)</f>
        <v>1.5758193829585834E-2</v>
      </c>
      <c r="J61" s="20">
        <v>19519215.03672</v>
      </c>
      <c r="K61" s="52">
        <f>+(J61-L61)/ABS(L61)</f>
        <v>2.4336180330301365E-2</v>
      </c>
      <c r="L61" s="20">
        <v>19055477.5</v>
      </c>
      <c r="M61" s="52">
        <f>+(L61-N61)/ABS(N61)</f>
        <v>0.15357166270921496</v>
      </c>
      <c r="N61" s="20">
        <v>16518676.833000001</v>
      </c>
      <c r="O61" s="52">
        <f>+(N61-P61)/ABS(P61)</f>
        <v>0.38481978338738848</v>
      </c>
      <c r="P61" s="20">
        <v>11928394.60496</v>
      </c>
    </row>
    <row r="62" spans="1:21">
      <c r="A62" t="s">
        <v>225</v>
      </c>
      <c r="B62" s="20">
        <v>611730.08467999997</v>
      </c>
      <c r="C62" s="49">
        <v>0</v>
      </c>
      <c r="D62" s="20">
        <v>0</v>
      </c>
      <c r="E62" s="49">
        <v>0</v>
      </c>
      <c r="F62" s="20">
        <v>0</v>
      </c>
      <c r="G62" s="49">
        <v>0</v>
      </c>
      <c r="H62" s="20">
        <v>0</v>
      </c>
      <c r="I62" s="52">
        <f>+(B62-J62)/ABS(J62)</f>
        <v>0.18055351823997925</v>
      </c>
      <c r="J62" s="20">
        <v>518172.26006999996</v>
      </c>
      <c r="K62" s="52">
        <f>+(J62-L62)/ABS(L62)</f>
        <v>0.68088213754646831</v>
      </c>
      <c r="L62" s="20">
        <v>308274</v>
      </c>
      <c r="M62" s="52">
        <f>+(L62-N62)/ABS(N62)</f>
        <v>4.7354591087164525E-3</v>
      </c>
      <c r="N62" s="20">
        <v>306821.06140999997</v>
      </c>
      <c r="O62" s="52">
        <f>+(N62-P62)/ABS(P62)</f>
        <v>9.1052165805729141E-2</v>
      </c>
      <c r="P62" s="20">
        <v>281215.75761999999</v>
      </c>
    </row>
    <row r="63" spans="1:21">
      <c r="A63" t="s">
        <v>287</v>
      </c>
      <c r="B63" s="20">
        <v>1303019</v>
      </c>
      <c r="C63" s="49">
        <v>0</v>
      </c>
      <c r="D63" s="20">
        <v>0</v>
      </c>
      <c r="E63" s="49">
        <v>0</v>
      </c>
      <c r="F63" s="20">
        <v>0</v>
      </c>
      <c r="G63" s="49">
        <v>0</v>
      </c>
      <c r="H63" s="20">
        <v>0</v>
      </c>
      <c r="I63" s="52">
        <f>+(B63-J63)/ABS(J63)</f>
        <v>1.5841707471377207</v>
      </c>
      <c r="J63" s="20">
        <v>504231</v>
      </c>
      <c r="K63" s="52">
        <f>+(J63-L63)/ABS(L63)</f>
        <v>2.1280420851504682</v>
      </c>
      <c r="L63" s="20">
        <v>161197</v>
      </c>
      <c r="M63" s="52">
        <f>+(L63-N63)/ABS(N63)</f>
        <v>-0.3526037102674669</v>
      </c>
      <c r="N63" s="20">
        <v>248992.777</v>
      </c>
      <c r="O63" s="52">
        <f>+(N63-P63)/ABS(P63)</f>
        <v>0.4363918232898365</v>
      </c>
      <c r="P63" s="20">
        <v>173346</v>
      </c>
    </row>
    <row r="65" spans="2:16">
      <c r="H65" s="12" t="s">
        <v>0</v>
      </c>
    </row>
    <row r="66" spans="2:16">
      <c r="B66" s="24" t="s">
        <v>0</v>
      </c>
    </row>
    <row r="68" spans="2:16">
      <c r="B68"/>
      <c r="C68"/>
      <c r="D68"/>
      <c r="E68"/>
      <c r="F68"/>
      <c r="G68"/>
      <c r="H68"/>
      <c r="I68"/>
      <c r="J68"/>
      <c r="K68"/>
      <c r="L68"/>
      <c r="M68"/>
      <c r="N68"/>
      <c r="O68"/>
      <c r="P68"/>
    </row>
    <row r="69" spans="2:16">
      <c r="B69"/>
      <c r="C69"/>
      <c r="D69"/>
      <c r="E69"/>
      <c r="F69"/>
      <c r="G69"/>
      <c r="H69"/>
      <c r="I69"/>
      <c r="J69"/>
      <c r="K69"/>
      <c r="L69"/>
      <c r="M69"/>
      <c r="N69"/>
      <c r="O69"/>
      <c r="P69"/>
    </row>
    <row r="70" spans="2:16">
      <c r="B70"/>
      <c r="C70"/>
      <c r="D70"/>
      <c r="E70"/>
      <c r="F70"/>
      <c r="G70"/>
      <c r="H70"/>
      <c r="I70"/>
      <c r="J70"/>
      <c r="K70"/>
      <c r="L70"/>
      <c r="M70"/>
      <c r="N70"/>
      <c r="O70"/>
      <c r="P70"/>
    </row>
    <row r="71" spans="2:16">
      <c r="B71"/>
      <c r="C71"/>
      <c r="D71"/>
      <c r="E71"/>
      <c r="F71"/>
      <c r="G71"/>
      <c r="H71"/>
      <c r="I71"/>
      <c r="J71"/>
      <c r="K71"/>
      <c r="L71"/>
      <c r="M71"/>
      <c r="N71"/>
      <c r="O71"/>
      <c r="P71"/>
    </row>
    <row r="72" spans="2:16">
      <c r="B72"/>
      <c r="C72"/>
      <c r="D72"/>
      <c r="E72"/>
      <c r="F72"/>
      <c r="G72"/>
      <c r="H72"/>
      <c r="I72"/>
      <c r="J72"/>
      <c r="K72"/>
      <c r="L72"/>
      <c r="M72"/>
      <c r="N72"/>
      <c r="O72"/>
      <c r="P72"/>
    </row>
    <row r="73" spans="2:16">
      <c r="B73"/>
      <c r="C73"/>
      <c r="D73"/>
      <c r="E73"/>
      <c r="F73"/>
      <c r="G73"/>
      <c r="H73"/>
      <c r="I73"/>
      <c r="J73"/>
      <c r="K73"/>
      <c r="L73"/>
      <c r="M73"/>
      <c r="N73"/>
      <c r="O73"/>
      <c r="P73"/>
    </row>
    <row r="74" spans="2:16">
      <c r="B74"/>
      <c r="C74"/>
      <c r="D74"/>
      <c r="E74"/>
      <c r="F74"/>
      <c r="G74"/>
      <c r="H74"/>
      <c r="I74"/>
      <c r="J74"/>
      <c r="K74"/>
      <c r="L74"/>
      <c r="M74"/>
      <c r="N74"/>
      <c r="O74"/>
      <c r="P74"/>
    </row>
    <row r="75" spans="2:16">
      <c r="B75"/>
      <c r="C75"/>
      <c r="D75"/>
      <c r="E75"/>
      <c r="F75"/>
      <c r="G75"/>
      <c r="H75"/>
      <c r="I75"/>
      <c r="J75"/>
      <c r="K75"/>
      <c r="L75"/>
      <c r="M75"/>
      <c r="N75"/>
      <c r="O75"/>
      <c r="P75"/>
    </row>
    <row r="76" spans="2:16">
      <c r="B76"/>
      <c r="C76"/>
      <c r="D76"/>
      <c r="E76"/>
      <c r="F76"/>
      <c r="G76"/>
      <c r="H76"/>
      <c r="I76"/>
      <c r="J76"/>
      <c r="K76"/>
      <c r="L76"/>
      <c r="M76"/>
      <c r="N76"/>
      <c r="O76"/>
      <c r="P76"/>
    </row>
    <row r="77" spans="2:16">
      <c r="B77"/>
      <c r="C77"/>
      <c r="D77"/>
      <c r="E77"/>
      <c r="F77"/>
      <c r="G77"/>
      <c r="H77"/>
      <c r="I77"/>
      <c r="J77"/>
      <c r="K77"/>
      <c r="L77"/>
      <c r="M77"/>
      <c r="N77"/>
      <c r="O77"/>
      <c r="P77"/>
    </row>
    <row r="78" spans="2:16">
      <c r="B78"/>
      <c r="C78"/>
      <c r="D78"/>
      <c r="E78"/>
      <c r="F78"/>
      <c r="G78"/>
      <c r="H78"/>
      <c r="I78"/>
      <c r="J78"/>
      <c r="K78"/>
      <c r="L78"/>
      <c r="M78"/>
      <c r="N78"/>
      <c r="O78"/>
      <c r="P78"/>
    </row>
    <row r="79" spans="2:16">
      <c r="B79"/>
      <c r="C79"/>
      <c r="D79"/>
      <c r="E79"/>
      <c r="F79"/>
      <c r="G79"/>
      <c r="H79"/>
      <c r="I79"/>
      <c r="J79"/>
      <c r="K79"/>
      <c r="L79"/>
      <c r="M79"/>
      <c r="N79"/>
      <c r="O79"/>
      <c r="P79"/>
    </row>
    <row r="80" spans="2:16">
      <c r="B80"/>
      <c r="C80"/>
      <c r="D80"/>
      <c r="E80"/>
      <c r="F80"/>
      <c r="G80"/>
      <c r="H80"/>
      <c r="I80"/>
      <c r="J80"/>
      <c r="K80"/>
      <c r="L80"/>
      <c r="M80"/>
      <c r="N80"/>
      <c r="O80"/>
      <c r="P80"/>
    </row>
    <row r="81" spans="2:16">
      <c r="B81"/>
      <c r="C81"/>
      <c r="D81"/>
      <c r="E81"/>
      <c r="F81"/>
      <c r="G81"/>
      <c r="H81"/>
      <c r="I81"/>
      <c r="J81"/>
      <c r="K81"/>
      <c r="L81"/>
      <c r="M81"/>
      <c r="N81"/>
      <c r="O81"/>
      <c r="P81"/>
    </row>
    <row r="82" spans="2:16">
      <c r="B82"/>
      <c r="C82"/>
      <c r="D82"/>
      <c r="E82"/>
      <c r="F82"/>
      <c r="G82"/>
      <c r="H82"/>
      <c r="I82"/>
      <c r="J82"/>
      <c r="K82"/>
      <c r="L82"/>
      <c r="M82"/>
      <c r="N82"/>
      <c r="O82"/>
      <c r="P82"/>
    </row>
    <row r="83" spans="2:16">
      <c r="B83"/>
      <c r="C83"/>
      <c r="D83"/>
      <c r="E83"/>
      <c r="F83"/>
      <c r="G83"/>
      <c r="H83"/>
      <c r="I83"/>
      <c r="J83"/>
      <c r="K83"/>
      <c r="L83"/>
      <c r="M83"/>
      <c r="N83"/>
      <c r="O83"/>
      <c r="P83"/>
    </row>
    <row r="84" spans="2:16">
      <c r="B84"/>
      <c r="C84"/>
      <c r="D84"/>
      <c r="E84"/>
      <c r="F84"/>
      <c r="G84"/>
      <c r="H84"/>
      <c r="I84"/>
      <c r="J84"/>
      <c r="K84"/>
      <c r="L84"/>
      <c r="M84"/>
      <c r="N84"/>
      <c r="O84"/>
      <c r="P84"/>
    </row>
    <row r="85" spans="2:16">
      <c r="B85"/>
      <c r="C85"/>
      <c r="D85"/>
      <c r="E85"/>
      <c r="F85"/>
      <c r="G85"/>
      <c r="H85"/>
      <c r="I85"/>
      <c r="J85"/>
      <c r="K85"/>
      <c r="L85"/>
      <c r="M85"/>
      <c r="N85"/>
      <c r="O85"/>
      <c r="P85"/>
    </row>
    <row r="86" spans="2:16">
      <c r="B86"/>
      <c r="C86"/>
      <c r="D86"/>
      <c r="E86"/>
      <c r="F86"/>
      <c r="G86"/>
      <c r="H86"/>
      <c r="I86"/>
      <c r="J86"/>
      <c r="K86"/>
      <c r="L86"/>
      <c r="M86"/>
      <c r="N86"/>
      <c r="O86"/>
      <c r="P86"/>
    </row>
    <row r="87" spans="2:16">
      <c r="B87"/>
      <c r="C87"/>
      <c r="D87"/>
      <c r="E87"/>
      <c r="F87"/>
      <c r="G87"/>
      <c r="H87"/>
      <c r="I87"/>
      <c r="J87"/>
      <c r="K87"/>
      <c r="L87"/>
      <c r="M87"/>
      <c r="N87"/>
      <c r="O87"/>
      <c r="P87"/>
    </row>
    <row r="88" spans="2:16">
      <c r="B88"/>
      <c r="C88"/>
      <c r="D88"/>
      <c r="E88"/>
      <c r="F88"/>
      <c r="G88"/>
      <c r="H88"/>
      <c r="I88"/>
      <c r="J88"/>
      <c r="K88"/>
      <c r="L88"/>
      <c r="M88"/>
      <c r="N88"/>
      <c r="O88"/>
      <c r="P88"/>
    </row>
    <row r="89" spans="2:16">
      <c r="B89"/>
      <c r="C89"/>
      <c r="D89"/>
      <c r="E89"/>
      <c r="F89"/>
      <c r="G89"/>
      <c r="H89"/>
      <c r="I89"/>
      <c r="J89"/>
      <c r="K89"/>
      <c r="L89"/>
      <c r="M89"/>
      <c r="N89"/>
      <c r="O89"/>
      <c r="P89"/>
    </row>
    <row r="90" spans="2:16">
      <c r="B90"/>
      <c r="C90"/>
      <c r="D90"/>
      <c r="E90"/>
      <c r="F90"/>
      <c r="G90"/>
      <c r="H90"/>
      <c r="I90"/>
      <c r="J90"/>
      <c r="K90"/>
      <c r="L90"/>
      <c r="M90"/>
      <c r="N90"/>
      <c r="O90"/>
      <c r="P90"/>
    </row>
    <row r="91" spans="2:16">
      <c r="B91"/>
      <c r="C91"/>
      <c r="D91"/>
      <c r="E91"/>
      <c r="F91"/>
      <c r="G91"/>
      <c r="H91"/>
      <c r="I91"/>
      <c r="J91"/>
      <c r="K91"/>
      <c r="L91"/>
      <c r="M91"/>
      <c r="N91"/>
      <c r="O91"/>
      <c r="P91"/>
    </row>
    <row r="92" spans="2:16">
      <c r="B92"/>
      <c r="C92"/>
      <c r="D92"/>
      <c r="E92"/>
      <c r="F92"/>
      <c r="G92"/>
      <c r="H92"/>
      <c r="I92"/>
      <c r="J92"/>
      <c r="K92"/>
      <c r="L92"/>
      <c r="M92"/>
      <c r="N92"/>
      <c r="O92"/>
      <c r="P92"/>
    </row>
    <row r="93" spans="2:16">
      <c r="B93"/>
      <c r="C93"/>
      <c r="D93"/>
      <c r="E93"/>
      <c r="F93"/>
      <c r="G93"/>
      <c r="H93"/>
      <c r="I93"/>
      <c r="J93"/>
      <c r="K93"/>
      <c r="L93"/>
      <c r="M93"/>
      <c r="N93"/>
      <c r="O93"/>
      <c r="P93"/>
    </row>
    <row r="94" spans="2:16">
      <c r="B94"/>
      <c r="C94"/>
      <c r="D94"/>
      <c r="E94"/>
      <c r="F94"/>
      <c r="G94"/>
      <c r="H94"/>
      <c r="I94"/>
      <c r="J94"/>
      <c r="K94"/>
      <c r="L94"/>
      <c r="M94"/>
      <c r="N94"/>
      <c r="O94"/>
      <c r="P94"/>
    </row>
    <row r="95" spans="2:16">
      <c r="B95"/>
      <c r="C95"/>
      <c r="D95"/>
      <c r="E95"/>
      <c r="F95"/>
      <c r="G95"/>
      <c r="H95"/>
      <c r="I95"/>
      <c r="J95"/>
      <c r="K95"/>
      <c r="L95"/>
      <c r="M95"/>
      <c r="N95"/>
      <c r="O95"/>
      <c r="P95"/>
    </row>
    <row r="96" spans="2:16">
      <c r="B96"/>
      <c r="C96"/>
      <c r="D96"/>
      <c r="E96"/>
      <c r="F96"/>
      <c r="G96"/>
      <c r="H96"/>
      <c r="I96"/>
      <c r="J96"/>
      <c r="K96"/>
      <c r="L96"/>
      <c r="M96"/>
      <c r="N96"/>
      <c r="O96"/>
      <c r="P96"/>
    </row>
    <row r="97" spans="2:16">
      <c r="B97"/>
      <c r="C97"/>
      <c r="D97"/>
      <c r="E97"/>
      <c r="F97"/>
      <c r="G97"/>
      <c r="H97"/>
      <c r="I97"/>
      <c r="J97"/>
      <c r="K97"/>
      <c r="L97"/>
      <c r="M97"/>
      <c r="N97"/>
      <c r="O97"/>
      <c r="P97"/>
    </row>
    <row r="98" spans="2:16">
      <c r="B98"/>
      <c r="C98"/>
      <c r="D98"/>
      <c r="E98"/>
      <c r="F98"/>
      <c r="G98"/>
      <c r="H98"/>
      <c r="I98"/>
      <c r="J98"/>
      <c r="K98"/>
      <c r="L98"/>
      <c r="M98"/>
      <c r="N98"/>
      <c r="O98"/>
      <c r="P98"/>
    </row>
    <row r="99" spans="2:16">
      <c r="B99"/>
      <c r="C99"/>
      <c r="D99"/>
      <c r="E99"/>
      <c r="F99"/>
      <c r="G99"/>
      <c r="H99"/>
      <c r="I99"/>
      <c r="J99"/>
      <c r="K99"/>
      <c r="L99"/>
      <c r="M99"/>
      <c r="N99"/>
      <c r="O99"/>
      <c r="P99"/>
    </row>
    <row r="100" spans="2:16">
      <c r="B100"/>
      <c r="C100"/>
      <c r="D100"/>
      <c r="E100"/>
      <c r="F100"/>
      <c r="G100"/>
      <c r="H100"/>
      <c r="I100"/>
      <c r="J100"/>
      <c r="K100"/>
      <c r="L100"/>
      <c r="M100"/>
      <c r="N100"/>
      <c r="O100"/>
      <c r="P100"/>
    </row>
    <row r="101" spans="2:16">
      <c r="B101"/>
      <c r="C101"/>
      <c r="D101"/>
      <c r="E101"/>
      <c r="F101"/>
      <c r="G101"/>
      <c r="H101"/>
      <c r="I101"/>
      <c r="J101"/>
      <c r="K101"/>
      <c r="L101"/>
      <c r="M101"/>
      <c r="N101"/>
      <c r="O101"/>
      <c r="P101"/>
    </row>
    <row r="102" spans="2:16">
      <c r="B102"/>
      <c r="C102"/>
      <c r="D102"/>
      <c r="E102"/>
      <c r="F102"/>
      <c r="G102"/>
      <c r="H102"/>
      <c r="I102"/>
      <c r="J102"/>
      <c r="K102"/>
      <c r="L102"/>
      <c r="M102"/>
      <c r="N102"/>
      <c r="O102"/>
      <c r="P102"/>
    </row>
    <row r="103" spans="2:16">
      <c r="B103"/>
      <c r="C103"/>
      <c r="D103"/>
      <c r="E103"/>
      <c r="F103"/>
      <c r="G103"/>
      <c r="H103"/>
      <c r="I103"/>
      <c r="J103"/>
      <c r="K103"/>
      <c r="L103"/>
      <c r="M103"/>
      <c r="N103"/>
      <c r="O103"/>
      <c r="P103"/>
    </row>
    <row r="104" spans="2:16">
      <c r="B104"/>
      <c r="C104"/>
      <c r="D104"/>
      <c r="E104"/>
      <c r="F104"/>
      <c r="G104"/>
      <c r="H104"/>
      <c r="I104"/>
      <c r="J104"/>
      <c r="K104"/>
      <c r="L104"/>
      <c r="M104"/>
      <c r="N104"/>
      <c r="O104"/>
      <c r="P104"/>
    </row>
    <row r="105" spans="2:16">
      <c r="B105"/>
      <c r="C105"/>
      <c r="D105"/>
      <c r="E105"/>
      <c r="F105"/>
      <c r="G105"/>
      <c r="H105"/>
      <c r="I105"/>
      <c r="J105"/>
      <c r="K105"/>
      <c r="L105"/>
      <c r="M105"/>
      <c r="N105"/>
      <c r="O105"/>
      <c r="P105"/>
    </row>
    <row r="106" spans="2:16">
      <c r="B106"/>
      <c r="C106"/>
      <c r="D106"/>
      <c r="E106"/>
      <c r="F106"/>
      <c r="G106"/>
      <c r="H106"/>
      <c r="I106"/>
      <c r="J106"/>
      <c r="K106"/>
      <c r="L106"/>
      <c r="M106"/>
      <c r="N106"/>
      <c r="O106"/>
      <c r="P106"/>
    </row>
    <row r="107" spans="2:16">
      <c r="B107"/>
      <c r="C107"/>
      <c r="D107"/>
      <c r="E107"/>
      <c r="F107"/>
      <c r="G107"/>
      <c r="H107"/>
      <c r="I107"/>
      <c r="J107"/>
      <c r="K107"/>
      <c r="L107"/>
      <c r="M107"/>
      <c r="N107"/>
      <c r="O107"/>
      <c r="P107"/>
    </row>
    <row r="108" spans="2:16">
      <c r="B108"/>
      <c r="C108"/>
      <c r="D108"/>
      <c r="E108"/>
      <c r="F108"/>
      <c r="G108"/>
      <c r="H108"/>
      <c r="I108"/>
      <c r="J108"/>
      <c r="K108"/>
      <c r="L108"/>
      <c r="M108"/>
      <c r="N108"/>
      <c r="O108"/>
      <c r="P108"/>
    </row>
    <row r="109" spans="2:16">
      <c r="B109"/>
      <c r="C109"/>
      <c r="D109"/>
      <c r="E109"/>
      <c r="F109"/>
      <c r="G109"/>
      <c r="H109"/>
      <c r="I109"/>
      <c r="J109"/>
      <c r="K109"/>
      <c r="L109"/>
      <c r="M109"/>
      <c r="N109"/>
      <c r="O109"/>
      <c r="P109"/>
    </row>
    <row r="110" spans="2:16">
      <c r="B110"/>
      <c r="C110"/>
      <c r="D110"/>
      <c r="E110"/>
      <c r="F110"/>
      <c r="G110"/>
      <c r="H110"/>
      <c r="I110"/>
      <c r="J110"/>
      <c r="K110"/>
      <c r="L110"/>
      <c r="M110"/>
      <c r="N110"/>
      <c r="O110"/>
      <c r="P110"/>
    </row>
    <row r="111" spans="2:16">
      <c r="B111"/>
      <c r="C111"/>
      <c r="D111"/>
      <c r="E111"/>
      <c r="F111"/>
      <c r="G111"/>
      <c r="H111"/>
      <c r="I111"/>
      <c r="J111"/>
      <c r="K111"/>
      <c r="L111"/>
      <c r="M111"/>
      <c r="N111"/>
      <c r="O111"/>
      <c r="P111"/>
    </row>
    <row r="112" spans="2:16">
      <c r="B112"/>
      <c r="C112"/>
      <c r="D112"/>
      <c r="E112"/>
      <c r="F112"/>
      <c r="G112"/>
      <c r="H112"/>
      <c r="I112"/>
      <c r="J112"/>
      <c r="K112"/>
      <c r="L112"/>
      <c r="M112"/>
      <c r="N112"/>
      <c r="O112"/>
      <c r="P112"/>
    </row>
    <row r="113" spans="2:16">
      <c r="B113"/>
      <c r="C113"/>
      <c r="D113"/>
      <c r="E113"/>
      <c r="F113"/>
      <c r="G113"/>
      <c r="H113"/>
      <c r="I113"/>
      <c r="J113"/>
      <c r="K113"/>
      <c r="L113"/>
      <c r="M113"/>
      <c r="N113"/>
      <c r="O113"/>
      <c r="P113"/>
    </row>
    <row r="114" spans="2:16">
      <c r="B114"/>
      <c r="C114"/>
      <c r="D114"/>
      <c r="E114"/>
      <c r="F114"/>
      <c r="G114"/>
      <c r="H114"/>
      <c r="I114"/>
      <c r="J114"/>
      <c r="K114"/>
      <c r="L114"/>
      <c r="M114"/>
      <c r="N114"/>
      <c r="O114"/>
      <c r="P114"/>
    </row>
    <row r="115" spans="2:16">
      <c r="B115"/>
      <c r="C115"/>
      <c r="D115"/>
      <c r="E115"/>
      <c r="F115"/>
      <c r="G115"/>
      <c r="H115"/>
      <c r="I115"/>
      <c r="J115"/>
      <c r="K115"/>
      <c r="L115"/>
      <c r="M115"/>
      <c r="N115"/>
      <c r="O115"/>
      <c r="P115"/>
    </row>
    <row r="116" spans="2:16">
      <c r="B116"/>
      <c r="C116"/>
      <c r="D116"/>
      <c r="E116"/>
      <c r="F116"/>
      <c r="G116"/>
      <c r="H116"/>
      <c r="I116"/>
      <c r="J116"/>
      <c r="K116"/>
      <c r="L116"/>
      <c r="M116"/>
      <c r="N116"/>
      <c r="O116"/>
      <c r="P116"/>
    </row>
    <row r="117" spans="2:16">
      <c r="B117"/>
      <c r="C117"/>
      <c r="D117"/>
      <c r="E117"/>
      <c r="F117"/>
      <c r="G117"/>
      <c r="H117"/>
      <c r="I117"/>
      <c r="J117"/>
      <c r="K117"/>
      <c r="L117"/>
      <c r="M117"/>
      <c r="N117"/>
      <c r="O117"/>
      <c r="P117"/>
    </row>
    <row r="118" spans="2:16">
      <c r="B118"/>
      <c r="C118"/>
      <c r="D118"/>
      <c r="E118"/>
      <c r="F118"/>
      <c r="G118"/>
      <c r="H118"/>
      <c r="I118"/>
      <c r="J118"/>
      <c r="K118"/>
      <c r="L118"/>
      <c r="M118"/>
      <c r="N118"/>
      <c r="O118"/>
      <c r="P118"/>
    </row>
    <row r="119" spans="2:16">
      <c r="B119"/>
      <c r="C119"/>
      <c r="D119"/>
      <c r="E119"/>
      <c r="F119"/>
      <c r="G119"/>
      <c r="H119"/>
      <c r="I119"/>
      <c r="J119"/>
      <c r="K119"/>
      <c r="L119"/>
      <c r="M119"/>
      <c r="N119"/>
      <c r="O119"/>
      <c r="P119"/>
    </row>
    <row r="120" spans="2:16">
      <c r="B120"/>
      <c r="C120"/>
      <c r="D120"/>
      <c r="E120"/>
      <c r="F120"/>
      <c r="G120"/>
      <c r="H120"/>
      <c r="I120"/>
      <c r="J120"/>
      <c r="K120"/>
      <c r="L120"/>
      <c r="M120"/>
      <c r="N120"/>
      <c r="O120"/>
      <c r="P120"/>
    </row>
    <row r="121" spans="2:16">
      <c r="B121"/>
      <c r="C121"/>
      <c r="D121"/>
      <c r="E121"/>
      <c r="F121"/>
      <c r="G121"/>
      <c r="H121"/>
      <c r="I121"/>
      <c r="J121"/>
      <c r="K121"/>
      <c r="L121"/>
      <c r="M121"/>
      <c r="N121"/>
      <c r="O121"/>
      <c r="P121"/>
    </row>
    <row r="122" spans="2:16">
      <c r="B122"/>
      <c r="C122"/>
      <c r="D122"/>
      <c r="E122"/>
      <c r="F122"/>
      <c r="G122"/>
      <c r="H122"/>
      <c r="I122"/>
      <c r="J122"/>
      <c r="K122"/>
      <c r="L122"/>
      <c r="M122"/>
      <c r="N122"/>
      <c r="O122"/>
      <c r="P122"/>
    </row>
    <row r="123" spans="2:16">
      <c r="B123"/>
      <c r="C123"/>
      <c r="D123"/>
      <c r="E123"/>
      <c r="F123"/>
      <c r="G123"/>
      <c r="H123"/>
      <c r="I123"/>
      <c r="J123"/>
      <c r="K123"/>
      <c r="L123"/>
      <c r="M123"/>
      <c r="N123"/>
      <c r="O123"/>
      <c r="P123"/>
    </row>
    <row r="124" spans="2:16">
      <c r="B124"/>
      <c r="C124"/>
      <c r="D124"/>
      <c r="E124"/>
      <c r="F124"/>
      <c r="G124"/>
      <c r="H124"/>
      <c r="I124"/>
      <c r="J124"/>
      <c r="K124"/>
      <c r="L124"/>
      <c r="M124"/>
      <c r="N124"/>
      <c r="O124"/>
      <c r="P124"/>
    </row>
    <row r="125" spans="2:16">
      <c r="B125"/>
      <c r="C125"/>
      <c r="D125"/>
      <c r="E125"/>
      <c r="F125"/>
      <c r="G125"/>
      <c r="H125"/>
      <c r="I125"/>
      <c r="J125"/>
      <c r="K125"/>
      <c r="L125"/>
      <c r="M125"/>
      <c r="N125"/>
      <c r="O125"/>
      <c r="P125"/>
    </row>
    <row r="126" spans="2:16">
      <c r="B126"/>
      <c r="C126"/>
      <c r="D126"/>
      <c r="E126"/>
      <c r="F126"/>
      <c r="G126"/>
      <c r="H126"/>
      <c r="I126"/>
      <c r="J126"/>
      <c r="K126"/>
      <c r="L126"/>
      <c r="M126"/>
      <c r="N126"/>
      <c r="O126"/>
      <c r="P126"/>
    </row>
    <row r="127" spans="2:16">
      <c r="B127"/>
      <c r="C127"/>
      <c r="D127"/>
      <c r="E127"/>
      <c r="F127"/>
      <c r="G127"/>
      <c r="H127"/>
      <c r="I127"/>
      <c r="J127"/>
      <c r="K127"/>
      <c r="L127"/>
      <c r="M127"/>
      <c r="N127"/>
      <c r="O127"/>
      <c r="P127"/>
    </row>
    <row r="128" spans="2:16">
      <c r="B128"/>
      <c r="C128"/>
      <c r="D128"/>
      <c r="E128"/>
      <c r="F128"/>
      <c r="G128"/>
      <c r="H128"/>
      <c r="I128"/>
      <c r="J128"/>
      <c r="K128"/>
      <c r="L128"/>
      <c r="M128"/>
      <c r="N128"/>
      <c r="O128"/>
      <c r="P128"/>
    </row>
    <row r="129" spans="2:16">
      <c r="B129"/>
      <c r="C129"/>
      <c r="D129"/>
      <c r="E129"/>
      <c r="F129"/>
      <c r="G129"/>
      <c r="H129"/>
      <c r="I129"/>
      <c r="J129"/>
      <c r="K129"/>
      <c r="L129"/>
      <c r="M129"/>
      <c r="N129"/>
      <c r="O129"/>
      <c r="P129"/>
    </row>
    <row r="130" spans="2:16">
      <c r="B130"/>
      <c r="C130"/>
      <c r="D130"/>
      <c r="E130"/>
      <c r="F130"/>
      <c r="G130"/>
      <c r="H130"/>
      <c r="I130"/>
      <c r="J130"/>
      <c r="K130"/>
      <c r="L130"/>
      <c r="M130"/>
      <c r="N130"/>
      <c r="O130"/>
      <c r="P130"/>
    </row>
    <row r="131" spans="2:16">
      <c r="B131"/>
      <c r="C131"/>
      <c r="D131"/>
      <c r="E131"/>
      <c r="F131"/>
      <c r="G131"/>
      <c r="H131"/>
      <c r="I131"/>
      <c r="J131"/>
      <c r="K131"/>
      <c r="L131"/>
      <c r="M131"/>
      <c r="N131"/>
      <c r="O131"/>
      <c r="P131"/>
    </row>
    <row r="132" spans="2:16">
      <c r="B132"/>
      <c r="C132"/>
      <c r="D132"/>
      <c r="E132"/>
      <c r="F132"/>
      <c r="G132"/>
      <c r="H132"/>
      <c r="I132"/>
      <c r="J132"/>
      <c r="K132"/>
      <c r="L132"/>
      <c r="M132"/>
      <c r="N132"/>
      <c r="O132"/>
      <c r="P132"/>
    </row>
    <row r="133" spans="2:16">
      <c r="B133"/>
      <c r="C133"/>
      <c r="D133"/>
      <c r="E133"/>
      <c r="F133"/>
      <c r="G133"/>
      <c r="H133"/>
      <c r="I133"/>
      <c r="J133"/>
      <c r="K133"/>
      <c r="L133"/>
      <c r="M133"/>
      <c r="N133"/>
      <c r="O133"/>
      <c r="P133"/>
    </row>
    <row r="134" spans="2:16">
      <c r="B134"/>
      <c r="C134"/>
      <c r="D134"/>
      <c r="E134"/>
      <c r="F134"/>
      <c r="G134"/>
      <c r="H134"/>
      <c r="I134"/>
      <c r="J134"/>
      <c r="K134"/>
      <c r="L134"/>
      <c r="M134"/>
      <c r="N134"/>
      <c r="O134"/>
      <c r="P134"/>
    </row>
    <row r="135" spans="2:16">
      <c r="B135"/>
      <c r="C135"/>
      <c r="D135"/>
      <c r="E135"/>
      <c r="F135"/>
      <c r="G135"/>
      <c r="H135"/>
      <c r="I135"/>
      <c r="J135"/>
      <c r="K135"/>
      <c r="L135"/>
      <c r="M135"/>
      <c r="N135"/>
      <c r="O135"/>
      <c r="P135"/>
    </row>
    <row r="136" spans="2:16">
      <c r="B136"/>
      <c r="C136"/>
      <c r="D136"/>
      <c r="E136"/>
      <c r="F136"/>
      <c r="G136"/>
      <c r="H136"/>
      <c r="I136"/>
      <c r="J136"/>
      <c r="K136"/>
      <c r="L136"/>
      <c r="M136"/>
      <c r="N136"/>
      <c r="O136"/>
      <c r="P136"/>
    </row>
    <row r="137" spans="2:16">
      <c r="B137"/>
      <c r="C137"/>
      <c r="D137"/>
      <c r="E137"/>
      <c r="F137"/>
      <c r="G137"/>
      <c r="H137"/>
      <c r="I137"/>
      <c r="J137"/>
      <c r="K137"/>
      <c r="L137"/>
      <c r="M137"/>
      <c r="N137"/>
      <c r="O137"/>
      <c r="P137"/>
    </row>
    <row r="138" spans="2:16">
      <c r="B138"/>
      <c r="C138"/>
      <c r="D138"/>
      <c r="E138"/>
      <c r="F138"/>
      <c r="G138"/>
      <c r="H138"/>
      <c r="I138"/>
      <c r="J138"/>
      <c r="K138"/>
      <c r="L138"/>
      <c r="M138"/>
      <c r="N138"/>
      <c r="O138"/>
      <c r="P138"/>
    </row>
    <row r="139" spans="2:16">
      <c r="B139"/>
      <c r="C139"/>
      <c r="D139"/>
      <c r="E139"/>
      <c r="F139"/>
      <c r="G139"/>
      <c r="H139"/>
      <c r="I139"/>
      <c r="J139"/>
      <c r="K139"/>
      <c r="L139"/>
      <c r="M139"/>
      <c r="N139"/>
      <c r="O139"/>
      <c r="P139"/>
    </row>
    <row r="140" spans="2:16">
      <c r="B140"/>
      <c r="C140"/>
      <c r="D140"/>
      <c r="E140"/>
      <c r="F140"/>
      <c r="G140"/>
      <c r="H140"/>
      <c r="I140"/>
      <c r="J140"/>
      <c r="K140"/>
      <c r="L140"/>
      <c r="M140"/>
      <c r="N140"/>
      <c r="O140"/>
      <c r="P140"/>
    </row>
    <row r="141" spans="2:16">
      <c r="B141"/>
      <c r="C141"/>
      <c r="D141"/>
      <c r="E141"/>
      <c r="F141"/>
      <c r="G141"/>
      <c r="H141"/>
      <c r="I141"/>
      <c r="J141"/>
      <c r="K141"/>
      <c r="L141"/>
      <c r="M141"/>
      <c r="N141"/>
      <c r="O141"/>
      <c r="P141"/>
    </row>
    <row r="142" spans="2:16">
      <c r="B142"/>
      <c r="C142"/>
      <c r="D142"/>
      <c r="E142"/>
      <c r="F142"/>
      <c r="G142"/>
      <c r="H142"/>
      <c r="I142"/>
      <c r="J142"/>
      <c r="K142"/>
      <c r="L142"/>
      <c r="M142"/>
      <c r="N142"/>
      <c r="O142"/>
      <c r="P142"/>
    </row>
    <row r="143" spans="2:16">
      <c r="B143"/>
      <c r="C143"/>
      <c r="D143"/>
      <c r="E143"/>
      <c r="F143"/>
      <c r="G143"/>
      <c r="H143"/>
      <c r="I143"/>
      <c r="J143"/>
      <c r="K143"/>
      <c r="L143"/>
      <c r="M143"/>
      <c r="N143"/>
      <c r="O143"/>
      <c r="P143"/>
    </row>
    <row r="144" spans="2:16">
      <c r="B144"/>
      <c r="C144"/>
      <c r="D144"/>
      <c r="E144"/>
      <c r="F144"/>
      <c r="G144"/>
      <c r="H144"/>
      <c r="I144"/>
      <c r="J144"/>
      <c r="K144"/>
      <c r="L144"/>
      <c r="M144"/>
      <c r="N144"/>
      <c r="O144"/>
      <c r="P144"/>
    </row>
    <row r="145" spans="2:16">
      <c r="B145"/>
      <c r="C145"/>
      <c r="D145"/>
      <c r="E145"/>
      <c r="F145"/>
      <c r="G145"/>
      <c r="H145"/>
      <c r="I145"/>
      <c r="J145"/>
      <c r="K145"/>
      <c r="L145"/>
      <c r="M145"/>
      <c r="N145"/>
      <c r="O145"/>
      <c r="P145"/>
    </row>
    <row r="146" spans="2:16">
      <c r="B146"/>
      <c r="C146"/>
      <c r="D146"/>
      <c r="E146"/>
      <c r="F146"/>
      <c r="G146"/>
      <c r="H146"/>
      <c r="I146"/>
      <c r="J146"/>
      <c r="K146"/>
      <c r="L146"/>
      <c r="M146"/>
      <c r="N146"/>
      <c r="O146"/>
      <c r="P146"/>
    </row>
    <row r="147" spans="2:16">
      <c r="B147"/>
      <c r="C147"/>
      <c r="D147"/>
      <c r="E147"/>
      <c r="F147"/>
      <c r="G147"/>
      <c r="H147"/>
      <c r="I147"/>
      <c r="J147"/>
      <c r="K147"/>
      <c r="L147"/>
      <c r="M147"/>
      <c r="N147"/>
      <c r="O147"/>
      <c r="P147"/>
    </row>
    <row r="148" spans="2:16">
      <c r="B148"/>
      <c r="C148"/>
      <c r="D148"/>
      <c r="E148"/>
      <c r="F148"/>
      <c r="G148"/>
      <c r="H148"/>
      <c r="I148"/>
      <c r="J148"/>
      <c r="K148"/>
      <c r="L148"/>
      <c r="M148"/>
      <c r="N148"/>
      <c r="O148"/>
      <c r="P148"/>
    </row>
    <row r="149" spans="2:16">
      <c r="B149"/>
      <c r="C149"/>
      <c r="D149"/>
      <c r="E149"/>
      <c r="F149"/>
      <c r="G149"/>
      <c r="H149"/>
      <c r="I149"/>
      <c r="J149"/>
      <c r="K149"/>
      <c r="L149"/>
      <c r="M149"/>
      <c r="N149"/>
      <c r="O149"/>
      <c r="P149"/>
    </row>
    <row r="150" spans="2:16">
      <c r="B150"/>
      <c r="C150"/>
      <c r="D150"/>
      <c r="E150"/>
      <c r="F150"/>
      <c r="G150"/>
      <c r="H150"/>
      <c r="I150"/>
      <c r="J150"/>
      <c r="K150"/>
      <c r="L150"/>
      <c r="M150"/>
      <c r="N150"/>
      <c r="O150"/>
      <c r="P150"/>
    </row>
    <row r="151" spans="2:16">
      <c r="B151"/>
      <c r="C151"/>
      <c r="D151"/>
      <c r="E151"/>
      <c r="F151"/>
      <c r="G151"/>
      <c r="H151"/>
      <c r="I151"/>
      <c r="J151"/>
      <c r="K151"/>
      <c r="L151"/>
      <c r="M151"/>
      <c r="N151"/>
      <c r="O151"/>
      <c r="P151"/>
    </row>
    <row r="152" spans="2:16">
      <c r="B152"/>
      <c r="C152"/>
      <c r="D152"/>
      <c r="E152"/>
      <c r="F152"/>
      <c r="G152"/>
      <c r="H152"/>
      <c r="I152"/>
      <c r="J152"/>
      <c r="K152"/>
      <c r="L152"/>
      <c r="M152"/>
      <c r="N152"/>
      <c r="O152"/>
      <c r="P152"/>
    </row>
    <row r="153" spans="2:16">
      <c r="B153"/>
      <c r="C153"/>
      <c r="D153"/>
      <c r="E153"/>
      <c r="F153"/>
      <c r="G153"/>
      <c r="H153"/>
      <c r="I153"/>
      <c r="J153"/>
      <c r="K153"/>
      <c r="L153"/>
      <c r="M153"/>
      <c r="N153"/>
      <c r="O153"/>
      <c r="P153"/>
    </row>
    <row r="154" spans="2:16">
      <c r="B154"/>
      <c r="C154"/>
      <c r="D154"/>
      <c r="E154"/>
      <c r="F154"/>
      <c r="G154"/>
      <c r="H154"/>
      <c r="I154"/>
      <c r="J154"/>
      <c r="K154"/>
      <c r="L154"/>
      <c r="M154"/>
      <c r="N154"/>
      <c r="O154"/>
      <c r="P154"/>
    </row>
    <row r="155" spans="2:16">
      <c r="B155"/>
      <c r="C155"/>
      <c r="D155"/>
      <c r="E155"/>
      <c r="F155"/>
      <c r="G155"/>
      <c r="H155"/>
      <c r="I155"/>
      <c r="J155"/>
      <c r="K155"/>
      <c r="L155"/>
      <c r="M155"/>
      <c r="N155"/>
      <c r="O155"/>
      <c r="P155"/>
    </row>
    <row r="156" spans="2:16">
      <c r="B156"/>
      <c r="C156"/>
      <c r="D156"/>
      <c r="E156"/>
      <c r="F156"/>
      <c r="G156"/>
      <c r="H156"/>
      <c r="I156"/>
      <c r="J156"/>
      <c r="K156"/>
      <c r="L156"/>
      <c r="M156"/>
      <c r="N156"/>
      <c r="O156"/>
      <c r="P156"/>
    </row>
    <row r="157" spans="2:16">
      <c r="B157"/>
      <c r="C157"/>
      <c r="D157"/>
      <c r="E157"/>
      <c r="F157"/>
      <c r="G157"/>
      <c r="H157"/>
      <c r="I157"/>
      <c r="J157"/>
      <c r="K157"/>
      <c r="L157"/>
      <c r="M157"/>
      <c r="N157"/>
      <c r="O157"/>
      <c r="P157"/>
    </row>
    <row r="158" spans="2:16">
      <c r="B158"/>
      <c r="C158"/>
      <c r="D158"/>
      <c r="E158"/>
      <c r="F158"/>
      <c r="G158"/>
      <c r="H158"/>
      <c r="I158"/>
      <c r="J158"/>
      <c r="K158"/>
      <c r="L158"/>
      <c r="M158"/>
      <c r="N158"/>
      <c r="O158"/>
      <c r="P158"/>
    </row>
    <row r="159" spans="2:16">
      <c r="B159"/>
      <c r="C159"/>
      <c r="D159"/>
      <c r="E159"/>
      <c r="F159"/>
      <c r="G159"/>
      <c r="H159"/>
      <c r="I159"/>
      <c r="J159"/>
      <c r="K159"/>
      <c r="L159"/>
      <c r="M159"/>
      <c r="N159"/>
      <c r="O159"/>
      <c r="P159"/>
    </row>
    <row r="160" spans="2:16">
      <c r="B160"/>
      <c r="C160"/>
      <c r="D160"/>
      <c r="E160"/>
      <c r="F160"/>
      <c r="G160"/>
      <c r="H160"/>
      <c r="I160"/>
      <c r="J160"/>
      <c r="K160"/>
      <c r="L160"/>
      <c r="M160"/>
      <c r="N160"/>
      <c r="O160"/>
      <c r="P160"/>
    </row>
    <row r="161" spans="2:16">
      <c r="B161"/>
      <c r="C161"/>
      <c r="D161"/>
      <c r="E161"/>
      <c r="F161"/>
      <c r="G161"/>
      <c r="H161"/>
      <c r="I161"/>
      <c r="J161"/>
      <c r="K161"/>
      <c r="L161"/>
      <c r="M161"/>
      <c r="N161"/>
      <c r="O161"/>
      <c r="P161"/>
    </row>
    <row r="162" spans="2:16">
      <c r="B162"/>
      <c r="C162"/>
      <c r="D162"/>
      <c r="E162"/>
      <c r="F162"/>
      <c r="G162"/>
      <c r="H162"/>
      <c r="I162"/>
      <c r="J162"/>
      <c r="K162"/>
      <c r="L162"/>
      <c r="M162"/>
      <c r="N162"/>
      <c r="O162"/>
      <c r="P162"/>
    </row>
    <row r="163" spans="2:16">
      <c r="B163"/>
      <c r="C163"/>
      <c r="D163"/>
      <c r="E163"/>
      <c r="F163"/>
      <c r="G163"/>
      <c r="H163"/>
      <c r="I163"/>
      <c r="J163"/>
      <c r="K163"/>
      <c r="L163"/>
      <c r="M163"/>
      <c r="N163"/>
      <c r="O163"/>
      <c r="P163"/>
    </row>
    <row r="164" spans="2:16">
      <c r="B164"/>
      <c r="C164"/>
      <c r="D164"/>
      <c r="E164"/>
      <c r="F164"/>
      <c r="G164"/>
      <c r="H164"/>
      <c r="I164"/>
      <c r="J164"/>
      <c r="K164"/>
      <c r="L164"/>
      <c r="M164"/>
      <c r="N164"/>
      <c r="O164"/>
      <c r="P164"/>
    </row>
    <row r="165" spans="2:16">
      <c r="B165"/>
      <c r="C165"/>
      <c r="D165"/>
      <c r="E165"/>
      <c r="F165"/>
      <c r="G165"/>
      <c r="H165"/>
      <c r="I165"/>
      <c r="J165"/>
      <c r="K165"/>
      <c r="L165"/>
      <c r="M165"/>
      <c r="N165"/>
      <c r="O165"/>
      <c r="P165"/>
    </row>
    <row r="166" spans="2:16">
      <c r="B166"/>
      <c r="C166"/>
      <c r="D166"/>
      <c r="E166"/>
      <c r="F166"/>
      <c r="G166"/>
      <c r="H166"/>
      <c r="I166"/>
      <c r="J166"/>
      <c r="K166"/>
      <c r="L166"/>
      <c r="M166"/>
      <c r="N166"/>
      <c r="O166"/>
      <c r="P166"/>
    </row>
    <row r="167" spans="2:16">
      <c r="B167"/>
      <c r="C167"/>
      <c r="D167"/>
      <c r="E167"/>
      <c r="F167"/>
      <c r="G167"/>
      <c r="H167"/>
      <c r="I167"/>
      <c r="J167"/>
      <c r="K167"/>
      <c r="L167"/>
      <c r="M167"/>
      <c r="N167"/>
      <c r="O167"/>
      <c r="P167"/>
    </row>
    <row r="168" spans="2:16">
      <c r="B168"/>
      <c r="C168"/>
      <c r="D168"/>
      <c r="E168"/>
      <c r="F168"/>
      <c r="G168"/>
      <c r="H168"/>
      <c r="I168"/>
      <c r="J168"/>
      <c r="K168"/>
      <c r="L168"/>
      <c r="M168"/>
      <c r="N168"/>
      <c r="O168"/>
      <c r="P168"/>
    </row>
    <row r="169" spans="2:16">
      <c r="B169"/>
      <c r="C169"/>
      <c r="D169"/>
      <c r="E169"/>
      <c r="F169"/>
      <c r="G169"/>
      <c r="H169"/>
      <c r="I169"/>
      <c r="J169"/>
      <c r="K169"/>
      <c r="L169"/>
      <c r="M169"/>
      <c r="N169"/>
      <c r="O169"/>
      <c r="P169"/>
    </row>
    <row r="170" spans="2:16">
      <c r="B170"/>
      <c r="C170"/>
      <c r="D170"/>
      <c r="E170"/>
      <c r="F170"/>
      <c r="G170"/>
      <c r="H170"/>
      <c r="I170"/>
      <c r="J170"/>
      <c r="K170"/>
      <c r="L170"/>
      <c r="M170"/>
      <c r="N170"/>
      <c r="O170"/>
      <c r="P170"/>
    </row>
    <row r="171" spans="2:16">
      <c r="B171"/>
      <c r="C171"/>
      <c r="D171"/>
      <c r="E171"/>
      <c r="F171"/>
      <c r="G171"/>
      <c r="H171"/>
      <c r="I171"/>
      <c r="J171"/>
      <c r="K171"/>
      <c r="L171"/>
      <c r="M171"/>
      <c r="N171"/>
      <c r="O171"/>
      <c r="P171"/>
    </row>
    <row r="172" spans="2:16">
      <c r="B172"/>
      <c r="C172"/>
      <c r="D172"/>
      <c r="E172"/>
      <c r="F172"/>
      <c r="G172"/>
      <c r="H172"/>
      <c r="I172"/>
      <c r="J172"/>
      <c r="K172"/>
      <c r="L172"/>
      <c r="M172"/>
      <c r="N172"/>
      <c r="O172"/>
      <c r="P172"/>
    </row>
    <row r="173" spans="2:16">
      <c r="B173"/>
      <c r="C173"/>
      <c r="D173"/>
      <c r="E173"/>
      <c r="F173"/>
      <c r="G173"/>
      <c r="H173"/>
      <c r="I173"/>
      <c r="J173"/>
      <c r="K173"/>
      <c r="L173"/>
      <c r="M173"/>
      <c r="N173"/>
      <c r="O173"/>
      <c r="P173"/>
    </row>
    <row r="174" spans="2:16">
      <c r="B174"/>
      <c r="C174"/>
      <c r="D174"/>
      <c r="E174"/>
      <c r="F174"/>
      <c r="G174"/>
      <c r="H174"/>
      <c r="I174"/>
      <c r="J174"/>
      <c r="K174"/>
      <c r="L174"/>
      <c r="M174"/>
      <c r="N174"/>
      <c r="O174"/>
      <c r="P174"/>
    </row>
    <row r="175" spans="2:16">
      <c r="B175"/>
      <c r="C175"/>
      <c r="D175"/>
      <c r="E175"/>
      <c r="F175"/>
      <c r="G175"/>
      <c r="H175"/>
      <c r="I175"/>
      <c r="J175"/>
      <c r="K175"/>
      <c r="L175"/>
      <c r="M175"/>
      <c r="N175"/>
      <c r="O175"/>
      <c r="P175"/>
    </row>
    <row r="176" spans="2:16">
      <c r="B176"/>
      <c r="C176"/>
      <c r="D176"/>
      <c r="E176"/>
      <c r="F176"/>
      <c r="G176"/>
      <c r="H176"/>
      <c r="I176"/>
      <c r="J176"/>
      <c r="K176"/>
      <c r="L176"/>
      <c r="M176"/>
      <c r="N176"/>
      <c r="O176"/>
      <c r="P176"/>
    </row>
    <row r="177" spans="2:16">
      <c r="B177"/>
      <c r="C177"/>
      <c r="D177"/>
      <c r="E177"/>
      <c r="F177"/>
      <c r="G177"/>
      <c r="H177"/>
      <c r="I177"/>
      <c r="J177"/>
      <c r="K177"/>
      <c r="L177"/>
      <c r="M177"/>
      <c r="N177"/>
      <c r="O177"/>
      <c r="P177"/>
    </row>
    <row r="178" spans="2:16">
      <c r="B178"/>
      <c r="C178"/>
      <c r="D178"/>
      <c r="E178"/>
      <c r="F178"/>
      <c r="G178"/>
      <c r="H178"/>
      <c r="I178"/>
      <c r="J178"/>
      <c r="K178"/>
      <c r="L178"/>
      <c r="M178"/>
      <c r="N178"/>
      <c r="O178"/>
      <c r="P178"/>
    </row>
    <row r="179" spans="2:16">
      <c r="B179"/>
      <c r="C179"/>
      <c r="D179"/>
      <c r="E179"/>
      <c r="F179"/>
      <c r="G179"/>
      <c r="H179"/>
      <c r="I179"/>
      <c r="J179"/>
      <c r="K179"/>
      <c r="L179"/>
      <c r="M179"/>
      <c r="N179"/>
      <c r="O179"/>
      <c r="P179"/>
    </row>
    <row r="180" spans="2:16">
      <c r="B180"/>
      <c r="C180"/>
      <c r="D180"/>
      <c r="E180"/>
      <c r="F180"/>
      <c r="G180"/>
      <c r="H180"/>
      <c r="I180"/>
      <c r="J180"/>
      <c r="K180"/>
      <c r="L180"/>
      <c r="M180"/>
      <c r="N180"/>
      <c r="O180"/>
      <c r="P180"/>
    </row>
    <row r="181" spans="2:16">
      <c r="B181"/>
      <c r="C181"/>
      <c r="D181"/>
      <c r="E181"/>
      <c r="F181"/>
      <c r="G181"/>
      <c r="H181"/>
      <c r="I181"/>
      <c r="J181"/>
      <c r="K181"/>
      <c r="L181"/>
      <c r="M181"/>
      <c r="N181"/>
      <c r="O181"/>
      <c r="P181"/>
    </row>
    <row r="182" spans="2:16">
      <c r="B182"/>
      <c r="C182"/>
      <c r="D182"/>
      <c r="E182"/>
      <c r="F182"/>
      <c r="G182"/>
      <c r="H182"/>
      <c r="I182"/>
      <c r="J182"/>
      <c r="K182"/>
      <c r="L182"/>
      <c r="M182"/>
      <c r="N182"/>
      <c r="O182"/>
      <c r="P182"/>
    </row>
    <row r="183" spans="2:16">
      <c r="B183"/>
      <c r="C183"/>
      <c r="D183"/>
      <c r="E183"/>
      <c r="F183"/>
      <c r="G183"/>
      <c r="H183"/>
      <c r="I183"/>
      <c r="J183"/>
      <c r="K183"/>
      <c r="L183"/>
      <c r="M183"/>
      <c r="N183"/>
      <c r="O183"/>
      <c r="P183"/>
    </row>
    <row r="184" spans="2:16">
      <c r="B184"/>
      <c r="C184"/>
      <c r="D184"/>
      <c r="E184"/>
      <c r="F184"/>
      <c r="G184"/>
      <c r="H184"/>
      <c r="I184"/>
      <c r="J184"/>
      <c r="K184"/>
      <c r="L184"/>
      <c r="M184"/>
      <c r="N184"/>
      <c r="O184"/>
      <c r="P184"/>
    </row>
    <row r="185" spans="2:16">
      <c r="B185"/>
      <c r="C185"/>
      <c r="D185"/>
      <c r="E185"/>
      <c r="F185"/>
      <c r="G185"/>
      <c r="H185"/>
      <c r="I185"/>
      <c r="J185"/>
      <c r="K185"/>
      <c r="L185"/>
      <c r="M185"/>
      <c r="N185"/>
      <c r="O185"/>
      <c r="P185"/>
    </row>
    <row r="186" spans="2:16">
      <c r="B186"/>
      <c r="C186"/>
      <c r="D186"/>
      <c r="E186"/>
      <c r="F186"/>
      <c r="G186"/>
      <c r="H186"/>
      <c r="I186"/>
      <c r="J186"/>
      <c r="K186"/>
      <c r="L186"/>
      <c r="M186"/>
      <c r="N186"/>
      <c r="O186"/>
      <c r="P186"/>
    </row>
    <row r="187" spans="2:16">
      <c r="B187"/>
      <c r="C187"/>
      <c r="D187"/>
      <c r="E187"/>
      <c r="F187"/>
      <c r="G187"/>
      <c r="H187"/>
      <c r="I187"/>
      <c r="J187"/>
      <c r="K187"/>
      <c r="L187"/>
      <c r="M187"/>
      <c r="N187"/>
      <c r="O187"/>
      <c r="P187"/>
    </row>
    <row r="188" spans="2:16">
      <c r="B188"/>
      <c r="C188"/>
      <c r="D188"/>
      <c r="E188"/>
      <c r="F188"/>
      <c r="G188"/>
      <c r="H188"/>
      <c r="I188"/>
      <c r="J188"/>
      <c r="K188"/>
      <c r="L188"/>
      <c r="M188"/>
      <c r="N188"/>
      <c r="O188"/>
      <c r="P188"/>
    </row>
    <row r="189" spans="2:16">
      <c r="B189"/>
      <c r="C189"/>
      <c r="D189"/>
      <c r="E189"/>
      <c r="F189"/>
      <c r="G189"/>
      <c r="H189"/>
      <c r="I189"/>
      <c r="J189"/>
      <c r="K189"/>
      <c r="L189"/>
      <c r="M189"/>
      <c r="N189"/>
      <c r="O189"/>
      <c r="P189"/>
    </row>
    <row r="190" spans="2:16">
      <c r="B190"/>
      <c r="C190"/>
      <c r="D190"/>
      <c r="E190"/>
      <c r="F190"/>
      <c r="G190"/>
      <c r="H190"/>
      <c r="I190"/>
      <c r="J190"/>
      <c r="K190"/>
      <c r="L190"/>
      <c r="M190"/>
      <c r="N190"/>
      <c r="O190"/>
      <c r="P190"/>
    </row>
    <row r="191" spans="2:16">
      <c r="B191"/>
      <c r="C191"/>
      <c r="D191"/>
      <c r="E191"/>
      <c r="F191"/>
      <c r="G191"/>
      <c r="H191"/>
      <c r="I191"/>
      <c r="J191"/>
      <c r="K191"/>
      <c r="L191"/>
      <c r="M191"/>
      <c r="N191"/>
      <c r="O191"/>
      <c r="P191"/>
    </row>
    <row r="192" spans="2:16">
      <c r="B192"/>
      <c r="C192"/>
      <c r="D192"/>
      <c r="E192"/>
      <c r="F192"/>
      <c r="G192"/>
      <c r="H192"/>
      <c r="I192"/>
      <c r="J192"/>
      <c r="K192"/>
      <c r="L192"/>
      <c r="M192"/>
      <c r="N192"/>
      <c r="O192"/>
      <c r="P192"/>
    </row>
    <row r="193" spans="2:16">
      <c r="B193"/>
      <c r="C193"/>
      <c r="D193"/>
      <c r="E193"/>
      <c r="F193"/>
      <c r="G193"/>
      <c r="H193"/>
      <c r="I193"/>
      <c r="J193"/>
      <c r="K193"/>
      <c r="L193"/>
      <c r="M193"/>
      <c r="N193"/>
      <c r="O193"/>
      <c r="P193"/>
    </row>
    <row r="194" spans="2:16">
      <c r="B194"/>
      <c r="C194"/>
      <c r="D194"/>
      <c r="E194"/>
      <c r="F194"/>
      <c r="G194"/>
      <c r="H194"/>
      <c r="I194"/>
      <c r="J194"/>
      <c r="K194"/>
      <c r="L194"/>
      <c r="M194"/>
      <c r="N194"/>
      <c r="O194"/>
      <c r="P194"/>
    </row>
    <row r="195" spans="2:16">
      <c r="B195"/>
      <c r="C195"/>
      <c r="D195"/>
      <c r="E195"/>
      <c r="F195"/>
      <c r="G195"/>
      <c r="H195"/>
      <c r="I195"/>
      <c r="J195"/>
      <c r="K195"/>
      <c r="L195"/>
      <c r="M195"/>
      <c r="N195"/>
      <c r="O195"/>
      <c r="P195"/>
    </row>
    <row r="196" spans="2:16">
      <c r="B196"/>
      <c r="C196"/>
      <c r="D196"/>
      <c r="E196"/>
      <c r="F196"/>
      <c r="G196"/>
      <c r="H196"/>
      <c r="I196"/>
      <c r="J196"/>
      <c r="K196"/>
      <c r="L196"/>
      <c r="M196"/>
      <c r="N196"/>
      <c r="O196"/>
      <c r="P196"/>
    </row>
    <row r="197" spans="2:16">
      <c r="B197"/>
      <c r="C197"/>
      <c r="D197"/>
      <c r="E197"/>
      <c r="F197"/>
      <c r="G197"/>
      <c r="H197"/>
      <c r="I197"/>
      <c r="J197"/>
      <c r="K197"/>
      <c r="L197"/>
      <c r="M197"/>
      <c r="N197"/>
      <c r="O197"/>
      <c r="P197"/>
    </row>
    <row r="198" spans="2:16">
      <c r="B198"/>
      <c r="C198"/>
      <c r="D198"/>
      <c r="E198"/>
      <c r="F198"/>
      <c r="G198"/>
      <c r="H198"/>
      <c r="I198"/>
      <c r="J198"/>
      <c r="K198"/>
      <c r="L198"/>
      <c r="M198"/>
      <c r="N198"/>
      <c r="O198"/>
      <c r="P198"/>
    </row>
    <row r="199" spans="2:16">
      <c r="B199"/>
      <c r="C199"/>
      <c r="D199"/>
      <c r="E199"/>
      <c r="F199"/>
      <c r="G199"/>
      <c r="H199"/>
      <c r="I199"/>
      <c r="J199"/>
      <c r="K199"/>
      <c r="L199"/>
      <c r="M199"/>
      <c r="N199"/>
      <c r="O199"/>
      <c r="P199"/>
    </row>
    <row r="200" spans="2:16">
      <c r="B200"/>
      <c r="C200"/>
      <c r="D200"/>
      <c r="E200"/>
      <c r="F200"/>
      <c r="G200"/>
      <c r="H200"/>
      <c r="I200"/>
      <c r="J200"/>
      <c r="K200"/>
      <c r="L200"/>
      <c r="M200"/>
      <c r="N200"/>
      <c r="O200"/>
      <c r="P200"/>
    </row>
    <row r="201" spans="2:16">
      <c r="B201"/>
      <c r="C201"/>
      <c r="D201"/>
      <c r="E201"/>
      <c r="F201"/>
      <c r="G201"/>
      <c r="H201"/>
      <c r="I201"/>
      <c r="J201"/>
      <c r="K201"/>
      <c r="L201"/>
      <c r="M201"/>
      <c r="N201"/>
      <c r="O201"/>
      <c r="P201"/>
    </row>
    <row r="202" spans="2:16">
      <c r="B202"/>
      <c r="C202"/>
      <c r="D202"/>
      <c r="E202"/>
      <c r="F202"/>
      <c r="G202"/>
      <c r="H202"/>
      <c r="I202"/>
      <c r="J202"/>
      <c r="K202"/>
      <c r="L202"/>
      <c r="M202"/>
      <c r="N202"/>
      <c r="O202"/>
      <c r="P202"/>
    </row>
    <row r="203" spans="2:16">
      <c r="B203"/>
      <c r="C203"/>
      <c r="D203"/>
      <c r="E203"/>
      <c r="F203"/>
      <c r="G203"/>
      <c r="H203"/>
      <c r="I203"/>
      <c r="J203"/>
      <c r="K203"/>
      <c r="L203"/>
      <c r="M203"/>
      <c r="N203"/>
      <c r="O203"/>
      <c r="P203"/>
    </row>
    <row r="204" spans="2:16">
      <c r="B204"/>
      <c r="C204"/>
      <c r="D204"/>
      <c r="E204"/>
      <c r="F204"/>
      <c r="G204"/>
      <c r="H204"/>
      <c r="I204"/>
      <c r="J204"/>
      <c r="K204"/>
      <c r="L204"/>
      <c r="M204"/>
      <c r="N204"/>
      <c r="O204"/>
      <c r="P204"/>
    </row>
    <row r="205" spans="2:16">
      <c r="B205"/>
      <c r="C205"/>
      <c r="D205"/>
      <c r="E205"/>
      <c r="F205"/>
      <c r="G205"/>
      <c r="H205"/>
      <c r="I205"/>
      <c r="J205"/>
      <c r="K205"/>
      <c r="L205"/>
      <c r="M205"/>
      <c r="N205"/>
      <c r="O205"/>
      <c r="P205"/>
    </row>
    <row r="206" spans="2:16">
      <c r="B206"/>
      <c r="C206"/>
      <c r="D206"/>
      <c r="E206"/>
      <c r="F206"/>
      <c r="G206"/>
      <c r="H206"/>
      <c r="I206"/>
      <c r="J206"/>
      <c r="K206"/>
      <c r="L206"/>
      <c r="M206"/>
      <c r="N206"/>
      <c r="O206"/>
      <c r="P206"/>
    </row>
    <row r="207" spans="2:16">
      <c r="B207"/>
      <c r="C207"/>
      <c r="D207"/>
      <c r="E207"/>
      <c r="F207"/>
      <c r="G207"/>
      <c r="H207"/>
      <c r="I207"/>
      <c r="J207"/>
      <c r="K207"/>
      <c r="L207"/>
      <c r="M207"/>
      <c r="N207"/>
      <c r="O207"/>
      <c r="P207"/>
    </row>
    <row r="208" spans="2:16">
      <c r="B208"/>
      <c r="C208"/>
      <c r="D208"/>
      <c r="E208"/>
      <c r="F208"/>
      <c r="G208"/>
      <c r="H208"/>
      <c r="I208"/>
      <c r="J208"/>
      <c r="K208"/>
      <c r="L208"/>
      <c r="M208"/>
      <c r="N208"/>
      <c r="O208"/>
      <c r="P208"/>
    </row>
    <row r="209" spans="2:16">
      <c r="B209"/>
      <c r="C209"/>
      <c r="D209"/>
      <c r="E209"/>
      <c r="F209"/>
      <c r="G209"/>
      <c r="H209"/>
      <c r="I209"/>
      <c r="J209"/>
      <c r="K209"/>
      <c r="L209"/>
      <c r="M209"/>
      <c r="N209"/>
      <c r="O209"/>
      <c r="P209"/>
    </row>
    <row r="210" spans="2:16">
      <c r="B210"/>
      <c r="C210"/>
      <c r="D210"/>
      <c r="E210"/>
      <c r="F210"/>
      <c r="G210"/>
      <c r="H210"/>
      <c r="I210"/>
      <c r="J210"/>
      <c r="K210"/>
      <c r="L210"/>
      <c r="M210"/>
      <c r="N210"/>
      <c r="O210"/>
      <c r="P210"/>
    </row>
    <row r="211" spans="2:16">
      <c r="B211"/>
      <c r="C211"/>
      <c r="D211"/>
      <c r="E211"/>
      <c r="F211"/>
      <c r="G211"/>
      <c r="H211"/>
      <c r="I211"/>
      <c r="J211"/>
      <c r="K211"/>
      <c r="L211"/>
      <c r="M211"/>
      <c r="N211"/>
      <c r="O211"/>
      <c r="P211"/>
    </row>
    <row r="212" spans="2:16">
      <c r="B212"/>
      <c r="C212"/>
      <c r="D212"/>
      <c r="E212"/>
      <c r="F212"/>
      <c r="G212"/>
      <c r="H212"/>
      <c r="I212"/>
      <c r="J212"/>
      <c r="K212"/>
      <c r="L212"/>
      <c r="M212"/>
      <c r="N212"/>
      <c r="O212"/>
      <c r="P212"/>
    </row>
    <row r="213" spans="2:16">
      <c r="B213"/>
      <c r="C213"/>
      <c r="D213"/>
      <c r="E213"/>
      <c r="F213"/>
      <c r="G213"/>
      <c r="H213"/>
      <c r="I213"/>
      <c r="J213"/>
      <c r="K213"/>
      <c r="L213"/>
      <c r="M213"/>
      <c r="N213"/>
      <c r="O213"/>
      <c r="P213"/>
    </row>
    <row r="214" spans="2:16">
      <c r="B214"/>
      <c r="C214"/>
      <c r="D214"/>
      <c r="E214"/>
      <c r="F214"/>
      <c r="G214"/>
      <c r="H214"/>
      <c r="I214"/>
      <c r="J214"/>
      <c r="K214"/>
      <c r="L214"/>
      <c r="M214"/>
      <c r="N214"/>
      <c r="O214"/>
      <c r="P214"/>
    </row>
    <row r="215" spans="2:16">
      <c r="B215"/>
      <c r="C215"/>
      <c r="D215"/>
      <c r="E215"/>
      <c r="F215"/>
      <c r="G215"/>
      <c r="H215"/>
      <c r="I215"/>
      <c r="J215"/>
      <c r="K215"/>
      <c r="L215"/>
      <c r="M215"/>
      <c r="N215"/>
      <c r="O215"/>
      <c r="P215"/>
    </row>
    <row r="216" spans="2:16">
      <c r="B216"/>
      <c r="C216"/>
      <c r="D216"/>
      <c r="E216"/>
      <c r="F216"/>
      <c r="G216"/>
      <c r="H216"/>
      <c r="I216"/>
      <c r="J216"/>
      <c r="K216"/>
      <c r="L216"/>
      <c r="M216"/>
      <c r="N216"/>
      <c r="O216"/>
      <c r="P216"/>
    </row>
    <row r="217" spans="2:16">
      <c r="B217"/>
      <c r="C217"/>
      <c r="D217"/>
      <c r="E217"/>
      <c r="F217"/>
      <c r="G217"/>
      <c r="H217"/>
      <c r="I217"/>
      <c r="J217"/>
      <c r="K217"/>
      <c r="L217"/>
      <c r="M217"/>
      <c r="N217"/>
      <c r="O217"/>
      <c r="P217"/>
    </row>
    <row r="218" spans="2:16">
      <c r="B218"/>
      <c r="C218"/>
      <c r="D218"/>
      <c r="E218"/>
      <c r="F218"/>
      <c r="G218"/>
      <c r="H218"/>
      <c r="I218"/>
      <c r="J218"/>
      <c r="K218"/>
      <c r="L218"/>
      <c r="M218"/>
      <c r="N218"/>
      <c r="O218"/>
      <c r="P218"/>
    </row>
    <row r="219" spans="2:16">
      <c r="B219"/>
      <c r="C219"/>
      <c r="D219"/>
      <c r="E219"/>
      <c r="F219"/>
      <c r="G219"/>
      <c r="H219"/>
      <c r="I219"/>
      <c r="J219"/>
      <c r="K219"/>
      <c r="L219"/>
      <c r="M219"/>
      <c r="N219"/>
      <c r="O219"/>
      <c r="P219"/>
    </row>
    <row r="220" spans="2:16">
      <c r="B220"/>
      <c r="C220"/>
      <c r="D220"/>
      <c r="E220"/>
      <c r="F220"/>
      <c r="G220"/>
      <c r="H220"/>
      <c r="I220"/>
      <c r="J220"/>
      <c r="K220"/>
      <c r="L220"/>
      <c r="M220"/>
      <c r="N220"/>
      <c r="O220"/>
      <c r="P220"/>
    </row>
    <row r="221" spans="2:16">
      <c r="B221"/>
      <c r="C221"/>
      <c r="D221"/>
      <c r="E221"/>
      <c r="F221"/>
      <c r="G221"/>
      <c r="H221"/>
      <c r="I221"/>
      <c r="J221"/>
      <c r="K221"/>
      <c r="L221"/>
      <c r="M221"/>
      <c r="N221"/>
      <c r="O221"/>
      <c r="P221"/>
    </row>
    <row r="222" spans="2:16">
      <c r="B222"/>
      <c r="C222"/>
      <c r="D222"/>
      <c r="E222"/>
      <c r="F222"/>
      <c r="G222"/>
      <c r="H222"/>
      <c r="I222"/>
      <c r="J222"/>
      <c r="K222"/>
      <c r="L222"/>
      <c r="M222"/>
      <c r="N222"/>
      <c r="O222"/>
      <c r="P222"/>
    </row>
    <row r="223" spans="2:16">
      <c r="B223"/>
      <c r="C223"/>
      <c r="D223"/>
      <c r="E223"/>
      <c r="F223"/>
      <c r="G223"/>
      <c r="H223"/>
      <c r="I223"/>
      <c r="J223"/>
      <c r="K223"/>
      <c r="L223"/>
      <c r="M223"/>
      <c r="N223"/>
      <c r="O223"/>
      <c r="P223"/>
    </row>
    <row r="224" spans="2:16">
      <c r="B224"/>
      <c r="C224"/>
      <c r="D224"/>
      <c r="E224"/>
      <c r="F224"/>
      <c r="G224"/>
      <c r="H224"/>
      <c r="I224"/>
      <c r="J224"/>
      <c r="K224"/>
      <c r="L224"/>
      <c r="M224"/>
      <c r="N224"/>
      <c r="O224"/>
      <c r="P224"/>
    </row>
    <row r="225" spans="2:16">
      <c r="B225"/>
      <c r="C225"/>
      <c r="D225"/>
      <c r="E225"/>
      <c r="F225"/>
      <c r="G225"/>
      <c r="H225"/>
      <c r="I225"/>
      <c r="J225"/>
      <c r="K225"/>
      <c r="L225"/>
      <c r="M225"/>
      <c r="N225"/>
      <c r="O225"/>
      <c r="P225"/>
    </row>
    <row r="226" spans="2:16">
      <c r="B226"/>
      <c r="C226"/>
      <c r="D226"/>
      <c r="E226"/>
      <c r="F226"/>
      <c r="G226"/>
      <c r="H226"/>
      <c r="I226"/>
      <c r="J226"/>
      <c r="K226"/>
      <c r="L226"/>
      <c r="M226"/>
      <c r="N226"/>
      <c r="O226"/>
      <c r="P226"/>
    </row>
    <row r="227" spans="2:16">
      <c r="B227"/>
      <c r="C227"/>
      <c r="D227"/>
      <c r="E227"/>
      <c r="F227"/>
      <c r="G227"/>
      <c r="H227"/>
      <c r="I227"/>
      <c r="J227"/>
      <c r="K227"/>
      <c r="L227"/>
      <c r="M227"/>
      <c r="N227"/>
      <c r="O227"/>
      <c r="P227"/>
    </row>
    <row r="228" spans="2:16">
      <c r="B228"/>
      <c r="C228"/>
      <c r="D228"/>
      <c r="E228"/>
      <c r="F228"/>
      <c r="G228"/>
      <c r="H228"/>
      <c r="I228"/>
      <c r="J228"/>
      <c r="K228"/>
      <c r="L228"/>
      <c r="M228"/>
      <c r="N228"/>
      <c r="O228"/>
      <c r="P228"/>
    </row>
    <row r="229" spans="2:16">
      <c r="B229"/>
      <c r="C229"/>
      <c r="D229"/>
      <c r="E229"/>
      <c r="F229"/>
      <c r="G229"/>
      <c r="H229"/>
      <c r="I229"/>
      <c r="J229"/>
      <c r="K229"/>
      <c r="L229"/>
      <c r="M229"/>
      <c r="N229"/>
      <c r="O229"/>
      <c r="P229"/>
    </row>
    <row r="230" spans="2:16">
      <c r="B230"/>
      <c r="C230"/>
      <c r="D230"/>
      <c r="E230"/>
      <c r="F230"/>
      <c r="G230"/>
      <c r="H230"/>
      <c r="I230"/>
      <c r="J230"/>
      <c r="K230"/>
      <c r="L230"/>
      <c r="M230"/>
      <c r="N230"/>
      <c r="O230"/>
      <c r="P230"/>
    </row>
    <row r="231" spans="2:16">
      <c r="B231"/>
      <c r="C231"/>
      <c r="D231"/>
      <c r="E231"/>
      <c r="F231"/>
      <c r="G231"/>
      <c r="H231"/>
      <c r="I231"/>
      <c r="J231"/>
      <c r="K231"/>
      <c r="L231"/>
      <c r="M231"/>
      <c r="N231"/>
      <c r="O231"/>
      <c r="P231"/>
    </row>
    <row r="232" spans="2:16">
      <c r="B232"/>
      <c r="C232"/>
      <c r="D232"/>
      <c r="E232"/>
      <c r="F232"/>
      <c r="G232"/>
      <c r="H232"/>
      <c r="I232"/>
      <c r="J232"/>
      <c r="K232"/>
      <c r="L232"/>
      <c r="M232"/>
      <c r="N232"/>
      <c r="O232"/>
      <c r="P232"/>
    </row>
    <row r="233" spans="2:16">
      <c r="B233"/>
      <c r="C233"/>
      <c r="D233"/>
      <c r="E233"/>
      <c r="F233"/>
      <c r="G233"/>
      <c r="H233"/>
      <c r="I233"/>
      <c r="J233"/>
      <c r="K233"/>
      <c r="L233"/>
      <c r="M233"/>
      <c r="N233"/>
      <c r="O233"/>
      <c r="P233"/>
    </row>
    <row r="234" spans="2:16">
      <c r="B234"/>
      <c r="C234"/>
      <c r="D234"/>
      <c r="E234"/>
      <c r="F234"/>
      <c r="G234"/>
      <c r="H234"/>
      <c r="I234"/>
      <c r="J234"/>
      <c r="K234"/>
      <c r="L234"/>
      <c r="M234"/>
      <c r="N234"/>
      <c r="O234"/>
      <c r="P234"/>
    </row>
    <row r="235" spans="2:16">
      <c r="B235"/>
      <c r="C235"/>
      <c r="D235"/>
      <c r="E235"/>
      <c r="F235"/>
      <c r="G235"/>
      <c r="H235"/>
      <c r="I235"/>
      <c r="J235"/>
      <c r="K235"/>
      <c r="L235"/>
      <c r="M235"/>
      <c r="N235"/>
      <c r="O235"/>
      <c r="P235"/>
    </row>
    <row r="236" spans="2:16">
      <c r="B236"/>
      <c r="C236"/>
      <c r="D236"/>
      <c r="E236"/>
      <c r="F236"/>
      <c r="G236"/>
      <c r="H236"/>
      <c r="I236"/>
      <c r="J236"/>
      <c r="K236"/>
      <c r="L236"/>
      <c r="M236"/>
      <c r="N236"/>
      <c r="O236"/>
      <c r="P236"/>
    </row>
    <row r="237" spans="2:16">
      <c r="B237"/>
      <c r="C237"/>
      <c r="D237"/>
      <c r="E237"/>
      <c r="F237"/>
      <c r="G237"/>
      <c r="H237"/>
      <c r="I237"/>
      <c r="J237"/>
      <c r="K237"/>
      <c r="L237"/>
      <c r="M237"/>
      <c r="N237"/>
      <c r="O237"/>
      <c r="P237"/>
    </row>
    <row r="238" spans="2:16">
      <c r="B238"/>
      <c r="C238"/>
      <c r="D238"/>
      <c r="E238"/>
      <c r="F238"/>
      <c r="G238"/>
      <c r="H238"/>
      <c r="I238"/>
      <c r="J238"/>
      <c r="K238"/>
      <c r="L238"/>
      <c r="M238"/>
      <c r="N238"/>
      <c r="O238"/>
      <c r="P238"/>
    </row>
    <row r="239" spans="2:16">
      <c r="B239"/>
      <c r="C239"/>
      <c r="D239"/>
      <c r="E239"/>
      <c r="F239"/>
      <c r="G239"/>
      <c r="H239"/>
      <c r="I239"/>
      <c r="J239"/>
      <c r="K239"/>
      <c r="L239"/>
      <c r="M239"/>
      <c r="N239"/>
      <c r="O239"/>
      <c r="P239"/>
    </row>
    <row r="240" spans="2:16">
      <c r="B240"/>
      <c r="C240"/>
      <c r="D240"/>
      <c r="E240"/>
      <c r="F240"/>
      <c r="G240"/>
      <c r="H240"/>
      <c r="I240"/>
      <c r="J240"/>
      <c r="K240"/>
      <c r="L240"/>
      <c r="M240"/>
      <c r="N240"/>
      <c r="O240"/>
      <c r="P240"/>
    </row>
    <row r="241" spans="2:16">
      <c r="B241"/>
      <c r="C241"/>
      <c r="D241"/>
      <c r="E241"/>
      <c r="F241"/>
      <c r="G241"/>
      <c r="H241"/>
      <c r="I241"/>
      <c r="J241"/>
      <c r="K241"/>
      <c r="L241"/>
      <c r="M241"/>
      <c r="N241"/>
      <c r="O241"/>
      <c r="P241"/>
    </row>
    <row r="242" spans="2:16">
      <c r="B242"/>
      <c r="C242"/>
      <c r="D242"/>
      <c r="E242"/>
      <c r="F242"/>
      <c r="G242"/>
      <c r="H242"/>
      <c r="I242"/>
      <c r="J242"/>
      <c r="K242"/>
      <c r="L242"/>
      <c r="M242"/>
      <c r="N242"/>
      <c r="O242"/>
      <c r="P242"/>
    </row>
    <row r="243" spans="2:16">
      <c r="B243"/>
      <c r="C243"/>
      <c r="D243"/>
      <c r="E243"/>
      <c r="F243"/>
      <c r="G243"/>
      <c r="H243"/>
      <c r="I243"/>
      <c r="J243"/>
      <c r="K243"/>
      <c r="L243"/>
      <c r="M243"/>
      <c r="N243"/>
      <c r="O243"/>
      <c r="P243"/>
    </row>
    <row r="244" spans="2:16">
      <c r="B244"/>
      <c r="C244"/>
      <c r="D244"/>
      <c r="E244"/>
      <c r="F244"/>
      <c r="G244"/>
      <c r="H244"/>
      <c r="I244"/>
      <c r="J244"/>
      <c r="K244"/>
      <c r="L244"/>
      <c r="M244"/>
      <c r="N244"/>
      <c r="O244"/>
      <c r="P244"/>
    </row>
    <row r="245" spans="2:16">
      <c r="B245"/>
      <c r="C245"/>
      <c r="D245"/>
      <c r="E245"/>
      <c r="F245"/>
      <c r="G245"/>
      <c r="H245"/>
      <c r="I245"/>
      <c r="J245"/>
      <c r="K245"/>
      <c r="L245"/>
      <c r="M245"/>
      <c r="N245"/>
      <c r="O245"/>
      <c r="P245"/>
    </row>
    <row r="246" spans="2:16">
      <c r="B246"/>
      <c r="C246"/>
      <c r="D246"/>
      <c r="E246"/>
      <c r="F246"/>
      <c r="G246"/>
      <c r="H246"/>
      <c r="I246"/>
      <c r="J246"/>
      <c r="K246"/>
      <c r="L246"/>
      <c r="M246"/>
      <c r="N246"/>
      <c r="O246"/>
      <c r="P246"/>
    </row>
    <row r="247" spans="2:16">
      <c r="B247"/>
      <c r="C247"/>
      <c r="D247"/>
      <c r="E247"/>
      <c r="F247"/>
      <c r="G247"/>
      <c r="H247"/>
      <c r="I247"/>
      <c r="J247"/>
      <c r="K247"/>
      <c r="L247"/>
      <c r="M247"/>
      <c r="N247"/>
      <c r="O247"/>
      <c r="P247"/>
    </row>
    <row r="248" spans="2:16">
      <c r="B248"/>
      <c r="C248"/>
      <c r="D248"/>
      <c r="E248"/>
      <c r="F248"/>
      <c r="G248"/>
      <c r="H248"/>
      <c r="I248"/>
      <c r="J248"/>
      <c r="K248"/>
      <c r="L248"/>
      <c r="M248"/>
      <c r="N248"/>
      <c r="O248"/>
      <c r="P248"/>
    </row>
    <row r="249" spans="2:16">
      <c r="B249"/>
      <c r="C249"/>
      <c r="D249"/>
      <c r="E249"/>
      <c r="F249"/>
      <c r="G249"/>
      <c r="H249"/>
      <c r="I249"/>
      <c r="J249"/>
      <c r="K249"/>
      <c r="L249"/>
      <c r="M249"/>
      <c r="N249"/>
      <c r="O249"/>
      <c r="P249"/>
    </row>
    <row r="250" spans="2:16">
      <c r="B250"/>
      <c r="C250"/>
      <c r="D250"/>
      <c r="E250"/>
      <c r="F250"/>
      <c r="G250"/>
      <c r="H250"/>
      <c r="I250"/>
      <c r="J250"/>
      <c r="K250"/>
      <c r="L250"/>
      <c r="M250"/>
      <c r="N250"/>
      <c r="O250"/>
      <c r="P250"/>
    </row>
    <row r="251" spans="2:16">
      <c r="B251"/>
      <c r="C251"/>
      <c r="D251"/>
      <c r="E251"/>
      <c r="F251"/>
      <c r="G251"/>
      <c r="H251"/>
      <c r="I251"/>
      <c r="J251"/>
      <c r="K251"/>
      <c r="L251"/>
      <c r="M251"/>
      <c r="N251"/>
      <c r="O251"/>
      <c r="P251"/>
    </row>
    <row r="252" spans="2:16">
      <c r="B252"/>
      <c r="C252"/>
      <c r="D252"/>
      <c r="E252"/>
      <c r="F252"/>
      <c r="G252"/>
      <c r="H252"/>
      <c r="I252"/>
      <c r="J252"/>
      <c r="K252"/>
      <c r="L252"/>
      <c r="M252"/>
      <c r="N252"/>
      <c r="O252"/>
      <c r="P252"/>
    </row>
    <row r="253" spans="2:16">
      <c r="B253"/>
      <c r="C253"/>
      <c r="D253"/>
      <c r="E253"/>
      <c r="F253"/>
      <c r="G253"/>
      <c r="H253"/>
      <c r="I253"/>
      <c r="J253"/>
      <c r="K253"/>
      <c r="L253"/>
      <c r="M253"/>
      <c r="N253"/>
      <c r="O253"/>
      <c r="P253"/>
    </row>
    <row r="254" spans="2:16">
      <c r="B254"/>
      <c r="C254"/>
      <c r="D254"/>
      <c r="E254"/>
      <c r="F254"/>
      <c r="G254"/>
      <c r="H254"/>
      <c r="I254"/>
      <c r="J254"/>
      <c r="K254"/>
      <c r="L254"/>
      <c r="M254"/>
      <c r="N254"/>
      <c r="O254"/>
      <c r="P254"/>
    </row>
    <row r="255" spans="2:16">
      <c r="B255"/>
      <c r="C255"/>
      <c r="D255"/>
      <c r="E255"/>
      <c r="F255"/>
      <c r="G255"/>
      <c r="H255"/>
      <c r="I255"/>
      <c r="J255"/>
      <c r="K255"/>
      <c r="L255"/>
      <c r="M255"/>
      <c r="N255"/>
      <c r="O255"/>
      <c r="P255"/>
    </row>
    <row r="256" spans="2:16">
      <c r="B256"/>
      <c r="C256"/>
      <c r="D256"/>
      <c r="E256"/>
      <c r="F256"/>
      <c r="G256"/>
      <c r="H256"/>
      <c r="I256"/>
      <c r="J256"/>
      <c r="K256"/>
      <c r="L256"/>
      <c r="M256"/>
      <c r="N256"/>
      <c r="O256"/>
      <c r="P256"/>
    </row>
    <row r="257" spans="2:16">
      <c r="B257"/>
      <c r="C257"/>
      <c r="D257"/>
      <c r="E257"/>
      <c r="F257"/>
      <c r="G257"/>
      <c r="H257"/>
      <c r="I257"/>
      <c r="J257"/>
      <c r="K257"/>
      <c r="L257"/>
      <c r="M257"/>
      <c r="N257"/>
      <c r="O257"/>
      <c r="P257"/>
    </row>
    <row r="258" spans="2:16">
      <c r="B258"/>
      <c r="C258"/>
      <c r="D258"/>
      <c r="E258"/>
      <c r="F258"/>
      <c r="G258"/>
      <c r="H258"/>
      <c r="I258"/>
      <c r="J258"/>
      <c r="K258"/>
      <c r="L258"/>
      <c r="M258"/>
      <c r="N258"/>
      <c r="O258"/>
      <c r="P258"/>
    </row>
    <row r="259" spans="2:16">
      <c r="B259"/>
      <c r="C259"/>
      <c r="D259"/>
      <c r="E259"/>
      <c r="F259"/>
      <c r="G259"/>
      <c r="H259"/>
      <c r="I259"/>
      <c r="J259"/>
      <c r="K259"/>
      <c r="L259"/>
      <c r="M259"/>
      <c r="N259"/>
      <c r="O259"/>
      <c r="P259"/>
    </row>
    <row r="260" spans="2:16">
      <c r="B260"/>
      <c r="C260"/>
      <c r="D260"/>
      <c r="E260"/>
      <c r="F260"/>
      <c r="G260"/>
      <c r="H260"/>
      <c r="I260"/>
      <c r="J260"/>
      <c r="K260"/>
      <c r="L260"/>
      <c r="M260"/>
      <c r="N260"/>
      <c r="O260"/>
      <c r="P260"/>
    </row>
    <row r="261" spans="2:16">
      <c r="B261"/>
      <c r="C261"/>
      <c r="D261"/>
      <c r="E261"/>
      <c r="F261"/>
      <c r="G261"/>
      <c r="H261"/>
      <c r="I261"/>
      <c r="J261"/>
      <c r="K261"/>
      <c r="L261"/>
      <c r="M261"/>
      <c r="N261"/>
      <c r="O261"/>
      <c r="P261"/>
    </row>
    <row r="262" spans="2:16">
      <c r="B262"/>
      <c r="C262"/>
      <c r="D262"/>
      <c r="E262"/>
      <c r="F262"/>
      <c r="G262"/>
      <c r="H262"/>
      <c r="I262"/>
      <c r="J262"/>
      <c r="K262"/>
      <c r="L262"/>
      <c r="M262"/>
      <c r="N262"/>
      <c r="O262"/>
      <c r="P262"/>
    </row>
    <row r="263" spans="2:16">
      <c r="B263"/>
      <c r="C263"/>
      <c r="D263"/>
      <c r="E263"/>
      <c r="F263"/>
      <c r="G263"/>
      <c r="H263"/>
      <c r="I263"/>
      <c r="J263"/>
      <c r="K263"/>
      <c r="L263"/>
      <c r="M263"/>
      <c r="N263"/>
      <c r="O263"/>
      <c r="P263"/>
    </row>
    <row r="264" spans="2:16">
      <c r="B264"/>
      <c r="C264"/>
      <c r="D264"/>
      <c r="E264"/>
      <c r="F264"/>
      <c r="G264"/>
      <c r="H264"/>
      <c r="I264"/>
      <c r="J264"/>
      <c r="K264"/>
      <c r="L264"/>
      <c r="M264"/>
      <c r="N264"/>
      <c r="O264"/>
      <c r="P264"/>
    </row>
    <row r="265" spans="2:16">
      <c r="B265"/>
      <c r="C265"/>
      <c r="D265"/>
      <c r="E265"/>
      <c r="F265"/>
      <c r="G265"/>
      <c r="H265"/>
      <c r="I265"/>
      <c r="J265"/>
      <c r="K265"/>
      <c r="L265"/>
      <c r="M265"/>
      <c r="N265"/>
      <c r="O265"/>
      <c r="P265"/>
    </row>
    <row r="266" spans="2:16">
      <c r="B266"/>
      <c r="C266"/>
      <c r="D266"/>
      <c r="E266"/>
      <c r="F266"/>
      <c r="G266"/>
      <c r="H266"/>
      <c r="I266"/>
      <c r="J266"/>
      <c r="K266"/>
      <c r="L266"/>
      <c r="M266"/>
      <c r="N266"/>
      <c r="O266"/>
      <c r="P266"/>
    </row>
    <row r="267" spans="2:16">
      <c r="B267"/>
      <c r="C267"/>
      <c r="D267"/>
      <c r="E267"/>
      <c r="F267"/>
      <c r="G267"/>
      <c r="H267"/>
      <c r="I267"/>
      <c r="J267"/>
      <c r="K267"/>
      <c r="L267"/>
      <c r="M267"/>
      <c r="N267"/>
      <c r="O267"/>
      <c r="P267"/>
    </row>
    <row r="268" spans="2:16">
      <c r="B268"/>
      <c r="C268"/>
      <c r="D268"/>
      <c r="E268"/>
      <c r="F268"/>
      <c r="G268"/>
      <c r="H268"/>
      <c r="I268"/>
      <c r="J268"/>
      <c r="K268"/>
      <c r="L268"/>
      <c r="M268"/>
      <c r="N268"/>
      <c r="O268"/>
      <c r="P268"/>
    </row>
    <row r="269" spans="2:16">
      <c r="B269"/>
      <c r="C269"/>
      <c r="D269"/>
      <c r="E269"/>
      <c r="F269"/>
      <c r="G269"/>
      <c r="H269"/>
      <c r="I269"/>
      <c r="J269"/>
      <c r="K269"/>
      <c r="L269"/>
      <c r="M269"/>
      <c r="N269"/>
      <c r="O269"/>
      <c r="P269"/>
    </row>
    <row r="270" spans="2:16">
      <c r="B270"/>
      <c r="C270"/>
      <c r="D270"/>
      <c r="E270"/>
      <c r="F270"/>
      <c r="G270"/>
      <c r="H270"/>
      <c r="I270"/>
      <c r="J270"/>
      <c r="K270"/>
      <c r="L270"/>
      <c r="M270"/>
      <c r="N270"/>
      <c r="O270"/>
      <c r="P270"/>
    </row>
    <row r="271" spans="2:16">
      <c r="B271"/>
      <c r="C271"/>
      <c r="D271"/>
      <c r="E271"/>
      <c r="F271"/>
      <c r="G271"/>
      <c r="H271"/>
      <c r="I271"/>
      <c r="J271"/>
      <c r="K271"/>
      <c r="L271"/>
      <c r="M271"/>
      <c r="N271"/>
      <c r="O271"/>
      <c r="P271"/>
    </row>
    <row r="272" spans="2:16">
      <c r="B272"/>
      <c r="C272"/>
      <c r="D272"/>
      <c r="E272"/>
      <c r="F272"/>
      <c r="G272"/>
      <c r="H272"/>
      <c r="I272"/>
      <c r="J272"/>
      <c r="K272"/>
      <c r="L272"/>
      <c r="M272"/>
      <c r="N272"/>
      <c r="O272"/>
      <c r="P272"/>
    </row>
    <row r="273" spans="2:16">
      <c r="B273"/>
      <c r="C273"/>
      <c r="D273"/>
      <c r="E273"/>
      <c r="F273"/>
      <c r="G273"/>
      <c r="H273"/>
      <c r="I273"/>
      <c r="J273"/>
      <c r="K273"/>
      <c r="L273"/>
      <c r="M273"/>
      <c r="N273"/>
      <c r="O273"/>
      <c r="P273"/>
    </row>
    <row r="274" spans="2:16">
      <c r="B274"/>
      <c r="C274"/>
      <c r="D274"/>
      <c r="E274"/>
      <c r="F274"/>
      <c r="G274"/>
      <c r="H274"/>
      <c r="I274"/>
      <c r="J274"/>
      <c r="K274"/>
      <c r="L274"/>
      <c r="M274"/>
      <c r="N274"/>
      <c r="O274"/>
      <c r="P274"/>
    </row>
    <row r="275" spans="2:16">
      <c r="B275"/>
      <c r="C275"/>
      <c r="D275"/>
      <c r="E275"/>
      <c r="F275"/>
      <c r="G275"/>
      <c r="H275"/>
      <c r="I275"/>
      <c r="J275"/>
      <c r="K275"/>
      <c r="L275"/>
      <c r="M275"/>
      <c r="N275"/>
      <c r="O275"/>
      <c r="P275"/>
    </row>
    <row r="276" spans="2:16">
      <c r="B276"/>
      <c r="C276"/>
      <c r="D276"/>
      <c r="E276"/>
      <c r="F276"/>
      <c r="G276"/>
      <c r="H276"/>
      <c r="I276"/>
      <c r="J276"/>
      <c r="K276"/>
      <c r="L276"/>
      <c r="M276"/>
      <c r="N276"/>
      <c r="O276"/>
      <c r="P276"/>
    </row>
    <row r="277" spans="2:16">
      <c r="B277"/>
      <c r="C277"/>
      <c r="D277"/>
      <c r="E277"/>
      <c r="F277"/>
      <c r="G277"/>
      <c r="H277"/>
      <c r="I277"/>
      <c r="J277"/>
      <c r="K277"/>
      <c r="L277"/>
      <c r="M277"/>
      <c r="N277"/>
      <c r="O277"/>
      <c r="P277"/>
    </row>
    <row r="278" spans="2:16">
      <c r="B278"/>
      <c r="C278"/>
      <c r="D278"/>
      <c r="E278"/>
      <c r="F278"/>
      <c r="G278"/>
      <c r="H278"/>
      <c r="I278"/>
      <c r="J278"/>
      <c r="K278"/>
      <c r="L278"/>
      <c r="M278"/>
      <c r="N278"/>
      <c r="O278"/>
      <c r="P278"/>
    </row>
  </sheetData>
  <phoneticPr fontId="0" type="noConversion"/>
  <pageMargins left="0.27" right="0.23" top="0.47" bottom="0.56999999999999995" header="0.31" footer="0.3"/>
  <pageSetup scale="53" orientation="landscape" r:id="rId1"/>
  <headerFooter alignWithMargins="0">
    <oddFooter>&amp;R&amp;P</oddFooter>
  </headerFooter>
</worksheet>
</file>

<file path=xl/worksheets/sheet104.xml><?xml version="1.0" encoding="utf-8"?>
<worksheet xmlns="http://schemas.openxmlformats.org/spreadsheetml/2006/main" xmlns:r="http://schemas.openxmlformats.org/officeDocument/2006/relationships">
  <sheetPr>
    <pageSetUpPr fitToPage="1"/>
  </sheetPr>
  <dimension ref="A1:U157"/>
  <sheetViews>
    <sheetView topLeftCell="A4" workbookViewId="0">
      <selection activeCell="C18" sqref="C18"/>
    </sheetView>
  </sheetViews>
  <sheetFormatPr baseColWidth="10" defaultColWidth="9" defaultRowHeight="15.75"/>
  <cols>
    <col min="1" max="1" width="33.25" customWidth="1"/>
    <col min="2" max="2" width="17"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8.75" style="20" customWidth="1"/>
    <col min="18" max="18" width="15.75" style="20" customWidth="1"/>
    <col min="19" max="21" width="15.75" customWidth="1"/>
  </cols>
  <sheetData>
    <row r="1" spans="1:21">
      <c r="A1" s="111" t="s">
        <v>407</v>
      </c>
      <c r="B1" s="42"/>
      <c r="C1" s="43"/>
      <c r="D1" s="42"/>
      <c r="E1" s="43"/>
      <c r="F1" s="42"/>
      <c r="G1" s="43"/>
      <c r="H1" s="42"/>
      <c r="I1" s="43"/>
      <c r="J1" s="42"/>
      <c r="K1" s="43"/>
      <c r="L1" s="42"/>
      <c r="M1" s="43"/>
      <c r="N1" s="42"/>
      <c r="O1" s="43"/>
      <c r="P1" s="42"/>
      <c r="Q1" s="42"/>
    </row>
    <row r="2" spans="1:21">
      <c r="A2" s="111" t="s">
        <v>291</v>
      </c>
      <c r="B2" s="42"/>
      <c r="C2" s="43"/>
      <c r="D2" s="42"/>
      <c r="E2" s="43"/>
      <c r="F2" s="42"/>
      <c r="G2" s="43"/>
      <c r="H2" s="42"/>
      <c r="I2" s="43"/>
      <c r="J2" s="42"/>
      <c r="K2" s="43"/>
      <c r="L2" s="42"/>
      <c r="M2" s="43"/>
      <c r="N2" s="42"/>
      <c r="O2" s="43"/>
      <c r="P2" s="42"/>
      <c r="Q2" s="42"/>
    </row>
    <row r="3" spans="1:21">
      <c r="A3" s="111" t="s">
        <v>387</v>
      </c>
      <c r="B3" s="42"/>
      <c r="C3" s="43"/>
      <c r="D3" s="42"/>
      <c r="E3" s="43"/>
      <c r="F3" s="42"/>
      <c r="G3" s="43"/>
      <c r="H3" s="42"/>
      <c r="I3" s="43"/>
      <c r="J3" s="42"/>
      <c r="K3" s="43"/>
      <c r="L3" s="42"/>
      <c r="M3" s="43"/>
      <c r="N3" s="42"/>
      <c r="O3" s="43"/>
      <c r="P3" s="42"/>
      <c r="Q3" s="42"/>
    </row>
    <row r="4" spans="1:21">
      <c r="A4" s="111" t="s">
        <v>198</v>
      </c>
      <c r="B4" s="42"/>
      <c r="C4" s="43"/>
      <c r="D4" s="42"/>
      <c r="E4" s="43"/>
      <c r="F4" s="42"/>
      <c r="G4" s="43"/>
      <c r="H4" s="42"/>
      <c r="I4" s="43"/>
      <c r="J4" s="42"/>
      <c r="K4" s="43"/>
      <c r="L4" s="42"/>
      <c r="M4" s="43"/>
      <c r="N4" s="42"/>
      <c r="O4" s="43"/>
      <c r="P4" s="42"/>
      <c r="Q4" s="42"/>
    </row>
    <row r="6" spans="1:21" s="11" customFormat="1" ht="16.5" thickBot="1">
      <c r="B6" s="13"/>
      <c r="C6" s="19"/>
      <c r="D6" s="13"/>
      <c r="E6" s="19"/>
      <c r="F6" s="13"/>
      <c r="G6" s="19"/>
      <c r="H6" s="13"/>
      <c r="I6" s="19"/>
      <c r="J6" s="118" t="s">
        <v>195</v>
      </c>
      <c r="K6" s="207"/>
      <c r="L6" s="118"/>
      <c r="M6" s="207"/>
      <c r="N6" s="118"/>
      <c r="O6" s="207"/>
      <c r="P6" s="118"/>
      <c r="Q6" s="118"/>
      <c r="R6" s="13"/>
    </row>
    <row r="7" spans="1:21" s="11" customFormat="1" ht="16.5" thickBot="1">
      <c r="B7" s="200" t="str">
        <f>+'scotiacomp  '!B7</f>
        <v>Déc. 14</v>
      </c>
      <c r="C7" s="201" t="s">
        <v>289</v>
      </c>
      <c r="D7" s="200" t="str">
        <f>+'scotiacomp  '!D7</f>
        <v>Mars 15</v>
      </c>
      <c r="E7" s="201" t="s">
        <v>289</v>
      </c>
      <c r="F7" s="200" t="str">
        <f>+'scotiacomp  '!F7</f>
        <v>Juin 15</v>
      </c>
      <c r="G7" s="201" t="s">
        <v>289</v>
      </c>
      <c r="H7" s="200" t="str">
        <f>+'scotiacomp  '!H7</f>
        <v>Sept. 15</v>
      </c>
      <c r="I7" s="201" t="s">
        <v>289</v>
      </c>
      <c r="J7" s="205" t="str">
        <f>+'scotiacomp  '!J7</f>
        <v>2014</v>
      </c>
      <c r="K7" s="204" t="s">
        <v>289</v>
      </c>
      <c r="L7" s="205" t="str">
        <f>+'scotiacomp  '!L7</f>
        <v>2013</v>
      </c>
      <c r="M7" s="204" t="s">
        <v>289</v>
      </c>
      <c r="N7" s="205" t="str">
        <f>+'scotiacomp  '!N7</f>
        <v>2012</v>
      </c>
      <c r="O7" s="204" t="s">
        <v>289</v>
      </c>
      <c r="P7" s="205" t="str">
        <f>+'scotiacomp  '!P7</f>
        <v>2011</v>
      </c>
      <c r="Q7" s="358" t="s">
        <v>289</v>
      </c>
      <c r="R7" s="2"/>
      <c r="S7" s="3"/>
      <c r="T7" s="3"/>
      <c r="U7" s="3"/>
    </row>
    <row r="8" spans="1:21">
      <c r="A8" s="86" t="s">
        <v>244</v>
      </c>
      <c r="B8" s="120"/>
      <c r="C8" s="119"/>
      <c r="D8" s="120"/>
      <c r="E8" s="119"/>
      <c r="F8" s="120"/>
      <c r="G8" s="119"/>
      <c r="H8" s="120"/>
      <c r="I8" s="119"/>
      <c r="J8" s="197"/>
      <c r="K8" s="119"/>
      <c r="L8" s="197"/>
      <c r="M8" s="119"/>
      <c r="N8" s="197"/>
      <c r="O8" s="119"/>
      <c r="P8" s="197"/>
      <c r="Q8" s="120"/>
      <c r="R8" s="22"/>
      <c r="S8" s="17"/>
      <c r="T8" s="17"/>
      <c r="U8" s="17"/>
    </row>
    <row r="9" spans="1:21">
      <c r="A9" s="10" t="s">
        <v>255</v>
      </c>
      <c r="B9"/>
      <c r="Q9" s="23" t="s">
        <v>0</v>
      </c>
    </row>
    <row r="10" spans="1:21">
      <c r="A10" s="10" t="s">
        <v>256</v>
      </c>
      <c r="B10" s="20">
        <f>+sogebkvar!B10</f>
        <v>2519896.56648</v>
      </c>
      <c r="C10" s="52">
        <f t="shared" ref="C10:C15" si="0">+B10/$B$23</f>
        <v>4.7450320569557211E-2</v>
      </c>
      <c r="D10" s="20">
        <f>+sogebkvar!D10</f>
        <v>0</v>
      </c>
      <c r="E10" s="49">
        <v>0</v>
      </c>
      <c r="F10" s="20">
        <f>+sogebkvar!F10</f>
        <v>0</v>
      </c>
      <c r="G10" s="49">
        <v>0</v>
      </c>
      <c r="H10" s="20">
        <f>+sogebkvar!H10</f>
        <v>0</v>
      </c>
      <c r="I10" s="49">
        <v>0</v>
      </c>
      <c r="J10" s="20">
        <f>+sogebkvar!J10</f>
        <v>2000036.36121</v>
      </c>
      <c r="K10" s="52">
        <f t="shared" ref="K10:K15" si="1">+J10/$J$23</f>
        <v>3.8422792563046544E-2</v>
      </c>
      <c r="L10" s="20">
        <f>+sogebkvar!L10</f>
        <v>2485735.5971599999</v>
      </c>
      <c r="M10" s="52">
        <f t="shared" ref="M10:M15" si="2">+L10/$L$23</f>
        <v>5.2616129312449342E-2</v>
      </c>
      <c r="N10" s="20">
        <f>+sogebkvar!N10</f>
        <v>2498599.1741800001</v>
      </c>
      <c r="O10" s="52">
        <f t="shared" ref="O10:O15" si="3">+N10/$N$23</f>
        <v>5.4487434797417904E-2</v>
      </c>
      <c r="P10" s="20">
        <f>+sogebkvar!P10</f>
        <v>1766417.2985599998</v>
      </c>
      <c r="Q10" s="52">
        <f>+P10/$P$23</f>
        <v>4.1068648423374543E-2</v>
      </c>
    </row>
    <row r="11" spans="1:21">
      <c r="A11" s="10" t="s">
        <v>257</v>
      </c>
      <c r="B11" s="20">
        <f>+sogebkvar!B11</f>
        <v>13434681.62964</v>
      </c>
      <c r="C11" s="52">
        <f t="shared" si="0"/>
        <v>0.25297861767669455</v>
      </c>
      <c r="D11" s="20">
        <f>+sogebkvar!D11</f>
        <v>0</v>
      </c>
      <c r="E11" s="49">
        <v>0</v>
      </c>
      <c r="F11" s="20">
        <f>+sogebkvar!F11</f>
        <v>0</v>
      </c>
      <c r="G11" s="49">
        <v>0</v>
      </c>
      <c r="H11" s="20">
        <f>+sogebkvar!H11</f>
        <v>0</v>
      </c>
      <c r="I11" s="49">
        <v>0</v>
      </c>
      <c r="J11" s="20">
        <f>+sogebkvar!J11</f>
        <v>13181626.275699999</v>
      </c>
      <c r="K11" s="52">
        <f t="shared" si="1"/>
        <v>0.25323284209113733</v>
      </c>
      <c r="L11" s="20">
        <f>+sogebkvar!L11</f>
        <v>12867870.894880001</v>
      </c>
      <c r="M11" s="52">
        <f t="shared" si="2"/>
        <v>0.2723771425064116</v>
      </c>
      <c r="N11" s="20">
        <f>+sogebkvar!N11</f>
        <v>10043893.1533</v>
      </c>
      <c r="O11" s="52">
        <f t="shared" si="3"/>
        <v>0.21902911797858482</v>
      </c>
      <c r="P11" s="20">
        <f>+sogebkvar!P11</f>
        <v>10646690.897349998</v>
      </c>
      <c r="Q11" s="52">
        <f t="shared" ref="Q11:Q28" si="4">+P11/$P$23</f>
        <v>0.24753222564795738</v>
      </c>
    </row>
    <row r="12" spans="1:21">
      <c r="A12" s="10" t="s">
        <v>258</v>
      </c>
      <c r="B12" s="20">
        <f>+sogebkvar!B12</f>
        <v>660482.48953999998</v>
      </c>
      <c r="C12" s="52">
        <f t="shared" si="0"/>
        <v>1.2437060423885043E-2</v>
      </c>
      <c r="D12" s="20">
        <f>+sogebkvar!D12</f>
        <v>0</v>
      </c>
      <c r="E12" s="49">
        <v>0</v>
      </c>
      <c r="F12" s="20">
        <f>+sogebkvar!F12</f>
        <v>0</v>
      </c>
      <c r="G12" s="49">
        <v>0</v>
      </c>
      <c r="H12" s="20">
        <f>+sogebkvar!H12</f>
        <v>0</v>
      </c>
      <c r="I12" s="49">
        <v>0</v>
      </c>
      <c r="J12" s="20">
        <f>+sogebkvar!J12</f>
        <v>635408.43327000004</v>
      </c>
      <c r="K12" s="52">
        <f t="shared" si="1"/>
        <v>1.2206861284048512E-2</v>
      </c>
      <c r="L12" s="20">
        <f>+sogebkvar!L12</f>
        <v>714411.31926999998</v>
      </c>
      <c r="M12" s="52">
        <f t="shared" si="2"/>
        <v>1.5122106470187189E-2</v>
      </c>
      <c r="N12" s="20">
        <f>+sogebkvar!N12</f>
        <v>972058.23866000003</v>
      </c>
      <c r="O12" s="52">
        <f t="shared" si="3"/>
        <v>2.119786176414706E-2</v>
      </c>
      <c r="P12" s="20">
        <f>+sogebkvar!P12</f>
        <v>1676646.8940000001</v>
      </c>
      <c r="Q12" s="52">
        <f t="shared" si="4"/>
        <v>3.8981514660189481E-2</v>
      </c>
    </row>
    <row r="13" spans="1:21">
      <c r="A13" s="10" t="s">
        <v>259</v>
      </c>
      <c r="B13" s="20">
        <f>+sogebkvar!B13</f>
        <v>28433.644849999997</v>
      </c>
      <c r="C13" s="52">
        <f t="shared" si="0"/>
        <v>5.3541307252070796E-4</v>
      </c>
      <c r="D13" s="20">
        <f>+sogebkvar!D13</f>
        <v>0</v>
      </c>
      <c r="E13" s="49">
        <v>0</v>
      </c>
      <c r="F13" s="20">
        <f>+sogebkvar!F13</f>
        <v>0</v>
      </c>
      <c r="G13" s="49">
        <v>0</v>
      </c>
      <c r="H13" s="20">
        <f>+sogebkvar!H13</f>
        <v>0</v>
      </c>
      <c r="I13" s="49">
        <v>0</v>
      </c>
      <c r="J13" s="20">
        <f>+sogebkvar!J13</f>
        <v>19547.340909999999</v>
      </c>
      <c r="K13" s="52">
        <f t="shared" si="1"/>
        <v>3.7552488520243616E-4</v>
      </c>
      <c r="L13" s="20">
        <f>+sogebkvar!L13</f>
        <v>8831.4234400000005</v>
      </c>
      <c r="M13" s="52">
        <f t="shared" si="2"/>
        <v>1.8693674349876013E-4</v>
      </c>
      <c r="N13" s="20">
        <f>+sogebkvar!N13</f>
        <v>2406.2145799999998</v>
      </c>
      <c r="O13" s="52">
        <f t="shared" si="3"/>
        <v>5.2472786107989483E-5</v>
      </c>
      <c r="P13" s="20">
        <f>+sogebkvar!P13</f>
        <v>10406.72236</v>
      </c>
      <c r="Q13" s="52">
        <f t="shared" si="4"/>
        <v>2.4195303238420675E-4</v>
      </c>
    </row>
    <row r="14" spans="1:21">
      <c r="A14" s="10" t="s">
        <v>260</v>
      </c>
      <c r="B14" s="199">
        <f>+sogebkvar!B14</f>
        <v>53365.673020000002</v>
      </c>
      <c r="C14" s="294">
        <f t="shared" si="0"/>
        <v>1.004889774403075E-3</v>
      </c>
      <c r="D14" s="199">
        <f>+sogebkvar!D14</f>
        <v>0</v>
      </c>
      <c r="E14" s="1524">
        <v>0</v>
      </c>
      <c r="F14" s="199">
        <f>+sogebkvar!F14</f>
        <v>0</v>
      </c>
      <c r="G14" s="1524">
        <v>0</v>
      </c>
      <c r="H14" s="199">
        <f>+sogebkvar!H14</f>
        <v>0</v>
      </c>
      <c r="I14" s="1524">
        <v>0</v>
      </c>
      <c r="J14" s="199">
        <f>+sogebkvar!J14</f>
        <v>109906.84101999999</v>
      </c>
      <c r="K14" s="294">
        <f t="shared" si="1"/>
        <v>2.1114254898927784E-3</v>
      </c>
      <c r="L14" s="199">
        <f>+sogebkvar!L14</f>
        <v>57832.093339999992</v>
      </c>
      <c r="M14" s="294">
        <f t="shared" si="2"/>
        <v>1.2241450398279093E-3</v>
      </c>
      <c r="N14" s="199">
        <f>+sogebkvar!N14</f>
        <v>407643.55497999996</v>
      </c>
      <c r="O14" s="294">
        <f t="shared" si="3"/>
        <v>8.889561740069744E-3</v>
      </c>
      <c r="P14" s="199">
        <f>+sogebkvar!P14</f>
        <v>381007.48737000005</v>
      </c>
      <c r="Q14" s="294">
        <f t="shared" si="4"/>
        <v>8.858304636298461E-3</v>
      </c>
    </row>
    <row r="15" spans="1:21" ht="15.6" customHeight="1">
      <c r="A15" s="10"/>
      <c r="B15" s="20">
        <f>SUM(B10:B14)</f>
        <v>16696860.003529999</v>
      </c>
      <c r="C15" s="52">
        <f t="shared" si="0"/>
        <v>0.31440630151706056</v>
      </c>
      <c r="D15" s="20">
        <f>SUM(D10:D14)</f>
        <v>0</v>
      </c>
      <c r="E15" s="49">
        <v>0</v>
      </c>
      <c r="F15" s="20">
        <f>SUM(F10:F14)</f>
        <v>0</v>
      </c>
      <c r="G15" s="49">
        <v>0</v>
      </c>
      <c r="H15" s="20">
        <f>SUM(H10:H14)</f>
        <v>0</v>
      </c>
      <c r="I15" s="49">
        <v>0</v>
      </c>
      <c r="J15" s="20">
        <f>SUM(J10:J14)</f>
        <v>15946525.252109999</v>
      </c>
      <c r="K15" s="52">
        <f t="shared" si="1"/>
        <v>0.30634944631332756</v>
      </c>
      <c r="L15" s="20">
        <f>SUM(L10:L14)</f>
        <v>16134681.328090001</v>
      </c>
      <c r="M15" s="52">
        <f t="shared" si="2"/>
        <v>0.3415264600723748</v>
      </c>
      <c r="N15" s="20">
        <f>SUM(N10:N14)</f>
        <v>13924600.3357</v>
      </c>
      <c r="O15" s="52">
        <f t="shared" si="3"/>
        <v>0.30365644906632749</v>
      </c>
      <c r="P15" s="20">
        <f>SUM(P10:P14)</f>
        <v>14481169.299639996</v>
      </c>
      <c r="Q15" s="52">
        <f t="shared" si="4"/>
        <v>0.33668264640020401</v>
      </c>
    </row>
    <row r="16" spans="1:21" ht="7.9" customHeight="1">
      <c r="A16" s="10"/>
      <c r="C16" s="52" t="s">
        <v>0</v>
      </c>
      <c r="E16" s="49" t="s">
        <v>0</v>
      </c>
      <c r="G16" s="49" t="s">
        <v>0</v>
      </c>
      <c r="I16" s="49" t="s">
        <v>0</v>
      </c>
      <c r="K16" s="52" t="s">
        <v>0</v>
      </c>
      <c r="M16" s="52" t="s">
        <v>0</v>
      </c>
      <c r="O16" s="52" t="s">
        <v>0</v>
      </c>
      <c r="Q16" s="52" t="s">
        <v>0</v>
      </c>
    </row>
    <row r="17" spans="1:17" ht="16.899999999999999" customHeight="1">
      <c r="A17" s="10" t="s">
        <v>261</v>
      </c>
      <c r="B17" s="20">
        <f>+sogebkvar!B17</f>
        <v>1300000</v>
      </c>
      <c r="C17" s="52">
        <f t="shared" ref="C17:C23" si="5">+B17/$B$23</f>
        <v>2.4479344732229093E-2</v>
      </c>
      <c r="D17" s="20">
        <f>+sogebkvar!D17</f>
        <v>0</v>
      </c>
      <c r="E17" s="49">
        <v>0</v>
      </c>
      <c r="F17" s="20">
        <f>+sogebkvar!F17</f>
        <v>0</v>
      </c>
      <c r="G17" s="49">
        <v>0</v>
      </c>
      <c r="H17" s="20">
        <f>+sogebkvar!H17</f>
        <v>0</v>
      </c>
      <c r="I17" s="49">
        <v>0</v>
      </c>
      <c r="J17" s="20">
        <f>+sogebkvar!J17</f>
        <v>1950000</v>
      </c>
      <c r="K17" s="52">
        <f t="shared" ref="K17:K23" si="6">+J17/$J$23</f>
        <v>3.7461541675478487E-2</v>
      </c>
      <c r="L17" s="20">
        <f>+sogebkvar!L17</f>
        <v>100000</v>
      </c>
      <c r="M17" s="52">
        <f t="shared" ref="M17:M23" si="7">+L17/$L$23</f>
        <v>2.116722686538515E-3</v>
      </c>
      <c r="N17" s="20">
        <f>+sogebkvar!N17</f>
        <v>599999.60499999998</v>
      </c>
      <c r="O17" s="52">
        <f t="shared" ref="O17:O23" si="8">+N17/$N$23</f>
        <v>1.3084307276553521E-2</v>
      </c>
      <c r="P17" s="20">
        <f>+sogebkvar!P17</f>
        <v>1425000</v>
      </c>
      <c r="Q17" s="52">
        <f t="shared" si="4"/>
        <v>3.3130803265466822E-2</v>
      </c>
    </row>
    <row r="18" spans="1:17" ht="16.899999999999999" customHeight="1">
      <c r="A18" s="10" t="s">
        <v>909</v>
      </c>
      <c r="B18" s="20">
        <f>+sogebkvar!B18</f>
        <v>0</v>
      </c>
      <c r="C18" s="52">
        <f t="shared" si="5"/>
        <v>0</v>
      </c>
      <c r="D18" s="20">
        <v>0</v>
      </c>
      <c r="E18" s="49">
        <v>0</v>
      </c>
      <c r="F18" s="20">
        <v>0</v>
      </c>
      <c r="G18" s="49">
        <v>0</v>
      </c>
      <c r="H18" s="20">
        <v>0</v>
      </c>
      <c r="I18" s="49">
        <v>0</v>
      </c>
      <c r="J18" s="20">
        <v>0</v>
      </c>
      <c r="K18" s="52">
        <v>0</v>
      </c>
      <c r="L18" s="20">
        <v>0</v>
      </c>
      <c r="M18" s="52">
        <v>0</v>
      </c>
      <c r="N18" s="20">
        <v>0</v>
      </c>
      <c r="O18" s="52">
        <v>0</v>
      </c>
      <c r="P18" s="20">
        <v>0</v>
      </c>
      <c r="Q18" s="52">
        <v>0</v>
      </c>
    </row>
    <row r="19" spans="1:17" ht="16.899999999999999" customHeight="1">
      <c r="A19" s="10" t="s">
        <v>262</v>
      </c>
      <c r="B19" s="20">
        <f>+sogebkvar!B19</f>
        <v>11372717.669670001</v>
      </c>
      <c r="C19" s="52">
        <f t="shared" si="5"/>
        <v>0.21415128952166543</v>
      </c>
      <c r="D19" s="20">
        <f>+sogebkvar!D19</f>
        <v>0</v>
      </c>
      <c r="E19" s="49">
        <v>0</v>
      </c>
      <c r="F19" s="20">
        <f>+sogebkvar!F19</f>
        <v>0</v>
      </c>
      <c r="G19" s="49">
        <v>0</v>
      </c>
      <c r="H19" s="20">
        <f>+sogebkvar!H19</f>
        <v>0</v>
      </c>
      <c r="I19" s="49">
        <v>0</v>
      </c>
      <c r="J19" s="20">
        <f>+sogebkvar!J19</f>
        <v>10954575.97844</v>
      </c>
      <c r="K19" s="52">
        <f t="shared" si="6"/>
        <v>0.21044887413001309</v>
      </c>
      <c r="L19" s="20">
        <f>+sogebkvar!L19</f>
        <v>9048258.6318499986</v>
      </c>
      <c r="M19" s="52">
        <f t="shared" si="7"/>
        <v>0.19152654319704834</v>
      </c>
      <c r="N19" s="20">
        <f>+sogebkvar!N19</f>
        <v>11469064.330850001</v>
      </c>
      <c r="O19" s="52">
        <f t="shared" si="8"/>
        <v>0.25010810112016846</v>
      </c>
      <c r="P19" s="20">
        <f>+sogebkvar!P19</f>
        <v>12500865.426439999</v>
      </c>
      <c r="Q19" s="52">
        <f t="shared" si="4"/>
        <v>0.29064120216944533</v>
      </c>
    </row>
    <row r="20" spans="1:17">
      <c r="A20" s="10" t="s">
        <v>263</v>
      </c>
      <c r="B20" s="20">
        <f>+sogebkvar!B20</f>
        <v>19215072.525990002</v>
      </c>
      <c r="C20" s="52">
        <f t="shared" si="5"/>
        <v>0.36182491109114873</v>
      </c>
      <c r="D20" s="20">
        <f>+sogebkvar!D20</f>
        <v>0</v>
      </c>
      <c r="E20" s="49">
        <v>0</v>
      </c>
      <c r="F20" s="20">
        <f>+sogebkvar!F20</f>
        <v>0</v>
      </c>
      <c r="G20" s="49">
        <v>0</v>
      </c>
      <c r="H20" s="20">
        <f>+sogebkvar!H20</f>
        <v>0</v>
      </c>
      <c r="I20" s="49">
        <v>0</v>
      </c>
      <c r="J20" s="20">
        <f>+sogebkvar!J20</f>
        <v>19001042.77665</v>
      </c>
      <c r="K20" s="52">
        <f t="shared" si="6"/>
        <v>0.36502992607949919</v>
      </c>
      <c r="L20" s="20">
        <f>+sogebkvar!L20</f>
        <v>18747203.52186</v>
      </c>
      <c r="M20" s="52">
        <f t="shared" si="7"/>
        <v>0.39682631003875807</v>
      </c>
      <c r="N20" s="20">
        <f>+sogebkvar!N20</f>
        <v>16211855.77159</v>
      </c>
      <c r="O20" s="52">
        <f t="shared" si="8"/>
        <v>0.35353507014167329</v>
      </c>
      <c r="P20" s="20">
        <f>+sogebkvar!P20</f>
        <v>11647178.847340001</v>
      </c>
      <c r="Q20" s="52">
        <f t="shared" si="4"/>
        <v>0.27079325683433558</v>
      </c>
    </row>
    <row r="21" spans="1:17">
      <c r="A21" s="10" t="s">
        <v>264</v>
      </c>
      <c r="B21" s="20">
        <f>+sogebkvar!B21</f>
        <v>2115040.9605199997</v>
      </c>
      <c r="C21" s="52">
        <f t="shared" si="5"/>
        <v>3.982678215027232E-2</v>
      </c>
      <c r="D21" s="20">
        <f>+sogebkvar!D21</f>
        <v>0</v>
      </c>
      <c r="E21" s="49">
        <v>0</v>
      </c>
      <c r="F21" s="20">
        <f>+sogebkvar!F21</f>
        <v>0</v>
      </c>
      <c r="G21" s="49">
        <v>0</v>
      </c>
      <c r="H21" s="20">
        <f>+sogebkvar!H21</f>
        <v>0</v>
      </c>
      <c r="I21" s="49">
        <v>0</v>
      </c>
      <c r="J21" s="20">
        <f>+sogebkvar!J21</f>
        <v>2153614.5376499998</v>
      </c>
      <c r="K21" s="52">
        <f t="shared" si="6"/>
        <v>4.1373190130816306E-2</v>
      </c>
      <c r="L21" s="20">
        <f>+sogebkvar!L21</f>
        <v>1581024.9465000001</v>
      </c>
      <c r="M21" s="52">
        <f t="shared" si="7"/>
        <v>3.3465913722398918E-2</v>
      </c>
      <c r="N21" s="20">
        <f>+sogebkvar!N21</f>
        <v>1420379.1239800001</v>
      </c>
      <c r="O21" s="52">
        <f t="shared" si="8"/>
        <v>3.0974481903794308E-2</v>
      </c>
      <c r="P21" s="20">
        <f>+sogebkvar!P21</f>
        <v>1318390.42879</v>
      </c>
      <c r="Q21" s="52">
        <f t="shared" si="4"/>
        <v>3.065216415671294E-2</v>
      </c>
    </row>
    <row r="22" spans="1:17" ht="16.5" thickBot="1">
      <c r="A22" s="10" t="s">
        <v>265</v>
      </c>
      <c r="B22" s="97">
        <f>+sogebkvar!B22</f>
        <v>2406305.5170900002</v>
      </c>
      <c r="C22" s="295">
        <f t="shared" si="5"/>
        <v>4.5311370987623771E-2</v>
      </c>
      <c r="D22" s="97">
        <f>+sogebkvar!D22</f>
        <v>0</v>
      </c>
      <c r="E22" s="209">
        <v>0</v>
      </c>
      <c r="F22" s="97">
        <f>+sogebkvar!F22</f>
        <v>0</v>
      </c>
      <c r="G22" s="209">
        <v>0</v>
      </c>
      <c r="H22" s="97">
        <f>+sogebkvar!H22</f>
        <v>0</v>
      </c>
      <c r="I22" s="209">
        <v>0</v>
      </c>
      <c r="J22" s="97">
        <f>+sogebkvar!J22</f>
        <v>2047625.0796800002</v>
      </c>
      <c r="K22" s="295">
        <f t="shared" si="6"/>
        <v>3.9337021670865273E-2</v>
      </c>
      <c r="L22" s="97">
        <f>+sogebkvar!L22</f>
        <v>1631675.7269400002</v>
      </c>
      <c r="M22" s="295">
        <f t="shared" si="7"/>
        <v>3.4538050282881212E-2</v>
      </c>
      <c r="N22" s="97">
        <f>+sogebkvar!N22</f>
        <v>2230529.6310000001</v>
      </c>
      <c r="O22" s="295">
        <f t="shared" si="8"/>
        <v>4.8641590491482978E-2</v>
      </c>
      <c r="P22" s="97">
        <f>+sogebkvar!P22</f>
        <v>1638728.6413700001</v>
      </c>
      <c r="Q22" s="295">
        <f t="shared" si="4"/>
        <v>3.8099927173835237E-2</v>
      </c>
    </row>
    <row r="23" spans="1:17">
      <c r="A23" s="10" t="s">
        <v>54</v>
      </c>
      <c r="B23" s="13">
        <f>SUM(B15:B22)</f>
        <v>53105996.676800005</v>
      </c>
      <c r="C23" s="109">
        <f t="shared" si="5"/>
        <v>1</v>
      </c>
      <c r="D23" s="13">
        <f>SUM(D15:D22)</f>
        <v>0</v>
      </c>
      <c r="E23" s="47">
        <v>0</v>
      </c>
      <c r="F23" s="13">
        <f>SUM(F15:F22)</f>
        <v>0</v>
      </c>
      <c r="G23" s="47">
        <v>0</v>
      </c>
      <c r="H23" s="13">
        <f>SUM(H15:H22)</f>
        <v>0</v>
      </c>
      <c r="I23" s="47">
        <v>0</v>
      </c>
      <c r="J23" s="13">
        <f>SUM(J15:J22)</f>
        <v>52053383.624530002</v>
      </c>
      <c r="K23" s="52">
        <f t="shared" si="6"/>
        <v>1</v>
      </c>
      <c r="L23" s="13">
        <f>SUM(L15:L22)</f>
        <v>47242844.155240007</v>
      </c>
      <c r="M23" s="52">
        <f t="shared" si="7"/>
        <v>1</v>
      </c>
      <c r="N23" s="13">
        <f>SUM(N15:N22)</f>
        <v>45856428.798119999</v>
      </c>
      <c r="O23" s="52">
        <f t="shared" si="8"/>
        <v>1</v>
      </c>
      <c r="P23" s="13">
        <f>SUM(P15:P22)</f>
        <v>43011332.643579997</v>
      </c>
      <c r="Q23" s="52">
        <f t="shared" si="4"/>
        <v>1</v>
      </c>
    </row>
    <row r="24" spans="1:17" ht="7.9" customHeight="1">
      <c r="A24" s="10"/>
      <c r="C24" s="52" t="s">
        <v>0</v>
      </c>
      <c r="E24" s="49" t="s">
        <v>0</v>
      </c>
      <c r="G24" s="49" t="s">
        <v>0</v>
      </c>
      <c r="I24" s="49" t="s">
        <v>0</v>
      </c>
      <c r="K24" s="52" t="s">
        <v>0</v>
      </c>
      <c r="M24" s="52" t="s">
        <v>0</v>
      </c>
      <c r="O24" s="52" t="s">
        <v>0</v>
      </c>
      <c r="Q24" s="52" t="s">
        <v>0</v>
      </c>
    </row>
    <row r="25" spans="1:17">
      <c r="A25" s="86" t="s">
        <v>266</v>
      </c>
      <c r="C25" s="52" t="s">
        <v>0</v>
      </c>
      <c r="E25" s="49" t="s">
        <v>0</v>
      </c>
      <c r="G25" s="49" t="s">
        <v>0</v>
      </c>
      <c r="I25" s="49" t="s">
        <v>0</v>
      </c>
      <c r="K25" s="52" t="s">
        <v>0</v>
      </c>
      <c r="M25" s="52" t="s">
        <v>0</v>
      </c>
      <c r="O25" s="52" t="s">
        <v>0</v>
      </c>
      <c r="Q25" s="52" t="s">
        <v>0</v>
      </c>
    </row>
    <row r="26" spans="1:17">
      <c r="A26" s="10" t="s">
        <v>267</v>
      </c>
      <c r="C26" s="52" t="s">
        <v>0</v>
      </c>
      <c r="E26" s="49" t="s">
        <v>0</v>
      </c>
      <c r="G26" s="49" t="s">
        <v>0</v>
      </c>
      <c r="I26" s="49" t="s">
        <v>0</v>
      </c>
      <c r="K26" s="52" t="s">
        <v>0</v>
      </c>
      <c r="M26" s="52" t="s">
        <v>0</v>
      </c>
      <c r="O26" s="52" t="s">
        <v>0</v>
      </c>
      <c r="Q26" s="52" t="s">
        <v>0</v>
      </c>
    </row>
    <row r="27" spans="1:17">
      <c r="A27" s="10" t="s">
        <v>268</v>
      </c>
      <c r="B27" s="20">
        <f>+sogebkvar!B27</f>
        <v>14786946.016360004</v>
      </c>
      <c r="C27" s="52">
        <f>+B27/$B$23</f>
        <v>0.2784421146702602</v>
      </c>
      <c r="D27" s="20">
        <f>+sogebkvar!D27</f>
        <v>0</v>
      </c>
      <c r="E27" s="49">
        <v>0</v>
      </c>
      <c r="F27" s="20">
        <f>+sogebkvar!F27</f>
        <v>0</v>
      </c>
      <c r="G27" s="49">
        <v>0</v>
      </c>
      <c r="H27" s="20">
        <f>+sogebkvar!H27</f>
        <v>0</v>
      </c>
      <c r="I27" s="49">
        <v>0</v>
      </c>
      <c r="J27" s="20">
        <f>+sogebkvar!J27</f>
        <v>13783045.50812</v>
      </c>
      <c r="K27" s="52">
        <f>+J27/$J$23</f>
        <v>0.26478673523971996</v>
      </c>
      <c r="L27" s="20">
        <f>+sogebkvar!L27</f>
        <v>13845301.643379999</v>
      </c>
      <c r="M27" s="52">
        <f>+L27/$L$23</f>
        <v>0.29306664090511425</v>
      </c>
      <c r="N27" s="20">
        <f>+sogebkvar!N27</f>
        <v>15369480.802409999</v>
      </c>
      <c r="O27" s="52">
        <f>+N27/$N$23</f>
        <v>0.3351652364834854</v>
      </c>
      <c r="P27" s="20">
        <f>+sogebkvar!P27</f>
        <v>15232045.606699996</v>
      </c>
      <c r="Q27" s="52">
        <f t="shared" si="4"/>
        <v>0.35414028514119006</v>
      </c>
    </row>
    <row r="28" spans="1:17">
      <c r="A28" s="10" t="s">
        <v>269</v>
      </c>
      <c r="B28" s="20">
        <f>+sogebkvar!B28</f>
        <v>18578344.729940001</v>
      </c>
      <c r="C28" s="52">
        <f>+B28/$B$23</f>
        <v>0.34983515784491764</v>
      </c>
      <c r="D28" s="20">
        <f>+sogebkvar!D28</f>
        <v>0</v>
      </c>
      <c r="E28" s="49">
        <v>0</v>
      </c>
      <c r="F28" s="20">
        <f>+sogebkvar!F28</f>
        <v>0</v>
      </c>
      <c r="G28" s="49">
        <v>0</v>
      </c>
      <c r="H28" s="20">
        <f>+sogebkvar!H28</f>
        <v>0</v>
      </c>
      <c r="I28" s="49">
        <v>0</v>
      </c>
      <c r="J28" s="20">
        <f>+sogebkvar!J28</f>
        <v>18532338.469219998</v>
      </c>
      <c r="K28" s="52">
        <f>+J28/$J$23</f>
        <v>0.3560256255942349</v>
      </c>
      <c r="L28" s="20">
        <f>+sogebkvar!L28</f>
        <v>17470828.427980002</v>
      </c>
      <c r="M28" s="52">
        <f>+L28/$L$23</f>
        <v>0.36980898886127289</v>
      </c>
      <c r="N28" s="20">
        <f>+sogebkvar!N28</f>
        <v>17580604.563530002</v>
      </c>
      <c r="O28" s="52">
        <f>+N28/$N$23</f>
        <v>0.38338363942223874</v>
      </c>
      <c r="P28" s="20">
        <f>+sogebkvar!P28</f>
        <v>17058001.856620006</v>
      </c>
      <c r="Q28" s="52">
        <f t="shared" si="4"/>
        <v>0.39659319551834754</v>
      </c>
    </row>
    <row r="29" spans="1:17">
      <c r="A29" s="10" t="s">
        <v>270</v>
      </c>
      <c r="B29" s="199">
        <f>+sogebkvar!B29</f>
        <v>9479328.16206</v>
      </c>
      <c r="C29" s="294">
        <f>+B29/$B$23</f>
        <v>0.17849826300691873</v>
      </c>
      <c r="D29" s="199">
        <f>+sogebkvar!D29</f>
        <v>0</v>
      </c>
      <c r="E29" s="1524">
        <v>0</v>
      </c>
      <c r="F29" s="199">
        <f>+sogebkvar!F29</f>
        <v>0</v>
      </c>
      <c r="G29" s="1524">
        <v>0</v>
      </c>
      <c r="H29" s="199">
        <f>+sogebkvar!H29</f>
        <v>0</v>
      </c>
      <c r="I29" s="1524">
        <v>0</v>
      </c>
      <c r="J29" s="199">
        <f>+sogebkvar!J29</f>
        <v>9142658.7885531895</v>
      </c>
      <c r="K29" s="294">
        <f>+J29/$J$23</f>
        <v>0.17564004781131537</v>
      </c>
      <c r="L29" s="199">
        <f>+sogebkvar!L29</f>
        <v>7343675.4145341087</v>
      </c>
      <c r="M29" s="294">
        <f>+L29/$L$23</f>
        <v>0.15544524352519479</v>
      </c>
      <c r="N29" s="199">
        <f>+sogebkvar!N29</f>
        <v>5649320.5374531783</v>
      </c>
      <c r="O29" s="294">
        <f>+N29/$N$23</f>
        <v>0.12319582413022068</v>
      </c>
      <c r="P29" s="199">
        <f>+sogebkvar!P29</f>
        <v>6078294.6732443124</v>
      </c>
      <c r="Q29" s="294">
        <f t="shared" ref="Q29:Q44" si="9">+P29/$P$23</f>
        <v>0.1413184456202051</v>
      </c>
    </row>
    <row r="30" spans="1:17">
      <c r="A30" s="10"/>
      <c r="B30" s="20">
        <f>SUM(B27:B29)</f>
        <v>42844618.908360004</v>
      </c>
      <c r="C30" s="52">
        <f>+B30/$B$23</f>
        <v>0.80677553552209658</v>
      </c>
      <c r="D30" s="20">
        <f>SUM(D27:D29)</f>
        <v>0</v>
      </c>
      <c r="E30" s="49">
        <v>0</v>
      </c>
      <c r="F30" s="20">
        <f>SUM(F27:F29)</f>
        <v>0</v>
      </c>
      <c r="G30" s="49">
        <v>0</v>
      </c>
      <c r="H30" s="20">
        <f>SUM(H27:H29)</f>
        <v>0</v>
      </c>
      <c r="I30" s="49">
        <v>0</v>
      </c>
      <c r="J30" s="20">
        <f>SUM(J27:J29)</f>
        <v>41458042.765893191</v>
      </c>
      <c r="K30" s="52">
        <f>+J30/$J$23</f>
        <v>0.79645240864527034</v>
      </c>
      <c r="L30" s="20">
        <f>SUM(L27:L29)</f>
        <v>38659805.485894106</v>
      </c>
      <c r="M30" s="52">
        <f>+L30/$L$23</f>
        <v>0.81832087329158187</v>
      </c>
      <c r="N30" s="20">
        <f>SUM(N27:N29)</f>
        <v>38599405.903393179</v>
      </c>
      <c r="O30" s="52">
        <f>+N30/$N$23</f>
        <v>0.84174470003594482</v>
      </c>
      <c r="P30" s="20">
        <f>SUM(P27:P29)</f>
        <v>38368342.136564314</v>
      </c>
      <c r="Q30" s="52">
        <f t="shared" si="9"/>
        <v>0.89205192627974272</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+sogebkvar!B33</f>
        <v>0</v>
      </c>
      <c r="C33" s="52">
        <f>+B33/$B$23</f>
        <v>0</v>
      </c>
      <c r="D33" s="20">
        <f>+sogebkvar!D33</f>
        <v>0</v>
      </c>
      <c r="E33" s="49">
        <v>0</v>
      </c>
      <c r="F33" s="20">
        <f>+sogebkvar!F33</f>
        <v>0</v>
      </c>
      <c r="G33" s="49">
        <v>0</v>
      </c>
      <c r="H33" s="20">
        <f>+sogebkvar!H33</f>
        <v>0</v>
      </c>
      <c r="I33" s="49">
        <v>0</v>
      </c>
      <c r="J33" s="20">
        <f>+sogebkvar!J33</f>
        <v>0</v>
      </c>
      <c r="K33" s="52">
        <f>+J33/$J$23</f>
        <v>0</v>
      </c>
      <c r="L33" s="20">
        <f>+sogebkvar!L33</f>
        <v>0</v>
      </c>
      <c r="M33" s="52">
        <f>+L33/$L$23</f>
        <v>0</v>
      </c>
      <c r="N33" s="20">
        <f>+sogebkvar!N33</f>
        <v>0</v>
      </c>
      <c r="O33" s="52">
        <f>+N33/$N$23</f>
        <v>0</v>
      </c>
      <c r="P33" s="20">
        <f>+sogebkvar!P33</f>
        <v>0</v>
      </c>
      <c r="Q33" s="52">
        <f t="shared" si="9"/>
        <v>0</v>
      </c>
    </row>
    <row r="34" spans="1:21">
      <c r="A34" s="10" t="s">
        <v>273</v>
      </c>
      <c r="B34" s="20">
        <f>+sogebkvar!B34</f>
        <v>0</v>
      </c>
      <c r="C34" s="52">
        <f>+B34/$B$23</f>
        <v>0</v>
      </c>
      <c r="D34" s="20">
        <f>+sogebkvar!D34</f>
        <v>0</v>
      </c>
      <c r="E34" s="49">
        <v>0</v>
      </c>
      <c r="F34" s="20">
        <f>+sogebkvar!F34</f>
        <v>0</v>
      </c>
      <c r="G34" s="49">
        <v>0</v>
      </c>
      <c r="H34" s="20">
        <f>+sogebkvar!H34</f>
        <v>0</v>
      </c>
      <c r="I34" s="49">
        <v>0</v>
      </c>
      <c r="J34" s="20">
        <f>+sogebkvar!J34</f>
        <v>0</v>
      </c>
      <c r="K34" s="52">
        <f>+J34/$J$23</f>
        <v>0</v>
      </c>
      <c r="L34" s="20">
        <f>+sogebkvar!L34</f>
        <v>0</v>
      </c>
      <c r="M34" s="52">
        <f>+L34/$L$23</f>
        <v>0</v>
      </c>
      <c r="N34" s="20">
        <f>+sogebkvar!N34</f>
        <v>0</v>
      </c>
      <c r="O34" s="52">
        <f>+N34/$N$23</f>
        <v>0</v>
      </c>
      <c r="P34" s="20">
        <f>+sogebkvar!P34</f>
        <v>0</v>
      </c>
      <c r="Q34" s="52">
        <f t="shared" si="9"/>
        <v>0</v>
      </c>
    </row>
    <row r="35" spans="1:21" ht="18">
      <c r="A35" s="10" t="s">
        <v>274</v>
      </c>
      <c r="B35" s="199">
        <f>+sogebkvar!B35</f>
        <v>1500006.6468</v>
      </c>
      <c r="C35" s="294">
        <f>+B35/$B$23</f>
        <v>2.8245522928963238E-2</v>
      </c>
      <c r="D35" s="199">
        <f>+sogebkvar!D35</f>
        <v>0</v>
      </c>
      <c r="E35" s="1524">
        <v>0</v>
      </c>
      <c r="F35" s="199">
        <f>+sogebkvar!F35</f>
        <v>0</v>
      </c>
      <c r="G35" s="1524">
        <v>0</v>
      </c>
      <c r="H35" s="199">
        <f>+sogebkvar!H35</f>
        <v>0</v>
      </c>
      <c r="I35" s="1524">
        <v>0</v>
      </c>
      <c r="J35" s="199">
        <f>+sogebkvar!J35</f>
        <v>1670570.43084</v>
      </c>
      <c r="K35" s="294">
        <f>+J35/$J$23</f>
        <v>3.2093407085504982E-2</v>
      </c>
      <c r="L35" s="199">
        <f>+sogebkvar!L35</f>
        <v>1474113.0204400001</v>
      </c>
      <c r="M35" s="294">
        <f>+L35/$L$23</f>
        <v>3.1202884728871616E-2</v>
      </c>
      <c r="N35" s="199">
        <f>+sogebkvar!N35</f>
        <v>1956972.7203599999</v>
      </c>
      <c r="O35" s="294">
        <f>+N35/$N$23</f>
        <v>4.2676082103459197E-2</v>
      </c>
      <c r="P35" s="199">
        <f>+sogebkvar!P35</f>
        <v>1112211.2394399999</v>
      </c>
      <c r="Q35" s="294">
        <f t="shared" si="9"/>
        <v>2.5858562641072037E-2</v>
      </c>
      <c r="R35" s="14"/>
      <c r="S35" s="15"/>
      <c r="T35" s="15"/>
      <c r="U35" s="15"/>
    </row>
    <row r="36" spans="1:21">
      <c r="A36" s="10"/>
      <c r="B36" s="20">
        <f>SUM(B33:B35)</f>
        <v>1500006.6468</v>
      </c>
      <c r="C36" s="52">
        <f>+B36/$B$23</f>
        <v>2.8245522928963238E-2</v>
      </c>
      <c r="D36" s="20">
        <f>SUM(D33:D35)</f>
        <v>0</v>
      </c>
      <c r="E36" s="49">
        <v>0</v>
      </c>
      <c r="F36" s="20">
        <f>SUM(F33:F35)</f>
        <v>0</v>
      </c>
      <c r="G36" s="49">
        <v>0</v>
      </c>
      <c r="H36" s="20">
        <f>SUM(H33:H35)</f>
        <v>0</v>
      </c>
      <c r="I36" s="49">
        <v>0</v>
      </c>
      <c r="J36" s="20">
        <f>SUM(J33:J35)</f>
        <v>1670570.43084</v>
      </c>
      <c r="K36" s="52">
        <f>+J36/$J$23</f>
        <v>3.2093407085504982E-2</v>
      </c>
      <c r="L36" s="20">
        <f>SUM(L33:L35)</f>
        <v>1474113.0204400001</v>
      </c>
      <c r="M36" s="52">
        <f>+L36/$L$23</f>
        <v>3.1202884728871616E-2</v>
      </c>
      <c r="N36" s="20">
        <f>SUM(N33:N35)</f>
        <v>1956972.7203599999</v>
      </c>
      <c r="O36" s="52">
        <f>+N36/$N$23</f>
        <v>4.2676082103459197E-2</v>
      </c>
      <c r="P36" s="20">
        <f>SUM(P33:P35)</f>
        <v>1112211.2394399999</v>
      </c>
      <c r="Q36" s="52">
        <f t="shared" si="9"/>
        <v>2.5858562641072037E-2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+sogebkvar!B39</f>
        <v>0</v>
      </c>
      <c r="C39" s="52">
        <f>+B39/$B$23</f>
        <v>0</v>
      </c>
      <c r="D39" s="20">
        <f>+sogebkvar!D39</f>
        <v>0</v>
      </c>
      <c r="E39" s="49">
        <v>0</v>
      </c>
      <c r="F39" s="20">
        <f>+sogebkvar!F39</f>
        <v>0</v>
      </c>
      <c r="G39" s="49">
        <v>0</v>
      </c>
      <c r="H39" s="20">
        <f>+sogebkvar!H39</f>
        <v>0</v>
      </c>
      <c r="I39" s="49">
        <v>0</v>
      </c>
      <c r="J39" s="20">
        <f>+sogebkvar!J39</f>
        <v>0</v>
      </c>
      <c r="K39" s="52">
        <f>+J39/$J$23</f>
        <v>0</v>
      </c>
      <c r="L39" s="20">
        <f>+sogebkvar!L39</f>
        <v>0</v>
      </c>
      <c r="M39" s="52">
        <f>+L39/$L$23</f>
        <v>0</v>
      </c>
      <c r="N39" s="20">
        <f>+sogebkvar!N39</f>
        <v>0</v>
      </c>
      <c r="O39" s="52">
        <f>+N39/$N$23</f>
        <v>0</v>
      </c>
      <c r="P39" s="20">
        <f>+sogebkvar!P39</f>
        <v>0</v>
      </c>
      <c r="Q39" s="52">
        <f t="shared" si="9"/>
        <v>0</v>
      </c>
    </row>
    <row r="40" spans="1:21">
      <c r="A40" s="10" t="s">
        <v>276</v>
      </c>
      <c r="B40" s="20">
        <f>+sogebkvar!B40</f>
        <v>2467523.4976900001</v>
      </c>
      <c r="C40" s="52">
        <f>+B40/$B$23</f>
        <v>4.6464121796022474E-2</v>
      </c>
      <c r="D40" s="20">
        <f>+sogebkvar!D40</f>
        <v>0</v>
      </c>
      <c r="E40" s="49">
        <v>0</v>
      </c>
      <c r="F40" s="20">
        <f>+sogebkvar!F40</f>
        <v>0</v>
      </c>
      <c r="G40" s="49">
        <v>0</v>
      </c>
      <c r="H40" s="20">
        <f>+sogebkvar!H40</f>
        <v>0</v>
      </c>
      <c r="I40" s="49">
        <v>0</v>
      </c>
      <c r="J40" s="20">
        <f>+sogebkvar!J40</f>
        <v>2785806.59913</v>
      </c>
      <c r="K40" s="52">
        <f>+J40/$J$23</f>
        <v>5.3518261545195629E-2</v>
      </c>
      <c r="L40" s="20">
        <f>+sogebkvar!L40</f>
        <v>1126307.7336800001</v>
      </c>
      <c r="M40" s="52">
        <f>+L40/$L$23</f>
        <v>2.3840811319042358E-2</v>
      </c>
      <c r="N40" s="20">
        <f>+sogebkvar!N40</f>
        <v>634833</v>
      </c>
      <c r="O40" s="52">
        <f>+N40/$N$23</f>
        <v>1.3843925849411689E-2</v>
      </c>
      <c r="P40" s="20">
        <f>+sogebkvar!P40</f>
        <v>-4.5780000000000001E-2</v>
      </c>
      <c r="Q40" s="52">
        <f t="shared" si="9"/>
        <v>-1.0643706480653132E-9</v>
      </c>
    </row>
    <row r="41" spans="1:21">
      <c r="A41" s="10" t="s">
        <v>274</v>
      </c>
      <c r="B41" s="199">
        <f>+sogebkvar!B41</f>
        <v>517789.09642000031</v>
      </c>
      <c r="C41" s="294">
        <f>+B41/$B$23</f>
        <v>9.7501059921958448E-3</v>
      </c>
      <c r="D41" s="199">
        <f>+sogebkvar!D41</f>
        <v>0</v>
      </c>
      <c r="E41" s="1524">
        <v>0</v>
      </c>
      <c r="F41" s="199">
        <f>+sogebkvar!F41</f>
        <v>0</v>
      </c>
      <c r="G41" s="1524">
        <v>0</v>
      </c>
      <c r="H41" s="199">
        <f>+sogebkvar!H41</f>
        <v>0</v>
      </c>
      <c r="I41" s="1524">
        <v>0</v>
      </c>
      <c r="J41" s="199">
        <f>+sogebkvar!J41</f>
        <v>571012.74373000022</v>
      </c>
      <c r="K41" s="294">
        <f>+J41/$J$23</f>
        <v>1.0969752664856778E-2</v>
      </c>
      <c r="L41" s="199">
        <f>+sogebkvar!L41</f>
        <v>733642.83086999995</v>
      </c>
      <c r="M41" s="294">
        <f>+L41/$L$23</f>
        <v>1.5529184239188676E-2</v>
      </c>
      <c r="N41" s="199">
        <f>+sogebkvar!N41</f>
        <v>275111.09762000002</v>
      </c>
      <c r="O41" s="294">
        <f>+N41/$N$23</f>
        <v>5.9994008436888768E-3</v>
      </c>
      <c r="P41" s="199">
        <f>+sogebkvar!P41</f>
        <v>262627.21996000002</v>
      </c>
      <c r="Q41" s="294">
        <f t="shared" si="9"/>
        <v>6.1060005309833279E-3</v>
      </c>
    </row>
    <row r="42" spans="1:21">
      <c r="A42" s="10"/>
      <c r="B42" s="20">
        <f>SUM(B39:B41)</f>
        <v>2985312.5941100004</v>
      </c>
      <c r="C42" s="52">
        <f>+B42/$B$23</f>
        <v>5.6214227788218316E-2</v>
      </c>
      <c r="D42" s="20">
        <f>SUM(D39:D41)</f>
        <v>0</v>
      </c>
      <c r="E42" s="49">
        <v>0</v>
      </c>
      <c r="F42" s="20">
        <f>SUM(F39:F41)</f>
        <v>0</v>
      </c>
      <c r="G42" s="49">
        <v>0</v>
      </c>
      <c r="H42" s="20">
        <f>SUM(H39:H41)</f>
        <v>0</v>
      </c>
      <c r="I42" s="49">
        <v>0</v>
      </c>
      <c r="J42" s="20">
        <f>SUM(J39:J41)</f>
        <v>3356819.3428600002</v>
      </c>
      <c r="K42" s="52">
        <f>+J42/$J$23</f>
        <v>6.4488014210052416E-2</v>
      </c>
      <c r="L42" s="20">
        <f>SUM(L39:L41)</f>
        <v>1859950.56455</v>
      </c>
      <c r="M42" s="52">
        <f>+L42/$L$23</f>
        <v>3.9369995558231036E-2</v>
      </c>
      <c r="N42" s="20">
        <f>SUM(N39:N41)</f>
        <v>909944.09762000002</v>
      </c>
      <c r="O42" s="52">
        <f>+N42/$N$23</f>
        <v>1.9843326693100564E-2</v>
      </c>
      <c r="P42" s="20">
        <f>SUM(P39:P41)</f>
        <v>262627.17418000003</v>
      </c>
      <c r="Q42" s="52">
        <f t="shared" si="9"/>
        <v>6.1059994666126808E-3</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+sogebkvar!B44</f>
        <v>1894965.9864400001</v>
      </c>
      <c r="C44" s="294">
        <f>+B44/$B$23</f>
        <v>3.56827120291641E-2</v>
      </c>
      <c r="D44" s="199">
        <f>+sogebkvar!D44</f>
        <v>0</v>
      </c>
      <c r="E44" s="1524">
        <v>0</v>
      </c>
      <c r="F44" s="199">
        <f>+sogebkvar!F44</f>
        <v>0</v>
      </c>
      <c r="G44" s="1524">
        <v>0</v>
      </c>
      <c r="H44" s="199">
        <f>+sogebkvar!H44</f>
        <v>0</v>
      </c>
      <c r="I44" s="1524">
        <v>0</v>
      </c>
      <c r="J44" s="199">
        <f>+sogebkvar!J44</f>
        <v>1800511.0100599998</v>
      </c>
      <c r="K44" s="294">
        <f>+J44/$J$23</f>
        <v>3.458970166180541E-2</v>
      </c>
      <c r="L44" s="199">
        <f>+sogebkvar!L44</f>
        <v>1773645.17747</v>
      </c>
      <c r="M44" s="294">
        <f>+L44/$L$23</f>
        <v>3.7543149850203794E-2</v>
      </c>
      <c r="N44" s="199">
        <f>+sogebkvar!N44</f>
        <v>1399117.24767</v>
      </c>
      <c r="O44" s="294">
        <f>+N44/$N$23</f>
        <v>3.0510820060356734E-2</v>
      </c>
      <c r="P44" s="199">
        <f>+sogebkvar!P44</f>
        <v>670192.78408000001</v>
      </c>
      <c r="Q44" s="294">
        <f t="shared" si="9"/>
        <v>1.558177212581752E-2</v>
      </c>
      <c r="R44" s="14"/>
    </row>
    <row r="45" spans="1:21">
      <c r="A45" s="10"/>
      <c r="B45" s="20">
        <f>+B30+B36+B42+B44</f>
        <v>49224904.135710001</v>
      </c>
      <c r="C45" s="52">
        <f>+B45/$B$23</f>
        <v>0.92691799826844212</v>
      </c>
      <c r="D45" s="20">
        <f t="shared" ref="D45:J45" si="10">+D30+D36+D42+D44</f>
        <v>0</v>
      </c>
      <c r="E45" s="49">
        <v>0</v>
      </c>
      <c r="F45" s="20">
        <f t="shared" si="10"/>
        <v>0</v>
      </c>
      <c r="G45" s="49">
        <v>0</v>
      </c>
      <c r="H45" s="20">
        <f t="shared" si="10"/>
        <v>0</v>
      </c>
      <c r="I45" s="49">
        <v>0</v>
      </c>
      <c r="J45" s="20">
        <f t="shared" si="10"/>
        <v>48285943.549653187</v>
      </c>
      <c r="K45" s="52">
        <f>+J45/$J$23</f>
        <v>0.927623531602633</v>
      </c>
      <c r="L45" s="20">
        <f>+L30+L36+L42+L44</f>
        <v>43767514.2483541</v>
      </c>
      <c r="M45" s="52">
        <f>+L45/$L$23</f>
        <v>0.92643690342888818</v>
      </c>
      <c r="N45" s="20">
        <f>+N30+N36+N42+N44</f>
        <v>42865439.969043188</v>
      </c>
      <c r="O45" s="52">
        <f>+N45/$N$23</f>
        <v>0.93477492889286151</v>
      </c>
      <c r="P45" s="20">
        <f>+P30+P36+P42+P44</f>
        <v>40413373.334264316</v>
      </c>
      <c r="Q45" s="52">
        <f>+P45/$P$23</f>
        <v>0.93959826051324502</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+sogebkvar!B48</f>
        <v>1200000</v>
      </c>
      <c r="C48" s="52">
        <f t="shared" ref="C48:C53" si="11">+B48/$B$23</f>
        <v>2.2596318214365318E-2</v>
      </c>
      <c r="D48" s="20">
        <f>+sogebkvar!D48</f>
        <v>0</v>
      </c>
      <c r="E48" s="49">
        <v>0</v>
      </c>
      <c r="F48" s="20">
        <f>+sogebkvar!F48</f>
        <v>0</v>
      </c>
      <c r="G48" s="49">
        <v>0</v>
      </c>
      <c r="H48" s="20">
        <f>+sogebkvar!H48</f>
        <v>0</v>
      </c>
      <c r="I48" s="49">
        <v>0</v>
      </c>
      <c r="J48" s="20">
        <f>+sogebkvar!J48</f>
        <v>1200000</v>
      </c>
      <c r="K48" s="52">
        <f t="shared" ref="K48:K53" si="12">+J48/$J$23</f>
        <v>2.3053256415679069E-2</v>
      </c>
      <c r="L48" s="20">
        <f>+sogebkvar!L48</f>
        <v>1050000</v>
      </c>
      <c r="M48" s="52">
        <f t="shared" ref="M48:M53" si="13">+L48/$L$23</f>
        <v>2.2225588208654407E-2</v>
      </c>
      <c r="N48" s="20">
        <f>+sogebkvar!N48</f>
        <v>750000</v>
      </c>
      <c r="O48" s="52">
        <f t="shared" ref="O48:O53" si="14">+N48/$N$23</f>
        <v>1.6355394862993523E-2</v>
      </c>
      <c r="P48" s="20">
        <f>+sogebkvar!P48</f>
        <v>750000</v>
      </c>
      <c r="Q48" s="52">
        <f t="shared" ref="Q48:Q53" si="15">+P48/$P$23</f>
        <v>1.7437264876561488E-2</v>
      </c>
    </row>
    <row r="49" spans="1:21">
      <c r="A49" s="10" t="s">
        <v>280</v>
      </c>
      <c r="B49" s="20">
        <f>+sogebkvar!B49</f>
        <v>1221203.99306</v>
      </c>
      <c r="C49" s="52">
        <f t="shared" si="11"/>
        <v>2.2995595026531111E-2</v>
      </c>
      <c r="D49" s="20">
        <f>+sogebkvar!D49</f>
        <v>0</v>
      </c>
      <c r="E49" s="49">
        <v>0</v>
      </c>
      <c r="F49" s="20">
        <f>+sogebkvar!F49</f>
        <v>0</v>
      </c>
      <c r="G49" s="49">
        <v>0</v>
      </c>
      <c r="H49" s="20">
        <f>+sogebkvar!H49</f>
        <v>0</v>
      </c>
      <c r="I49" s="49">
        <v>0</v>
      </c>
      <c r="J49" s="20">
        <f>+sogebkvar!J49</f>
        <v>1048734.60412</v>
      </c>
      <c r="K49" s="52">
        <f t="shared" si="12"/>
        <v>2.0147289783978364E-2</v>
      </c>
      <c r="L49" s="20">
        <f>+sogebkvar!L49</f>
        <v>1307064.6000000001</v>
      </c>
      <c r="M49" s="52">
        <f t="shared" si="13"/>
        <v>2.7666932915913895E-2</v>
      </c>
      <c r="N49" s="20">
        <f>+sogebkvar!N49</f>
        <v>1179291.5603800002</v>
      </c>
      <c r="O49" s="52">
        <f t="shared" si="14"/>
        <v>2.5717038838147559E-2</v>
      </c>
      <c r="P49" s="20">
        <f>+sogebkvar!P49</f>
        <v>1003392.86263</v>
      </c>
      <c r="Q49" s="52">
        <f t="shared" si="15"/>
        <v>2.3328569494574111E-2</v>
      </c>
    </row>
    <row r="50" spans="1:21">
      <c r="A50" s="10" t="s">
        <v>290</v>
      </c>
      <c r="B50" s="20">
        <f>+sogebkvar!B50</f>
        <v>98479.455170000001</v>
      </c>
      <c r="C50" s="52">
        <f t="shared" si="11"/>
        <v>1.8543942554988698E-3</v>
      </c>
      <c r="D50" s="20">
        <f>+sogebkvar!D50</f>
        <v>0</v>
      </c>
      <c r="E50" s="49">
        <v>0</v>
      </c>
      <c r="F50" s="20">
        <f>+sogebkvar!F50</f>
        <v>0</v>
      </c>
      <c r="G50" s="49">
        <v>0</v>
      </c>
      <c r="H50" s="20">
        <f>+sogebkvar!H50</f>
        <v>0</v>
      </c>
      <c r="I50" s="49">
        <v>0</v>
      </c>
      <c r="J50" s="20">
        <f>+sogebkvar!J50</f>
        <v>98479.455170000001</v>
      </c>
      <c r="K50" s="52">
        <f t="shared" si="12"/>
        <v>1.8918934430919847E-3</v>
      </c>
      <c r="L50" s="20">
        <f>+sogebkvar!L50</f>
        <v>98479.5</v>
      </c>
      <c r="M50" s="52">
        <f t="shared" si="13"/>
        <v>2.0845379180896967E-3</v>
      </c>
      <c r="N50" s="20">
        <f>+sogebkvar!N50</f>
        <v>98479.455170000001</v>
      </c>
      <c r="O50" s="52">
        <f t="shared" si="14"/>
        <v>2.1475605002637586E-3</v>
      </c>
      <c r="P50" s="20">
        <f>+sogebkvar!P50</f>
        <v>98479.455170000001</v>
      </c>
      <c r="Q50" s="52">
        <f t="shared" si="15"/>
        <v>2.2896164595983368E-3</v>
      </c>
    </row>
    <row r="51" spans="1:21" ht="18">
      <c r="A51" s="10" t="s">
        <v>282</v>
      </c>
      <c r="B51" s="199">
        <f>+sogebkvar!B51</f>
        <v>1361409.0928600004</v>
      </c>
      <c r="C51" s="294">
        <f t="shared" si="11"/>
        <v>2.5635694235162494E-2</v>
      </c>
      <c r="D51" s="199">
        <f>+sogebkvar!D51</f>
        <v>0</v>
      </c>
      <c r="E51" s="49">
        <v>0</v>
      </c>
      <c r="F51" s="199">
        <f>+sogebkvar!F51</f>
        <v>0</v>
      </c>
      <c r="G51" s="49">
        <v>0</v>
      </c>
      <c r="H51" s="199">
        <f>+sogebkvar!H51</f>
        <v>0</v>
      </c>
      <c r="I51" s="49">
        <v>0</v>
      </c>
      <c r="J51" s="199">
        <f>+sogebkvar!J51</f>
        <v>1420226.01559</v>
      </c>
      <c r="K51" s="294">
        <f t="shared" si="12"/>
        <v>2.7284028754678738E-2</v>
      </c>
      <c r="L51" s="199">
        <f>+sogebkvar!L51</f>
        <v>1019785.9</v>
      </c>
      <c r="M51" s="294">
        <f t="shared" si="13"/>
        <v>2.1586039499420971E-2</v>
      </c>
      <c r="N51" s="199">
        <f>+sogebkvar!N51</f>
        <v>963217.81325000105</v>
      </c>
      <c r="O51" s="294">
        <f t="shared" si="14"/>
        <v>2.1005076899697227E-2</v>
      </c>
      <c r="P51" s="199">
        <f>+sogebkvar!P51</f>
        <v>746086.99152000039</v>
      </c>
      <c r="Q51" s="294">
        <f t="shared" si="15"/>
        <v>1.7346288656121506E-2</v>
      </c>
      <c r="R51" s="14"/>
      <c r="S51" s="15"/>
      <c r="T51" s="15"/>
      <c r="U51" s="15"/>
    </row>
    <row r="52" spans="1:21" ht="16.5" thickBot="1">
      <c r="A52" s="10" t="s">
        <v>54</v>
      </c>
      <c r="B52" s="79">
        <f>SUM(B48:B51)</f>
        <v>3881092.5410900004</v>
      </c>
      <c r="C52" s="208">
        <f t="shared" si="11"/>
        <v>7.3082001731557794E-2</v>
      </c>
      <c r="D52" s="79">
        <f>SUM(D48:D51)</f>
        <v>0</v>
      </c>
      <c r="E52" s="1525">
        <v>0</v>
      </c>
      <c r="F52" s="79">
        <f>SUM(F48:F51)</f>
        <v>0</v>
      </c>
      <c r="G52" s="1525">
        <v>0</v>
      </c>
      <c r="H52" s="79">
        <f>SUM(H48:H51)</f>
        <v>0</v>
      </c>
      <c r="I52" s="1525">
        <v>0</v>
      </c>
      <c r="J52" s="79">
        <f>SUM(J48:J51)</f>
        <v>3767440.0748800002</v>
      </c>
      <c r="K52" s="208">
        <f t="shared" si="12"/>
        <v>7.2376468397428159E-2</v>
      </c>
      <c r="L52" s="79">
        <f>SUM(L48:L51)</f>
        <v>3475330</v>
      </c>
      <c r="M52" s="208">
        <f t="shared" si="13"/>
        <v>7.3563098542078972E-2</v>
      </c>
      <c r="N52" s="79">
        <f>SUM(N48:N51)</f>
        <v>2990988.8288000012</v>
      </c>
      <c r="O52" s="208">
        <f t="shared" si="14"/>
        <v>6.5225071101102067E-2</v>
      </c>
      <c r="P52" s="79">
        <f>SUM(P48:P51)</f>
        <v>2597959.30932</v>
      </c>
      <c r="Q52" s="208">
        <f t="shared" si="15"/>
        <v>6.0401739486855434E-2</v>
      </c>
    </row>
    <row r="53" spans="1:21">
      <c r="A53" s="10" t="s">
        <v>0</v>
      </c>
      <c r="B53" s="13">
        <f>+B30+B36+B42+B44+B52</f>
        <v>53105996.676799998</v>
      </c>
      <c r="C53" s="109">
        <f t="shared" si="11"/>
        <v>0.99999999999999989</v>
      </c>
      <c r="D53" s="13">
        <f>+D30+D36+D42+D44+D52</f>
        <v>0</v>
      </c>
      <c r="E53" s="47">
        <v>0</v>
      </c>
      <c r="F53" s="13">
        <f>+F30+F36+F42+F44+F52</f>
        <v>0</v>
      </c>
      <c r="G53" s="47">
        <v>0</v>
      </c>
      <c r="H53" s="13">
        <f>+H30+H36+H42+H44+H52</f>
        <v>0</v>
      </c>
      <c r="I53" s="47">
        <v>0</v>
      </c>
      <c r="J53" s="13">
        <f>+J30+J36+J42+J44+J52</f>
        <v>52053383.624533191</v>
      </c>
      <c r="K53" s="52">
        <f t="shared" si="12"/>
        <v>1.0000000000000613</v>
      </c>
      <c r="L53" s="13">
        <f>+L30+L36+L42+L44+L52</f>
        <v>47242844.2483541</v>
      </c>
      <c r="M53" s="52">
        <f t="shared" si="13"/>
        <v>1.0000000019709672</v>
      </c>
      <c r="N53" s="13">
        <f>+N30+N36+N42+N44+N52</f>
        <v>45856428.797843188</v>
      </c>
      <c r="O53" s="52">
        <f t="shared" si="14"/>
        <v>0.9999999999939635</v>
      </c>
      <c r="P53" s="13">
        <f>+P30+P36+P42+P44+P52</f>
        <v>43011332.643584318</v>
      </c>
      <c r="Q53" s="52">
        <f t="shared" si="15"/>
        <v>1.0000000000001004</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row r="157" spans="2:18">
      <c r="B157"/>
      <c r="C157"/>
      <c r="D157"/>
      <c r="E157"/>
      <c r="F157"/>
      <c r="G157"/>
      <c r="H157"/>
      <c r="I157"/>
      <c r="J157"/>
      <c r="K157"/>
      <c r="L157"/>
      <c r="M157"/>
      <c r="N157"/>
      <c r="O157"/>
      <c r="P157"/>
      <c r="Q157"/>
      <c r="R157"/>
    </row>
  </sheetData>
  <phoneticPr fontId="0" type="noConversion"/>
  <pageMargins left="0.2" right="0.23" top="0.5" bottom="0.55000000000000004" header="0.34" footer="0.34"/>
  <pageSetup scale="53" orientation="landscape" r:id="rId1"/>
  <headerFooter alignWithMargins="0">
    <oddFooter>&amp;R&amp;P</oddFooter>
  </headerFooter>
</worksheet>
</file>

<file path=xl/worksheets/sheet105.xml><?xml version="1.0" encoding="utf-8"?>
<worksheet xmlns="http://schemas.openxmlformats.org/spreadsheetml/2006/main" xmlns:r="http://schemas.openxmlformats.org/officeDocument/2006/relationships">
  <sheetPr>
    <pageSetUpPr fitToPage="1"/>
  </sheetPr>
  <dimension ref="A1:O172"/>
  <sheetViews>
    <sheetView topLeftCell="A7" workbookViewId="0">
      <pane xSplit="1" ySplit="2" topLeftCell="B9"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7.5" style="20" customWidth="1"/>
    <col min="3" max="3" width="15.75" style="21" customWidth="1"/>
    <col min="4" max="4" width="15.75" style="20" customWidth="1"/>
    <col min="5" max="5" width="14.5" style="21" customWidth="1"/>
    <col min="6" max="6" width="11" style="20" customWidth="1"/>
    <col min="7" max="7" width="9.75" style="21" customWidth="1"/>
    <col min="8" max="8" width="18" style="20" customWidth="1"/>
    <col min="9" max="9" width="18.375" style="20" customWidth="1"/>
    <col min="10" max="10" width="15.75" style="21" customWidth="1"/>
    <col min="11" max="11" width="14.5" style="20" customWidth="1"/>
    <col min="12" max="12" width="15.75" style="20" customWidth="1"/>
    <col min="13" max="15" width="15.75" customWidth="1"/>
  </cols>
  <sheetData>
    <row r="1" spans="1:15">
      <c r="A1" s="111" t="s">
        <v>407</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193"/>
      <c r="D6" s="194"/>
    </row>
    <row r="7" spans="1:15" ht="16.5" thickBot="1">
      <c r="B7" s="367" t="str">
        <f>+'scotiagdes&amp;$'!B7</f>
        <v>Décembre 14</v>
      </c>
      <c r="C7" s="43"/>
      <c r="D7" s="42"/>
      <c r="E7" s="43"/>
      <c r="H7" s="332" t="str">
        <f>+'scotiagdes&amp;$'!H7</f>
        <v>Septembre 14</v>
      </c>
      <c r="I7" s="193"/>
      <c r="J7" s="194"/>
      <c r="K7" s="42"/>
    </row>
    <row r="8" spans="1:15" ht="16.5" thickTop="1">
      <c r="A8" s="86" t="s">
        <v>244</v>
      </c>
      <c r="B8" s="348" t="s">
        <v>297</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t="s">
        <v>0</v>
      </c>
      <c r="C9" s="122"/>
      <c r="D9" s="322"/>
      <c r="E9" s="328" t="s">
        <v>0</v>
      </c>
      <c r="H9" s="128"/>
      <c r="I9" s="81"/>
      <c r="J9" s="326" t="s">
        <v>0</v>
      </c>
      <c r="K9" s="328" t="s">
        <v>0</v>
      </c>
    </row>
    <row r="10" spans="1:15">
      <c r="A10" s="10" t="s">
        <v>256</v>
      </c>
      <c r="B10" s="124">
        <v>1028781.8602700001</v>
      </c>
      <c r="C10" s="91">
        <v>1491114.70621</v>
      </c>
      <c r="D10" s="323">
        <f t="shared" ref="D10:D15" si="0">SUM(B10:C10)</f>
        <v>2519896.56648</v>
      </c>
      <c r="E10" s="329">
        <f t="shared" ref="E10:E15" si="1">+B10/D10</f>
        <v>0.40826352714432546</v>
      </c>
      <c r="F10" s="87" t="s">
        <v>0</v>
      </c>
      <c r="G10" s="98" t="s">
        <v>0</v>
      </c>
      <c r="H10" s="124">
        <v>528416.87422999996</v>
      </c>
      <c r="I10" s="91">
        <v>1471619.48698</v>
      </c>
      <c r="J10" s="323">
        <f t="shared" ref="J10:J15" si="2">SUM(H10:I10)</f>
        <v>2000036.36121</v>
      </c>
      <c r="K10" s="329">
        <f t="shared" ref="K10:K15" si="3">+H10/J10</f>
        <v>0.26420363373309552</v>
      </c>
    </row>
    <row r="11" spans="1:15">
      <c r="A11" s="10" t="s">
        <v>257</v>
      </c>
      <c r="B11" s="124">
        <v>9655679.5968800001</v>
      </c>
      <c r="C11" s="91">
        <v>3779002.0327600003</v>
      </c>
      <c r="D11" s="323">
        <f t="shared" si="0"/>
        <v>13434681.62964</v>
      </c>
      <c r="E11" s="329">
        <f t="shared" si="1"/>
        <v>0.71871294482910175</v>
      </c>
      <c r="F11" s="87" t="s">
        <v>0</v>
      </c>
      <c r="G11" s="98" t="s">
        <v>0</v>
      </c>
      <c r="H11" s="124">
        <v>9653326.4393600002</v>
      </c>
      <c r="I11" s="91">
        <v>3528299.8363399999</v>
      </c>
      <c r="J11" s="323">
        <f t="shared" si="2"/>
        <v>13181626.275699999</v>
      </c>
      <c r="K11" s="329">
        <f t="shared" si="3"/>
        <v>0.73233197766770763</v>
      </c>
    </row>
    <row r="12" spans="1:15">
      <c r="A12" s="10" t="s">
        <v>258</v>
      </c>
      <c r="B12" s="124">
        <v>660482.48953999998</v>
      </c>
      <c r="C12" s="91">
        <v>0</v>
      </c>
      <c r="D12" s="323">
        <f t="shared" si="0"/>
        <v>660482.48953999998</v>
      </c>
      <c r="E12" s="329">
        <f t="shared" si="1"/>
        <v>1</v>
      </c>
      <c r="F12" s="87" t="s">
        <v>0</v>
      </c>
      <c r="G12" s="98" t="s">
        <v>0</v>
      </c>
      <c r="H12" s="124">
        <v>635408.43327000004</v>
      </c>
      <c r="I12" s="91">
        <v>0</v>
      </c>
      <c r="J12" s="323">
        <f t="shared" si="2"/>
        <v>635408.43327000004</v>
      </c>
      <c r="K12" s="329">
        <f t="shared" si="3"/>
        <v>1</v>
      </c>
    </row>
    <row r="13" spans="1:15">
      <c r="A13" s="10" t="s">
        <v>259</v>
      </c>
      <c r="B13" s="124">
        <v>1072.6026000000002</v>
      </c>
      <c r="C13" s="91">
        <v>27361.042249999999</v>
      </c>
      <c r="D13" s="323">
        <f>SUM(B13:C13)</f>
        <v>28433.644849999997</v>
      </c>
      <c r="E13" s="329">
        <f t="shared" si="1"/>
        <v>3.772300757284025E-2</v>
      </c>
      <c r="F13" s="87" t="s">
        <v>0</v>
      </c>
      <c r="G13" s="98" t="s">
        <v>0</v>
      </c>
      <c r="H13" s="124">
        <v>1045.2986599999999</v>
      </c>
      <c r="I13" s="91">
        <v>18502.042249999999</v>
      </c>
      <c r="J13" s="323">
        <f t="shared" si="2"/>
        <v>19547.340909999999</v>
      </c>
      <c r="K13" s="329">
        <f t="shared" si="3"/>
        <v>5.3475235573614395E-2</v>
      </c>
    </row>
    <row r="14" spans="1:15">
      <c r="A14" s="10" t="s">
        <v>260</v>
      </c>
      <c r="B14" s="685">
        <v>50422.88798</v>
      </c>
      <c r="C14" s="224">
        <v>2942.7850400000002</v>
      </c>
      <c r="D14" s="512">
        <f>SUM(B14:C14)</f>
        <v>53365.673020000002</v>
      </c>
      <c r="E14" s="329">
        <f t="shared" si="1"/>
        <v>0.94485621798684849</v>
      </c>
      <c r="F14" s="87" t="s">
        <v>0</v>
      </c>
      <c r="G14" s="98" t="s">
        <v>0</v>
      </c>
      <c r="H14" s="685">
        <v>93001.998389999993</v>
      </c>
      <c r="I14" s="224">
        <v>16904.842629999999</v>
      </c>
      <c r="J14" s="684">
        <f t="shared" si="2"/>
        <v>109906.84101999999</v>
      </c>
      <c r="K14" s="329">
        <f t="shared" si="3"/>
        <v>0.84618935024323205</v>
      </c>
    </row>
    <row r="15" spans="1:15" ht="15.6" customHeight="1">
      <c r="A15" s="10"/>
      <c r="B15" s="124">
        <f>SUM(B10:B14)</f>
        <v>11396439.437270001</v>
      </c>
      <c r="C15" s="91">
        <f>SUM(C10:C14)</f>
        <v>5300420.5662600007</v>
      </c>
      <c r="D15" s="323">
        <f t="shared" si="0"/>
        <v>16696860.003530001</v>
      </c>
      <c r="E15" s="329">
        <f t="shared" si="1"/>
        <v>0.68254985876749275</v>
      </c>
      <c r="F15" s="87" t="s">
        <v>0</v>
      </c>
      <c r="G15" s="98" t="s">
        <v>0</v>
      </c>
      <c r="H15" s="124">
        <f>SUM(H10:H14)</f>
        <v>10911199.04391</v>
      </c>
      <c r="I15" s="91">
        <f>SUM(I10:I14)</f>
        <v>5035326.2081999993</v>
      </c>
      <c r="J15" s="323">
        <f t="shared" si="2"/>
        <v>15946525.252110001</v>
      </c>
      <c r="K15" s="329">
        <f t="shared" si="3"/>
        <v>0.68423677706629293</v>
      </c>
    </row>
    <row r="16" spans="1:15" ht="7.9" customHeight="1">
      <c r="A16" s="10"/>
      <c r="B16" s="124"/>
      <c r="C16" s="92" t="s">
        <v>0</v>
      </c>
      <c r="D16" s="323"/>
      <c r="E16" s="329" t="s">
        <v>0</v>
      </c>
      <c r="F16" s="87"/>
      <c r="G16" s="98" t="s">
        <v>0</v>
      </c>
      <c r="H16" s="124"/>
      <c r="I16" s="92" t="s">
        <v>0</v>
      </c>
      <c r="J16" s="327" t="s">
        <v>0</v>
      </c>
      <c r="K16" s="329" t="s">
        <v>0</v>
      </c>
    </row>
    <row r="17" spans="1:11" ht="15.6" customHeight="1">
      <c r="A17" s="10" t="s">
        <v>261</v>
      </c>
      <c r="B17" s="124">
        <v>0</v>
      </c>
      <c r="C17" s="91">
        <v>1300000</v>
      </c>
      <c r="D17" s="323">
        <f t="shared" ref="D17:D23" si="4">SUM(B17:C17)</f>
        <v>1300000</v>
      </c>
      <c r="E17" s="129">
        <v>0</v>
      </c>
      <c r="F17"/>
      <c r="G17"/>
      <c r="H17" s="124">
        <v>0</v>
      </c>
      <c r="I17" s="91">
        <v>1950000</v>
      </c>
      <c r="J17" s="323">
        <f t="shared" ref="J17:J23" si="5">SUM(H17:I17)</f>
        <v>1950000</v>
      </c>
      <c r="K17" s="129">
        <v>0</v>
      </c>
    </row>
    <row r="18" spans="1:11" ht="15.6" customHeight="1">
      <c r="A18" s="10" t="s">
        <v>909</v>
      </c>
      <c r="B18" s="124">
        <v>0</v>
      </c>
      <c r="C18" s="91">
        <v>0</v>
      </c>
      <c r="D18" s="323">
        <v>0</v>
      </c>
      <c r="E18" s="129">
        <v>0</v>
      </c>
      <c r="F18"/>
      <c r="G18"/>
      <c r="H18" s="124">
        <v>0</v>
      </c>
      <c r="I18" s="91">
        <v>0</v>
      </c>
      <c r="J18" s="323">
        <f t="shared" si="5"/>
        <v>0</v>
      </c>
      <c r="K18" s="129">
        <v>0</v>
      </c>
    </row>
    <row r="19" spans="1:11">
      <c r="A19" s="10" t="s">
        <v>262</v>
      </c>
      <c r="B19" s="124">
        <v>8524084.2313500009</v>
      </c>
      <c r="C19" s="91">
        <v>2848633.4383200002</v>
      </c>
      <c r="D19" s="323">
        <f t="shared" si="4"/>
        <v>11372717.669670001</v>
      </c>
      <c r="E19" s="329">
        <f>+B19/D19</f>
        <v>0.74952042941178032</v>
      </c>
      <c r="F19"/>
      <c r="G19"/>
      <c r="H19" s="124">
        <v>8254936.2488199994</v>
      </c>
      <c r="I19" s="91">
        <v>2699639.7296199994</v>
      </c>
      <c r="J19" s="323">
        <f t="shared" si="5"/>
        <v>10954575.978439998</v>
      </c>
      <c r="K19" s="329">
        <f>+H19/J19</f>
        <v>0.75356054538913841</v>
      </c>
    </row>
    <row r="20" spans="1:11">
      <c r="A20" s="10" t="s">
        <v>298</v>
      </c>
      <c r="B20" s="124">
        <v>8951286.2892899998</v>
      </c>
      <c r="C20" s="91">
        <v>10263786.2367</v>
      </c>
      <c r="D20" s="323">
        <f t="shared" si="4"/>
        <v>19215072.525990002</v>
      </c>
      <c r="E20" s="329">
        <f>+B20/D20</f>
        <v>0.46584712481218232</v>
      </c>
      <c r="F20"/>
      <c r="G20"/>
      <c r="H20" s="124">
        <v>9267367.1738200001</v>
      </c>
      <c r="I20" s="91">
        <v>9733675.6028300002</v>
      </c>
      <c r="J20" s="323">
        <f t="shared" si="5"/>
        <v>19001042.77665</v>
      </c>
      <c r="K20" s="329">
        <f>+H20/J20</f>
        <v>0.4877293989995371</v>
      </c>
    </row>
    <row r="21" spans="1:11">
      <c r="A21" s="10" t="s">
        <v>264</v>
      </c>
      <c r="B21" s="124">
        <v>0</v>
      </c>
      <c r="C21" s="91">
        <v>2115040.9605199997</v>
      </c>
      <c r="D21" s="323">
        <f t="shared" si="4"/>
        <v>2115040.9605199997</v>
      </c>
      <c r="E21" s="129">
        <v>0</v>
      </c>
      <c r="F21"/>
      <c r="G21"/>
      <c r="H21" s="124">
        <v>0</v>
      </c>
      <c r="I21" s="91">
        <v>2153614.5376499998</v>
      </c>
      <c r="J21" s="323">
        <f t="shared" si="5"/>
        <v>2153614.5376499998</v>
      </c>
      <c r="K21" s="129">
        <v>0</v>
      </c>
    </row>
    <row r="22" spans="1:11">
      <c r="A22" s="10" t="s">
        <v>265</v>
      </c>
      <c r="B22" s="685">
        <v>846468.23789000011</v>
      </c>
      <c r="C22" s="224">
        <v>1559837.2792</v>
      </c>
      <c r="D22" s="684">
        <f t="shared" si="4"/>
        <v>2406305.5170900002</v>
      </c>
      <c r="E22" s="329">
        <f>+B22/D22</f>
        <v>0.35177089188311106</v>
      </c>
      <c r="F22"/>
      <c r="G22"/>
      <c r="H22" s="685">
        <v>694992.3101</v>
      </c>
      <c r="I22" s="224">
        <v>1352632.7695800001</v>
      </c>
      <c r="J22" s="684">
        <f t="shared" si="5"/>
        <v>2047625.07968</v>
      </c>
      <c r="K22" s="329">
        <f>+H22/J22</f>
        <v>0.33941384924266138</v>
      </c>
    </row>
    <row r="23" spans="1:11">
      <c r="A23" s="10" t="s">
        <v>54</v>
      </c>
      <c r="B23" s="125">
        <f>SUM(B15:B22)</f>
        <v>29718278.195800003</v>
      </c>
      <c r="C23" s="94">
        <f>SUM(C15:C22)</f>
        <v>23387718.480999999</v>
      </c>
      <c r="D23" s="324">
        <f t="shared" si="4"/>
        <v>53105996.676799998</v>
      </c>
      <c r="E23" s="369">
        <f>+B23/D23</f>
        <v>0.55960305907944285</v>
      </c>
      <c r="F23"/>
      <c r="G23"/>
      <c r="H23" s="125">
        <f>SUM(H15:H22)</f>
        <v>29128494.77665</v>
      </c>
      <c r="I23" s="94">
        <f>SUM(I15:I22)</f>
        <v>22924888.847879998</v>
      </c>
      <c r="J23" s="324">
        <f t="shared" si="5"/>
        <v>52053383.624530002</v>
      </c>
      <c r="K23" s="369">
        <f>+H23/J23</f>
        <v>0.55958888257406736</v>
      </c>
    </row>
    <row r="24" spans="1:11" ht="7.9" customHeight="1">
      <c r="A24" s="10"/>
      <c r="B24" s="124"/>
      <c r="C24" s="92" t="s">
        <v>0</v>
      </c>
      <c r="D24" s="323"/>
      <c r="E24" s="329" t="s">
        <v>0</v>
      </c>
      <c r="F24"/>
      <c r="G24"/>
      <c r="H24" s="124"/>
      <c r="I24" s="92" t="s">
        <v>0</v>
      </c>
      <c r="J24" s="327" t="s">
        <v>0</v>
      </c>
      <c r="K24" s="329" t="s">
        <v>0</v>
      </c>
    </row>
    <row r="25" spans="1:11">
      <c r="A25" s="86" t="s">
        <v>266</v>
      </c>
      <c r="B25" s="124"/>
      <c r="C25" s="92" t="s">
        <v>0</v>
      </c>
      <c r="D25" s="323"/>
      <c r="E25" s="329" t="s">
        <v>0</v>
      </c>
      <c r="F25"/>
      <c r="G25"/>
      <c r="H25" s="124"/>
      <c r="I25" s="92" t="s">
        <v>0</v>
      </c>
      <c r="J25" s="327" t="s">
        <v>0</v>
      </c>
      <c r="K25" s="329" t="s">
        <v>0</v>
      </c>
    </row>
    <row r="26" spans="1:11">
      <c r="A26" s="10" t="s">
        <v>267</v>
      </c>
      <c r="B26" s="124"/>
      <c r="C26" s="92" t="s">
        <v>0</v>
      </c>
      <c r="D26" s="323"/>
      <c r="E26" s="329" t="s">
        <v>0</v>
      </c>
      <c r="F26"/>
      <c r="G26"/>
      <c r="H26" s="124"/>
      <c r="I26" s="92" t="s">
        <v>0</v>
      </c>
      <c r="J26" s="327" t="s">
        <v>0</v>
      </c>
      <c r="K26" s="329" t="s">
        <v>0</v>
      </c>
    </row>
    <row r="27" spans="1:11">
      <c r="A27" s="10" t="s">
        <v>268</v>
      </c>
      <c r="B27" s="124">
        <v>8474599.4695500024</v>
      </c>
      <c r="C27" s="91">
        <v>6312346.5468100011</v>
      </c>
      <c r="D27" s="323">
        <f>SUM(B27:C27)</f>
        <v>14786946.016360004</v>
      </c>
      <c r="E27" s="329">
        <f>+B27/D27</f>
        <v>0.57311357329457091</v>
      </c>
      <c r="F27"/>
      <c r="G27"/>
      <c r="H27" s="124">
        <v>7999121.3032900011</v>
      </c>
      <c r="I27" s="91">
        <v>5783924.2048299992</v>
      </c>
      <c r="J27" s="323">
        <f>SUM(H27:I27)</f>
        <v>13783045.50812</v>
      </c>
      <c r="K27" s="329">
        <f>+H27/J27</f>
        <v>0.58035949301462308</v>
      </c>
    </row>
    <row r="28" spans="1:11">
      <c r="A28" s="10" t="s">
        <v>269</v>
      </c>
      <c r="B28" s="124">
        <v>10522401.55896</v>
      </c>
      <c r="C28" s="91">
        <v>8055943.1709800009</v>
      </c>
      <c r="D28" s="323">
        <f>SUM(B28:C28)</f>
        <v>18578344.729940001</v>
      </c>
      <c r="E28" s="329">
        <f>+B28/D28</f>
        <v>0.56637992845522911</v>
      </c>
      <c r="F28"/>
      <c r="G28"/>
      <c r="H28" s="124">
        <v>10426741.59763</v>
      </c>
      <c r="I28" s="91">
        <v>8105596.8715899996</v>
      </c>
      <c r="J28" s="323">
        <f>SUM(H28:I28)</f>
        <v>18532338.469219998</v>
      </c>
      <c r="K28" s="329">
        <f>+H28/J28</f>
        <v>0.56262417260226349</v>
      </c>
    </row>
    <row r="29" spans="1:11">
      <c r="A29" s="10" t="s">
        <v>270</v>
      </c>
      <c r="B29" s="685">
        <v>6519967.357929999</v>
      </c>
      <c r="C29" s="224">
        <v>2959360.8041300001</v>
      </c>
      <c r="D29" s="512">
        <f>SUM(B29:C29)</f>
        <v>9479328.16206</v>
      </c>
      <c r="E29" s="329">
        <f>+B29/D29</f>
        <v>0.68780901414780349</v>
      </c>
      <c r="F29"/>
      <c r="G29"/>
      <c r="H29" s="685">
        <v>6102478.5863031903</v>
      </c>
      <c r="I29" s="224">
        <v>3040180.2022500001</v>
      </c>
      <c r="J29" s="684">
        <f>SUM(H29:I29)</f>
        <v>9142658.7885531895</v>
      </c>
      <c r="K29" s="329">
        <f>+H29/J29</f>
        <v>0.66747307620663132</v>
      </c>
    </row>
    <row r="30" spans="1:11">
      <c r="A30" s="10"/>
      <c r="B30" s="124">
        <f>SUM(B27:B29)</f>
        <v>25516968.386440001</v>
      </c>
      <c r="C30" s="91">
        <f>SUM(C27:C29)</f>
        <v>17327650.521920003</v>
      </c>
      <c r="D30" s="323">
        <f>SUM(B30:C30)</f>
        <v>42844618.908360004</v>
      </c>
      <c r="E30" s="329">
        <f>+B30/D30</f>
        <v>0.5955699697322091</v>
      </c>
      <c r="F30"/>
      <c r="G30"/>
      <c r="H30" s="124">
        <f>SUM(H27:H29)</f>
        <v>24528341.487223189</v>
      </c>
      <c r="I30" s="91">
        <f>SUM(I27:I29)</f>
        <v>16929701.278669998</v>
      </c>
      <c r="J30" s="323">
        <f>SUM(H30:I30)</f>
        <v>41458042.765893191</v>
      </c>
      <c r="K30" s="329">
        <f>+H30/J30</f>
        <v>0.59164253425398627</v>
      </c>
    </row>
    <row r="31" spans="1:11" ht="7.9" customHeight="1">
      <c r="A31" s="10"/>
      <c r="B31" s="124"/>
      <c r="C31" s="92" t="s">
        <v>0</v>
      </c>
      <c r="D31" s="323"/>
      <c r="E31" s="329" t="s">
        <v>0</v>
      </c>
      <c r="F31"/>
      <c r="G31"/>
      <c r="H31" s="124"/>
      <c r="I31" s="92" t="s">
        <v>0</v>
      </c>
      <c r="J31" s="327" t="s">
        <v>0</v>
      </c>
      <c r="K31" s="329" t="s">
        <v>0</v>
      </c>
    </row>
    <row r="32" spans="1:11">
      <c r="A32" s="10" t="s">
        <v>271</v>
      </c>
      <c r="B32" s="124"/>
      <c r="C32" s="92" t="s">
        <v>0</v>
      </c>
      <c r="D32" s="323"/>
      <c r="E32" s="329" t="s">
        <v>0</v>
      </c>
      <c r="F32"/>
      <c r="G32"/>
      <c r="H32" s="124"/>
      <c r="I32" s="92" t="s">
        <v>0</v>
      </c>
      <c r="J32" s="327" t="s">
        <v>0</v>
      </c>
      <c r="K32" s="329" t="s">
        <v>0</v>
      </c>
    </row>
    <row r="33" spans="1:15">
      <c r="A33" s="10" t="s">
        <v>272</v>
      </c>
      <c r="B33" s="124">
        <v>0</v>
      </c>
      <c r="C33" s="91">
        <v>0</v>
      </c>
      <c r="D33" s="323">
        <f>SUM(B33:C33)</f>
        <v>0</v>
      </c>
      <c r="E33" s="129">
        <v>0</v>
      </c>
      <c r="F33"/>
      <c r="G33"/>
      <c r="H33" s="124">
        <v>0</v>
      </c>
      <c r="I33" s="91">
        <v>0</v>
      </c>
      <c r="J33" s="327">
        <f>SUM(H33:I33)</f>
        <v>0</v>
      </c>
      <c r="K33" s="129">
        <v>0</v>
      </c>
    </row>
    <row r="34" spans="1:15">
      <c r="A34" s="10" t="s">
        <v>273</v>
      </c>
      <c r="B34" s="124">
        <v>0</v>
      </c>
      <c r="C34" s="92">
        <v>0</v>
      </c>
      <c r="D34" s="323">
        <f>SUM(B34:C34)</f>
        <v>0</v>
      </c>
      <c r="E34" s="129">
        <v>0</v>
      </c>
      <c r="F34"/>
      <c r="G34"/>
      <c r="H34" s="124">
        <v>0</v>
      </c>
      <c r="I34" s="92">
        <v>0</v>
      </c>
      <c r="J34" s="327">
        <f>SUM(H34:I34)</f>
        <v>0</v>
      </c>
      <c r="K34" s="129">
        <v>0</v>
      </c>
    </row>
    <row r="35" spans="1:15" ht="18">
      <c r="A35" s="10" t="s">
        <v>274</v>
      </c>
      <c r="B35" s="685">
        <v>618048.88956000004</v>
      </c>
      <c r="C35" s="224">
        <v>881957.75723999995</v>
      </c>
      <c r="D35" s="684">
        <f>SUM(B35:C35)</f>
        <v>1500006.6468</v>
      </c>
      <c r="E35" s="329">
        <f>+B35/D35</f>
        <v>0.41203076724926418</v>
      </c>
      <c r="F35"/>
      <c r="G35"/>
      <c r="H35" s="685">
        <v>778310.61265000002</v>
      </c>
      <c r="I35" s="224">
        <v>892259.81819000014</v>
      </c>
      <c r="J35" s="684">
        <f>SUM(H35:I35)</f>
        <v>1670570.43084</v>
      </c>
      <c r="K35" s="329">
        <f>+H35/J35</f>
        <v>0.46589512078137774</v>
      </c>
      <c r="L35" s="14"/>
      <c r="M35" s="15"/>
      <c r="N35" s="15"/>
      <c r="O35" s="15"/>
    </row>
    <row r="36" spans="1:15">
      <c r="A36" s="10"/>
      <c r="B36" s="124">
        <f>SUM(B33:B35)</f>
        <v>618048.88956000004</v>
      </c>
      <c r="C36" s="91">
        <f>SUM(C33:C35)</f>
        <v>881957.75723999995</v>
      </c>
      <c r="D36" s="323">
        <f>SUM(B36:C36)</f>
        <v>1500006.6468</v>
      </c>
      <c r="E36" s="329">
        <f>+B36/D36</f>
        <v>0.41203076724926418</v>
      </c>
      <c r="F36"/>
      <c r="G36"/>
      <c r="H36" s="124">
        <f>SUM(H33:H35)</f>
        <v>778310.61265000002</v>
      </c>
      <c r="I36" s="91">
        <f>SUM(I33:I35)</f>
        <v>892259.81819000014</v>
      </c>
      <c r="J36" s="323">
        <f>SUM(H36:I36)</f>
        <v>1670570.43084</v>
      </c>
      <c r="K36" s="329">
        <f>+H36/J36</f>
        <v>0.46589512078137774</v>
      </c>
    </row>
    <row r="37" spans="1:15" ht="7.15" customHeight="1">
      <c r="A37" s="10"/>
      <c r="B37" s="124"/>
      <c r="C37" s="92" t="s">
        <v>0</v>
      </c>
      <c r="D37" s="323"/>
      <c r="E37" s="329" t="s">
        <v>54</v>
      </c>
      <c r="F37"/>
      <c r="G37"/>
      <c r="H37" s="124"/>
      <c r="I37" s="92" t="s">
        <v>0</v>
      </c>
      <c r="J37" s="327" t="s">
        <v>0</v>
      </c>
      <c r="K37" s="329" t="s">
        <v>54</v>
      </c>
    </row>
    <row r="38" spans="1:15">
      <c r="A38" s="10" t="s">
        <v>275</v>
      </c>
      <c r="B38" s="124"/>
      <c r="C38" s="92" t="s">
        <v>0</v>
      </c>
      <c r="D38" s="323"/>
      <c r="E38" s="329" t="s">
        <v>0</v>
      </c>
      <c r="F38"/>
      <c r="G38"/>
      <c r="H38" s="124"/>
      <c r="I38" s="92" t="s">
        <v>0</v>
      </c>
      <c r="J38" s="327" t="s">
        <v>0</v>
      </c>
      <c r="K38" s="329" t="s">
        <v>0</v>
      </c>
    </row>
    <row r="39" spans="1:15">
      <c r="A39" s="10" t="s">
        <v>272</v>
      </c>
      <c r="B39" s="124">
        <v>0</v>
      </c>
      <c r="C39" s="91">
        <v>0</v>
      </c>
      <c r="D39" s="323">
        <f>SUM(B39:C39)</f>
        <v>0</v>
      </c>
      <c r="E39" s="129">
        <v>0</v>
      </c>
      <c r="F39"/>
      <c r="G39"/>
      <c r="H39" s="124">
        <v>0</v>
      </c>
      <c r="I39" s="91">
        <v>0</v>
      </c>
      <c r="J39" s="327">
        <f>SUM(H39:I39)</f>
        <v>0</v>
      </c>
      <c r="K39" s="129">
        <v>0</v>
      </c>
    </row>
    <row r="40" spans="1:15">
      <c r="A40" s="10" t="s">
        <v>276</v>
      </c>
      <c r="B40" s="124">
        <v>2467523.4976900001</v>
      </c>
      <c r="C40" s="91">
        <v>0</v>
      </c>
      <c r="D40" s="323">
        <f>SUM(B40:C40)</f>
        <v>2467523.4976900001</v>
      </c>
      <c r="E40" s="329">
        <f>+B40/D40</f>
        <v>1</v>
      </c>
      <c r="F40"/>
      <c r="G40"/>
      <c r="H40" s="124">
        <v>2785806.59913</v>
      </c>
      <c r="I40" s="91">
        <v>0</v>
      </c>
      <c r="J40" s="323">
        <f>SUM(H40:I40)</f>
        <v>2785806.59913</v>
      </c>
      <c r="K40" s="329">
        <f>+H40/J40</f>
        <v>1</v>
      </c>
    </row>
    <row r="41" spans="1:15">
      <c r="A41" s="10" t="s">
        <v>274</v>
      </c>
      <c r="B41" s="685">
        <v>91406.875590000011</v>
      </c>
      <c r="C41" s="224">
        <v>426382.22083000001</v>
      </c>
      <c r="D41" s="684">
        <f>SUM(B41:C41)</f>
        <v>517789.09642000002</v>
      </c>
      <c r="E41" s="329">
        <f>+B41/D41</f>
        <v>0.17653302516794625</v>
      </c>
      <c r="F41"/>
      <c r="G41"/>
      <c r="H41" s="685">
        <v>77856.41565000001</v>
      </c>
      <c r="I41" s="224">
        <v>493156.32808000001</v>
      </c>
      <c r="J41" s="684">
        <f>SUM(H41:I41)</f>
        <v>571012.74372999999</v>
      </c>
      <c r="K41" s="329">
        <f>+H41/J41</f>
        <v>0.136347947580683</v>
      </c>
    </row>
    <row r="42" spans="1:15">
      <c r="A42" s="10"/>
      <c r="B42" s="124">
        <f>SUM(B39:B41)</f>
        <v>2558930.3732799999</v>
      </c>
      <c r="C42" s="91">
        <f>SUM(C39:C41)</f>
        <v>426382.22083000001</v>
      </c>
      <c r="D42" s="323">
        <f>SUM(B42:C42)</f>
        <v>2985312.5941099999</v>
      </c>
      <c r="E42" s="329">
        <f>+B42/D42</f>
        <v>0.85717334202413209</v>
      </c>
      <c r="F42"/>
      <c r="G42"/>
      <c r="H42" s="124">
        <f>SUM(H39:H41)</f>
        <v>2863663.0147799999</v>
      </c>
      <c r="I42" s="91">
        <f>SUM(I39:I41)</f>
        <v>493156.32808000001</v>
      </c>
      <c r="J42" s="323">
        <f>SUM(H42:I42)</f>
        <v>3356819.3428599997</v>
      </c>
      <c r="K42" s="329">
        <f>+H42/J42</f>
        <v>0.85308821306426574</v>
      </c>
    </row>
    <row r="43" spans="1:15" ht="8.4499999999999993" customHeight="1">
      <c r="A43" s="10"/>
      <c r="B43" s="124" t="s">
        <v>0</v>
      </c>
      <c r="C43" s="92" t="s">
        <v>0</v>
      </c>
      <c r="D43" s="323"/>
      <c r="E43" s="329" t="s">
        <v>0</v>
      </c>
      <c r="F43"/>
      <c r="G43"/>
      <c r="H43" s="124" t="s">
        <v>0</v>
      </c>
      <c r="I43" s="92" t="s">
        <v>0</v>
      </c>
      <c r="J43" s="327" t="s">
        <v>0</v>
      </c>
      <c r="K43" s="329" t="s">
        <v>0</v>
      </c>
    </row>
    <row r="44" spans="1:15" ht="18">
      <c r="A44" s="10" t="s">
        <v>277</v>
      </c>
      <c r="B44" s="685">
        <v>1041707.78214</v>
      </c>
      <c r="C44" s="224">
        <v>853258.20429999998</v>
      </c>
      <c r="D44" s="684">
        <f>SUM(B44:C44)</f>
        <v>1894965.9864400001</v>
      </c>
      <c r="E44" s="329">
        <f>+B44/D44</f>
        <v>0.54972373625397697</v>
      </c>
      <c r="F44"/>
      <c r="G44"/>
      <c r="H44" s="685">
        <v>878562.46074999997</v>
      </c>
      <c r="I44" s="224">
        <v>921948.54930999991</v>
      </c>
      <c r="J44" s="684">
        <f>SUM(H44:I44)</f>
        <v>1800511.0100599998</v>
      </c>
      <c r="K44" s="329">
        <f>+H44/J44</f>
        <v>0.48795172917088853</v>
      </c>
      <c r="L44" s="14"/>
    </row>
    <row r="45" spans="1:15">
      <c r="A45" s="10"/>
      <c r="B45" s="124">
        <f>+B30+B36+B42+B44</f>
        <v>29735655.431420002</v>
      </c>
      <c r="C45" s="91">
        <f>+C30+C36+C42+C44</f>
        <v>19489248.704290006</v>
      </c>
      <c r="D45" s="323">
        <f>SUM(B45:C45)</f>
        <v>49224904.135710008</v>
      </c>
      <c r="E45" s="329">
        <f>+B45/D45</f>
        <v>0.60407746756480507</v>
      </c>
      <c r="F45"/>
      <c r="G45"/>
      <c r="H45" s="124">
        <f>+H30+H36+H42+H44</f>
        <v>29048877.575403187</v>
      </c>
      <c r="I45" s="91">
        <f>+I30+I36+I42+I44</f>
        <v>19237065.974249996</v>
      </c>
      <c r="J45" s="323">
        <f>SUM(H45:I45)</f>
        <v>48285943.549653187</v>
      </c>
      <c r="K45" s="329">
        <f>+H45/J45</f>
        <v>0.60160111701103602</v>
      </c>
    </row>
    <row r="46" spans="1:15" ht="8.4499999999999993" customHeight="1">
      <c r="A46" s="10"/>
      <c r="B46" s="124"/>
      <c r="C46" s="92" t="s">
        <v>0</v>
      </c>
      <c r="D46" s="323"/>
      <c r="E46" s="329" t="s">
        <v>0</v>
      </c>
      <c r="F46"/>
      <c r="G46"/>
      <c r="H46" s="124"/>
      <c r="I46" s="92" t="s">
        <v>0</v>
      </c>
      <c r="J46" s="327" t="s">
        <v>0</v>
      </c>
      <c r="K46" s="329" t="s">
        <v>0</v>
      </c>
    </row>
    <row r="47" spans="1:15">
      <c r="A47" s="86" t="s">
        <v>278</v>
      </c>
      <c r="B47" s="124"/>
      <c r="C47" s="92" t="s">
        <v>0</v>
      </c>
      <c r="D47" s="323"/>
      <c r="E47" s="329" t="s">
        <v>0</v>
      </c>
      <c r="F47"/>
      <c r="G47"/>
      <c r="H47" s="124"/>
      <c r="I47" s="92" t="s">
        <v>0</v>
      </c>
      <c r="J47" s="327" t="s">
        <v>0</v>
      </c>
      <c r="K47" s="329" t="s">
        <v>0</v>
      </c>
    </row>
    <row r="48" spans="1:15">
      <c r="A48" s="10" t="s">
        <v>279</v>
      </c>
      <c r="B48" s="124">
        <v>0</v>
      </c>
      <c r="C48" s="91">
        <f>+sogebkvar!B48</f>
        <v>1200000</v>
      </c>
      <c r="D48" s="323">
        <f>SUM(B48:C48)</f>
        <v>1200000</v>
      </c>
      <c r="E48" s="129">
        <f>+B48/D48</f>
        <v>0</v>
      </c>
      <c r="F48"/>
      <c r="G48"/>
      <c r="H48" s="124">
        <v>0</v>
      </c>
      <c r="I48" s="91">
        <v>1200000</v>
      </c>
      <c r="J48" s="323">
        <f>SUM(H48:I48)</f>
        <v>1200000</v>
      </c>
      <c r="K48" s="129">
        <f>+H48/J48</f>
        <v>0</v>
      </c>
    </row>
    <row r="49" spans="1:15">
      <c r="A49" s="10" t="s">
        <v>280</v>
      </c>
      <c r="B49" s="124">
        <v>0</v>
      </c>
      <c r="C49" s="91">
        <f>+sogebkvar!B49</f>
        <v>1221203.99306</v>
      </c>
      <c r="D49" s="323">
        <f>SUM(B49:C49)</f>
        <v>1221203.99306</v>
      </c>
      <c r="E49" s="129">
        <v>0</v>
      </c>
      <c r="F49"/>
      <c r="G49"/>
      <c r="H49" s="124">
        <v>0</v>
      </c>
      <c r="I49" s="91">
        <v>1048734.60412</v>
      </c>
      <c r="J49" s="323">
        <f>SUM(H49:I49)</f>
        <v>1048734.60412</v>
      </c>
      <c r="K49" s="129">
        <v>0</v>
      </c>
    </row>
    <row r="50" spans="1:15">
      <c r="A50" s="10" t="s">
        <v>290</v>
      </c>
      <c r="B50" s="124"/>
      <c r="C50" s="91">
        <f>+sogebkvar!B50</f>
        <v>98479.455170000001</v>
      </c>
      <c r="D50" s="323">
        <f>SUM(B50:C50)</f>
        <v>98479.455170000001</v>
      </c>
      <c r="E50" s="129">
        <v>0</v>
      </c>
      <c r="F50"/>
      <c r="G50"/>
      <c r="H50" s="124"/>
      <c r="I50" s="91">
        <v>98479.455170000001</v>
      </c>
      <c r="J50" s="323">
        <f>SUM(H50:I50)</f>
        <v>98479.455170000001</v>
      </c>
      <c r="K50" s="129">
        <v>0</v>
      </c>
    </row>
    <row r="51" spans="1:15" ht="18">
      <c r="A51" s="10" t="s">
        <v>282</v>
      </c>
      <c r="B51" s="685">
        <v>0</v>
      </c>
      <c r="C51" s="199">
        <f>+sogebkvar!B51</f>
        <v>1361409.0928600004</v>
      </c>
      <c r="D51" s="512">
        <f>SUM(B51:C51)</f>
        <v>1361409.0928600004</v>
      </c>
      <c r="E51" s="129">
        <v>0</v>
      </c>
      <c r="F51"/>
      <c r="G51"/>
      <c r="H51" s="685">
        <v>0</v>
      </c>
      <c r="I51" s="224">
        <v>1420226.01559</v>
      </c>
      <c r="J51" s="684">
        <f>SUM(H51:I51)</f>
        <v>1420226.01559</v>
      </c>
      <c r="K51" s="129">
        <v>0</v>
      </c>
      <c r="L51" s="14"/>
      <c r="M51" s="15"/>
      <c r="N51" s="15"/>
      <c r="O51" s="15"/>
    </row>
    <row r="52" spans="1:15">
      <c r="A52" s="10" t="s">
        <v>54</v>
      </c>
      <c r="B52" s="124">
        <f>SUM(B48:B51)</f>
        <v>0</v>
      </c>
      <c r="C52" s="91">
        <f>SUM(C48:C51)</f>
        <v>3881092.5410900004</v>
      </c>
      <c r="D52" s="323">
        <f>SUM(B52:C52)</f>
        <v>3881092.5410900004</v>
      </c>
      <c r="E52" s="129">
        <v>0</v>
      </c>
      <c r="F52"/>
      <c r="G52"/>
      <c r="H52" s="124">
        <f>SUM(H48:H51)</f>
        <v>0</v>
      </c>
      <c r="I52" s="91">
        <f>SUM(I48:I51)</f>
        <v>3767440.0748800002</v>
      </c>
      <c r="J52" s="323">
        <f>SUM(H52:I52)</f>
        <v>3767440.0748800002</v>
      </c>
      <c r="K52" s="129">
        <v>0</v>
      </c>
    </row>
    <row r="53" spans="1:15">
      <c r="A53" s="10" t="s">
        <v>0</v>
      </c>
      <c r="B53" s="124"/>
      <c r="C53" s="92" t="s">
        <v>0</v>
      </c>
      <c r="D53" s="323"/>
      <c r="E53" s="329" t="s">
        <v>0</v>
      </c>
      <c r="F53"/>
      <c r="G53"/>
      <c r="H53" s="124"/>
      <c r="I53" s="92" t="s">
        <v>0</v>
      </c>
      <c r="J53" s="327" t="s">
        <v>0</v>
      </c>
      <c r="K53" s="329" t="s">
        <v>0</v>
      </c>
    </row>
    <row r="54" spans="1:15" ht="16.5" thickBot="1">
      <c r="A54" s="10" t="s">
        <v>0</v>
      </c>
      <c r="B54" s="126">
        <f>+B30+B36+B42+B44+B52</f>
        <v>29735655.431420002</v>
      </c>
      <c r="C54" s="127">
        <f>+C30+C36+C42+C44+C52</f>
        <v>23370341.245380007</v>
      </c>
      <c r="D54" s="325">
        <f>SUM(B54:C54)</f>
        <v>53105996.676800013</v>
      </c>
      <c r="E54" s="368">
        <f>+B54/D54</f>
        <v>0.55993027703423892</v>
      </c>
      <c r="F54"/>
      <c r="G54"/>
      <c r="H54" s="126">
        <f>+H30+H36+H42+H44+H52</f>
        <v>29048877.575403187</v>
      </c>
      <c r="I54" s="127">
        <f>+I30+I36+I42+I44+I52</f>
        <v>23004506.049129996</v>
      </c>
      <c r="J54" s="325">
        <f>SUM(H54:I54)</f>
        <v>52053383.624533184</v>
      </c>
      <c r="K54" s="368">
        <f>+H54/J54</f>
        <v>0.55805935277783203</v>
      </c>
    </row>
    <row r="55" spans="1:15" ht="16.5" thickTop="1">
      <c r="A55" s="10"/>
      <c r="B55" s="94"/>
      <c r="C55" s="94"/>
      <c r="D55" s="339"/>
      <c r="E55" s="237"/>
      <c r="F55"/>
      <c r="G55"/>
      <c r="H55" s="94"/>
      <c r="I55" s="94"/>
      <c r="J55" s="339"/>
      <c r="K55" s="230"/>
    </row>
    <row r="56" spans="1:15">
      <c r="A56" s="10"/>
      <c r="B56" s="90" t="str">
        <f>+'scotiagdes&amp;$'!B56</f>
        <v xml:space="preserve">* converties au taux de 46,7477 Gdes </v>
      </c>
      <c r="C56"/>
      <c r="D56" s="90"/>
      <c r="E56" s="98" t="s">
        <v>0</v>
      </c>
      <c r="F56"/>
      <c r="G56"/>
      <c r="H56" s="90" t="str">
        <f>+'scotiagdes&amp;$'!H56</f>
        <v xml:space="preserve">* converties au taux de 45,5577 Gdes </v>
      </c>
      <c r="I56"/>
      <c r="J56" s="88" t="s">
        <v>0</v>
      </c>
    </row>
    <row r="57" spans="1:15">
      <c r="C57" s="48"/>
      <c r="E57" s="112" t="s">
        <v>0</v>
      </c>
      <c r="F57"/>
      <c r="G57"/>
      <c r="H57"/>
      <c r="J57" s="48"/>
    </row>
    <row r="58" spans="1:15">
      <c r="B58"/>
      <c r="C58"/>
      <c r="D58"/>
      <c r="E58" s="112" t="s">
        <v>0</v>
      </c>
      <c r="F58"/>
      <c r="G58"/>
      <c r="H58"/>
      <c r="J58" s="48"/>
    </row>
    <row r="59" spans="1:15">
      <c r="B59"/>
      <c r="C59"/>
      <c r="D59"/>
      <c r="E59" s="112" t="s">
        <v>0</v>
      </c>
      <c r="F59"/>
      <c r="G59"/>
      <c r="H59"/>
      <c r="I59"/>
      <c r="J59"/>
    </row>
    <row r="60" spans="1:15">
      <c r="B60"/>
      <c r="C60"/>
      <c r="D60"/>
      <c r="E60" s="112" t="s">
        <v>0</v>
      </c>
      <c r="F60"/>
      <c r="G60"/>
      <c r="H60"/>
      <c r="I60"/>
      <c r="J60"/>
    </row>
    <row r="61" spans="1:15">
      <c r="B61"/>
      <c r="C61"/>
      <c r="D61"/>
      <c r="E61" s="112" t="s">
        <v>0</v>
      </c>
      <c r="F61"/>
      <c r="G61"/>
      <c r="H61"/>
      <c r="I61"/>
      <c r="J61"/>
    </row>
    <row r="62" spans="1:15">
      <c r="B62"/>
      <c r="C62"/>
      <c r="D62"/>
      <c r="E62" s="112" t="s">
        <v>0</v>
      </c>
      <c r="F62"/>
      <c r="G62"/>
      <c r="H62"/>
      <c r="I62"/>
      <c r="J62"/>
    </row>
    <row r="63" spans="1:15">
      <c r="B63"/>
      <c r="C63"/>
      <c r="D63"/>
      <c r="E63" s="112" t="s">
        <v>0</v>
      </c>
      <c r="F63"/>
      <c r="G63"/>
      <c r="H63"/>
      <c r="I63"/>
      <c r="J63"/>
    </row>
    <row r="64" spans="1:15">
      <c r="B64"/>
      <c r="C64"/>
      <c r="D64"/>
      <c r="E64" s="112" t="s">
        <v>0</v>
      </c>
      <c r="F64"/>
      <c r="G64"/>
      <c r="H64"/>
      <c r="I64"/>
      <c r="J64"/>
    </row>
    <row r="65" spans="2:12">
      <c r="B65"/>
      <c r="C65"/>
      <c r="D65"/>
      <c r="E65" s="112" t="s">
        <v>0</v>
      </c>
      <c r="F65"/>
      <c r="G65"/>
      <c r="H65"/>
      <c r="I65"/>
      <c r="J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7" right="0.28999999999999998" top="0.56999999999999995" bottom="0.62" header="0.38" footer="0.38"/>
  <pageSetup scale="64" orientation="landscape" r:id="rId1"/>
  <headerFooter alignWithMargins="0">
    <oddFooter>&amp;R&amp;P</oddFooter>
  </headerFooter>
</worksheet>
</file>

<file path=xl/worksheets/sheet106.xml><?xml version="1.0" encoding="utf-8"?>
<worksheet xmlns="http://schemas.openxmlformats.org/spreadsheetml/2006/main" xmlns:r="http://schemas.openxmlformats.org/officeDocument/2006/relationships">
  <sheetPr>
    <pageSetUpPr fitToPage="1"/>
  </sheetPr>
  <dimension ref="A1:V130"/>
  <sheetViews>
    <sheetView workbookViewId="0">
      <selection activeCell="B9" sqref="B9"/>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8.75" style="33" customWidth="1"/>
    <col min="12" max="12" width="15.75" style="33" customWidth="1"/>
    <col min="13" max="13" width="9" style="33"/>
    <col min="14" max="14" width="15.75" style="33" customWidth="1"/>
    <col min="15" max="15" width="10.25" style="33" customWidth="1"/>
    <col min="16" max="16" width="15.75" style="33" customWidth="1"/>
    <col min="17" max="17" width="9" style="33"/>
    <col min="18" max="18" width="15.75" style="33" customWidth="1"/>
    <col min="19" max="19" width="9" style="33"/>
    <col min="20" max="20" width="16.875" style="33" customWidth="1"/>
    <col min="21" max="21" width="13.125" style="33" customWidth="1"/>
  </cols>
  <sheetData>
    <row r="1" spans="1:22">
      <c r="A1" s="111" t="s">
        <v>407</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6" spans="1:22" s="11" customFormat="1" ht="16.5" thickBot="1">
      <c r="B6" s="1022">
        <f>+'SCOTIARÉSULT         '!B6</f>
        <v>2015</v>
      </c>
      <c r="C6" s="357"/>
      <c r="D6" s="357"/>
      <c r="E6" s="357"/>
      <c r="F6" s="357"/>
      <c r="G6" s="357"/>
      <c r="H6" s="357"/>
      <c r="I6" s="347"/>
      <c r="J6" s="1022" t="str">
        <f>+'SCOTIARÉSULT         '!J6</f>
        <v>2014</v>
      </c>
      <c r="K6" s="357"/>
      <c r="L6" s="357"/>
      <c r="M6" s="357"/>
      <c r="N6" s="357"/>
      <c r="O6" s="357"/>
      <c r="P6" s="357"/>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35" t="s">
        <v>0</v>
      </c>
      <c r="E9" s="35" t="s">
        <v>0</v>
      </c>
      <c r="F9" s="35" t="s">
        <v>0</v>
      </c>
      <c r="G9" s="35" t="s">
        <v>0</v>
      </c>
      <c r="H9" s="35" t="s">
        <v>0</v>
      </c>
      <c r="I9" s="35" t="s">
        <v>0</v>
      </c>
      <c r="J9" s="24" t="s">
        <v>0</v>
      </c>
      <c r="K9" s="52" t="s">
        <v>0</v>
      </c>
      <c r="L9" s="24" t="s">
        <v>0</v>
      </c>
      <c r="M9" s="52" t="s">
        <v>0</v>
      </c>
      <c r="N9" s="24" t="s">
        <v>0</v>
      </c>
      <c r="O9" s="52" t="s">
        <v>0</v>
      </c>
      <c r="P9" s="24" t="s">
        <v>0</v>
      </c>
      <c r="Q9" s="35" t="s">
        <v>0</v>
      </c>
      <c r="R9" s="35" t="s">
        <v>0</v>
      </c>
      <c r="T9" s="35" t="s">
        <v>0</v>
      </c>
    </row>
    <row r="10" spans="1:22">
      <c r="A10" t="s">
        <v>302</v>
      </c>
      <c r="B10" s="20">
        <f>+B50</f>
        <v>359857.13196999999</v>
      </c>
      <c r="C10" s="48">
        <v>0</v>
      </c>
      <c r="D10" s="20">
        <f>+F50</f>
        <v>0</v>
      </c>
      <c r="E10" s="48">
        <v>0</v>
      </c>
      <c r="F10" s="20">
        <f>+J50</f>
        <v>0</v>
      </c>
      <c r="G10" s="48">
        <v>0</v>
      </c>
      <c r="H10" s="20">
        <f>+N50</f>
        <v>0</v>
      </c>
      <c r="J10" s="20">
        <f>+D50</f>
        <v>326951.32666999992</v>
      </c>
      <c r="K10" s="51">
        <f t="shared" ref="K10:K15" si="0">+(-J10+L10)/ABS(J10)</f>
        <v>-1.6662502169622791E-2</v>
      </c>
      <c r="L10" s="20">
        <f>+H50</f>
        <v>321503.49948</v>
      </c>
      <c r="M10" s="51">
        <f t="shared" ref="M10:M15" si="1">+(-L10+N10)/ABS(L10)</f>
        <v>0.22359826122039458</v>
      </c>
      <c r="N10" s="20">
        <f>+L50</f>
        <v>393391.12294000003</v>
      </c>
      <c r="O10" s="51">
        <f t="shared" ref="O10:O15" si="2">+(-N10+P10)/ABS(N10)</f>
        <v>-0.1077474451208318</v>
      </c>
      <c r="P10" s="20">
        <f>+P50</f>
        <v>351004.23450999998</v>
      </c>
    </row>
    <row r="11" spans="1:22">
      <c r="A11" t="s">
        <v>393</v>
      </c>
      <c r="B11" s="20">
        <f>+B51</f>
        <v>24916.868690000003</v>
      </c>
      <c r="C11" s="48">
        <v>0</v>
      </c>
      <c r="D11" s="20">
        <f>+F51</f>
        <v>0</v>
      </c>
      <c r="E11" s="48">
        <v>0</v>
      </c>
      <c r="F11" s="20">
        <f>+J51</f>
        <v>0</v>
      </c>
      <c r="G11" s="48">
        <v>0</v>
      </c>
      <c r="H11" s="20">
        <f>+N51</f>
        <v>0</v>
      </c>
      <c r="J11" s="20">
        <f>+D51</f>
        <v>3670.6570300000003</v>
      </c>
      <c r="K11" s="51">
        <f t="shared" si="0"/>
        <v>-0.3737833986630999</v>
      </c>
      <c r="L11" s="20">
        <f>+H51</f>
        <v>2298.62637</v>
      </c>
      <c r="M11" s="51">
        <f t="shared" si="1"/>
        <v>-0.61315162759574537</v>
      </c>
      <c r="N11" s="20">
        <f>+L51</f>
        <v>889.2198699999999</v>
      </c>
      <c r="O11" s="51">
        <f t="shared" si="2"/>
        <v>14.905285674734193</v>
      </c>
      <c r="P11" s="20">
        <f>+P51</f>
        <v>14143.296060000001</v>
      </c>
    </row>
    <row r="12" spans="1:22">
      <c r="A12" t="s">
        <v>304</v>
      </c>
      <c r="B12" s="217">
        <f>+B52</f>
        <v>63264.273480000003</v>
      </c>
      <c r="C12" s="48">
        <v>0</v>
      </c>
      <c r="D12" s="217">
        <f>+F52</f>
        <v>0</v>
      </c>
      <c r="E12" s="48">
        <v>0</v>
      </c>
      <c r="F12" s="217">
        <f>+J52</f>
        <v>0</v>
      </c>
      <c r="G12" s="48">
        <v>0</v>
      </c>
      <c r="H12" s="217">
        <f>+N52</f>
        <v>0</v>
      </c>
      <c r="J12" s="199">
        <f>+D52</f>
        <v>54380.206310000001</v>
      </c>
      <c r="K12" s="51">
        <f t="shared" si="0"/>
        <v>3.8518032794127494E-2</v>
      </c>
      <c r="L12" s="199">
        <f>+H52</f>
        <v>56474.82488</v>
      </c>
      <c r="M12" s="51">
        <f t="shared" si="1"/>
        <v>6.6951229473205712E-2</v>
      </c>
      <c r="N12" s="199">
        <f>+L52</f>
        <v>60255.883839999988</v>
      </c>
      <c r="O12" s="51">
        <f t="shared" si="2"/>
        <v>0.12342773611533846</v>
      </c>
      <c r="P12" s="199">
        <f>+P52</f>
        <v>67693.131169999993</v>
      </c>
    </row>
    <row r="13" spans="1:22">
      <c r="B13" s="20">
        <f>SUM(B10:B12)</f>
        <v>448038.27413999999</v>
      </c>
      <c r="C13" s="48">
        <v>0</v>
      </c>
      <c r="D13" s="20">
        <f>SUM(D10:D12)</f>
        <v>0</v>
      </c>
      <c r="E13" s="48">
        <v>0</v>
      </c>
      <c r="F13" s="20">
        <f>SUM(F10:F12)</f>
        <v>0</v>
      </c>
      <c r="G13" s="48">
        <v>0</v>
      </c>
      <c r="H13" s="20">
        <f>SUM(H10:H12)</f>
        <v>0</v>
      </c>
      <c r="J13" s="20">
        <f>SUM(J10:J12)</f>
        <v>385002.1900099999</v>
      </c>
      <c r="K13" s="51">
        <f t="shared" si="0"/>
        <v>-1.2273278964665452E-2</v>
      </c>
      <c r="L13" s="20">
        <f>SUM(L10:L12)</f>
        <v>380276.95073000004</v>
      </c>
      <c r="M13" s="51">
        <f t="shared" si="1"/>
        <v>0.19527682594868775</v>
      </c>
      <c r="N13" s="20">
        <f>SUM(N10:N12)</f>
        <v>454536.22664999997</v>
      </c>
      <c r="O13" s="51">
        <f t="shared" si="2"/>
        <v>-4.7731211810991429E-2</v>
      </c>
      <c r="P13" s="20">
        <f>SUM(P10:P12)</f>
        <v>432840.66174000001</v>
      </c>
    </row>
    <row r="14" spans="1:22">
      <c r="A14" t="s">
        <v>305</v>
      </c>
      <c r="B14" s="217">
        <f>+B54</f>
        <v>70347.607310000007</v>
      </c>
      <c r="C14" s="48">
        <v>0</v>
      </c>
      <c r="D14" s="217">
        <f>+F54</f>
        <v>0</v>
      </c>
      <c r="E14" s="48">
        <v>0</v>
      </c>
      <c r="F14" s="217">
        <f>+J54</f>
        <v>0</v>
      </c>
      <c r="G14" s="48">
        <v>0</v>
      </c>
      <c r="H14" s="217">
        <f>+N54</f>
        <v>0</v>
      </c>
      <c r="J14" s="217">
        <f>+D54</f>
        <v>36334.196889999999</v>
      </c>
      <c r="K14" s="51">
        <f t="shared" si="0"/>
        <v>0.13588668093992934</v>
      </c>
      <c r="L14" s="217">
        <f>+H54</f>
        <v>41271.530310000002</v>
      </c>
      <c r="M14" s="51">
        <f t="shared" si="1"/>
        <v>0.39094418352814397</v>
      </c>
      <c r="N14" s="217">
        <f>+L54</f>
        <v>57406.39503</v>
      </c>
      <c r="O14" s="51">
        <f t="shared" si="2"/>
        <v>0.17085674766503453</v>
      </c>
      <c r="P14" s="217">
        <f>+P54</f>
        <v>67214.664980000001</v>
      </c>
    </row>
    <row r="15" spans="1:22">
      <c r="B15" s="20">
        <f>+B13-B14</f>
        <v>377690.66683</v>
      </c>
      <c r="C15" s="48">
        <v>0</v>
      </c>
      <c r="D15" s="20">
        <f>+D13-D14</f>
        <v>0</v>
      </c>
      <c r="E15" s="48">
        <v>0</v>
      </c>
      <c r="F15" s="20">
        <f>+F13-F14</f>
        <v>0</v>
      </c>
      <c r="G15" s="48">
        <v>0</v>
      </c>
      <c r="H15" s="20">
        <f>+H13-H14</f>
        <v>0</v>
      </c>
      <c r="J15" s="20">
        <f>+J13-J14</f>
        <v>348667.99311999988</v>
      </c>
      <c r="K15" s="51">
        <f t="shared" si="0"/>
        <v>-2.7712818184244141E-2</v>
      </c>
      <c r="L15" s="20">
        <f>+L13-L14</f>
        <v>339005.42042000004</v>
      </c>
      <c r="M15" s="51">
        <f t="shared" si="1"/>
        <v>0.17145569863746873</v>
      </c>
      <c r="N15" s="20">
        <f>+N13-N14</f>
        <v>397129.83161999995</v>
      </c>
      <c r="O15" s="51">
        <f t="shared" si="2"/>
        <v>-7.9328804717306897E-2</v>
      </c>
      <c r="P15" s="20">
        <f>+P13-P14</f>
        <v>365625.99676000001</v>
      </c>
    </row>
    <row r="16" spans="1:22" ht="9" customHeight="1">
      <c r="B16" s="20"/>
      <c r="C16" s="49" t="s">
        <v>0</v>
      </c>
      <c r="E16" s="49" t="s">
        <v>0</v>
      </c>
      <c r="G16" s="49" t="s">
        <v>0</v>
      </c>
      <c r="J16" s="20"/>
      <c r="K16" s="51"/>
      <c r="L16" s="20"/>
      <c r="M16" s="51"/>
      <c r="N16" s="20"/>
      <c r="O16" s="51"/>
      <c r="P16" s="20"/>
    </row>
    <row r="17" spans="1:16">
      <c r="A17" t="s">
        <v>306</v>
      </c>
      <c r="B17" s="20"/>
      <c r="C17" s="49" t="s">
        <v>0</v>
      </c>
      <c r="E17" s="49" t="s">
        <v>0</v>
      </c>
      <c r="G17" s="49" t="s">
        <v>0</v>
      </c>
      <c r="J17" s="20"/>
      <c r="K17" s="51"/>
      <c r="L17" s="20"/>
      <c r="M17" s="51"/>
      <c r="N17" s="20"/>
      <c r="O17" s="52" t="s">
        <v>0</v>
      </c>
      <c r="P17" s="20"/>
    </row>
    <row r="18" spans="1:16">
      <c r="A18" t="s">
        <v>307</v>
      </c>
      <c r="B18" s="20">
        <f>+B58</f>
        <v>228653.86205999998</v>
      </c>
      <c r="C18" s="48">
        <v>0</v>
      </c>
      <c r="D18" s="20">
        <f>+F58</f>
        <v>0</v>
      </c>
      <c r="E18" s="48">
        <v>0</v>
      </c>
      <c r="F18" s="20">
        <f>+J58</f>
        <v>0</v>
      </c>
      <c r="G18" s="48">
        <v>0</v>
      </c>
      <c r="H18" s="20">
        <f>+N58</f>
        <v>0</v>
      </c>
      <c r="J18" s="20">
        <f>+D58</f>
        <v>194845.97616000002</v>
      </c>
      <c r="K18" s="51">
        <f>+(-J18+L18)/ABS(J18)</f>
        <v>0.14599548135723728</v>
      </c>
      <c r="L18" s="20">
        <f>+H58</f>
        <v>223292.60824</v>
      </c>
      <c r="M18" s="51">
        <f>+(-L18+N18)/ABS(L18)</f>
        <v>8.1377709961940797E-2</v>
      </c>
      <c r="N18" s="20">
        <f>+L58</f>
        <v>241463.64934999999</v>
      </c>
      <c r="O18" s="51">
        <f>+(-N18+P18)/ABS(N18)</f>
        <v>0.15171290009329944</v>
      </c>
      <c r="P18" s="20">
        <f>+P58</f>
        <v>278096.79986000003</v>
      </c>
    </row>
    <row r="19" spans="1:16">
      <c r="A19" t="s">
        <v>308</v>
      </c>
      <c r="B19" s="20">
        <f>+B59</f>
        <v>63506.640929999994</v>
      </c>
      <c r="C19" s="48">
        <v>0</v>
      </c>
      <c r="D19" s="20">
        <f>+F59</f>
        <v>0</v>
      </c>
      <c r="E19" s="48">
        <v>0</v>
      </c>
      <c r="F19" s="20">
        <f>+J59</f>
        <v>0</v>
      </c>
      <c r="G19" s="48">
        <v>0</v>
      </c>
      <c r="H19" s="20">
        <f>+N59</f>
        <v>0</v>
      </c>
      <c r="J19" s="20">
        <f>+D59</f>
        <v>38325.857050000006</v>
      </c>
      <c r="K19" s="51">
        <f>+(-J19+L19)/ABS(J19)</f>
        <v>0.4716641651722695</v>
      </c>
      <c r="L19" s="20">
        <f>+H59</f>
        <v>56402.790419999998</v>
      </c>
      <c r="M19" s="51">
        <f>+(-L19+N19)/ABS(L19)</f>
        <v>0.18753379063758788</v>
      </c>
      <c r="N19" s="20">
        <f>+L59</f>
        <v>66980.219510000024</v>
      </c>
      <c r="O19" s="51">
        <f>+(-N19+P19)/ABS(N19)</f>
        <v>-4.0270060769169794E-2</v>
      </c>
      <c r="P19" s="20">
        <f>+P59</f>
        <v>64282.921999999991</v>
      </c>
    </row>
    <row r="20" spans="1:16">
      <c r="A20" t="s">
        <v>274</v>
      </c>
      <c r="B20" s="217">
        <f>+B60</f>
        <v>85196.713079999987</v>
      </c>
      <c r="C20" s="48">
        <v>0</v>
      </c>
      <c r="D20" s="217">
        <f>+F60</f>
        <v>0</v>
      </c>
      <c r="E20" s="48">
        <v>0</v>
      </c>
      <c r="F20" s="217">
        <f>+J60</f>
        <v>0</v>
      </c>
      <c r="G20" s="48">
        <v>0</v>
      </c>
      <c r="H20" s="217">
        <f>+N60</f>
        <v>0</v>
      </c>
      <c r="J20" s="217">
        <f>+D60</f>
        <v>80433.7549</v>
      </c>
      <c r="K20" s="51">
        <f>+(-J20+L20)/ABS(J20)</f>
        <v>0.14825470307615848</v>
      </c>
      <c r="L20" s="217">
        <f>+H60</f>
        <v>92358.437350000007</v>
      </c>
      <c r="M20" s="51">
        <f>+(-L20+N20)/ABS(L20)</f>
        <v>-7.340529206168965E-2</v>
      </c>
      <c r="N20" s="217">
        <f>+L60</f>
        <v>85578.839281961991</v>
      </c>
      <c r="O20" s="51">
        <f>+(-N20+P20)/ABS(N20)</f>
        <v>0.61087449237413249</v>
      </c>
      <c r="P20" s="217">
        <f>+P60</f>
        <v>137856.76928629799</v>
      </c>
    </row>
    <row r="21" spans="1:16">
      <c r="B21" s="20">
        <f>SUM(B18:B20)</f>
        <v>377357.21606999997</v>
      </c>
      <c r="C21" s="48">
        <v>0</v>
      </c>
      <c r="D21" s="20">
        <f>SUM(D18:D20)</f>
        <v>0</v>
      </c>
      <c r="E21" s="48">
        <v>0</v>
      </c>
      <c r="F21" s="20">
        <f>SUM(F18:F20)</f>
        <v>0</v>
      </c>
      <c r="G21" s="48">
        <v>0</v>
      </c>
      <c r="H21" s="20">
        <f>SUM(H18:H20)</f>
        <v>0</v>
      </c>
      <c r="J21" s="20">
        <f>SUM(J18:J20)</f>
        <v>313605.58811000001</v>
      </c>
      <c r="K21" s="51">
        <f>+(-J21+L21)/ABS(J21)</f>
        <v>0.18637502045881518</v>
      </c>
      <c r="L21" s="20">
        <f>SUM(L18:L20)</f>
        <v>372053.83601000003</v>
      </c>
      <c r="M21" s="51">
        <f>+(-L21+N21)/ABS(L21)</f>
        <v>5.9047562491390523E-2</v>
      </c>
      <c r="N21" s="20">
        <f>SUM(N18:N20)</f>
        <v>394022.70814196207</v>
      </c>
      <c r="O21" s="51">
        <f>+(-N21+P21)/ABS(N21)</f>
        <v>0.21880409738535694</v>
      </c>
      <c r="P21" s="20">
        <f>SUM(P18:P20)</f>
        <v>480236.49114629801</v>
      </c>
    </row>
    <row r="22" spans="1:16">
      <c r="B22" s="217"/>
      <c r="C22" s="49" t="s">
        <v>0</v>
      </c>
      <c r="D22" s="334"/>
      <c r="E22" s="49" t="s">
        <v>0</v>
      </c>
      <c r="F22" s="334"/>
      <c r="G22" s="49" t="s">
        <v>0</v>
      </c>
      <c r="H22" s="334"/>
      <c r="J22" s="217"/>
      <c r="K22" s="51"/>
      <c r="L22" s="217"/>
      <c r="M22" s="51"/>
      <c r="N22" s="217"/>
      <c r="O22" s="51"/>
      <c r="P22" s="217"/>
    </row>
    <row r="23" spans="1:16">
      <c r="A23" t="s">
        <v>309</v>
      </c>
      <c r="B23" s="20">
        <f>+B15+B21</f>
        <v>755047.88289999997</v>
      </c>
      <c r="C23" s="48">
        <v>0</v>
      </c>
      <c r="D23" s="20">
        <f>+D15+D21</f>
        <v>0</v>
      </c>
      <c r="E23" s="48">
        <v>0</v>
      </c>
      <c r="F23" s="20">
        <f>+F15+F21</f>
        <v>0</v>
      </c>
      <c r="G23" s="48">
        <v>0</v>
      </c>
      <c r="H23" s="20">
        <f>+H15+H21</f>
        <v>0</v>
      </c>
      <c r="J23" s="20">
        <f>+J15+J21</f>
        <v>662273.58122999989</v>
      </c>
      <c r="K23" s="51">
        <f>+(-J23+L23)/ABS(J23)</f>
        <v>7.3663930711826892E-2</v>
      </c>
      <c r="L23" s="20">
        <f>+L15+L21</f>
        <v>711059.25643000007</v>
      </c>
      <c r="M23" s="51">
        <f>+(-L23+N23)/ABS(L23)</f>
        <v>0.11263939342282749</v>
      </c>
      <c r="N23" s="20">
        <f>+N15+N21</f>
        <v>791152.53976196202</v>
      </c>
      <c r="O23" s="51">
        <f>+(-N23+P23)/ABS(N23)</f>
        <v>6.9152211987838469E-2</v>
      </c>
      <c r="P23" s="20">
        <f>+P15+P21</f>
        <v>845862.48790629802</v>
      </c>
    </row>
    <row r="24" spans="1:16">
      <c r="B24" s="20"/>
      <c r="C24" s="49" t="s">
        <v>0</v>
      </c>
      <c r="E24" s="49" t="s">
        <v>0</v>
      </c>
      <c r="G24" s="49" t="s">
        <v>0</v>
      </c>
      <c r="J24" s="20"/>
      <c r="K24" s="51"/>
      <c r="L24" s="20"/>
      <c r="M24" s="51"/>
      <c r="N24" s="20"/>
      <c r="O24" s="51"/>
      <c r="P24" s="20"/>
    </row>
    <row r="25" spans="1:16">
      <c r="A25" t="s">
        <v>310</v>
      </c>
      <c r="B25" s="20">
        <f>+B65</f>
        <v>102622.75981</v>
      </c>
      <c r="C25" s="48">
        <v>0</v>
      </c>
      <c r="D25" s="20">
        <f>+F65</f>
        <v>0</v>
      </c>
      <c r="E25" s="48">
        <v>0</v>
      </c>
      <c r="F25" s="20">
        <f>+J65</f>
        <v>0</v>
      </c>
      <c r="G25" s="48">
        <v>0</v>
      </c>
      <c r="H25" s="20">
        <f>+N65</f>
        <v>0</v>
      </c>
      <c r="J25" s="20">
        <f>+D65</f>
        <v>77676.665720000005</v>
      </c>
      <c r="K25" s="51">
        <f>+(-J25+L25)/ABS(J25)</f>
        <v>0.1732230613309593</v>
      </c>
      <c r="L25" s="20">
        <f>+H65</f>
        <v>91132.05554999999</v>
      </c>
      <c r="M25" s="51">
        <f>+(-L25+N25)/ABS(L25)</f>
        <v>0.10077641412314248</v>
      </c>
      <c r="N25" s="20">
        <f>+L65</f>
        <v>100316.01732000001</v>
      </c>
      <c r="O25" s="51">
        <f>+(-N25+P25)/ABS(N25)</f>
        <v>0.40221152053208303</v>
      </c>
      <c r="P25" s="20">
        <f>+P65</f>
        <v>140664.27518</v>
      </c>
    </row>
    <row r="26" spans="1:16">
      <c r="B26" s="20"/>
      <c r="C26" s="49" t="s">
        <v>0</v>
      </c>
      <c r="E26" s="49" t="s">
        <v>0</v>
      </c>
      <c r="G26" s="49" t="s">
        <v>0</v>
      </c>
      <c r="J26" s="20"/>
      <c r="K26" s="51"/>
      <c r="L26" s="20"/>
      <c r="M26" s="51"/>
      <c r="N26" s="20"/>
      <c r="O26" s="51"/>
      <c r="P26" s="20"/>
    </row>
    <row r="27" spans="1:16">
      <c r="A27" t="s">
        <v>311</v>
      </c>
      <c r="B27" s="217"/>
      <c r="C27" s="49" t="s">
        <v>0</v>
      </c>
      <c r="D27" s="334"/>
      <c r="E27" s="49" t="s">
        <v>0</v>
      </c>
      <c r="F27" s="334"/>
      <c r="G27" s="49" t="s">
        <v>0</v>
      </c>
      <c r="H27" s="334"/>
      <c r="J27" s="217"/>
      <c r="K27" s="51"/>
      <c r="L27" s="217"/>
      <c r="M27" s="51"/>
      <c r="N27" s="217"/>
      <c r="O27" s="51"/>
      <c r="P27" s="217"/>
    </row>
    <row r="28" spans="1:16">
      <c r="A28" t="s">
        <v>312</v>
      </c>
      <c r="B28" s="20">
        <f>+B23-B25</f>
        <v>652425.12309000001</v>
      </c>
      <c r="C28" s="48">
        <v>0</v>
      </c>
      <c r="D28" s="20">
        <f>+D23-D25</f>
        <v>0</v>
      </c>
      <c r="E28" s="48">
        <v>0</v>
      </c>
      <c r="F28" s="20">
        <f>+F23-F25</f>
        <v>0</v>
      </c>
      <c r="G28" s="48">
        <v>0</v>
      </c>
      <c r="H28" s="20">
        <f>+H23-H25</f>
        <v>0</v>
      </c>
      <c r="J28" s="20">
        <f>+J23-J25</f>
        <v>584596.91550999985</v>
      </c>
      <c r="K28" s="51">
        <f>+(-J28+L28)/ABS(J28)</f>
        <v>6.0435292134886305E-2</v>
      </c>
      <c r="L28" s="20">
        <f>+L23-L25</f>
        <v>619927.20088000013</v>
      </c>
      <c r="M28" s="51">
        <f>+(-L28+N28)/ABS(L28)</f>
        <v>0.11438330413846107</v>
      </c>
      <c r="N28" s="20">
        <f>+N23-N25</f>
        <v>690836.52244196204</v>
      </c>
      <c r="O28" s="51">
        <f>+(-N28+P28)/ABS(N28)</f>
        <v>2.0788840511168152E-2</v>
      </c>
      <c r="P28" s="20">
        <f>+P23-P25</f>
        <v>705198.21272629802</v>
      </c>
    </row>
    <row r="29" spans="1:16">
      <c r="B29" s="20"/>
      <c r="C29" s="49" t="s">
        <v>0</v>
      </c>
      <c r="E29" s="49" t="s">
        <v>0</v>
      </c>
      <c r="G29" s="49" t="s">
        <v>0</v>
      </c>
      <c r="J29" s="20"/>
      <c r="K29" s="51"/>
      <c r="L29" s="20"/>
      <c r="M29" s="51"/>
      <c r="N29" s="20"/>
      <c r="O29" s="51"/>
      <c r="P29" s="20"/>
    </row>
    <row r="30" spans="1:16">
      <c r="A30" t="s">
        <v>313</v>
      </c>
      <c r="B30" s="20"/>
      <c r="C30" s="49" t="s">
        <v>0</v>
      </c>
      <c r="E30" s="49" t="s">
        <v>0</v>
      </c>
      <c r="G30" s="49" t="s">
        <v>0</v>
      </c>
      <c r="J30" s="20"/>
      <c r="K30" s="51"/>
      <c r="L30" s="20"/>
      <c r="M30" s="51"/>
      <c r="N30" s="20"/>
      <c r="O30" s="51"/>
      <c r="P30" s="20"/>
    </row>
    <row r="31" spans="1:16">
      <c r="A31" t="s">
        <v>314</v>
      </c>
      <c r="B31" s="20">
        <f>+B71</f>
        <v>232265.14973999996</v>
      </c>
      <c r="C31" s="48">
        <v>0</v>
      </c>
      <c r="D31" s="20">
        <f>+F71</f>
        <v>0</v>
      </c>
      <c r="E31" s="48">
        <v>0</v>
      </c>
      <c r="F31" s="20">
        <f>+J71</f>
        <v>0</v>
      </c>
      <c r="G31" s="48">
        <v>0</v>
      </c>
      <c r="H31" s="20">
        <f>+N71</f>
        <v>0</v>
      </c>
      <c r="J31" s="20">
        <f>+D71</f>
        <v>207720.91162999999</v>
      </c>
      <c r="K31" s="51">
        <f>+(-J31+L31)/ABS(J31)</f>
        <v>5.7504424885620749E-2</v>
      </c>
      <c r="L31" s="20">
        <f>+H71</f>
        <v>219665.78318999999</v>
      </c>
      <c r="M31" s="51">
        <f>+(-L31+N31)/ABS(L31)</f>
        <v>8.3596223468799066E-2</v>
      </c>
      <c r="N31" s="20">
        <f>+L71</f>
        <v>238029.01308999999</v>
      </c>
      <c r="O31" s="51">
        <f>+(-N31+P31)/ABS(N31)</f>
        <v>-2.0118472777053122E-2</v>
      </c>
      <c r="P31" s="20">
        <f>+P71</f>
        <v>233240.23287000001</v>
      </c>
    </row>
    <row r="32" spans="1:16">
      <c r="A32" t="s">
        <v>315</v>
      </c>
      <c r="B32" s="20">
        <f>+B72</f>
        <v>21766.02389</v>
      </c>
      <c r="C32" s="48">
        <v>0</v>
      </c>
      <c r="D32" s="20">
        <f>+F72</f>
        <v>0</v>
      </c>
      <c r="E32" s="48">
        <v>0</v>
      </c>
      <c r="F32" s="20">
        <f>+J72</f>
        <v>0</v>
      </c>
      <c r="G32" s="48">
        <v>0</v>
      </c>
      <c r="H32" s="20">
        <f>+N72</f>
        <v>0</v>
      </c>
      <c r="J32" s="20">
        <f>+D72</f>
        <v>21317.774729999997</v>
      </c>
      <c r="K32" s="51">
        <f>+(-J32+L32)/ABS(J32)</f>
        <v>-6.2495299667705576E-2</v>
      </c>
      <c r="L32" s="20">
        <f>+H72</f>
        <v>19985.514010000006</v>
      </c>
      <c r="M32" s="51">
        <f>+(-L32+N32)/ABS(L32)</f>
        <v>7.3342778637895747E-2</v>
      </c>
      <c r="N32" s="20">
        <f>+L72</f>
        <v>21451.307140000001</v>
      </c>
      <c r="O32" s="51">
        <f>+(-N32+P32)/ABS(N32)</f>
        <v>-1.5368308227020142E-3</v>
      </c>
      <c r="P32" s="20">
        <f>+P72</f>
        <v>21418.340110000001</v>
      </c>
    </row>
    <row r="33" spans="1:22">
      <c r="A33" t="s">
        <v>316</v>
      </c>
      <c r="B33" s="20">
        <f>+B73</f>
        <v>49783.789779999992</v>
      </c>
      <c r="C33" s="48">
        <v>0</v>
      </c>
      <c r="D33" s="20">
        <f>+F73</f>
        <v>0</v>
      </c>
      <c r="E33" s="48">
        <v>0</v>
      </c>
      <c r="F33" s="20">
        <f>+J73</f>
        <v>0</v>
      </c>
      <c r="G33" s="48">
        <v>0</v>
      </c>
      <c r="H33" s="20">
        <f>+N73</f>
        <v>0</v>
      </c>
      <c r="J33" s="20">
        <f>+D73</f>
        <v>31251.081989999999</v>
      </c>
      <c r="K33" s="51">
        <f>+(-J33+L33)/ABS(J33)</f>
        <v>0.23011571702705053</v>
      </c>
      <c r="L33" s="20">
        <f>+H73</f>
        <v>38442.447129999993</v>
      </c>
      <c r="M33" s="51">
        <f>+(-L33+N33)/ABS(L33)</f>
        <v>0.10838986071592491</v>
      </c>
      <c r="N33" s="20">
        <f>+L73</f>
        <v>42609.21862</v>
      </c>
      <c r="O33" s="51">
        <f>+(-N33+P33)/ABS(N33)</f>
        <v>8.7272966753127387E-2</v>
      </c>
      <c r="P33" s="20">
        <f>+P73</f>
        <v>46327.851539999996</v>
      </c>
    </row>
    <row r="34" spans="1:22">
      <c r="A34" t="s">
        <v>317</v>
      </c>
      <c r="B34" s="217">
        <f>+B74</f>
        <v>250803.66557999997</v>
      </c>
      <c r="C34" s="48">
        <v>0</v>
      </c>
      <c r="D34" s="217">
        <f>+F74</f>
        <v>0</v>
      </c>
      <c r="E34" s="48">
        <v>0</v>
      </c>
      <c r="F34" s="217">
        <f>+J74</f>
        <v>0</v>
      </c>
      <c r="G34" s="48">
        <v>0</v>
      </c>
      <c r="H34" s="217">
        <f>+N74</f>
        <v>0</v>
      </c>
      <c r="J34" s="217">
        <f>+D74</f>
        <v>200786.69228999998</v>
      </c>
      <c r="K34" s="51">
        <f>+(-J34+L34)/ABS(J34)</f>
        <v>0.20614822251375628</v>
      </c>
      <c r="L34" s="217">
        <f>+H74</f>
        <v>242178.51201000001</v>
      </c>
      <c r="M34" s="51">
        <f>+(-L34+N34)/ABS(L34)</f>
        <v>-6.6200584011095007E-2</v>
      </c>
      <c r="N34" s="217">
        <f>+L74</f>
        <v>226146.15308000002</v>
      </c>
      <c r="O34" s="51">
        <f>+(-N34+P34)/ABS(N34)</f>
        <v>3.9905136333703538E-2</v>
      </c>
      <c r="P34" s="217">
        <f>+P74</f>
        <v>235170.54615000001</v>
      </c>
    </row>
    <row r="35" spans="1:22">
      <c r="B35" s="20">
        <f>SUM(B31:B34)</f>
        <v>554618.62898999988</v>
      </c>
      <c r="C35" s="48">
        <v>0</v>
      </c>
      <c r="D35" s="20">
        <f>SUM(D31:D34)</f>
        <v>0</v>
      </c>
      <c r="E35" s="48">
        <v>0</v>
      </c>
      <c r="F35" s="20">
        <f>SUM(F31:F34)</f>
        <v>0</v>
      </c>
      <c r="G35" s="48">
        <v>0</v>
      </c>
      <c r="H35" s="20">
        <f>SUM(H31:H34)</f>
        <v>0</v>
      </c>
      <c r="J35" s="20">
        <f>SUM(J31:J34)</f>
        <v>461076.46063999995</v>
      </c>
      <c r="K35" s="51">
        <f>+(-J35+L35)/ABS(J35)</f>
        <v>0.12838607205805519</v>
      </c>
      <c r="L35" s="20">
        <f>SUM(L31:L34)</f>
        <v>520272.25634000002</v>
      </c>
      <c r="M35" s="51">
        <f>+(-L35+N35)/ABS(L35)</f>
        <v>1.5306285301509164E-2</v>
      </c>
      <c r="N35" s="20">
        <f>SUM(N31:N34)</f>
        <v>528235.69192999997</v>
      </c>
      <c r="O35" s="51">
        <f>+(-N35+P35)/ABS(N35)</f>
        <v>1.4995727969570221E-2</v>
      </c>
      <c r="P35" s="20">
        <f>SUM(P31:P34)</f>
        <v>536156.97066999995</v>
      </c>
    </row>
    <row r="36" spans="1:22">
      <c r="B36" s="217"/>
      <c r="C36" s="48"/>
      <c r="D36" s="334"/>
      <c r="E36" s="48"/>
      <c r="F36" s="334"/>
      <c r="G36" s="48"/>
      <c r="H36" s="334"/>
      <c r="J36" s="217"/>
      <c r="K36" s="51"/>
      <c r="L36" s="217"/>
      <c r="M36" s="51"/>
      <c r="N36" s="217"/>
      <c r="O36" s="51"/>
      <c r="P36" s="217"/>
    </row>
    <row r="37" spans="1:22">
      <c r="A37" t="s">
        <v>318</v>
      </c>
      <c r="B37" s="20">
        <f>+B28-B35</f>
        <v>97806.494100000127</v>
      </c>
      <c r="C37" s="48">
        <v>0</v>
      </c>
      <c r="D37" s="20">
        <f>+D28-D35</f>
        <v>0</v>
      </c>
      <c r="E37" s="48">
        <v>0</v>
      </c>
      <c r="F37" s="20">
        <f>+F28-F35</f>
        <v>0</v>
      </c>
      <c r="G37" s="48">
        <v>0</v>
      </c>
      <c r="H37" s="20">
        <f>+H28-H35</f>
        <v>0</v>
      </c>
      <c r="J37" s="20">
        <f>+J28-J35</f>
        <v>123520.4548699999</v>
      </c>
      <c r="K37" s="51">
        <f>+(-J37+L37)/ABS(J37)</f>
        <v>-0.19321099776646092</v>
      </c>
      <c r="L37" s="20">
        <f>+L28-L35</f>
        <v>99654.944540000113</v>
      </c>
      <c r="M37" s="51">
        <f>+(-L37+N37)/ABS(L37)</f>
        <v>0.63163836237645332</v>
      </c>
      <c r="N37" s="20">
        <f>+N28-N35</f>
        <v>162600.83051196206</v>
      </c>
      <c r="O37" s="51">
        <f>+(-N37+P37)/ABS(N37)</f>
        <v>3.9608724777467873E-2</v>
      </c>
      <c r="P37" s="20">
        <f>+P28-P35</f>
        <v>169041.24205629807</v>
      </c>
    </row>
    <row r="38" spans="1:22">
      <c r="B38" s="20"/>
      <c r="C38" s="49" t="s">
        <v>0</v>
      </c>
      <c r="E38" s="49" t="s">
        <v>0</v>
      </c>
      <c r="G38" s="49" t="s">
        <v>0</v>
      </c>
      <c r="J38" s="20"/>
      <c r="K38" s="51"/>
      <c r="L38" s="20"/>
      <c r="M38" s="51"/>
      <c r="N38" s="20"/>
      <c r="O38" s="51"/>
      <c r="P38" s="20"/>
    </row>
    <row r="39" spans="1:22">
      <c r="A39" t="s">
        <v>319</v>
      </c>
      <c r="B39" s="20">
        <f>+B79</f>
        <v>15170</v>
      </c>
      <c r="C39" s="48">
        <v>0</v>
      </c>
      <c r="D39" s="20">
        <f>+F79</f>
        <v>0</v>
      </c>
      <c r="E39" s="48">
        <v>0</v>
      </c>
      <c r="F39" s="20">
        <f>+J79</f>
        <v>0</v>
      </c>
      <c r="G39" s="48">
        <v>0</v>
      </c>
      <c r="H39" s="20">
        <f>+N79</f>
        <v>0</v>
      </c>
      <c r="J39" s="20">
        <f>+D79</f>
        <v>22855</v>
      </c>
      <c r="K39" s="51">
        <f>+(-J39+L39)/ABS(J39)</f>
        <v>-0.28921461387005032</v>
      </c>
      <c r="L39" s="20">
        <f>+H79</f>
        <v>16245</v>
      </c>
      <c r="M39" s="51">
        <f>+(-L39+N39)/ABS(L39)</f>
        <v>1.1298861188057865</v>
      </c>
      <c r="N39" s="20">
        <f>+L79</f>
        <v>34600</v>
      </c>
      <c r="O39" s="51">
        <f>+(-N39+P39)/ABS(N39)</f>
        <v>-0.20722543352601155</v>
      </c>
      <c r="P39" s="20">
        <f>+P79</f>
        <v>27430</v>
      </c>
    </row>
    <row r="40" spans="1:22" ht="16.5" thickBot="1">
      <c r="B40" s="79"/>
      <c r="C40" s="49" t="s">
        <v>0</v>
      </c>
      <c r="D40" s="36"/>
      <c r="E40" s="49" t="s">
        <v>0</v>
      </c>
      <c r="F40" s="36"/>
      <c r="G40" s="49" t="s">
        <v>0</v>
      </c>
      <c r="H40" s="36"/>
      <c r="J40" s="79"/>
      <c r="K40" s="52" t="s">
        <v>0</v>
      </c>
      <c r="L40" s="79"/>
      <c r="M40" s="51"/>
      <c r="N40" s="79"/>
      <c r="O40" s="51"/>
      <c r="P40" s="79"/>
    </row>
    <row r="41" spans="1:22" s="11" customFormat="1">
      <c r="A41" s="11" t="s">
        <v>372</v>
      </c>
      <c r="B41" s="13">
        <f>+B37-B39</f>
        <v>82636.494100000127</v>
      </c>
      <c r="C41" s="47">
        <v>0</v>
      </c>
      <c r="D41" s="13">
        <f>+D37-D39</f>
        <v>0</v>
      </c>
      <c r="E41" s="47">
        <v>0</v>
      </c>
      <c r="F41" s="13">
        <f>+F37-F39</f>
        <v>0</v>
      </c>
      <c r="G41" s="47">
        <v>0</v>
      </c>
      <c r="H41" s="13">
        <f>+H37-H39</f>
        <v>0</v>
      </c>
      <c r="I41" s="137"/>
      <c r="J41" s="13">
        <f>+J37-J39</f>
        <v>100665.4548699999</v>
      </c>
      <c r="K41" s="109">
        <f>+(-J41+L41)/ABS(J41)</f>
        <v>-0.17141441770946825</v>
      </c>
      <c r="L41" s="13">
        <f>+L37-L39</f>
        <v>83409.944540000113</v>
      </c>
      <c r="M41" s="109">
        <f>+(-L41+N41)/ABS(L41)</f>
        <v>0.53459915622624499</v>
      </c>
      <c r="N41" s="13">
        <f>+N37-N39</f>
        <v>128000.83051196206</v>
      </c>
      <c r="O41" s="109">
        <f>+(-N41+P41)/ABS(N41)</f>
        <v>0.10633065027702357</v>
      </c>
      <c r="P41" s="13">
        <f>+P37-P39</f>
        <v>141611.24205629807</v>
      </c>
      <c r="Q41" s="137"/>
      <c r="R41" s="137"/>
      <c r="S41" s="137"/>
      <c r="T41" s="137"/>
      <c r="U41" s="137"/>
    </row>
    <row r="42" spans="1:22" ht="5.45" customHeight="1">
      <c r="C42" s="49"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1022" t="str">
        <f>+'SCOTIARÉSULT         '!B46</f>
        <v xml:space="preserve"> 2015</v>
      </c>
      <c r="C46" s="137" t="s">
        <v>0</v>
      </c>
      <c r="D46" s="1022" t="str">
        <f>+'SCOTIARÉSULT         '!D46</f>
        <v xml:space="preserve"> 2014</v>
      </c>
      <c r="E46" s="137"/>
      <c r="F46" s="1022" t="str">
        <f>+'SCOTIARÉSULT         '!F46</f>
        <v xml:space="preserve"> 2015</v>
      </c>
      <c r="G46" s="137" t="s">
        <v>0</v>
      </c>
      <c r="H46" s="1022" t="str">
        <f>+'SCOTIARÉSULT         '!H46</f>
        <v xml:space="preserve"> 2014</v>
      </c>
      <c r="I46" s="137"/>
      <c r="J46" s="1022" t="str">
        <f>+'SCOTIARÉSULT         '!J46</f>
        <v xml:space="preserve"> 2015</v>
      </c>
      <c r="K46" s="137" t="s">
        <v>0</v>
      </c>
      <c r="L46" s="1022" t="str">
        <f>+'SCOTIARÉSULT         '!L46</f>
        <v xml:space="preserve"> 2014</v>
      </c>
      <c r="M46" s="137"/>
      <c r="N46" s="1022" t="str">
        <f>+'SCOTIARÉSULT         '!N46</f>
        <v xml:space="preserve"> 2015</v>
      </c>
      <c r="O46" s="137" t="s">
        <v>0</v>
      </c>
      <c r="P46" s="1022" t="str">
        <f>+'SCOTIARÉSULT         '!P46</f>
        <v xml:space="preserve"> 2014</v>
      </c>
      <c r="Q46" s="137"/>
      <c r="R46" s="1025" t="str">
        <f>+'SCOTIARÉSULT         '!R46</f>
        <v xml:space="preserve"> 2014 (oct.-déc. 14)</v>
      </c>
      <c r="S46" s="137"/>
      <c r="T46" s="1025" t="str">
        <f>+'SCOTIARÉSULT         '!T46</f>
        <v xml:space="preserve"> 2013 (oct. -déc. 13)</v>
      </c>
      <c r="U46" s="1022" t="str">
        <f>+'SCOTIARÉSULT         '!U46</f>
        <v>2014</v>
      </c>
    </row>
    <row r="47" spans="1:22" ht="16.5" thickBot="1">
      <c r="B47" s="220"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1">
      <c r="A49" t="s">
        <v>301</v>
      </c>
      <c r="B49" s="24" t="s">
        <v>0</v>
      </c>
      <c r="C49" s="49" t="s">
        <v>0</v>
      </c>
      <c r="D49" s="24" t="s">
        <v>0</v>
      </c>
      <c r="E49" s="35" t="s">
        <v>0</v>
      </c>
      <c r="F49" s="35" t="s">
        <v>0</v>
      </c>
      <c r="G49" s="52" t="s">
        <v>0</v>
      </c>
      <c r="H49" s="24" t="s">
        <v>0</v>
      </c>
      <c r="I49" s="35" t="s">
        <v>0</v>
      </c>
      <c r="J49" s="35" t="s">
        <v>0</v>
      </c>
      <c r="K49" s="52" t="s">
        <v>0</v>
      </c>
      <c r="L49" s="24" t="s">
        <v>0</v>
      </c>
      <c r="M49" s="35" t="s">
        <v>0</v>
      </c>
      <c r="N49" s="35" t="s">
        <v>0</v>
      </c>
      <c r="O49" s="52" t="s">
        <v>0</v>
      </c>
      <c r="P49" s="24" t="s">
        <v>0</v>
      </c>
      <c r="Q49" s="35" t="s">
        <v>0</v>
      </c>
      <c r="R49" s="24" t="s">
        <v>0</v>
      </c>
      <c r="S49" s="52" t="s">
        <v>0</v>
      </c>
      <c r="T49" s="24" t="s">
        <v>0</v>
      </c>
      <c r="U49" s="24" t="s">
        <v>0</v>
      </c>
    </row>
    <row r="50" spans="1:21">
      <c r="A50" t="s">
        <v>302</v>
      </c>
      <c r="B50" s="20">
        <v>359857.13196999999</v>
      </c>
      <c r="C50" s="51">
        <f t="shared" ref="C50:C55" si="3">+(B50-D50)/ABS(D50)</f>
        <v>0.10064435472749346</v>
      </c>
      <c r="D50" s="20">
        <v>326951.32666999992</v>
      </c>
      <c r="E50" s="35"/>
      <c r="F50" s="20">
        <v>0</v>
      </c>
      <c r="G50" s="48">
        <v>0</v>
      </c>
      <c r="H50" s="20">
        <v>321503.49948</v>
      </c>
      <c r="J50" s="20">
        <v>0</v>
      </c>
      <c r="K50" s="48">
        <v>0</v>
      </c>
      <c r="L50" s="20">
        <v>393391.12294000003</v>
      </c>
      <c r="M50" s="35"/>
      <c r="N50" s="20">
        <v>0</v>
      </c>
      <c r="O50" s="48">
        <v>0</v>
      </c>
      <c r="P50" s="20">
        <v>351004.23450999998</v>
      </c>
      <c r="R50" s="20">
        <f>+B50+F50+J50+N50</f>
        <v>359857.13196999999</v>
      </c>
      <c r="S50" s="51">
        <f t="shared" ref="S50:S55" si="4">+(R50-T50)/ABS(T50)</f>
        <v>0.10064435472749346</v>
      </c>
      <c r="T50" s="81">
        <f>+D50</f>
        <v>326951.32666999992</v>
      </c>
      <c r="U50" s="20">
        <f>+D50+H50+L50+P50</f>
        <v>1392850.1835999999</v>
      </c>
    </row>
    <row r="51" spans="1:21">
      <c r="A51" t="s">
        <v>322</v>
      </c>
      <c r="B51" s="20">
        <v>24916.868690000003</v>
      </c>
      <c r="C51" s="51">
        <f t="shared" si="3"/>
        <v>5.7881222588643757</v>
      </c>
      <c r="D51" s="20">
        <v>3670.6570300000003</v>
      </c>
      <c r="E51" s="35"/>
      <c r="F51" s="20">
        <v>0</v>
      </c>
      <c r="G51" s="48">
        <v>0</v>
      </c>
      <c r="H51" s="20">
        <v>2298.62637</v>
      </c>
      <c r="J51" s="20">
        <v>0</v>
      </c>
      <c r="K51" s="48">
        <v>0</v>
      </c>
      <c r="L51" s="20">
        <v>889.2198699999999</v>
      </c>
      <c r="M51" s="35"/>
      <c r="N51" s="20">
        <v>0</v>
      </c>
      <c r="O51" s="48">
        <v>0</v>
      </c>
      <c r="P51" s="20">
        <v>14143.296060000001</v>
      </c>
      <c r="R51" s="20">
        <f>+B51+F51+J51+N51</f>
        <v>24916.868690000003</v>
      </c>
      <c r="S51" s="51">
        <f t="shared" si="4"/>
        <v>5.7881222588643757</v>
      </c>
      <c r="T51" s="81">
        <f>+D51</f>
        <v>3670.6570300000003</v>
      </c>
      <c r="U51" s="20">
        <f>+D51+H51+L51+P51</f>
        <v>21001.799330000002</v>
      </c>
    </row>
    <row r="52" spans="1:21">
      <c r="A52" t="s">
        <v>304</v>
      </c>
      <c r="B52" s="199">
        <v>63264.273480000003</v>
      </c>
      <c r="C52" s="51">
        <f t="shared" si="3"/>
        <v>0.1633695010157824</v>
      </c>
      <c r="D52" s="199">
        <v>54380.206310000001</v>
      </c>
      <c r="E52" s="35"/>
      <c r="F52" s="199">
        <v>0</v>
      </c>
      <c r="G52" s="48">
        <v>0</v>
      </c>
      <c r="H52" s="199">
        <v>56474.82488</v>
      </c>
      <c r="J52" s="199">
        <v>0</v>
      </c>
      <c r="K52" s="48">
        <v>0</v>
      </c>
      <c r="L52" s="199">
        <v>60255.883839999988</v>
      </c>
      <c r="M52" s="35"/>
      <c r="N52" s="199">
        <v>0</v>
      </c>
      <c r="O52" s="48">
        <v>0</v>
      </c>
      <c r="P52" s="199">
        <v>67693.131169999993</v>
      </c>
      <c r="R52" s="217">
        <f>+B52+F52+J52+N52</f>
        <v>63264.273480000003</v>
      </c>
      <c r="S52" s="51">
        <f t="shared" si="4"/>
        <v>0.1633695010157824</v>
      </c>
      <c r="T52" s="217">
        <f>+D52</f>
        <v>54380.206310000001</v>
      </c>
      <c r="U52" s="217">
        <f>+D52+H52+L52+P52</f>
        <v>238804.04619999998</v>
      </c>
    </row>
    <row r="53" spans="1:21">
      <c r="B53" s="20">
        <f>SUM(B50:B52)</f>
        <v>448038.27413999999</v>
      </c>
      <c r="C53" s="51">
        <f t="shared" si="3"/>
        <v>0.16372915730261903</v>
      </c>
      <c r="D53" s="20">
        <f>SUM(D50:D52)</f>
        <v>385002.1900099999</v>
      </c>
      <c r="E53" s="35"/>
      <c r="F53" s="20">
        <f>SUM(F50:F52)</f>
        <v>0</v>
      </c>
      <c r="G53" s="48">
        <v>0</v>
      </c>
      <c r="H53" s="20">
        <f>SUM(H50:H52)</f>
        <v>380276.95073000004</v>
      </c>
      <c r="J53" s="20">
        <f>SUM(J50:J52)</f>
        <v>0</v>
      </c>
      <c r="K53" s="48">
        <v>0</v>
      </c>
      <c r="L53" s="20">
        <f>SUM(L50:L52)</f>
        <v>454536.22664999997</v>
      </c>
      <c r="M53" s="35"/>
      <c r="N53" s="20">
        <f>SUM(N50:N52)</f>
        <v>0</v>
      </c>
      <c r="O53" s="48">
        <v>0</v>
      </c>
      <c r="P53" s="20">
        <f>SUM(P50:P52)</f>
        <v>432840.66174000001</v>
      </c>
      <c r="R53" s="20">
        <f>SUM(R50:R52)</f>
        <v>448038.27413999999</v>
      </c>
      <c r="S53" s="51">
        <f t="shared" si="4"/>
        <v>0.16372915730261903</v>
      </c>
      <c r="T53" s="20">
        <f>SUM(T50:T52)</f>
        <v>385002.1900099999</v>
      </c>
      <c r="U53" s="20">
        <f>SUM(U50:U52)</f>
        <v>1652656.0291299999</v>
      </c>
    </row>
    <row r="54" spans="1:21">
      <c r="A54" t="s">
        <v>305</v>
      </c>
      <c r="B54" s="217">
        <v>70347.607310000007</v>
      </c>
      <c r="C54" s="51">
        <f t="shared" si="3"/>
        <v>0.93612666114442933</v>
      </c>
      <c r="D54" s="217">
        <v>36334.196889999999</v>
      </c>
      <c r="E54" s="35" t="s">
        <v>0</v>
      </c>
      <c r="F54" s="217">
        <v>0</v>
      </c>
      <c r="G54" s="48">
        <v>0</v>
      </c>
      <c r="H54" s="217">
        <v>41271.530310000002</v>
      </c>
      <c r="J54" s="217">
        <v>0</v>
      </c>
      <c r="K54" s="48">
        <v>0</v>
      </c>
      <c r="L54" s="217">
        <v>57406.39503</v>
      </c>
      <c r="M54" s="35" t="s">
        <v>0</v>
      </c>
      <c r="N54" s="217">
        <v>0</v>
      </c>
      <c r="O54" s="48">
        <v>0</v>
      </c>
      <c r="P54" s="217">
        <v>67214.664980000001</v>
      </c>
      <c r="R54" s="217">
        <f>+B54+F54+J54+N54</f>
        <v>70347.607310000007</v>
      </c>
      <c r="S54" s="51">
        <f t="shared" si="4"/>
        <v>0.93612666114442933</v>
      </c>
      <c r="T54" s="217">
        <f>+D54</f>
        <v>36334.196889999999</v>
      </c>
      <c r="U54" s="217">
        <f>+D54+H54+L54+P54</f>
        <v>202226.78720999998</v>
      </c>
    </row>
    <row r="55" spans="1:21">
      <c r="B55" s="20">
        <f>+B53-B54</f>
        <v>377690.66683</v>
      </c>
      <c r="C55" s="51">
        <f t="shared" si="3"/>
        <v>8.3238709266931429E-2</v>
      </c>
      <c r="D55" s="20">
        <f>+D53-D54</f>
        <v>348667.99311999988</v>
      </c>
      <c r="E55" s="35" t="s">
        <v>0</v>
      </c>
      <c r="F55" s="20">
        <f>+F53-F54</f>
        <v>0</v>
      </c>
      <c r="G55" s="48">
        <v>0</v>
      </c>
      <c r="H55" s="20">
        <f>+H53-H54</f>
        <v>339005.42042000004</v>
      </c>
      <c r="J55" s="20">
        <f>+J53-J54</f>
        <v>0</v>
      </c>
      <c r="K55" s="48">
        <v>0</v>
      </c>
      <c r="L55" s="20">
        <f>+L53-L54</f>
        <v>397129.83161999995</v>
      </c>
      <c r="M55" s="35" t="s">
        <v>0</v>
      </c>
      <c r="N55" s="20">
        <f>+N53-N54</f>
        <v>0</v>
      </c>
      <c r="O55" s="48">
        <v>0</v>
      </c>
      <c r="P55" s="20">
        <f>+P53-P54</f>
        <v>365625.99676000001</v>
      </c>
      <c r="R55" s="20">
        <f>+R53-R54</f>
        <v>377690.66683</v>
      </c>
      <c r="S55" s="51">
        <f t="shared" si="4"/>
        <v>8.3238709266931429E-2</v>
      </c>
      <c r="T55" s="20">
        <f>+T53-T54</f>
        <v>348667.99311999988</v>
      </c>
      <c r="U55" s="20">
        <f>+U53-U54</f>
        <v>1450429.2419199999</v>
      </c>
    </row>
    <row r="56" spans="1:21">
      <c r="B56" s="20"/>
      <c r="C56" s="52" t="s">
        <v>0</v>
      </c>
      <c r="D56" s="20"/>
      <c r="E56" s="35" t="s">
        <v>0</v>
      </c>
      <c r="G56" s="49" t="s">
        <v>0</v>
      </c>
      <c r="K56" s="49" t="s">
        <v>0</v>
      </c>
      <c r="M56" s="35" t="s">
        <v>0</v>
      </c>
      <c r="O56" s="49" t="s">
        <v>0</v>
      </c>
      <c r="R56" s="20"/>
      <c r="S56" s="51"/>
      <c r="T56" s="20"/>
      <c r="U56" s="20"/>
    </row>
    <row r="57" spans="1:21">
      <c r="A57" t="s">
        <v>306</v>
      </c>
      <c r="B57" s="20"/>
      <c r="C57" s="52" t="s">
        <v>0</v>
      </c>
      <c r="D57" s="20"/>
      <c r="E57" s="35" t="s">
        <v>0</v>
      </c>
      <c r="G57" s="49" t="s">
        <v>0</v>
      </c>
      <c r="K57" s="49" t="s">
        <v>0</v>
      </c>
      <c r="M57" s="35" t="s">
        <v>0</v>
      </c>
      <c r="O57" s="49" t="s">
        <v>0</v>
      </c>
      <c r="R57" s="20"/>
      <c r="S57" s="52" t="s">
        <v>0</v>
      </c>
      <c r="T57" s="20"/>
      <c r="U57" s="20"/>
    </row>
    <row r="58" spans="1:21">
      <c r="A58" t="s">
        <v>307</v>
      </c>
      <c r="B58" s="20">
        <v>228653.86205999998</v>
      </c>
      <c r="C58" s="51">
        <f>+(B58-D58)/ABS(D58)</f>
        <v>0.17351082412006411</v>
      </c>
      <c r="D58" s="20">
        <v>194845.97616000002</v>
      </c>
      <c r="E58" s="35" t="s">
        <v>0</v>
      </c>
      <c r="F58" s="20">
        <v>0</v>
      </c>
      <c r="G58" s="48">
        <v>0</v>
      </c>
      <c r="H58" s="20">
        <v>223292.60824</v>
      </c>
      <c r="J58" s="20">
        <v>0</v>
      </c>
      <c r="K58" s="48">
        <v>0</v>
      </c>
      <c r="L58" s="20">
        <v>241463.64934999999</v>
      </c>
      <c r="M58" s="35" t="s">
        <v>0</v>
      </c>
      <c r="N58" s="20">
        <v>0</v>
      </c>
      <c r="O58" s="48">
        <v>0</v>
      </c>
      <c r="P58" s="20">
        <v>278096.79986000003</v>
      </c>
      <c r="R58" s="20">
        <f>+B58+F58+J58+N58</f>
        <v>228653.86205999998</v>
      </c>
      <c r="S58" s="51">
        <f>+(R58-T58)/ABS(T58)</f>
        <v>0.17351082412006411</v>
      </c>
      <c r="T58" s="81">
        <f>+D58</f>
        <v>194845.97616000002</v>
      </c>
      <c r="U58" s="20">
        <f>+D58+H58+L58+P58</f>
        <v>937699.03361000004</v>
      </c>
    </row>
    <row r="59" spans="1:21">
      <c r="A59" t="s">
        <v>308</v>
      </c>
      <c r="B59" s="20">
        <v>63506.640929999994</v>
      </c>
      <c r="C59" s="51">
        <f>+(B59-D59)/ABS(D59)</f>
        <v>0.65701815479687975</v>
      </c>
      <c r="D59" s="20">
        <v>38325.857050000006</v>
      </c>
      <c r="E59" s="35" t="s">
        <v>0</v>
      </c>
      <c r="F59" s="20">
        <v>0</v>
      </c>
      <c r="G59" s="48">
        <v>0</v>
      </c>
      <c r="H59" s="20">
        <v>56402.790419999998</v>
      </c>
      <c r="J59" s="20">
        <v>0</v>
      </c>
      <c r="K59" s="48">
        <v>0</v>
      </c>
      <c r="L59" s="20">
        <v>66980.219510000024</v>
      </c>
      <c r="M59" s="35" t="s">
        <v>0</v>
      </c>
      <c r="N59" s="20">
        <v>0</v>
      </c>
      <c r="O59" s="48">
        <v>0</v>
      </c>
      <c r="P59" s="20">
        <v>64282.921999999991</v>
      </c>
      <c r="R59" s="20">
        <f>+B59+F59+J59+N59</f>
        <v>63506.640929999994</v>
      </c>
      <c r="S59" s="51">
        <f>+(R59-T59)/ABS(T59)</f>
        <v>0.65701815479687975</v>
      </c>
      <c r="T59" s="81">
        <f>+D59</f>
        <v>38325.857050000006</v>
      </c>
      <c r="U59" s="20">
        <f>+D59+H59+L59+P59</f>
        <v>225991.78898000001</v>
      </c>
    </row>
    <row r="60" spans="1:21">
      <c r="A60" t="s">
        <v>274</v>
      </c>
      <c r="B60" s="217">
        <v>85196.713079999987</v>
      </c>
      <c r="C60" s="51">
        <f>+(B60-D60)/ABS(D60)</f>
        <v>5.921591234826197E-2</v>
      </c>
      <c r="D60" s="217">
        <v>80433.7549</v>
      </c>
      <c r="E60" s="35" t="s">
        <v>0</v>
      </c>
      <c r="F60" s="217">
        <v>0</v>
      </c>
      <c r="G60" s="48">
        <v>0</v>
      </c>
      <c r="H60" s="217">
        <v>92358.437350000007</v>
      </c>
      <c r="J60" s="217">
        <v>0</v>
      </c>
      <c r="K60" s="48">
        <v>0</v>
      </c>
      <c r="L60" s="217">
        <v>85578.839281961991</v>
      </c>
      <c r="M60" s="35" t="s">
        <v>0</v>
      </c>
      <c r="N60" s="217">
        <v>0</v>
      </c>
      <c r="O60" s="48">
        <v>0</v>
      </c>
      <c r="P60" s="217">
        <v>137856.76928629799</v>
      </c>
      <c r="R60" s="217">
        <f>+B60+F60+J60+N60</f>
        <v>85196.713079999987</v>
      </c>
      <c r="S60" s="51">
        <f>+(R60-T60)/ABS(T60)</f>
        <v>5.921591234826197E-2</v>
      </c>
      <c r="T60" s="217">
        <f>+D60</f>
        <v>80433.7549</v>
      </c>
      <c r="U60" s="217">
        <f>+D60+H60+L60+P60</f>
        <v>396227.80081826</v>
      </c>
    </row>
    <row r="61" spans="1:21">
      <c r="B61" s="20">
        <f>SUM(B58:B60)</f>
        <v>377357.21606999997</v>
      </c>
      <c r="C61" s="51">
        <f>+(B61-D61)/ABS(D61)</f>
        <v>0.20328600757470716</v>
      </c>
      <c r="D61" s="20">
        <f>SUM(D58:D60)</f>
        <v>313605.58811000001</v>
      </c>
      <c r="E61" s="35" t="s">
        <v>0</v>
      </c>
      <c r="F61" s="20">
        <f>SUM(F58:F60)</f>
        <v>0</v>
      </c>
      <c r="G61" s="48">
        <v>0</v>
      </c>
      <c r="H61" s="20">
        <f>SUM(H58:H60)</f>
        <v>372053.83601000003</v>
      </c>
      <c r="J61" s="20">
        <f>SUM(J58:J60)</f>
        <v>0</v>
      </c>
      <c r="K61" s="48">
        <v>0</v>
      </c>
      <c r="L61" s="20">
        <f>SUM(L58:L60)</f>
        <v>394022.70814196207</v>
      </c>
      <c r="M61" s="35" t="s">
        <v>0</v>
      </c>
      <c r="N61" s="20">
        <f>SUM(N58:N60)</f>
        <v>0</v>
      </c>
      <c r="O61" s="48">
        <v>0</v>
      </c>
      <c r="P61" s="20">
        <f>SUM(P58:P60)</f>
        <v>480236.49114629801</v>
      </c>
      <c r="R61" s="20">
        <f>SUM(R58:R60)</f>
        <v>377357.21606999997</v>
      </c>
      <c r="S61" s="51">
        <f>+(R61-T61)/ABS(T61)</f>
        <v>0.20328600757470716</v>
      </c>
      <c r="T61" s="20">
        <f>SUM(T58:T60)</f>
        <v>313605.58811000001</v>
      </c>
      <c r="U61" s="20">
        <f>SUM(U58:U60)</f>
        <v>1559918.6234082601</v>
      </c>
    </row>
    <row r="62" spans="1:21">
      <c r="B62" s="217"/>
      <c r="C62" s="52" t="s">
        <v>0</v>
      </c>
      <c r="D62" s="217"/>
      <c r="E62" s="35" t="s">
        <v>0</v>
      </c>
      <c r="F62" s="217"/>
      <c r="G62" s="49" t="s">
        <v>0</v>
      </c>
      <c r="H62" s="217"/>
      <c r="J62" s="217"/>
      <c r="K62" s="49" t="s">
        <v>0</v>
      </c>
      <c r="L62" s="217"/>
      <c r="M62" s="35" t="s">
        <v>0</v>
      </c>
      <c r="N62" s="217"/>
      <c r="O62" s="49" t="s">
        <v>0</v>
      </c>
      <c r="P62" s="217"/>
      <c r="R62" s="217"/>
      <c r="S62" s="51"/>
      <c r="T62" s="217"/>
      <c r="U62" s="217"/>
    </row>
    <row r="63" spans="1:21">
      <c r="A63" t="s">
        <v>309</v>
      </c>
      <c r="B63" s="20">
        <f>+B55+B61</f>
        <v>755047.88289999997</v>
      </c>
      <c r="C63" s="51">
        <f>+(B63-D63)/ABS(D63)</f>
        <v>0.14008455765017244</v>
      </c>
      <c r="D63" s="20">
        <f>+D55+D61</f>
        <v>662273.58122999989</v>
      </c>
      <c r="E63" s="35" t="s">
        <v>0</v>
      </c>
      <c r="F63" s="20">
        <f>+F55+F61</f>
        <v>0</v>
      </c>
      <c r="G63" s="48">
        <v>0</v>
      </c>
      <c r="H63" s="20">
        <f>+H55+H61</f>
        <v>711059.25643000007</v>
      </c>
      <c r="J63" s="20">
        <f>+J55+J61</f>
        <v>0</v>
      </c>
      <c r="K63" s="48">
        <v>0</v>
      </c>
      <c r="L63" s="20">
        <f>+L55+L61</f>
        <v>791152.53976196202</v>
      </c>
      <c r="M63" s="35" t="s">
        <v>0</v>
      </c>
      <c r="N63" s="20">
        <f>+N55+N61</f>
        <v>0</v>
      </c>
      <c r="O63" s="48">
        <v>0</v>
      </c>
      <c r="P63" s="20">
        <f>+P55+P61</f>
        <v>845862.48790629802</v>
      </c>
      <c r="R63" s="20">
        <f>+R55+R61</f>
        <v>755047.88289999997</v>
      </c>
      <c r="S63" s="51">
        <f>+(R63-T63)/ABS(T63)</f>
        <v>0.14008455765017244</v>
      </c>
      <c r="T63" s="20">
        <f>+T55+T61</f>
        <v>662273.58122999989</v>
      </c>
      <c r="U63" s="20">
        <f>+U55+U61</f>
        <v>3010347.8653282598</v>
      </c>
    </row>
    <row r="64" spans="1:21">
      <c r="B64" s="24" t="s">
        <v>0</v>
      </c>
      <c r="C64" s="52" t="s">
        <v>0</v>
      </c>
      <c r="D64" s="24" t="s">
        <v>0</v>
      </c>
      <c r="E64" s="35" t="s">
        <v>0</v>
      </c>
      <c r="F64" s="20"/>
      <c r="G64" s="49" t="s">
        <v>0</v>
      </c>
      <c r="H64" s="20"/>
      <c r="J64" s="20"/>
      <c r="K64" s="49" t="s">
        <v>0</v>
      </c>
      <c r="L64" s="20"/>
      <c r="M64" s="35" t="s">
        <v>0</v>
      </c>
      <c r="N64" s="20"/>
      <c r="O64" s="49" t="s">
        <v>0</v>
      </c>
      <c r="P64" s="20"/>
      <c r="R64" s="20"/>
      <c r="S64" s="51"/>
      <c r="T64" s="20"/>
      <c r="U64" s="20"/>
    </row>
    <row r="65" spans="1:21">
      <c r="A65" t="s">
        <v>310</v>
      </c>
      <c r="B65" s="20">
        <v>102622.75981</v>
      </c>
      <c r="C65" s="51">
        <f>+(B65-D65)/ABS(D65)</f>
        <v>0.32115299824947219</v>
      </c>
      <c r="D65" s="20">
        <v>77676.665720000005</v>
      </c>
      <c r="E65" s="35" t="s">
        <v>0</v>
      </c>
      <c r="F65" s="20">
        <v>0</v>
      </c>
      <c r="G65" s="48">
        <v>0</v>
      </c>
      <c r="H65" s="20">
        <v>91132.05554999999</v>
      </c>
      <c r="J65" s="20">
        <v>0</v>
      </c>
      <c r="K65" s="48">
        <v>0</v>
      </c>
      <c r="L65" s="20">
        <v>100316.01732000001</v>
      </c>
      <c r="M65" s="35" t="s">
        <v>0</v>
      </c>
      <c r="N65" s="20">
        <v>0</v>
      </c>
      <c r="O65" s="48">
        <v>0</v>
      </c>
      <c r="P65" s="20">
        <v>140664.27518</v>
      </c>
      <c r="R65" s="20">
        <f>+B65+F65+J65+N65</f>
        <v>102622.75981</v>
      </c>
      <c r="S65" s="51">
        <f>+(R65-T65)/ABS(T65)</f>
        <v>0.32115299824947219</v>
      </c>
      <c r="T65" s="81">
        <f>+D65</f>
        <v>77676.665720000005</v>
      </c>
      <c r="U65" s="20">
        <f>+D65+H65+L65+P65</f>
        <v>409789.01376999996</v>
      </c>
    </row>
    <row r="66" spans="1:21">
      <c r="B66" s="20"/>
      <c r="C66" s="52" t="s">
        <v>0</v>
      </c>
      <c r="D66" s="20"/>
      <c r="E66" s="35" t="s">
        <v>0</v>
      </c>
      <c r="F66" s="20"/>
      <c r="G66" s="49" t="s">
        <v>0</v>
      </c>
      <c r="H66" s="20"/>
      <c r="J66" s="20"/>
      <c r="K66" s="49" t="s">
        <v>0</v>
      </c>
      <c r="L66" s="20"/>
      <c r="M66" s="35" t="s">
        <v>0</v>
      </c>
      <c r="N66" s="20"/>
      <c r="O66" s="49" t="s">
        <v>0</v>
      </c>
      <c r="P66" s="20"/>
      <c r="R66" s="20"/>
      <c r="S66" s="51"/>
      <c r="T66" s="20"/>
      <c r="U66" s="20"/>
    </row>
    <row r="67" spans="1:21">
      <c r="A67" t="s">
        <v>311</v>
      </c>
      <c r="B67" s="217"/>
      <c r="C67" s="52" t="s">
        <v>0</v>
      </c>
      <c r="D67" s="217"/>
      <c r="E67" s="35" t="s">
        <v>0</v>
      </c>
      <c r="F67" s="217"/>
      <c r="G67" s="49" t="s">
        <v>0</v>
      </c>
      <c r="H67" s="217"/>
      <c r="J67" s="217"/>
      <c r="K67" s="49" t="s">
        <v>0</v>
      </c>
      <c r="L67" s="217"/>
      <c r="M67" s="35" t="s">
        <v>0</v>
      </c>
      <c r="N67" s="217"/>
      <c r="O67" s="49" t="s">
        <v>0</v>
      </c>
      <c r="P67" s="217"/>
      <c r="R67" s="217"/>
      <c r="S67" s="51"/>
      <c r="T67" s="217"/>
      <c r="U67" s="217"/>
    </row>
    <row r="68" spans="1:21">
      <c r="A68" t="s">
        <v>312</v>
      </c>
      <c r="B68" s="20">
        <f>+B63-B65</f>
        <v>652425.12309000001</v>
      </c>
      <c r="C68" s="51">
        <f>+(B68-D68)/ABS(D68)</f>
        <v>0.11602559948648912</v>
      </c>
      <c r="D68" s="20">
        <f>+D63-D65</f>
        <v>584596.91550999985</v>
      </c>
      <c r="E68" s="35" t="s">
        <v>0</v>
      </c>
      <c r="F68" s="20">
        <f>+F63-F65</f>
        <v>0</v>
      </c>
      <c r="G68" s="48">
        <v>0</v>
      </c>
      <c r="H68" s="20">
        <f>+H63-H65</f>
        <v>619927.20088000013</v>
      </c>
      <c r="J68" s="20">
        <f>+J63-J65</f>
        <v>0</v>
      </c>
      <c r="K68" s="48">
        <v>0</v>
      </c>
      <c r="L68" s="20">
        <f>+L63-L65</f>
        <v>690836.52244196204</v>
      </c>
      <c r="M68" s="35" t="s">
        <v>0</v>
      </c>
      <c r="N68" s="20">
        <f>+N63-N65</f>
        <v>0</v>
      </c>
      <c r="O68" s="48">
        <v>0</v>
      </c>
      <c r="P68" s="20">
        <f>+P63-P65</f>
        <v>705198.21272629802</v>
      </c>
      <c r="R68" s="20">
        <f>+R63-R65</f>
        <v>652425.12309000001</v>
      </c>
      <c r="S68" s="51">
        <f>+(R68-T68)/ABS(T68)</f>
        <v>0.11602559948648912</v>
      </c>
      <c r="T68" s="20">
        <f>+T63-T65</f>
        <v>584596.91550999985</v>
      </c>
      <c r="U68" s="20">
        <f>+U63-U65</f>
        <v>2600558.8515582597</v>
      </c>
    </row>
    <row r="69" spans="1:21">
      <c r="B69" s="20"/>
      <c r="C69" s="52" t="s">
        <v>0</v>
      </c>
      <c r="D69" s="20"/>
      <c r="E69" s="35" t="s">
        <v>0</v>
      </c>
      <c r="F69" s="20"/>
      <c r="G69" s="49" t="s">
        <v>0</v>
      </c>
      <c r="H69" s="20"/>
      <c r="J69" s="20"/>
      <c r="K69" s="49" t="s">
        <v>0</v>
      </c>
      <c r="L69" s="20"/>
      <c r="M69" s="35" t="s">
        <v>0</v>
      </c>
      <c r="N69" s="20"/>
      <c r="O69" s="49" t="s">
        <v>0</v>
      </c>
      <c r="P69" s="20"/>
      <c r="R69" s="20"/>
      <c r="S69" s="51"/>
      <c r="T69" s="20"/>
      <c r="U69" s="20"/>
    </row>
    <row r="70" spans="1:21">
      <c r="A70" t="s">
        <v>313</v>
      </c>
      <c r="B70" s="20"/>
      <c r="C70" s="52" t="s">
        <v>0</v>
      </c>
      <c r="D70" s="20"/>
      <c r="E70" s="35" t="s">
        <v>0</v>
      </c>
      <c r="F70" s="20"/>
      <c r="G70" s="49" t="s">
        <v>0</v>
      </c>
      <c r="H70" s="20"/>
      <c r="J70" s="20"/>
      <c r="K70" s="49" t="s">
        <v>0</v>
      </c>
      <c r="L70" s="20"/>
      <c r="M70" s="35" t="s">
        <v>0</v>
      </c>
      <c r="N70" s="20"/>
      <c r="O70" s="49" t="s">
        <v>0</v>
      </c>
      <c r="P70" s="20"/>
      <c r="R70" s="20"/>
      <c r="S70" s="51"/>
      <c r="T70" s="20"/>
      <c r="U70" s="20"/>
    </row>
    <row r="71" spans="1:21">
      <c r="A71" t="s">
        <v>314</v>
      </c>
      <c r="B71" s="20">
        <v>232265.14973999996</v>
      </c>
      <c r="C71" s="51">
        <f>+(B71-D71)/ABS(D71)</f>
        <v>0.11815968800348355</v>
      </c>
      <c r="D71" s="20">
        <v>207720.91162999999</v>
      </c>
      <c r="E71" s="35" t="s">
        <v>0</v>
      </c>
      <c r="F71" s="20">
        <v>0</v>
      </c>
      <c r="G71" s="48">
        <v>0</v>
      </c>
      <c r="H71" s="20">
        <v>219665.78318999999</v>
      </c>
      <c r="J71" s="20">
        <v>0</v>
      </c>
      <c r="K71" s="48">
        <v>0</v>
      </c>
      <c r="L71" s="20">
        <v>238029.01308999999</v>
      </c>
      <c r="M71" s="35" t="s">
        <v>0</v>
      </c>
      <c r="N71" s="20">
        <v>0</v>
      </c>
      <c r="O71" s="48">
        <v>0</v>
      </c>
      <c r="P71" s="20">
        <v>233240.23287000001</v>
      </c>
      <c r="R71" s="20">
        <f>+B71+F71+J71+N71</f>
        <v>232265.14973999996</v>
      </c>
      <c r="S71" s="51">
        <f>+(R71-T71)/ABS(T71)</f>
        <v>0.11815968800348355</v>
      </c>
      <c r="T71" s="81">
        <f>+D71</f>
        <v>207720.91162999999</v>
      </c>
      <c r="U71" s="20">
        <f>+D71+H71+L71+P71</f>
        <v>898655.94078000006</v>
      </c>
    </row>
    <row r="72" spans="1:21">
      <c r="A72" t="s">
        <v>315</v>
      </c>
      <c r="B72" s="20">
        <v>21766.02389</v>
      </c>
      <c r="C72" s="51">
        <f>+(B72-D72)/ABS(D72)</f>
        <v>2.1027014577144988E-2</v>
      </c>
      <c r="D72" s="20">
        <v>21317.774729999997</v>
      </c>
      <c r="E72" s="35" t="s">
        <v>0</v>
      </c>
      <c r="F72" s="20">
        <v>0</v>
      </c>
      <c r="G72" s="48">
        <v>0</v>
      </c>
      <c r="H72" s="20">
        <v>19985.514010000006</v>
      </c>
      <c r="J72" s="20">
        <v>0</v>
      </c>
      <c r="K72" s="48">
        <v>0</v>
      </c>
      <c r="L72" s="20">
        <v>21451.307140000001</v>
      </c>
      <c r="M72" s="35" t="s">
        <v>0</v>
      </c>
      <c r="N72" s="20">
        <v>0</v>
      </c>
      <c r="O72" s="48">
        <v>0</v>
      </c>
      <c r="P72" s="20">
        <v>21418.340110000001</v>
      </c>
      <c r="R72" s="20">
        <f>+B72+F72+J72+N72</f>
        <v>21766.02389</v>
      </c>
      <c r="S72" s="51">
        <f>+(R72-T72)/ABS(T72)</f>
        <v>2.1027014577144988E-2</v>
      </c>
      <c r="T72" s="81">
        <f>+D72</f>
        <v>21317.774729999997</v>
      </c>
      <c r="U72" s="20">
        <f>+D72+H72+L72+P72</f>
        <v>84172.935990000013</v>
      </c>
    </row>
    <row r="73" spans="1:21">
      <c r="A73" t="s">
        <v>316</v>
      </c>
      <c r="B73" s="20">
        <v>49783.789779999992</v>
      </c>
      <c r="C73" s="51">
        <f>+(B73-D73)/ABS(D73)</f>
        <v>0.59302611653350934</v>
      </c>
      <c r="D73" s="20">
        <v>31251.081989999999</v>
      </c>
      <c r="E73" s="35" t="s">
        <v>0</v>
      </c>
      <c r="F73" s="20">
        <v>0</v>
      </c>
      <c r="G73" s="48">
        <v>0</v>
      </c>
      <c r="H73" s="20">
        <v>38442.447129999993</v>
      </c>
      <c r="J73" s="20">
        <v>0</v>
      </c>
      <c r="K73" s="48">
        <v>0</v>
      </c>
      <c r="L73" s="20">
        <v>42609.21862</v>
      </c>
      <c r="M73" s="35" t="s">
        <v>0</v>
      </c>
      <c r="N73" s="20">
        <v>0</v>
      </c>
      <c r="O73" s="48">
        <v>0</v>
      </c>
      <c r="P73" s="20">
        <v>46327.851539999996</v>
      </c>
      <c r="R73" s="20">
        <f>+B73+F73+J73+N73</f>
        <v>49783.789779999992</v>
      </c>
      <c r="S73" s="51">
        <f>+(R73-T73)/ABS(T73)</f>
        <v>0.59302611653350934</v>
      </c>
      <c r="T73" s="81">
        <f>+D73</f>
        <v>31251.081989999999</v>
      </c>
      <c r="U73" s="20">
        <f>+D73+H73+L73+P73</f>
        <v>158630.59927999999</v>
      </c>
    </row>
    <row r="74" spans="1:21">
      <c r="A74" t="s">
        <v>317</v>
      </c>
      <c r="B74" s="217">
        <v>250803.66557999997</v>
      </c>
      <c r="C74" s="51">
        <f>+(B74-D74)/ABS(D74)</f>
        <v>0.2491050214511206</v>
      </c>
      <c r="D74" s="217">
        <v>200786.69228999998</v>
      </c>
      <c r="E74" s="35" t="s">
        <v>0</v>
      </c>
      <c r="F74" s="217">
        <v>0</v>
      </c>
      <c r="G74" s="48">
        <v>0</v>
      </c>
      <c r="H74" s="217">
        <v>242178.51201000001</v>
      </c>
      <c r="J74" s="217">
        <v>0</v>
      </c>
      <c r="K74" s="48">
        <v>0</v>
      </c>
      <c r="L74" s="217">
        <v>226146.15308000002</v>
      </c>
      <c r="M74" s="35" t="s">
        <v>0</v>
      </c>
      <c r="N74" s="217">
        <v>0</v>
      </c>
      <c r="O74" s="48">
        <v>0</v>
      </c>
      <c r="P74" s="217">
        <v>235170.54615000001</v>
      </c>
      <c r="R74" s="217">
        <f>+B74+F74+J74+N74</f>
        <v>250803.66557999997</v>
      </c>
      <c r="S74" s="51">
        <f>+(R74-T74)/ABS(T74)</f>
        <v>0.2491050214511206</v>
      </c>
      <c r="T74" s="217">
        <f>+D74</f>
        <v>200786.69228999998</v>
      </c>
      <c r="U74" s="217">
        <f>+D74+H74+L74+P74</f>
        <v>904281.90353000001</v>
      </c>
    </row>
    <row r="75" spans="1:21">
      <c r="B75" s="20">
        <f>SUM(B71:B74)</f>
        <v>554618.62898999988</v>
      </c>
      <c r="C75" s="51">
        <f>+(B75-D75)/ABS(D75)</f>
        <v>0.20287777914352462</v>
      </c>
      <c r="D75" s="20">
        <f>SUM(D71:D74)</f>
        <v>461076.46063999995</v>
      </c>
      <c r="E75" s="35" t="s">
        <v>0</v>
      </c>
      <c r="F75" s="20">
        <f>SUM(F71:F74)</f>
        <v>0</v>
      </c>
      <c r="G75" s="48">
        <v>0</v>
      </c>
      <c r="H75" s="20">
        <f>SUM(H71:H74)</f>
        <v>520272.25634000002</v>
      </c>
      <c r="J75" s="20">
        <f>SUM(J71:J74)</f>
        <v>0</v>
      </c>
      <c r="K75" s="48">
        <v>0</v>
      </c>
      <c r="L75" s="20">
        <f>SUM(L71:L74)</f>
        <v>528235.69192999997</v>
      </c>
      <c r="M75" s="35" t="s">
        <v>0</v>
      </c>
      <c r="N75" s="20">
        <f>SUM(N71:N74)</f>
        <v>0</v>
      </c>
      <c r="O75" s="48">
        <v>0</v>
      </c>
      <c r="P75" s="20">
        <f>SUM(P71:P74)</f>
        <v>536156.97066999995</v>
      </c>
      <c r="R75" s="20">
        <f>SUM(R71:R74)</f>
        <v>554618.62898999988</v>
      </c>
      <c r="S75" s="51">
        <f>+(R75-T75)/ABS(T75)</f>
        <v>0.20287777914352462</v>
      </c>
      <c r="T75" s="20">
        <f>SUM(T71:T74)</f>
        <v>461076.46063999995</v>
      </c>
      <c r="U75" s="20">
        <f>SUM(U71:U74)</f>
        <v>2045741.3795800002</v>
      </c>
    </row>
    <row r="76" spans="1:21">
      <c r="B76" s="217"/>
      <c r="C76" s="51"/>
      <c r="D76" s="217"/>
      <c r="E76" s="35"/>
      <c r="F76" s="334"/>
      <c r="G76" s="48"/>
      <c r="H76" s="334"/>
      <c r="J76" s="334"/>
      <c r="K76" s="48"/>
      <c r="L76" s="334"/>
      <c r="M76" s="35"/>
      <c r="N76" s="334"/>
      <c r="O76" s="48"/>
      <c r="P76" s="334"/>
      <c r="R76" s="217"/>
      <c r="S76" s="51"/>
      <c r="T76" s="217"/>
      <c r="U76" s="217"/>
    </row>
    <row r="77" spans="1:21">
      <c r="A77" t="s">
        <v>318</v>
      </c>
      <c r="B77" s="20">
        <f>+B68-B75</f>
        <v>97806.494100000127</v>
      </c>
      <c r="C77" s="51">
        <f>+(B77-D77)/ABS(D77)</f>
        <v>-0.20817572925118061</v>
      </c>
      <c r="D77" s="20">
        <f>+D68-D75</f>
        <v>123520.4548699999</v>
      </c>
      <c r="E77" s="35" t="s">
        <v>0</v>
      </c>
      <c r="F77" s="20">
        <f>+F68-F75</f>
        <v>0</v>
      </c>
      <c r="G77" s="48">
        <v>0</v>
      </c>
      <c r="H77" s="20">
        <f>+H68-H75</f>
        <v>99654.944540000113</v>
      </c>
      <c r="J77" s="20">
        <f>+J68-J75</f>
        <v>0</v>
      </c>
      <c r="K77" s="48">
        <v>0</v>
      </c>
      <c r="L77" s="20">
        <f>+L68-L75</f>
        <v>162600.83051196206</v>
      </c>
      <c r="M77" s="35" t="s">
        <v>0</v>
      </c>
      <c r="N77" s="20">
        <f>+N68-N75</f>
        <v>0</v>
      </c>
      <c r="O77" s="48">
        <v>0</v>
      </c>
      <c r="P77" s="20">
        <f>+P68-P75</f>
        <v>169041.24205629807</v>
      </c>
      <c r="R77" s="20">
        <f>+R68-R75</f>
        <v>97806.494100000127</v>
      </c>
      <c r="S77" s="51">
        <f>+(R77-T77)/ABS(T77)</f>
        <v>-0.20817572925118061</v>
      </c>
      <c r="T77" s="20">
        <f>+T68-T75</f>
        <v>123520.4548699999</v>
      </c>
      <c r="U77" s="20">
        <f>+U68-U75</f>
        <v>554817.47197825951</v>
      </c>
    </row>
    <row r="78" spans="1:21">
      <c r="B78" s="20"/>
      <c r="C78" s="52" t="s">
        <v>0</v>
      </c>
      <c r="D78" s="20"/>
      <c r="E78" s="35" t="s">
        <v>0</v>
      </c>
      <c r="G78" s="49" t="s">
        <v>0</v>
      </c>
      <c r="K78" s="49" t="s">
        <v>0</v>
      </c>
      <c r="M78" s="35" t="s">
        <v>0</v>
      </c>
      <c r="O78" s="49" t="s">
        <v>0</v>
      </c>
      <c r="R78" s="20"/>
      <c r="S78" s="51"/>
      <c r="T78" s="20"/>
      <c r="U78" s="20"/>
    </row>
    <row r="79" spans="1:21">
      <c r="A79" t="s">
        <v>319</v>
      </c>
      <c r="B79" s="20">
        <v>15170</v>
      </c>
      <c r="C79" s="51">
        <f>+(B79-D79)/ABS(D79)</f>
        <v>-0.33625027346313718</v>
      </c>
      <c r="D79" s="20">
        <v>22855</v>
      </c>
      <c r="E79" s="35" t="s">
        <v>0</v>
      </c>
      <c r="F79" s="20">
        <v>0</v>
      </c>
      <c r="G79" s="48">
        <v>0</v>
      </c>
      <c r="H79" s="20">
        <v>16245</v>
      </c>
      <c r="J79" s="20">
        <v>0</v>
      </c>
      <c r="K79" s="48">
        <v>0</v>
      </c>
      <c r="L79" s="20">
        <v>34600</v>
      </c>
      <c r="M79" s="35" t="s">
        <v>0</v>
      </c>
      <c r="N79" s="20">
        <v>0</v>
      </c>
      <c r="O79" s="48">
        <v>0</v>
      </c>
      <c r="P79" s="20">
        <v>27430</v>
      </c>
      <c r="R79" s="20">
        <f>+B79+F79+J79+N79</f>
        <v>15170</v>
      </c>
      <c r="S79" s="51">
        <f>+(R79-T79)/ABS(T79)</f>
        <v>-0.33625027346313718</v>
      </c>
      <c r="T79" s="81">
        <f>+D79</f>
        <v>22855</v>
      </c>
      <c r="U79" s="20">
        <f>+D79+H79+L79+P79</f>
        <v>101130</v>
      </c>
    </row>
    <row r="80" spans="1:21" ht="16.5" thickBot="1">
      <c r="B80" s="79"/>
      <c r="C80" s="52" t="s">
        <v>0</v>
      </c>
      <c r="D80" s="79"/>
      <c r="E80" s="35" t="s">
        <v>0</v>
      </c>
      <c r="F80" s="36"/>
      <c r="G80" s="49" t="s">
        <v>0</v>
      </c>
      <c r="H80" s="36"/>
      <c r="J80" s="36"/>
      <c r="K80" s="49" t="s">
        <v>0</v>
      </c>
      <c r="L80" s="36"/>
      <c r="M80" s="35" t="s">
        <v>0</v>
      </c>
      <c r="N80" s="36"/>
      <c r="O80" s="49" t="s">
        <v>0</v>
      </c>
      <c r="P80" s="36"/>
      <c r="R80" s="79"/>
      <c r="S80" s="51"/>
      <c r="T80" s="79"/>
      <c r="U80" s="79"/>
    </row>
    <row r="81" spans="1:21" s="11" customFormat="1">
      <c r="A81" s="11" t="s">
        <v>372</v>
      </c>
      <c r="B81" s="13">
        <f>+B77-B79</f>
        <v>82636.494100000127</v>
      </c>
      <c r="C81" s="109">
        <f>+(B81-D81)/ABS(D81)</f>
        <v>-0.17909779271630474</v>
      </c>
      <c r="D81" s="13">
        <f>+D77-D79</f>
        <v>100665.4548699999</v>
      </c>
      <c r="E81" s="137" t="s">
        <v>0</v>
      </c>
      <c r="F81" s="13">
        <f>+F77-F79</f>
        <v>0</v>
      </c>
      <c r="G81" s="47">
        <v>0</v>
      </c>
      <c r="H81" s="13">
        <f>+H77-H79</f>
        <v>83409.944540000113</v>
      </c>
      <c r="I81" s="137"/>
      <c r="J81" s="13">
        <f>+J77-J79</f>
        <v>0</v>
      </c>
      <c r="K81" s="47">
        <v>0</v>
      </c>
      <c r="L81" s="13">
        <f>+L77-L79</f>
        <v>128000.83051196206</v>
      </c>
      <c r="M81" s="137" t="s">
        <v>0</v>
      </c>
      <c r="N81" s="13">
        <f>+N77-N79</f>
        <v>0</v>
      </c>
      <c r="O81" s="47">
        <v>0</v>
      </c>
      <c r="P81" s="13">
        <f>+P77-P79</f>
        <v>141611.24205629807</v>
      </c>
      <c r="Q81" s="137"/>
      <c r="R81" s="13">
        <f>+R77-R79</f>
        <v>82636.494100000127</v>
      </c>
      <c r="S81" s="109">
        <f>+(R81-T81)/ABS(T81)</f>
        <v>-0.17909779271630474</v>
      </c>
      <c r="T81" s="13">
        <f>+T77-T79</f>
        <v>100665.4548699999</v>
      </c>
      <c r="U81" s="13">
        <f>+U77-U79</f>
        <v>453687.47197825951</v>
      </c>
    </row>
    <row r="82" spans="1:21">
      <c r="E82" s="35"/>
      <c r="M82" s="35"/>
    </row>
    <row r="83" spans="1:21">
      <c r="E83" s="35"/>
      <c r="F83" s="35" t="s">
        <v>0</v>
      </c>
      <c r="M83" s="35"/>
    </row>
    <row r="84" spans="1:21">
      <c r="B84"/>
      <c r="C84"/>
      <c r="D84"/>
      <c r="E84"/>
      <c r="F84"/>
      <c r="G84"/>
      <c r="H84"/>
      <c r="M84" s="35" t="s">
        <v>0</v>
      </c>
      <c r="N84" s="35" t="s">
        <v>0</v>
      </c>
    </row>
    <row r="85" spans="1:21">
      <c r="B85"/>
      <c r="C85"/>
      <c r="D85"/>
      <c r="E85"/>
      <c r="F85"/>
      <c r="G85"/>
      <c r="H85"/>
      <c r="M85" s="35" t="s">
        <v>0</v>
      </c>
    </row>
    <row r="86" spans="1:21">
      <c r="B86"/>
      <c r="C86"/>
      <c r="D86"/>
      <c r="E86"/>
      <c r="F86"/>
      <c r="G86"/>
      <c r="H86"/>
      <c r="M86" s="35"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19" spans="2:8">
      <c r="B119"/>
      <c r="C119"/>
      <c r="D119"/>
      <c r="E119"/>
      <c r="F119"/>
      <c r="G119"/>
      <c r="H119"/>
    </row>
    <row r="120" spans="2:8">
      <c r="B120"/>
      <c r="C120"/>
      <c r="D120"/>
      <c r="E120"/>
      <c r="F120"/>
      <c r="G120"/>
      <c r="H120"/>
    </row>
    <row r="121" spans="2:8">
      <c r="B121"/>
      <c r="C121"/>
      <c r="D121"/>
      <c r="E121"/>
      <c r="F121"/>
      <c r="G121"/>
      <c r="H121"/>
    </row>
    <row r="122" spans="2:8">
      <c r="B122"/>
      <c r="C122"/>
      <c r="D122"/>
      <c r="E122"/>
      <c r="F122"/>
      <c r="G122"/>
      <c r="H122"/>
    </row>
    <row r="123" spans="2:8">
      <c r="B123"/>
      <c r="C123"/>
      <c r="D123"/>
      <c r="E123"/>
      <c r="F123"/>
      <c r="G123"/>
      <c r="H123"/>
    </row>
    <row r="124" spans="2:8">
      <c r="B124"/>
      <c r="C124"/>
      <c r="D124"/>
      <c r="E124"/>
      <c r="F124"/>
      <c r="G124"/>
      <c r="H124"/>
    </row>
    <row r="125" spans="2:8">
      <c r="B125"/>
      <c r="C125"/>
      <c r="D125"/>
      <c r="E125"/>
      <c r="F125"/>
      <c r="G125"/>
      <c r="H125"/>
    </row>
    <row r="126" spans="2:8">
      <c r="B126"/>
      <c r="C126"/>
      <c r="D126"/>
      <c r="E126"/>
      <c r="F126"/>
      <c r="G126"/>
      <c r="H126"/>
    </row>
    <row r="127" spans="2:8">
      <c r="B127"/>
      <c r="C127"/>
      <c r="D127"/>
      <c r="E127"/>
      <c r="F127"/>
      <c r="G127"/>
      <c r="H127"/>
    </row>
    <row r="128" spans="2:8">
      <c r="B128"/>
      <c r="C128"/>
      <c r="D128"/>
      <c r="E128"/>
      <c r="F128"/>
      <c r="G128"/>
      <c r="H128"/>
    </row>
    <row r="129" spans="2:8">
      <c r="B129"/>
      <c r="C129"/>
      <c r="D129"/>
      <c r="E129"/>
      <c r="F129"/>
      <c r="G129"/>
      <c r="H129"/>
    </row>
    <row r="130" spans="2:8">
      <c r="B130"/>
      <c r="C130"/>
      <c r="D130"/>
      <c r="E130"/>
      <c r="F130"/>
      <c r="G130"/>
      <c r="H130"/>
    </row>
  </sheetData>
  <phoneticPr fontId="0" type="noConversion"/>
  <pageMargins left="0.22" right="0.2" top="0.47" bottom="0.43" header="0.31" footer="0.22"/>
  <pageSetup scale="44" orientation="landscape" r:id="rId1"/>
  <headerFooter alignWithMargins="0">
    <oddFooter>&amp;R&amp;P</oddFooter>
  </headerFooter>
</worksheet>
</file>

<file path=xl/worksheets/sheet107.xml><?xml version="1.0" encoding="utf-8"?>
<worksheet xmlns="http://schemas.openxmlformats.org/spreadsheetml/2006/main" xmlns:r="http://schemas.openxmlformats.org/officeDocument/2006/relationships">
  <dimension ref="A1:N45"/>
  <sheetViews>
    <sheetView workbookViewId="0">
      <selection activeCell="B11" sqref="B11"/>
    </sheetView>
  </sheetViews>
  <sheetFormatPr baseColWidth="10" defaultColWidth="9" defaultRowHeight="15.75"/>
  <cols>
    <col min="1" max="1" width="50" customWidth="1"/>
    <col min="2" max="2" width="15.75" customWidth="1"/>
    <col min="4" max="4" width="15.75" customWidth="1"/>
    <col min="5" max="5" width="6.125" customWidth="1"/>
    <col min="6" max="6" width="16" customWidth="1"/>
    <col min="8" max="8" width="16" customWidth="1"/>
    <col min="9" max="9" width="9.125" bestFit="1" customWidth="1"/>
    <col min="10" max="10" width="15.875" customWidth="1"/>
    <col min="11" max="11" width="9.25" bestFit="1" customWidth="1"/>
    <col min="12" max="12" width="15.875" customWidth="1"/>
  </cols>
  <sheetData>
    <row r="1" spans="1:14">
      <c r="A1" s="111" t="s">
        <v>407</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+'SCOTIAVARAN            '!B8</f>
        <v xml:space="preserve">     CUMUL (Octobre - Décembre )</v>
      </c>
      <c r="C8" s="111"/>
      <c r="D8" s="39"/>
      <c r="E8" s="11"/>
      <c r="F8" s="111" t="s">
        <v>214</v>
      </c>
      <c r="G8" s="111"/>
      <c r="H8" s="111"/>
      <c r="I8" s="111"/>
      <c r="J8" s="111"/>
      <c r="K8" s="111"/>
      <c r="L8" s="111"/>
    </row>
    <row r="9" spans="1:14" ht="16.5" thickBot="1">
      <c r="B9" s="223" t="str">
        <f>+'SCOTIAVARAN            '!B9</f>
        <v xml:space="preserve"> 2015</v>
      </c>
      <c r="C9" s="203" t="s">
        <v>196</v>
      </c>
      <c r="D9" s="223" t="str">
        <f>+'SCOTIAVARAN            '!D9</f>
        <v xml:space="preserve"> 2014</v>
      </c>
      <c r="E9" s="11"/>
      <c r="F9" s="223" t="str">
        <f>+'SCOTIAVARAN            '!F9</f>
        <v>2014</v>
      </c>
      <c r="G9" s="203" t="s">
        <v>196</v>
      </c>
      <c r="H9" s="223" t="str">
        <f>+'SCOTIAVARAN            '!H9</f>
        <v>2013</v>
      </c>
      <c r="I9" s="203" t="s">
        <v>196</v>
      </c>
      <c r="J9" s="223" t="str">
        <f>+'SCOTIAVARAN            '!J9</f>
        <v>2012</v>
      </c>
      <c r="K9" s="203" t="s">
        <v>196</v>
      </c>
      <c r="L9" s="223" t="str">
        <f>+'SCOTIAVARAN            '!L9</f>
        <v>2011</v>
      </c>
    </row>
    <row r="10" spans="1:14">
      <c r="A10" t="s">
        <v>300</v>
      </c>
      <c r="F10" t="s">
        <v>0</v>
      </c>
      <c r="H10" t="s">
        <v>0</v>
      </c>
      <c r="J10" t="s">
        <v>0</v>
      </c>
      <c r="L10" t="s">
        <v>0</v>
      </c>
    </row>
    <row r="11" spans="1:14">
      <c r="A11" t="s">
        <v>301</v>
      </c>
      <c r="B11" s="24" t="s">
        <v>0</v>
      </c>
      <c r="C11" s="52" t="s">
        <v>0</v>
      </c>
      <c r="D11" s="24" t="s">
        <v>0</v>
      </c>
      <c r="E11" s="49" t="s">
        <v>0</v>
      </c>
      <c r="F11" s="24" t="s">
        <v>0</v>
      </c>
      <c r="G11" s="52" t="s">
        <v>0</v>
      </c>
      <c r="H11" s="24" t="s">
        <v>0</v>
      </c>
      <c r="J11" s="24" t="s">
        <v>0</v>
      </c>
      <c r="L11" s="24" t="s">
        <v>0</v>
      </c>
      <c r="M11" s="48"/>
      <c r="N11" s="48"/>
    </row>
    <row r="12" spans="1:14">
      <c r="A12" t="s">
        <v>302</v>
      </c>
      <c r="B12" s="20">
        <f>+SOGEBKRÉSULT!R50</f>
        <v>359857.13196999999</v>
      </c>
      <c r="C12" s="51">
        <f t="shared" ref="C12:C17" si="0">+(B12-D12)/ABS(D12)</f>
        <v>0.10064435472749346</v>
      </c>
      <c r="D12" s="20">
        <f>+SOGEBKRÉSULT!T50</f>
        <v>326951.32666999992</v>
      </c>
      <c r="E12" s="49"/>
      <c r="F12" s="20">
        <f>+SOGEBKRÉSULT!U50</f>
        <v>1392850.1835999999</v>
      </c>
      <c r="G12" s="51">
        <f t="shared" ref="G12:G17" si="1">+(F12-H12)/ABS(H12)</f>
        <v>0.2302926196600395</v>
      </c>
      <c r="H12" s="20">
        <v>1132129.1872700001</v>
      </c>
      <c r="I12" s="51">
        <f t="shared" ref="I12:I17" si="2">+(H12-J12)/ABS(J12)</f>
        <v>0.37237802133023562</v>
      </c>
      <c r="J12" s="20">
        <v>824939.75397000008</v>
      </c>
      <c r="K12" s="51">
        <f t="shared" ref="K12:K17" si="3">+(J12-L12)/ABS(L12)</f>
        <v>0.23343142481480642</v>
      </c>
      <c r="L12" s="20">
        <v>668816.87734999997</v>
      </c>
      <c r="M12" s="48"/>
      <c r="N12" s="48"/>
    </row>
    <row r="13" spans="1:14">
      <c r="A13" t="s">
        <v>322</v>
      </c>
      <c r="B13" s="20">
        <f>+SOGEBKRÉSULT!R51</f>
        <v>24916.868690000003</v>
      </c>
      <c r="C13" s="51">
        <f t="shared" si="0"/>
        <v>5.7881222588643757</v>
      </c>
      <c r="D13" s="20">
        <f>+SOGEBKRÉSULT!T51</f>
        <v>3670.6570300000003</v>
      </c>
      <c r="E13" s="49"/>
      <c r="F13" s="20">
        <f>+SOGEBKRÉSULT!U51</f>
        <v>21001.799330000002</v>
      </c>
      <c r="G13" s="51">
        <f t="shared" si="1"/>
        <v>2.1516663303626582</v>
      </c>
      <c r="H13" s="20">
        <v>6663.7128199999997</v>
      </c>
      <c r="I13" s="51">
        <f t="shared" si="2"/>
        <v>-0.13370597333991086</v>
      </c>
      <c r="J13" s="20">
        <v>7692.2068200000003</v>
      </c>
      <c r="K13" s="51">
        <f t="shared" si="3"/>
        <v>-0.6261691344382283</v>
      </c>
      <c r="L13" s="20">
        <v>20576.70334</v>
      </c>
      <c r="M13" s="48"/>
      <c r="N13" s="48"/>
    </row>
    <row r="14" spans="1:14">
      <c r="A14" t="s">
        <v>304</v>
      </c>
      <c r="B14" s="217">
        <f>+SOGEBKRÉSULT!R52</f>
        <v>63264.273480000003</v>
      </c>
      <c r="C14" s="51">
        <f t="shared" si="0"/>
        <v>0.1633695010157824</v>
      </c>
      <c r="D14" s="217">
        <f>+SOGEBKRÉSULT!T52</f>
        <v>54380.206310000001</v>
      </c>
      <c r="E14" s="49"/>
      <c r="F14" s="217">
        <f>+SOGEBKRÉSULT!U52</f>
        <v>238804.04619999998</v>
      </c>
      <c r="G14" s="51">
        <f t="shared" si="1"/>
        <v>-0.12194265674535733</v>
      </c>
      <c r="H14" s="217">
        <v>271968.62258999998</v>
      </c>
      <c r="I14" s="51">
        <f t="shared" si="2"/>
        <v>-0.18686126683865761</v>
      </c>
      <c r="J14" s="217">
        <v>334467.67630000005</v>
      </c>
      <c r="K14" s="51">
        <f t="shared" si="3"/>
        <v>8.6825371319268985E-2</v>
      </c>
      <c r="L14" s="217">
        <v>307747.39449999999</v>
      </c>
      <c r="M14" s="48"/>
      <c r="N14" s="48"/>
    </row>
    <row r="15" spans="1:14">
      <c r="B15" s="20">
        <f>SUM(B12:B14)</f>
        <v>448038.27413999999</v>
      </c>
      <c r="C15" s="51">
        <f t="shared" si="0"/>
        <v>0.16372915730261903</v>
      </c>
      <c r="D15" s="20">
        <f>SUM(D12:D14)</f>
        <v>385002.1900099999</v>
      </c>
      <c r="E15" s="49"/>
      <c r="F15" s="20">
        <f>SUM(F12:F14)</f>
        <v>1652656.0291299999</v>
      </c>
      <c r="G15" s="51">
        <f t="shared" si="1"/>
        <v>0.17146378219224237</v>
      </c>
      <c r="H15" s="20">
        <f>SUM(H12:H14)</f>
        <v>1410761.5226800002</v>
      </c>
      <c r="I15" s="51">
        <f t="shared" si="2"/>
        <v>0.20877556452466814</v>
      </c>
      <c r="J15" s="20">
        <f>SUM(J12:J14)</f>
        <v>1167099.6370900001</v>
      </c>
      <c r="K15" s="51">
        <f t="shared" si="3"/>
        <v>0.17044597116031207</v>
      </c>
      <c r="L15" s="20">
        <f>SUM(L12:L14)</f>
        <v>997140.97518999991</v>
      </c>
      <c r="M15" s="48"/>
      <c r="N15" s="48"/>
    </row>
    <row r="16" spans="1:14">
      <c r="A16" t="s">
        <v>305</v>
      </c>
      <c r="B16" s="217">
        <f>+SOGEBKRÉSULT!R54</f>
        <v>70347.607310000007</v>
      </c>
      <c r="C16" s="51">
        <f t="shared" si="0"/>
        <v>0.93612666114442933</v>
      </c>
      <c r="D16" s="217">
        <f>+SOGEBKRÉSULT!T54</f>
        <v>36334.196889999999</v>
      </c>
      <c r="E16" s="49" t="s">
        <v>0</v>
      </c>
      <c r="F16" s="217">
        <f>+SOGEBKRÉSULT!U54</f>
        <v>202226.78720999998</v>
      </c>
      <c r="G16" s="51">
        <f t="shared" si="1"/>
        <v>0.5487547768927693</v>
      </c>
      <c r="H16" s="217">
        <v>130573.79401000001</v>
      </c>
      <c r="I16" s="51">
        <f t="shared" si="2"/>
        <v>9.4424369135995653E-2</v>
      </c>
      <c r="J16" s="217">
        <v>119308.19313999999</v>
      </c>
      <c r="K16" s="51">
        <f t="shared" si="3"/>
        <v>-8.9399809804650274E-2</v>
      </c>
      <c r="L16" s="217">
        <v>131021.48937</v>
      </c>
      <c r="M16" s="48"/>
      <c r="N16" s="48"/>
    </row>
    <row r="17" spans="1:14" s="187" customFormat="1">
      <c r="B17" s="24">
        <f>+B15-B16</f>
        <v>377690.66683</v>
      </c>
      <c r="C17" s="51">
        <f t="shared" si="0"/>
        <v>8.3238709266931429E-2</v>
      </c>
      <c r="D17" s="24">
        <f>+D15-D16</f>
        <v>348667.99311999988</v>
      </c>
      <c r="E17" s="49" t="s">
        <v>0</v>
      </c>
      <c r="F17" s="24">
        <f>+F15-F16</f>
        <v>1450429.2419199999</v>
      </c>
      <c r="G17" s="51">
        <f t="shared" si="1"/>
        <v>0.1329816787314978</v>
      </c>
      <c r="H17" s="24">
        <f>+H15-H16</f>
        <v>1280187.7286700001</v>
      </c>
      <c r="I17" s="51">
        <f t="shared" si="2"/>
        <v>0.22179631840083033</v>
      </c>
      <c r="J17" s="24">
        <f>+J15-J16</f>
        <v>1047791.4439500001</v>
      </c>
      <c r="K17" s="51">
        <f t="shared" si="3"/>
        <v>0.2097539209131197</v>
      </c>
      <c r="L17" s="24">
        <f>+L15-L16</f>
        <v>866119.48581999994</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0">
        <f>+SOGEBKRÉSULT!R58</f>
        <v>228653.86205999998</v>
      </c>
      <c r="C20" s="51">
        <f>+(B20-D20)/ABS(D20)</f>
        <v>0.17351082412006411</v>
      </c>
      <c r="D20" s="20">
        <f>+SOGEBKRÉSULT!T58</f>
        <v>194845.97616000002</v>
      </c>
      <c r="E20" s="49" t="s">
        <v>0</v>
      </c>
      <c r="F20" s="20">
        <f>+SOGEBKRÉSULT!U58</f>
        <v>937699.03361000004</v>
      </c>
      <c r="G20" s="51">
        <f>+(F20-H20)/ABS(H20)</f>
        <v>8.0727592157606901E-2</v>
      </c>
      <c r="H20" s="20">
        <v>867655.30963999999</v>
      </c>
      <c r="I20" s="51">
        <f>+(H20-J20)/ABS(J20)</f>
        <v>0.26555356264744601</v>
      </c>
      <c r="J20" s="20">
        <v>685593.51042000006</v>
      </c>
      <c r="K20" s="51">
        <f>+(J20-L20)/ABS(L20)</f>
        <v>0.21204914355775636</v>
      </c>
      <c r="L20" s="20">
        <v>565648.27760000003</v>
      </c>
      <c r="M20" s="48"/>
      <c r="N20" s="48"/>
    </row>
    <row r="21" spans="1:14">
      <c r="A21" t="s">
        <v>308</v>
      </c>
      <c r="B21" s="20">
        <f>+SOGEBKRÉSULT!R59</f>
        <v>63506.640929999994</v>
      </c>
      <c r="C21" s="51">
        <f>+(B21-D21)/ABS(D21)</f>
        <v>0.65701815479687975</v>
      </c>
      <c r="D21" s="20">
        <f>+SOGEBKRÉSULT!T59</f>
        <v>38325.857050000006</v>
      </c>
      <c r="E21" s="49" t="s">
        <v>0</v>
      </c>
      <c r="F21" s="20">
        <f>+SOGEBKRÉSULT!U59</f>
        <v>225991.78898000001</v>
      </c>
      <c r="G21" s="51">
        <f>+(F21-H21)/ABS(H21)</f>
        <v>0.1112287940352818</v>
      </c>
      <c r="H21" s="20">
        <v>203371.07010999997</v>
      </c>
      <c r="I21" s="51">
        <f>+(H21-J21)/ABS(J21)</f>
        <v>-0.17833023945657753</v>
      </c>
      <c r="J21" s="20">
        <v>247509.49819000001</v>
      </c>
      <c r="K21" s="51">
        <f>+(J21-L21)/ABS(L21)</f>
        <v>-8.0684745330325172E-2</v>
      </c>
      <c r="L21" s="20">
        <v>269232.44983999996</v>
      </c>
      <c r="M21" s="48"/>
      <c r="N21" s="48"/>
    </row>
    <row r="22" spans="1:14">
      <c r="A22" t="s">
        <v>274</v>
      </c>
      <c r="B22" s="217">
        <f>+SOGEBKRÉSULT!R60</f>
        <v>85196.713079999987</v>
      </c>
      <c r="C22" s="51">
        <f>+(B22-D22)/ABS(D22)</f>
        <v>5.921591234826197E-2</v>
      </c>
      <c r="D22" s="217">
        <f>+SOGEBKRÉSULT!T60</f>
        <v>80433.7549</v>
      </c>
      <c r="E22" s="49" t="s">
        <v>0</v>
      </c>
      <c r="F22" s="217">
        <f>+SOGEBKRÉSULT!U60</f>
        <v>396227.80081826</v>
      </c>
      <c r="G22" s="51">
        <f>+(F22-H22)/ABS(H22)</f>
        <v>0.20564440980152637</v>
      </c>
      <c r="H22" s="217">
        <v>328643.99950520002</v>
      </c>
      <c r="I22" s="51">
        <f>+(H22-J22)/ABS(J22)</f>
        <v>-5.338828712682122E-2</v>
      </c>
      <c r="J22" s="217">
        <v>347179.30809000006</v>
      </c>
      <c r="K22" s="51">
        <f>+(J22-L22)/ABS(L22)</f>
        <v>-6.5882422899962656E-2</v>
      </c>
      <c r="L22" s="217">
        <v>371665.53397680004</v>
      </c>
      <c r="M22" s="48"/>
      <c r="N22" s="48"/>
    </row>
    <row r="23" spans="1:14" s="187" customFormat="1">
      <c r="B23" s="24">
        <f>SUM(B20:B22)</f>
        <v>377357.21606999997</v>
      </c>
      <c r="C23" s="51">
        <f>+(B23-D23)/ABS(D23)</f>
        <v>0.20328600757470716</v>
      </c>
      <c r="D23" s="24">
        <f>SUM(D20:D22)</f>
        <v>313605.58811000001</v>
      </c>
      <c r="E23" s="49" t="s">
        <v>0</v>
      </c>
      <c r="F23" s="24">
        <f>SUM(F20:F22)</f>
        <v>1559918.6234082601</v>
      </c>
      <c r="G23" s="51">
        <f>+(F23-H23)/ABS(H23)</f>
        <v>0.114489987448568</v>
      </c>
      <c r="H23" s="24">
        <f>SUM(H20:H22)</f>
        <v>1399670.3792551998</v>
      </c>
      <c r="I23" s="51">
        <f>+(H23-J23)/ABS(J23)</f>
        <v>9.3251356359376217E-2</v>
      </c>
      <c r="J23" s="24">
        <f>SUM(J20:J22)</f>
        <v>1280282.3167000003</v>
      </c>
      <c r="K23" s="51">
        <f>+(J23-L23)/ABS(L23)</f>
        <v>6.1113326228051018E-2</v>
      </c>
      <c r="L23" s="24">
        <f>SUM(L20:L22)</f>
        <v>1206546.2614168001</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755047.88289999997</v>
      </c>
      <c r="C25" s="51">
        <f>+(B25-D25)/ABS(D25)</f>
        <v>0.14008455765017244</v>
      </c>
      <c r="D25" s="24">
        <f>+D17+D23</f>
        <v>662273.58122999989</v>
      </c>
      <c r="E25" s="49" t="s">
        <v>0</v>
      </c>
      <c r="F25" s="24">
        <f>+F17+F23</f>
        <v>3010347.8653282598</v>
      </c>
      <c r="G25" s="51">
        <f>+(F25-H25)/ABS(H25)</f>
        <v>0.12332360300185136</v>
      </c>
      <c r="H25" s="24">
        <f>+H17+H23</f>
        <v>2679858.1079251999</v>
      </c>
      <c r="I25" s="51">
        <f>+(H25-J25)/ABS(J25)</f>
        <v>0.15110532716840588</v>
      </c>
      <c r="J25" s="24">
        <f>+J17+J23</f>
        <v>2328073.7606500005</v>
      </c>
      <c r="K25" s="51">
        <f>+(J25-L25)/ABS(L25)</f>
        <v>0.12322682215099129</v>
      </c>
      <c r="L25" s="24">
        <f>+L17+L23</f>
        <v>2072665.7472367999</v>
      </c>
      <c r="M25" s="49"/>
      <c r="N25" s="49"/>
    </row>
    <row r="26" spans="1:14">
      <c r="B26" s="20"/>
      <c r="C26" s="51"/>
      <c r="D26" s="20"/>
      <c r="E26" s="49" t="s">
        <v>0</v>
      </c>
      <c r="F26" s="20"/>
      <c r="G26" s="51"/>
      <c r="H26" s="20"/>
      <c r="I26" s="51"/>
      <c r="J26" s="20"/>
      <c r="K26" s="51"/>
      <c r="L26" s="20"/>
      <c r="M26" s="48"/>
      <c r="N26" s="48"/>
    </row>
    <row r="27" spans="1:14">
      <c r="A27" t="s">
        <v>310</v>
      </c>
      <c r="B27" s="20">
        <f>+SOGEBKRÉSULT!R65</f>
        <v>102622.75981</v>
      </c>
      <c r="C27" s="51">
        <f>+(B27-D27)/ABS(D27)</f>
        <v>0.32115299824947219</v>
      </c>
      <c r="D27" s="20">
        <f>+SOGEBKRÉSULT!T65</f>
        <v>77676.665720000005</v>
      </c>
      <c r="E27" s="49" t="s">
        <v>0</v>
      </c>
      <c r="F27" s="20">
        <f>+SOGEBKRÉSULT!U65</f>
        <v>409789.01376999996</v>
      </c>
      <c r="G27" s="51">
        <f>+(F27-H27)/ABS(H27)</f>
        <v>0.40533297714487304</v>
      </c>
      <c r="H27" s="20">
        <v>291595.67194000003</v>
      </c>
      <c r="I27" s="51">
        <f>+(H27-J27)/ABS(J27)</f>
        <v>0.26868909289511678</v>
      </c>
      <c r="J27" s="20">
        <v>229840.13465000002</v>
      </c>
      <c r="K27" s="51">
        <f>+(J27-L27)/ABS(L27)</f>
        <v>0.34501271244744325</v>
      </c>
      <c r="L27" s="20">
        <v>170883.24335</v>
      </c>
      <c r="M27" s="48"/>
      <c r="N27" s="48"/>
    </row>
    <row r="28" spans="1:14">
      <c r="B28" s="20"/>
      <c r="C28" s="51"/>
      <c r="D28" s="20"/>
      <c r="E28" s="49" t="s">
        <v>0</v>
      </c>
      <c r="F28" s="20"/>
      <c r="G28" s="51"/>
      <c r="H28" s="20"/>
      <c r="I28" s="51"/>
      <c r="J28" s="20"/>
      <c r="K28" s="51"/>
      <c r="L28" s="20"/>
      <c r="M28" s="48"/>
      <c r="N28" s="48"/>
    </row>
    <row r="29" spans="1:14">
      <c r="A29" t="s">
        <v>311</v>
      </c>
      <c r="B29" s="217"/>
      <c r="C29" s="51"/>
      <c r="D29" s="217"/>
      <c r="E29" s="49" t="s">
        <v>0</v>
      </c>
      <c r="F29" s="217"/>
      <c r="G29" s="51"/>
      <c r="H29" s="217"/>
      <c r="I29" s="51"/>
      <c r="J29" s="217"/>
      <c r="K29" s="51"/>
      <c r="L29" s="217"/>
      <c r="M29" s="48"/>
      <c r="N29" s="48"/>
    </row>
    <row r="30" spans="1:14" s="187" customFormat="1">
      <c r="A30" s="187" t="s">
        <v>312</v>
      </c>
      <c r="B30" s="24">
        <f>+B25-B27</f>
        <v>652425.12309000001</v>
      </c>
      <c r="C30" s="51">
        <f>+(B30-D30)/ABS(D30)</f>
        <v>0.11602559948648912</v>
      </c>
      <c r="D30" s="24">
        <f>+D25-D27</f>
        <v>584596.91550999985</v>
      </c>
      <c r="E30" s="49" t="s">
        <v>0</v>
      </c>
      <c r="F30" s="24">
        <f>+F25-F27</f>
        <v>2600558.8515582597</v>
      </c>
      <c r="G30" s="51">
        <f>+(F30-H30)/ABS(H30)</f>
        <v>8.8891577564625388E-2</v>
      </c>
      <c r="H30" s="24">
        <f>+H25-H27</f>
        <v>2388262.4359852001</v>
      </c>
      <c r="I30" s="51">
        <f>+(H30-J30)/ABS(J30)</f>
        <v>0.1382252225831021</v>
      </c>
      <c r="J30" s="24">
        <f>+J25-J27</f>
        <v>2098233.6260000006</v>
      </c>
      <c r="K30" s="51">
        <f>+(J30-L30)/ABS(L30)</f>
        <v>0.10329841699127033</v>
      </c>
      <c r="L30" s="24">
        <f>+L25-L27</f>
        <v>1901782.5038867998</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0">
        <f>+SOGEBKRÉSULT!R71</f>
        <v>232265.14973999996</v>
      </c>
      <c r="C33" s="51">
        <f>+(B33-D33)/ABS(D33)</f>
        <v>0.11815968800348355</v>
      </c>
      <c r="D33" s="20">
        <f>+SOGEBKRÉSULT!T71</f>
        <v>207720.91162999999</v>
      </c>
      <c r="E33" s="49" t="s">
        <v>0</v>
      </c>
      <c r="F33" s="20">
        <f>+SOGEBKRÉSULT!U71</f>
        <v>898655.94078000006</v>
      </c>
      <c r="G33" s="51">
        <f>+(F33-H33)/ABS(H33)</f>
        <v>0.13343480111268141</v>
      </c>
      <c r="H33" s="20">
        <v>792860.72731999995</v>
      </c>
      <c r="I33" s="51">
        <f>+(H33-J33)/ABS(J33)</f>
        <v>0.18477215174636119</v>
      </c>
      <c r="J33" s="20">
        <v>669209.45614000002</v>
      </c>
      <c r="K33" s="51">
        <f>+(J33-L33)/ABS(L33)</f>
        <v>0.16257274973600686</v>
      </c>
      <c r="L33" s="20">
        <v>575628.02524999995</v>
      </c>
      <c r="M33" s="48"/>
      <c r="N33" s="48"/>
    </row>
    <row r="34" spans="1:14">
      <c r="A34" t="s">
        <v>315</v>
      </c>
      <c r="B34" s="20">
        <f>+SOGEBKRÉSULT!R72</f>
        <v>21766.02389</v>
      </c>
      <c r="C34" s="51">
        <f>+(B34-D34)/ABS(D34)</f>
        <v>2.1027014577144988E-2</v>
      </c>
      <c r="D34" s="20">
        <f>+SOGEBKRÉSULT!T72</f>
        <v>21317.774729999997</v>
      </c>
      <c r="E34" s="49" t="s">
        <v>0</v>
      </c>
      <c r="F34" s="20">
        <f>+SOGEBKRÉSULT!U72</f>
        <v>84172.935990000013</v>
      </c>
      <c r="G34" s="51">
        <f>+(F34-H34)/ABS(H34)</f>
        <v>6.4866920608727827E-2</v>
      </c>
      <c r="H34" s="20">
        <v>79045.497950000004</v>
      </c>
      <c r="I34" s="51">
        <f>+(H34-J34)/ABS(J34)</f>
        <v>0.16657177942717943</v>
      </c>
      <c r="J34" s="20">
        <v>67758.794909999997</v>
      </c>
      <c r="K34" s="51">
        <f>+(J34-L34)/ABS(L34)</f>
        <v>0.10455825234804073</v>
      </c>
      <c r="L34" s="20">
        <v>61344.700259999998</v>
      </c>
      <c r="M34" s="48"/>
      <c r="N34" s="48"/>
    </row>
    <row r="35" spans="1:14">
      <c r="A35" t="s">
        <v>316</v>
      </c>
      <c r="B35" s="20">
        <f>+SOGEBKRÉSULT!R73</f>
        <v>49783.789779999992</v>
      </c>
      <c r="C35" s="51">
        <f>+(B35-D35)/ABS(D35)</f>
        <v>0.59302611653350934</v>
      </c>
      <c r="D35" s="20">
        <f>+SOGEBKRÉSULT!T73</f>
        <v>31251.081989999999</v>
      </c>
      <c r="E35" s="49" t="s">
        <v>0</v>
      </c>
      <c r="F35" s="20">
        <f>+SOGEBKRÉSULT!U73</f>
        <v>158630.59927999999</v>
      </c>
      <c r="G35" s="51">
        <f>+(F35-H35)/ABS(H35)</f>
        <v>0.27247825563933081</v>
      </c>
      <c r="H35" s="20">
        <v>124662.71905000001</v>
      </c>
      <c r="I35" s="51">
        <f>+(H35-J35)/ABS(J35)</f>
        <v>1.6759461374792946E-2</v>
      </c>
      <c r="J35" s="20">
        <v>122607.87706999999</v>
      </c>
      <c r="K35" s="51">
        <f>+(J35-L35)/ABS(L35)</f>
        <v>-6.7798395660179381E-2</v>
      </c>
      <c r="L35" s="20">
        <v>131525.0655</v>
      </c>
      <c r="M35" s="48"/>
      <c r="N35" s="48"/>
    </row>
    <row r="36" spans="1:14">
      <c r="A36" t="s">
        <v>317</v>
      </c>
      <c r="B36" s="217">
        <f>+SOGEBKRÉSULT!R74</f>
        <v>250803.66557999997</v>
      </c>
      <c r="C36" s="51">
        <f>+(B36-D36)/ABS(D36)</f>
        <v>0.2491050214511206</v>
      </c>
      <c r="D36" s="217">
        <f>+SOGEBKRÉSULT!T74</f>
        <v>200786.69228999998</v>
      </c>
      <c r="E36" s="49" t="s">
        <v>0</v>
      </c>
      <c r="F36" s="217">
        <f>+SOGEBKRÉSULT!U74</f>
        <v>904281.90353000001</v>
      </c>
      <c r="G36" s="51">
        <f>+(F36-H36)/ABS(H36)</f>
        <v>0.17115925366805884</v>
      </c>
      <c r="H36" s="217">
        <v>772125.48225</v>
      </c>
      <c r="I36" s="51">
        <f>+(H36-J36)/ABS(J36)</f>
        <v>-6.0189357567076345E-3</v>
      </c>
      <c r="J36" s="217">
        <v>776800.99754999985</v>
      </c>
      <c r="K36" s="51">
        <f>+(J36-L36)/ABS(L36)</f>
        <v>5.9283349734749871E-2</v>
      </c>
      <c r="L36" s="217">
        <v>733326.92121000006</v>
      </c>
      <c r="M36" s="48"/>
      <c r="N36" s="48"/>
    </row>
    <row r="37" spans="1:14" s="187" customFormat="1">
      <c r="B37" s="24">
        <f>SUM(B33:B36)</f>
        <v>554618.62898999988</v>
      </c>
      <c r="C37" s="51">
        <f>+(B37-D37)/ABS(D37)</f>
        <v>0.20287777914352462</v>
      </c>
      <c r="D37" s="24">
        <f>SUM(D33:D36)</f>
        <v>461076.46063999995</v>
      </c>
      <c r="E37" s="49" t="s">
        <v>0</v>
      </c>
      <c r="F37" s="24">
        <f>SUM(F33:F36)</f>
        <v>2045741.3795800002</v>
      </c>
      <c r="G37" s="51">
        <f>+(F37-H37)/ABS(H37)</f>
        <v>0.1566392412663801</v>
      </c>
      <c r="H37" s="24">
        <f>SUM(H33:H36)</f>
        <v>1768694.4265700001</v>
      </c>
      <c r="I37" s="51">
        <f>+(H37-J37)/ABS(J37)</f>
        <v>8.0859906206415602E-2</v>
      </c>
      <c r="J37" s="24">
        <f>SUM(J33:J36)</f>
        <v>1636377.12567</v>
      </c>
      <c r="K37" s="51">
        <f>+(J37-L37)/ABS(L37)</f>
        <v>8.9592621798787853E-2</v>
      </c>
      <c r="L37" s="24">
        <f>SUM(L33:L36)</f>
        <v>1501824.7122200001</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97806.494100000127</v>
      </c>
      <c r="C39" s="51">
        <f>+(B39-D39)/ABS(D39)</f>
        <v>-0.20817572925118061</v>
      </c>
      <c r="D39" s="24">
        <f>+D30-D37</f>
        <v>123520.4548699999</v>
      </c>
      <c r="E39" s="49" t="s">
        <v>0</v>
      </c>
      <c r="F39" s="24">
        <f>+F30-F37</f>
        <v>554817.47197825951</v>
      </c>
      <c r="G39" s="51">
        <f>+(F39-H39)/ABS(H39)</f>
        <v>-0.10450916840922345</v>
      </c>
      <c r="H39" s="24">
        <f>+H30-H37</f>
        <v>619568.00941519998</v>
      </c>
      <c r="I39" s="51">
        <f>+(H39-J39)/ABS(J39)</f>
        <v>0.34147296611071409</v>
      </c>
      <c r="J39" s="24">
        <f>+J30-J37</f>
        <v>461856.50033000065</v>
      </c>
      <c r="K39" s="51">
        <f>+(J39-L39)/ABS(L39)</f>
        <v>0.15476310238948432</v>
      </c>
      <c r="L39" s="24">
        <f>+L30-L37</f>
        <v>399957.79166679969</v>
      </c>
      <c r="M39" s="49"/>
      <c r="N39" s="49"/>
    </row>
    <row r="40" spans="1:14">
      <c r="B40" s="20"/>
      <c r="C40" s="51"/>
      <c r="D40" s="20"/>
      <c r="E40" s="49" t="s">
        <v>0</v>
      </c>
      <c r="F40" s="20"/>
      <c r="G40" s="51"/>
      <c r="H40" s="20"/>
      <c r="I40" s="51"/>
      <c r="J40" s="20"/>
      <c r="K40" s="51"/>
      <c r="L40" s="20"/>
      <c r="M40" s="48"/>
      <c r="N40" s="48"/>
    </row>
    <row r="41" spans="1:14">
      <c r="A41" t="s">
        <v>319</v>
      </c>
      <c r="B41" s="20">
        <f>+SOGEBKRÉSULT!R79</f>
        <v>15170</v>
      </c>
      <c r="C41" s="1512">
        <f>+(B41-D41)/ABS(D41)</f>
        <v>-0.33625027346313718</v>
      </c>
      <c r="D41" s="20">
        <f>+SOGEBKRÉSULT!T79</f>
        <v>22855</v>
      </c>
      <c r="E41" s="49" t="s">
        <v>0</v>
      </c>
      <c r="F41" s="20">
        <f>+SOGEBKRÉSULT!U79</f>
        <v>101130</v>
      </c>
      <c r="G41" s="52">
        <f>+(F41-H41)/ABS(H41)</f>
        <v>-0.15682310164430469</v>
      </c>
      <c r="H41" s="20">
        <v>119939.24429999999</v>
      </c>
      <c r="I41" s="52">
        <f>+(H41-J41)/ABS(J41)</f>
        <v>0.63431534278015533</v>
      </c>
      <c r="J41" s="20">
        <v>73388.067259999996</v>
      </c>
      <c r="K41" s="52">
        <f>+(J41-L41)/ABS(L41)</f>
        <v>0.14393277113452616</v>
      </c>
      <c r="L41" s="20">
        <v>64154.178559999993</v>
      </c>
      <c r="M41" s="48"/>
      <c r="N41" s="48"/>
    </row>
    <row r="42" spans="1:14" ht="16.5" thickBot="1">
      <c r="B42" s="79"/>
      <c r="C42" s="51"/>
      <c r="D42" s="79"/>
      <c r="E42" s="49" t="s">
        <v>0</v>
      </c>
      <c r="F42" s="79"/>
      <c r="G42" s="51"/>
      <c r="H42" s="79"/>
      <c r="I42" s="51"/>
      <c r="J42" s="79"/>
      <c r="K42" s="51"/>
      <c r="L42" s="79"/>
      <c r="M42" s="48"/>
      <c r="N42" s="48"/>
    </row>
    <row r="43" spans="1:14">
      <c r="A43" s="11" t="s">
        <v>372</v>
      </c>
      <c r="B43" s="13">
        <f>+B39-B41</f>
        <v>82636.494100000127</v>
      </c>
      <c r="C43" s="109">
        <f>+(B43-D43)/ABS(D43)</f>
        <v>-0.17909779271630474</v>
      </c>
      <c r="D43" s="13">
        <f>+D39-D41</f>
        <v>100665.4548699999</v>
      </c>
      <c r="E43" s="47" t="s">
        <v>0</v>
      </c>
      <c r="F43" s="13">
        <f>+F39-F41</f>
        <v>453687.47197825951</v>
      </c>
      <c r="G43" s="109">
        <f>+(F43-H43)/ABS(H43)</f>
        <v>-9.1950857005496309E-2</v>
      </c>
      <c r="H43" s="13">
        <f>+H39-H41</f>
        <v>499628.76511519996</v>
      </c>
      <c r="I43" s="109">
        <f>+(H43-J43)/ABS(J43)</f>
        <v>0.28615023147883056</v>
      </c>
      <c r="J43" s="13">
        <f>+J39-J41</f>
        <v>388468.43307000067</v>
      </c>
      <c r="K43" s="109">
        <f>+(J43-L43)/ABS(L43)</f>
        <v>0.15683220164296241</v>
      </c>
      <c r="L43" s="13">
        <f>+L39-L41</f>
        <v>335803.61310679972</v>
      </c>
      <c r="M43" s="48"/>
      <c r="N43" s="48"/>
    </row>
    <row r="44" spans="1:14">
      <c r="E44" t="s">
        <v>0</v>
      </c>
    </row>
    <row r="45" spans="1:14">
      <c r="E45" t="s">
        <v>0</v>
      </c>
    </row>
  </sheetData>
  <phoneticPr fontId="0" type="noConversion"/>
  <pageMargins left="0.18" right="0.16" top="0.55000000000000004" bottom="0.75" header="0.31" footer="0.5"/>
  <pageSetup scale="62" orientation="landscape" r:id="rId1"/>
  <headerFooter alignWithMargins="0">
    <oddFooter>&amp;R&amp;P</oddFooter>
  </headerFooter>
</worksheet>
</file>

<file path=xl/worksheets/sheet108.xml><?xml version="1.0" encoding="utf-8"?>
<worksheet xmlns="http://schemas.openxmlformats.org/spreadsheetml/2006/main" xmlns:r="http://schemas.openxmlformats.org/officeDocument/2006/relationships">
  <sheetPr>
    <pageSetUpPr fitToPage="1"/>
  </sheetPr>
  <dimension ref="A1:AA76"/>
  <sheetViews>
    <sheetView workbookViewId="0">
      <selection activeCell="B7" sqref="B7"/>
    </sheetView>
  </sheetViews>
  <sheetFormatPr baseColWidth="10" defaultColWidth="9" defaultRowHeight="15.75"/>
  <cols>
    <col min="1" max="1" width="34.5" customWidth="1"/>
    <col min="2" max="2" width="14.875" customWidth="1"/>
    <col min="3" max="3" width="12.75" customWidth="1"/>
    <col min="4" max="4" width="13.875" customWidth="1"/>
    <col min="5" max="5" width="14.25" customWidth="1"/>
    <col min="6" max="6" width="14.75" customWidth="1"/>
    <col min="8" max="8" width="14.75" customWidth="1"/>
    <col min="9" max="9" width="12.75" customWidth="1"/>
    <col min="10" max="10" width="13.75" customWidth="1"/>
    <col min="11" max="11" width="13" customWidth="1"/>
    <col min="12" max="12" width="14.5" customWidth="1"/>
    <col min="14" max="14" width="14.25" customWidth="1"/>
    <col min="15" max="15" width="13.625" customWidth="1"/>
    <col min="16" max="16" width="15.125" customWidth="1"/>
    <col min="17" max="17" width="10.125" customWidth="1"/>
    <col min="18" max="18" width="15.875" customWidth="1"/>
    <col min="19" max="19" width="10.375" customWidth="1"/>
    <col min="20" max="20" width="15.875" customWidth="1"/>
  </cols>
  <sheetData>
    <row r="1" spans="1:27">
      <c r="A1" s="111" t="s">
        <v>408</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+'sogebkinfin  '!I4</f>
        <v>Var. déc. 14</v>
      </c>
      <c r="J4" s="156" t="s">
        <v>195</v>
      </c>
      <c r="K4" s="157"/>
      <c r="L4" s="157"/>
      <c r="M4" s="157"/>
      <c r="N4" s="157"/>
      <c r="O4" s="157"/>
      <c r="P4" s="157"/>
    </row>
    <row r="5" spans="1:27" ht="16.5" thickBot="1">
      <c r="B5" s="1" t="str">
        <f>+'sogebkinfin  '!B5</f>
        <v>Déc. 14</v>
      </c>
      <c r="C5" s="1" t="s">
        <v>196</v>
      </c>
      <c r="D5" s="1" t="str">
        <f>+'sogebkinfin  '!D5</f>
        <v>Mars 15</v>
      </c>
      <c r="E5" s="1" t="s">
        <v>196</v>
      </c>
      <c r="F5" s="1" t="str">
        <f>+'sogebkinfin  '!F5</f>
        <v>Juin 15</v>
      </c>
      <c r="G5" s="1" t="s">
        <v>196</v>
      </c>
      <c r="H5" s="1" t="str">
        <f>+'sogebkinfin  '!H5</f>
        <v>Sept. 15</v>
      </c>
      <c r="I5" s="155" t="str">
        <f>+'sogebkinfin  '!I5</f>
        <v>/sept. 14</v>
      </c>
      <c r="J5" s="155" t="str">
        <f>+'sogebkinfin  '!J5</f>
        <v>2014</v>
      </c>
      <c r="K5" s="1" t="s">
        <v>196</v>
      </c>
      <c r="L5" s="155" t="str">
        <f>+'sogebkinfin  '!L5</f>
        <v>2013</v>
      </c>
      <c r="M5" s="1" t="s">
        <v>196</v>
      </c>
      <c r="N5" s="155" t="str">
        <f>+'sogebkinfin  '!N5</f>
        <v>2012</v>
      </c>
      <c r="O5" s="1" t="s">
        <v>196</v>
      </c>
      <c r="P5" s="155" t="str">
        <f>+'sogebkinfin  '!P5</f>
        <v>2011</v>
      </c>
    </row>
    <row r="6" spans="1:27">
      <c r="B6" s="3"/>
      <c r="D6" s="3"/>
      <c r="F6" s="3"/>
      <c r="H6" s="3"/>
      <c r="J6" s="53"/>
      <c r="L6" s="53"/>
      <c r="N6" s="53"/>
      <c r="P6" s="53"/>
    </row>
    <row r="7" spans="1:27">
      <c r="A7" s="11" t="s">
        <v>197</v>
      </c>
    </row>
    <row r="8" spans="1:27">
      <c r="A8" s="11" t="s">
        <v>198</v>
      </c>
    </row>
    <row r="10" spans="1:27">
      <c r="A10" s="11" t="s">
        <v>18</v>
      </c>
    </row>
    <row r="11" spans="1:27">
      <c r="A11" t="s">
        <v>199</v>
      </c>
      <c r="B11" s="20">
        <f>+sgbelvar!B23</f>
        <v>6113904.2318060007</v>
      </c>
      <c r="C11" s="48">
        <v>0</v>
      </c>
      <c r="D11" s="20">
        <f>+sgbelvar!D23</f>
        <v>0</v>
      </c>
      <c r="E11" s="48">
        <v>0</v>
      </c>
      <c r="F11" s="48">
        <f>+sgbelvar!F23</f>
        <v>0</v>
      </c>
      <c r="G11" s="48">
        <v>0</v>
      </c>
      <c r="H11" s="48">
        <f>+sgbelvar!H23</f>
        <v>0</v>
      </c>
      <c r="I11" s="51">
        <f>+(B11-J11)/ABS(J11)</f>
        <v>7.9112615494252789E-2</v>
      </c>
      <c r="J11" s="20">
        <f>+sgbelvar!J23</f>
        <v>5665677.6540470002</v>
      </c>
      <c r="K11" s="51">
        <f>+(-L11+J11)/L11</f>
        <v>0.33947804344904808</v>
      </c>
      <c r="L11" s="20">
        <f>+sgbelvar!L23</f>
        <v>4229765.2296399996</v>
      </c>
      <c r="M11" s="51">
        <f>+(-N11+L11)/ABS(N11)</f>
        <v>-1.8796198995424767E-2</v>
      </c>
      <c r="N11" s="20">
        <f>+sgbelvar!N23</f>
        <v>4310791.7288024006</v>
      </c>
      <c r="O11" s="51">
        <f>+(-P11+N11)/ABS(P11)</f>
        <v>7.3460465058845681E-2</v>
      </c>
      <c r="P11" s="20">
        <f>+sgbelvar!P23</f>
        <v>4015789.932763</v>
      </c>
      <c r="Q11" s="48"/>
      <c r="R11" s="48"/>
      <c r="S11" s="48"/>
      <c r="T11" s="48"/>
      <c r="U11" s="48"/>
      <c r="V11" s="48"/>
      <c r="W11" s="48"/>
      <c r="X11" s="48"/>
      <c r="Y11" s="48"/>
      <c r="Z11" s="48"/>
      <c r="AA11" s="48"/>
    </row>
    <row r="12" spans="1:27">
      <c r="A12" t="s">
        <v>200</v>
      </c>
      <c r="B12" s="20">
        <f>+sgbelvar!B17</f>
        <v>0</v>
      </c>
      <c r="C12" s="48">
        <v>0</v>
      </c>
      <c r="D12" s="20">
        <f>+sgbelvar!D17</f>
        <v>0</v>
      </c>
      <c r="E12" s="48">
        <v>0</v>
      </c>
      <c r="F12" s="20">
        <f>+sgbelvar!F17</f>
        <v>0</v>
      </c>
      <c r="G12" s="48">
        <v>0</v>
      </c>
      <c r="H12" s="20">
        <f>+sgbelvar!H17</f>
        <v>0</v>
      </c>
      <c r="I12" s="48">
        <v>0</v>
      </c>
      <c r="J12" s="20">
        <f>+sgbelvar!J17</f>
        <v>0</v>
      </c>
      <c r="K12" s="48">
        <v>0</v>
      </c>
      <c r="L12" s="20">
        <f>+sgbelvar!L17</f>
        <v>0</v>
      </c>
      <c r="M12" s="48">
        <v>0</v>
      </c>
      <c r="N12" s="20">
        <f>+sgbelvar!N17</f>
        <v>0</v>
      </c>
      <c r="O12" s="48">
        <v>0</v>
      </c>
      <c r="P12" s="20">
        <f>+sgbelvar!P17</f>
        <v>0</v>
      </c>
      <c r="Q12" s="48"/>
      <c r="R12" s="48"/>
      <c r="S12" s="48"/>
      <c r="T12" s="48"/>
      <c r="U12" s="48"/>
      <c r="V12" s="48"/>
      <c r="W12" s="48"/>
      <c r="X12" s="48"/>
      <c r="Y12" s="48"/>
      <c r="Z12" s="48"/>
      <c r="AA12" s="48"/>
    </row>
    <row r="13" spans="1:27">
      <c r="A13" t="s">
        <v>382</v>
      </c>
      <c r="B13" s="20">
        <f>+sgbelvar!B20</f>
        <v>3345304.2581560002</v>
      </c>
      <c r="C13" s="48">
        <v>0</v>
      </c>
      <c r="D13" s="20">
        <f>+sgbelvar!D20</f>
        <v>0</v>
      </c>
      <c r="E13" s="48">
        <v>0</v>
      </c>
      <c r="F13" s="48">
        <f>+sgbelvar!F20</f>
        <v>0</v>
      </c>
      <c r="G13" s="48">
        <v>0</v>
      </c>
      <c r="H13" s="48">
        <f>+sgbelvar!H20</f>
        <v>0</v>
      </c>
      <c r="I13" s="51">
        <f>+(B13-J13)/ABS(J13)</f>
        <v>5.1814724845844581E-2</v>
      </c>
      <c r="J13" s="20">
        <f>+sgbelvar!J20</f>
        <v>3180507.1550469999</v>
      </c>
      <c r="K13" s="51">
        <f>+(-L13+J13)/L13</f>
        <v>0.25965007634308529</v>
      </c>
      <c r="L13" s="20">
        <f>+sgbelvar!L20</f>
        <v>2524913.2396200001</v>
      </c>
      <c r="M13" s="51">
        <f>+(-N13+L13)/ABS(N13)</f>
        <v>0.20824570689289337</v>
      </c>
      <c r="N13" s="20">
        <f>+sgbelvar!N20</f>
        <v>2089734.9150224</v>
      </c>
      <c r="O13" s="51">
        <f>+(-P13+N13)/ABS(P13)</f>
        <v>0.21694015717667736</v>
      </c>
      <c r="P13" s="20">
        <f>+sgbelvar!P20</f>
        <v>1717204.336383</v>
      </c>
      <c r="Q13" s="48"/>
      <c r="R13" s="48"/>
      <c r="S13" s="48"/>
      <c r="T13" s="48"/>
      <c r="U13" s="48"/>
      <c r="V13" s="48"/>
      <c r="W13" s="48"/>
      <c r="X13" s="48"/>
      <c r="Y13" s="48"/>
      <c r="Z13" s="48"/>
      <c r="AA13" s="48"/>
    </row>
    <row r="14" spans="1:27">
      <c r="A14" t="s">
        <v>202</v>
      </c>
      <c r="B14" s="20">
        <f>+sgbelvar!B30</f>
        <v>4545217.055470001</v>
      </c>
      <c r="C14" s="48">
        <v>0</v>
      </c>
      <c r="D14" s="20">
        <f>+sgbelvar!D30</f>
        <v>0</v>
      </c>
      <c r="E14" s="48">
        <v>0</v>
      </c>
      <c r="F14" s="48">
        <f>+sgbelvar!F30</f>
        <v>0</v>
      </c>
      <c r="G14" s="48">
        <v>0</v>
      </c>
      <c r="H14" s="48">
        <f>+sgbelvar!H30</f>
        <v>0</v>
      </c>
      <c r="I14" s="51">
        <f>+(B14-J14)/ABS(J14)</f>
        <v>0.11009001871250938</v>
      </c>
      <c r="J14" s="20">
        <f>+sgbelvar!J30</f>
        <v>4094458.0879500001</v>
      </c>
      <c r="K14" s="51">
        <f>+(-L14+J14)/L14</f>
        <v>0.46240582297342991</v>
      </c>
      <c r="L14" s="20">
        <f>+sgbelvar!L30</f>
        <v>2799809.7543299999</v>
      </c>
      <c r="M14" s="51">
        <f>+(-N14+L14)/ABS(N14)</f>
        <v>-0.14422776265092138</v>
      </c>
      <c r="N14" s="20">
        <f>+sgbelvar!N30</f>
        <v>3271676.3084100001</v>
      </c>
      <c r="O14" s="51">
        <f>+(-P14+N14)/ABS(P14)</f>
        <v>6.9867394489243867E-2</v>
      </c>
      <c r="P14" s="20">
        <f>+sgbelvar!P30</f>
        <v>3058020.3913700003</v>
      </c>
      <c r="Q14" s="48"/>
      <c r="R14" s="48"/>
      <c r="S14" s="48"/>
      <c r="T14" s="48"/>
      <c r="U14" s="48"/>
      <c r="V14" s="48"/>
      <c r="W14" s="48"/>
      <c r="X14" s="48"/>
      <c r="Y14" s="48"/>
      <c r="Z14" s="48"/>
      <c r="AA14" s="48"/>
    </row>
    <row r="15" spans="1:27">
      <c r="A15" t="s">
        <v>203</v>
      </c>
      <c r="B15" s="20">
        <f>+sgbelvar!B52</f>
        <v>493689.75045000005</v>
      </c>
      <c r="C15" s="48">
        <v>0</v>
      </c>
      <c r="D15" s="20">
        <f>+sgbelvar!D52</f>
        <v>0</v>
      </c>
      <c r="E15" s="48">
        <v>0</v>
      </c>
      <c r="F15" s="48">
        <f>+sgbelvar!F52</f>
        <v>0</v>
      </c>
      <c r="G15" s="48">
        <v>0</v>
      </c>
      <c r="H15" s="48">
        <f>+sgbelvar!H52</f>
        <v>0</v>
      </c>
      <c r="I15" s="51">
        <f>+(B15-J15)/ABS(J15)</f>
        <v>5.9020597978654069E-2</v>
      </c>
      <c r="J15" s="20">
        <f>+sgbelvar!J52</f>
        <v>466175.77730999998</v>
      </c>
      <c r="K15" s="51">
        <f>+(-L15+J15)/L15</f>
        <v>5.244691943003827E-2</v>
      </c>
      <c r="L15" s="20">
        <f>+sgbelvar!L52</f>
        <v>442944.69270000001</v>
      </c>
      <c r="M15" s="51">
        <f>+(-N15+L15)/ABS(N15)</f>
        <v>5.4900957679437756E-2</v>
      </c>
      <c r="N15" s="20">
        <f>+sgbelvar!N52</f>
        <v>419892.20834000001</v>
      </c>
      <c r="O15" s="51">
        <f>+(-P15+N15)/ABS(P15)</f>
        <v>3.3200742179537036E-2</v>
      </c>
      <c r="P15" s="20">
        <f>+sgbelvar!P52</f>
        <v>406399.44513999997</v>
      </c>
      <c r="Q15" s="48"/>
      <c r="R15" s="48"/>
      <c r="S15" s="48"/>
      <c r="T15" s="48"/>
      <c r="U15" s="48"/>
      <c r="V15" s="48"/>
      <c r="W15" s="48"/>
      <c r="X15" s="48"/>
      <c r="Y15" s="48"/>
      <c r="Z15" s="48"/>
      <c r="AA15" s="48"/>
    </row>
    <row r="16" spans="1:27">
      <c r="B16" s="20"/>
      <c r="C16" s="51"/>
      <c r="D16" s="48"/>
      <c r="E16" s="51"/>
      <c r="F16" s="48"/>
      <c r="G16" s="51"/>
      <c r="H16" s="48"/>
      <c r="I16" s="51"/>
      <c r="J16" s="20"/>
      <c r="K16" s="51"/>
      <c r="L16" s="20"/>
      <c r="M16" s="51"/>
      <c r="N16" s="20"/>
      <c r="O16" s="51"/>
      <c r="P16" s="20"/>
      <c r="Q16" s="48"/>
      <c r="R16" s="48"/>
      <c r="S16" s="48"/>
      <c r="T16" s="48"/>
      <c r="U16" s="48"/>
      <c r="V16" s="48"/>
      <c r="W16" s="48"/>
      <c r="X16" s="48"/>
      <c r="Y16" s="48"/>
      <c r="Z16" s="48"/>
      <c r="AA16" s="48"/>
    </row>
    <row r="17" spans="1:27" ht="16.5" thickBot="1">
      <c r="B17" s="79"/>
      <c r="C17" s="319"/>
      <c r="D17" s="168"/>
      <c r="E17" s="319"/>
      <c r="F17" s="168"/>
      <c r="G17" s="319"/>
      <c r="H17" s="168"/>
      <c r="I17" s="319"/>
      <c r="J17" s="79"/>
      <c r="K17" s="319"/>
      <c r="L17" s="79"/>
      <c r="M17" s="319"/>
      <c r="N17" s="79"/>
      <c r="O17" s="319"/>
      <c r="P17" s="79"/>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+'sogebkinfin  '!B18</f>
        <v>2015</v>
      </c>
      <c r="C19" s="48"/>
      <c r="D19" s="56" t="str">
        <f>+'sogebkinfin  '!D18</f>
        <v>2014</v>
      </c>
      <c r="E19" s="48"/>
      <c r="F19" s="56" t="str">
        <f>+'sogebkinfin  '!F18</f>
        <v>2015</v>
      </c>
      <c r="G19" s="48"/>
      <c r="H19" s="56" t="str">
        <f>+'sogebkinfin  '!H18</f>
        <v>2014</v>
      </c>
      <c r="I19" s="48"/>
      <c r="J19" s="56" t="str">
        <f>+'sogebkinfin  '!J18</f>
        <v>2015</v>
      </c>
      <c r="K19" s="48"/>
      <c r="L19" s="56" t="str">
        <f>+'sogebkinfin  '!L18</f>
        <v>2014</v>
      </c>
      <c r="M19" s="48"/>
      <c r="N19" s="56" t="str">
        <f>+'sogebkinfin  '!N18</f>
        <v>2015</v>
      </c>
      <c r="O19" s="48"/>
      <c r="P19" s="56" t="str">
        <f>+'sogebkinfin  '!P18</f>
        <v>2014</v>
      </c>
      <c r="Q19" s="48"/>
      <c r="R19" s="56" t="str">
        <f>+'sogebkinfin  '!R18</f>
        <v>2015</v>
      </c>
      <c r="S19" s="48"/>
      <c r="T19" s="56" t="str">
        <f>+'sogebkinfin  '!T18</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292" t="str">
        <f>+'sogebkinfin  '!B20</f>
        <v>(oct. - déc. 14)</v>
      </c>
      <c r="C21" s="292"/>
      <c r="D21" s="292" t="str">
        <f>+'sogebkinfin  '!D20</f>
        <v>(oct. - déc. 13)</v>
      </c>
      <c r="E21" s="186"/>
      <c r="F21" s="292" t="str">
        <f>+'sogebkinfin  '!F20</f>
        <v>(janv. - mars 15)</v>
      </c>
      <c r="G21" s="292"/>
      <c r="H21" s="292" t="str">
        <f>+'sogebkinfin  '!H20</f>
        <v>(janv. - mars 14)</v>
      </c>
      <c r="I21" s="186"/>
      <c r="J21" s="292" t="str">
        <f>+'sogebkinfin  '!J20</f>
        <v>(avril - juin 15)</v>
      </c>
      <c r="K21" s="292"/>
      <c r="L21" s="292" t="str">
        <f>+'sogebkinfin  '!L20</f>
        <v>(avril - juin 14)</v>
      </c>
      <c r="M21" s="186"/>
      <c r="N21" s="292" t="str">
        <f>+'sogebkinfin  '!N20</f>
        <v>(juil. - sept. 15)</v>
      </c>
      <c r="O21" s="292"/>
      <c r="P21" s="292" t="str">
        <f>+'sogebkinfin  '!P20</f>
        <v>(juil. - sept. 14)</v>
      </c>
      <c r="Q21" s="186"/>
      <c r="R21" s="292" t="str">
        <f>+'sogebkinfin  '!R20</f>
        <v>(oct. - déc. 14)</v>
      </c>
      <c r="S21" s="292"/>
      <c r="T21" s="292" t="str">
        <f>+'sogebkinfin  '!T20</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+'SGBELRÉSULT       '!B15</f>
        <v>52167.535710000004</v>
      </c>
      <c r="C23" s="51">
        <f>+(-D23+B23)/ABS(D23)</f>
        <v>0.31879692787798869</v>
      </c>
      <c r="D23" s="20">
        <f>+'SGBELRÉSULT       '!D55</f>
        <v>39556.913279999993</v>
      </c>
      <c r="E23" s="48"/>
      <c r="F23" s="20">
        <f>+'SGBELRÉSULT       '!D15</f>
        <v>0</v>
      </c>
      <c r="G23" s="48">
        <v>0</v>
      </c>
      <c r="H23" s="20">
        <f>+'SGBELRÉSULT       '!H55</f>
        <v>44228.423859999995</v>
      </c>
      <c r="I23" s="48"/>
      <c r="J23" s="20">
        <f>+'SGBELRÉSULT       '!F15</f>
        <v>0</v>
      </c>
      <c r="K23" s="48">
        <v>0</v>
      </c>
      <c r="L23" s="20">
        <f>+'SGBELRÉSULT       '!L55</f>
        <v>44798.181860000019</v>
      </c>
      <c r="M23" s="48"/>
      <c r="N23" s="20">
        <f>+'SGBELRÉSULT       '!H15</f>
        <v>0</v>
      </c>
      <c r="O23" s="48">
        <v>0</v>
      </c>
      <c r="P23" s="20">
        <f>+'SGBELRÉSULT       '!P55</f>
        <v>51247.21342</v>
      </c>
      <c r="Q23" s="48"/>
      <c r="R23" s="20">
        <f>+'SGBELRÉSULT       '!R55</f>
        <v>52167.535710000004</v>
      </c>
      <c r="S23" s="51">
        <f>+(-T23+R23)/ABS(T23)</f>
        <v>0.31879692787798869</v>
      </c>
      <c r="T23" s="20">
        <f>+'SGBELRÉSULT       '!T55</f>
        <v>39556.913279999993</v>
      </c>
      <c r="U23" s="48"/>
      <c r="V23" s="48"/>
      <c r="W23" s="48"/>
      <c r="X23" s="48"/>
      <c r="Y23" s="48"/>
      <c r="Z23" s="48"/>
      <c r="AA23" s="48"/>
    </row>
    <row r="24" spans="1:27">
      <c r="A24" t="s">
        <v>210</v>
      </c>
      <c r="B24" s="20">
        <f>+'SGBELRÉSULT       '!B21</f>
        <v>12988.6914</v>
      </c>
      <c r="C24" s="51">
        <f>+(-D24+B24)/ABS(D24)</f>
        <v>0.29534862854385729</v>
      </c>
      <c r="D24" s="20">
        <f>+'SGBELRÉSULT       '!D61</f>
        <v>10027.178099999999</v>
      </c>
      <c r="E24" s="48"/>
      <c r="F24" s="20">
        <f>+'SGBELRÉSULT       '!D21</f>
        <v>0</v>
      </c>
      <c r="G24" s="48">
        <v>0</v>
      </c>
      <c r="H24" s="20">
        <f>+'SGBELRÉSULT       '!H61</f>
        <v>16225.063180000001</v>
      </c>
      <c r="I24" s="48"/>
      <c r="J24" s="20">
        <f>+'SGBELRÉSULT       '!F21</f>
        <v>0</v>
      </c>
      <c r="K24" s="48">
        <v>0</v>
      </c>
      <c r="L24" s="20">
        <f>+'SGBELRÉSULT       '!L61</f>
        <v>8735.9603999999999</v>
      </c>
      <c r="M24" s="48"/>
      <c r="N24" s="20">
        <f>+'SGBELRÉSULT       '!H21</f>
        <v>0</v>
      </c>
      <c r="O24" s="48">
        <v>0</v>
      </c>
      <c r="P24" s="20">
        <f>+'SGBELRÉSULT       '!P61</f>
        <v>8712.3341599999985</v>
      </c>
      <c r="Q24" s="48"/>
      <c r="R24" s="20">
        <f>+'SGBELRÉSULT       '!R61</f>
        <v>12988.6914</v>
      </c>
      <c r="S24" s="51">
        <f>+(-T24+R24)/ABS(T24)</f>
        <v>0.29534862854385729</v>
      </c>
      <c r="T24" s="20">
        <f>+'SGBELRÉSULT       '!T61</f>
        <v>10027.178099999999</v>
      </c>
      <c r="U24" s="48"/>
      <c r="V24" s="48"/>
      <c r="W24" s="48"/>
      <c r="X24" s="48"/>
      <c r="Y24" s="48"/>
      <c r="Z24" s="48"/>
      <c r="AA24" s="48"/>
    </row>
    <row r="25" spans="1:27">
      <c r="A25" t="s">
        <v>643</v>
      </c>
      <c r="B25" s="20">
        <f>+'SGBELRÉSULT       '!B25</f>
        <v>2700</v>
      </c>
      <c r="C25" s="51">
        <f>+(-D25+B25)/ABS(D25)</f>
        <v>0.2</v>
      </c>
      <c r="D25" s="20">
        <f>+'SGBELRÉSULT       '!D65</f>
        <v>2250</v>
      </c>
      <c r="E25" s="48"/>
      <c r="F25" s="20">
        <f>+'SGBELRÉSULT       '!D25</f>
        <v>0</v>
      </c>
      <c r="G25" s="48">
        <v>0</v>
      </c>
      <c r="H25" s="20">
        <f>+'SGBELRÉSULT       '!H65</f>
        <v>2250</v>
      </c>
      <c r="I25" s="48"/>
      <c r="J25" s="20">
        <f>+'SGBELRÉSULT       '!F25</f>
        <v>0</v>
      </c>
      <c r="K25" s="48">
        <v>0</v>
      </c>
      <c r="L25" s="20">
        <f>+'SGBELRÉSULT       '!L65</f>
        <v>2250</v>
      </c>
      <c r="M25" s="48"/>
      <c r="N25" s="20">
        <f>+'SGBELRÉSULT       '!H25</f>
        <v>0</v>
      </c>
      <c r="O25" s="48">
        <v>0</v>
      </c>
      <c r="P25" s="20">
        <f>+'SGBELRÉSULT       '!P65</f>
        <v>4156.3148000000001</v>
      </c>
      <c r="Q25" s="48"/>
      <c r="R25" s="20">
        <f>+'SGBELRÉSULT       '!R65</f>
        <v>2700</v>
      </c>
      <c r="S25" s="51">
        <f>+(-T25+R25)/ABS(T25)</f>
        <v>0.2</v>
      </c>
      <c r="T25" s="20">
        <f>+'SGBELRÉSULT       '!T65</f>
        <v>2250</v>
      </c>
      <c r="U25" s="48"/>
      <c r="V25" s="48"/>
      <c r="W25" s="48"/>
      <c r="X25" s="48"/>
      <c r="Y25" s="48"/>
      <c r="Z25" s="48"/>
      <c r="AA25" s="48"/>
    </row>
    <row r="26" spans="1:27">
      <c r="A26" t="s">
        <v>212</v>
      </c>
      <c r="B26" s="20">
        <f>+'SGBELRÉSULT       '!B35</f>
        <v>34985.961159999999</v>
      </c>
      <c r="C26" s="51">
        <f>+(-D26+B26)/ABS(D26)</f>
        <v>0.10126098299805192</v>
      </c>
      <c r="D26" s="20">
        <f>+'SGBELRÉSULT       '!D75</f>
        <v>31769.000900000003</v>
      </c>
      <c r="E26" s="48"/>
      <c r="F26" s="20">
        <f>+'SGBELRÉSULT       '!D35</f>
        <v>0</v>
      </c>
      <c r="G26" s="48">
        <v>0</v>
      </c>
      <c r="H26" s="20">
        <f>+'SGBELRÉSULT       '!H75</f>
        <v>34907.084709999996</v>
      </c>
      <c r="I26" s="48"/>
      <c r="J26" s="20">
        <f>+'SGBELRÉSULT       '!F35</f>
        <v>0</v>
      </c>
      <c r="K26" s="48">
        <v>0</v>
      </c>
      <c r="L26" s="20">
        <f>+'SGBELRÉSULT       '!L75</f>
        <v>33456.703170000001</v>
      </c>
      <c r="M26" s="48"/>
      <c r="N26" s="20">
        <f>+'SGBELRÉSULT       '!H35</f>
        <v>0</v>
      </c>
      <c r="O26" s="48">
        <v>0</v>
      </c>
      <c r="P26" s="20">
        <f>+'SGBELRÉSULT       '!P75</f>
        <v>35690.588500000005</v>
      </c>
      <c r="Q26" s="48"/>
      <c r="R26" s="20">
        <f>+'SGBELRÉSULT       '!R75</f>
        <v>34985.961159999999</v>
      </c>
      <c r="S26" s="51">
        <f>+(-T26+R26)/ABS(T26)</f>
        <v>0.10126098299805192</v>
      </c>
      <c r="T26" s="20">
        <f>+'SGBELRÉSULT       '!T75</f>
        <v>31769.000900000003</v>
      </c>
      <c r="U26" s="48"/>
      <c r="V26" s="48"/>
      <c r="W26" s="48"/>
      <c r="X26" s="48"/>
      <c r="Y26" s="48"/>
      <c r="Z26" s="48"/>
      <c r="AA26" s="48"/>
    </row>
    <row r="27" spans="1:27">
      <c r="A27" t="s">
        <v>383</v>
      </c>
      <c r="B27" s="20">
        <f>+'SGBELRÉSULT       '!B41</f>
        <v>20053.294140000009</v>
      </c>
      <c r="C27" s="51">
        <f>+(-D27+B27)/ABS(D27)</f>
        <v>0.76486387801406286</v>
      </c>
      <c r="D27" s="20">
        <f>+'SGBELRÉSULT       '!D81</f>
        <v>11362.516049999987</v>
      </c>
      <c r="E27" s="48"/>
      <c r="F27" s="20">
        <f>+'SGBELRÉSULT       '!D41</f>
        <v>0</v>
      </c>
      <c r="G27" s="48">
        <v>0</v>
      </c>
      <c r="H27" s="20">
        <f>+'SGBELRÉSULT       '!H81</f>
        <v>17006.373699999996</v>
      </c>
      <c r="I27" s="48"/>
      <c r="J27" s="20">
        <f>+'SGBELRÉSULT       '!F41</f>
        <v>0</v>
      </c>
      <c r="K27" s="48">
        <v>0</v>
      </c>
      <c r="L27" s="20">
        <f>+'SGBELRÉSULT       '!L81</f>
        <v>13014.030540000022</v>
      </c>
      <c r="M27" s="48"/>
      <c r="N27" s="20">
        <f>+'SGBELRÉSULT       '!H41</f>
        <v>0</v>
      </c>
      <c r="O27" s="48">
        <v>0</v>
      </c>
      <c r="P27" s="20">
        <f>+'SGBELRÉSULT       '!P81</f>
        <v>14682.230319999993</v>
      </c>
      <c r="Q27" s="48"/>
      <c r="R27" s="20">
        <f>+'SGBELRÉSULT       '!R81</f>
        <v>20053.294140000009</v>
      </c>
      <c r="S27" s="51">
        <f>+(-T27+R27)/ABS(T27)</f>
        <v>0.76486387801406286</v>
      </c>
      <c r="T27" s="20">
        <f>+'SGBELRÉSULT       '!T81</f>
        <v>11362.516049999987</v>
      </c>
      <c r="U27" s="48"/>
      <c r="V27" s="48"/>
      <c r="W27" s="48"/>
      <c r="X27" s="48"/>
      <c r="Y27" s="48"/>
      <c r="Z27" s="48"/>
      <c r="AA27" s="48"/>
    </row>
    <row r="28" spans="1:27">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c r="B32" s="56" t="str">
        <f>+'sogebkinfin  '!B31</f>
        <v>2015</v>
      </c>
      <c r="C32" s="56" t="str">
        <f>+'sogebkinfin  '!C31</f>
        <v>2014</v>
      </c>
      <c r="D32" s="48"/>
      <c r="E32" s="56" t="str">
        <f>+'sogebkinfin  '!E31</f>
        <v>2015</v>
      </c>
      <c r="F32" s="56" t="str">
        <f>+'sogebkinfin  '!F31</f>
        <v>2014</v>
      </c>
      <c r="G32" s="48"/>
      <c r="H32" s="56" t="str">
        <f>+'sogebkinfin  '!H31</f>
        <v>2015</v>
      </c>
      <c r="I32" s="56" t="str">
        <f>+'sogebkinfin  '!I31</f>
        <v>2014</v>
      </c>
      <c r="J32" s="48"/>
      <c r="K32" s="56" t="str">
        <f>+'sogebkinfin  '!K31</f>
        <v>2015</v>
      </c>
      <c r="L32" s="56" t="str">
        <f>+'sogebkinfin  '!L31</f>
        <v>2014</v>
      </c>
      <c r="M32" s="48"/>
      <c r="N32" s="56" t="str">
        <f>+'sogebkinfin  '!N31</f>
        <v>2015</v>
      </c>
      <c r="O32" s="56" t="str">
        <f>+'sogebkinfin  '!O31</f>
        <v>2014</v>
      </c>
      <c r="P32" s="48"/>
      <c r="U32" s="48"/>
      <c r="V32" s="48"/>
      <c r="W32" s="48"/>
      <c r="X32" s="48"/>
      <c r="Y32" s="48"/>
      <c r="Z32" s="48"/>
      <c r="AA32" s="48"/>
    </row>
    <row r="33" spans="1:27" ht="16.5" thickBot="1">
      <c r="B33" s="55" t="s">
        <v>204</v>
      </c>
      <c r="C33" s="55" t="s">
        <v>204</v>
      </c>
      <c r="D33" s="48"/>
      <c r="E33" s="55" t="s">
        <v>205</v>
      </c>
      <c r="F33" s="55" t="s">
        <v>205</v>
      </c>
      <c r="G33" s="48"/>
      <c r="H33" s="55" t="s">
        <v>206</v>
      </c>
      <c r="I33" s="55" t="s">
        <v>206</v>
      </c>
      <c r="J33" s="48"/>
      <c r="K33" s="55" t="s">
        <v>207</v>
      </c>
      <c r="L33" s="55" t="s">
        <v>207</v>
      </c>
      <c r="M33" s="48"/>
      <c r="N33" s="55" t="s">
        <v>208</v>
      </c>
      <c r="O33" s="55" t="s">
        <v>208</v>
      </c>
      <c r="P33" s="48"/>
      <c r="Q33" s="111" t="s">
        <v>214</v>
      </c>
      <c r="R33" s="111"/>
      <c r="S33" s="111"/>
      <c r="T33" s="111"/>
      <c r="U33" s="48"/>
      <c r="V33" s="48"/>
      <c r="W33" s="48"/>
      <c r="X33" s="48"/>
      <c r="Y33" s="48"/>
      <c r="Z33" s="48"/>
      <c r="AA33" s="48"/>
    </row>
    <row r="34" spans="1:27" ht="16.5" thickBot="1">
      <c r="B34" s="292" t="str">
        <f>+'sogebkinfin  '!B33</f>
        <v>(oct. - déc. 14)</v>
      </c>
      <c r="C34" s="292" t="str">
        <f>+'sogebkinfin  '!C33</f>
        <v>(oct. - déc. 13)</v>
      </c>
      <c r="D34" s="186"/>
      <c r="E34" s="292" t="str">
        <f>+'sogebkinfin  '!E33</f>
        <v>(janv. - mars 15)</v>
      </c>
      <c r="F34" s="292" t="str">
        <f>+'sogebkinfin  '!F33</f>
        <v>(janv. - mars 14)</v>
      </c>
      <c r="G34" s="186"/>
      <c r="H34" s="292" t="str">
        <f>+'sogebkinfin  '!H33</f>
        <v>(avril - juin 15)</v>
      </c>
      <c r="I34" s="292" t="str">
        <f>+'sogebkinfin  '!I33</f>
        <v>(avril - juin 14)</v>
      </c>
      <c r="J34" s="186"/>
      <c r="K34" s="292" t="str">
        <f>+'sogebkinfin  '!K33</f>
        <v>(juil. - sept. 15)</v>
      </c>
      <c r="L34" s="292" t="str">
        <f>+'sogebkinfin  '!L33</f>
        <v>(juil. - sept. 14)</v>
      </c>
      <c r="M34" s="186"/>
      <c r="N34" s="162" t="str">
        <f>+'sogebkinfin  '!N33</f>
        <v>(oct. - déc. 14)</v>
      </c>
      <c r="O34" s="162" t="str">
        <f>+'sogebkinfin  '!O33</f>
        <v>(oct. - déc. 13)</v>
      </c>
      <c r="P34" s="48"/>
      <c r="Q34" s="163" t="str">
        <f>+'sogebkinfin  '!Q33</f>
        <v>2014</v>
      </c>
      <c r="R34" s="163" t="str">
        <f>+'sogebkinfin  '!R33</f>
        <v>2013</v>
      </c>
      <c r="S34" s="163" t="str">
        <f>+'sogebkinfin  '!S33</f>
        <v>2012</v>
      </c>
      <c r="T34" s="163" t="str">
        <f>+'sogebkinfin  '!T33</f>
        <v>2011</v>
      </c>
      <c r="U34" s="48"/>
      <c r="V34" s="48"/>
      <c r="W34" s="48"/>
      <c r="X34" s="48"/>
      <c r="Y34" s="48"/>
      <c r="Z34" s="48"/>
      <c r="AA34" s="48"/>
    </row>
    <row r="35" spans="1:27">
      <c r="B35" s="315"/>
      <c r="C35" s="315"/>
      <c r="D35" s="186"/>
      <c r="E35" s="315"/>
      <c r="F35" s="315"/>
      <c r="G35" s="186"/>
      <c r="H35" s="315"/>
      <c r="I35" s="315"/>
      <c r="J35" s="186"/>
      <c r="K35" s="315"/>
      <c r="L35" s="315"/>
      <c r="M35" s="186"/>
      <c r="N35" s="315"/>
      <c r="O35" s="315"/>
      <c r="P35" s="48"/>
      <c r="Q35" s="316"/>
      <c r="R35" s="316"/>
      <c r="S35" s="316"/>
      <c r="T35" s="316"/>
      <c r="U35" s="48"/>
      <c r="V35" s="48"/>
      <c r="W35" s="48"/>
      <c r="X35" s="48"/>
      <c r="Y35" s="48"/>
      <c r="Z35" s="48"/>
      <c r="AA35" s="48"/>
    </row>
    <row r="36" spans="1:27">
      <c r="A36" s="11" t="s">
        <v>215</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64" t="s">
        <v>216</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A38" s="11" t="s">
        <v>384</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t="s">
        <v>219</v>
      </c>
      <c r="B40" s="61"/>
      <c r="C40" s="61"/>
      <c r="D40" s="61"/>
      <c r="E40" s="61"/>
      <c r="F40" s="61"/>
      <c r="G40" s="61"/>
      <c r="H40" s="61"/>
      <c r="I40" s="61"/>
      <c r="J40" s="61"/>
      <c r="K40" s="61"/>
      <c r="L40" s="61"/>
      <c r="M40" s="61"/>
      <c r="N40" s="61"/>
      <c r="O40" s="61"/>
      <c r="P40" s="61"/>
      <c r="Q40" s="61"/>
      <c r="R40" s="61"/>
      <c r="S40" s="61"/>
      <c r="T40" s="61"/>
      <c r="U40" s="48"/>
      <c r="V40" s="48"/>
      <c r="W40" s="48"/>
      <c r="X40" s="48"/>
      <c r="Y40" s="48"/>
      <c r="Z40" s="48"/>
      <c r="AA40" s="48"/>
    </row>
    <row r="41" spans="1:27">
      <c r="A41" t="s">
        <v>220</v>
      </c>
      <c r="B41" s="62">
        <f>+sgbelvar!B52/sgbelvar!B23</f>
        <v>8.0748688846270636E-2</v>
      </c>
      <c r="C41" s="62">
        <v>0.10871970751419446</v>
      </c>
      <c r="D41" s="63"/>
      <c r="E41" s="321">
        <v>0</v>
      </c>
      <c r="F41" s="62">
        <v>9.1050125404171858E-2</v>
      </c>
      <c r="G41" s="63"/>
      <c r="H41" s="321">
        <v>0</v>
      </c>
      <c r="I41" s="62">
        <v>8.6366240079533224E-2</v>
      </c>
      <c r="J41" s="63"/>
      <c r="K41" s="321">
        <v>0</v>
      </c>
      <c r="L41" s="63">
        <v>8.2280674223852129E-2</v>
      </c>
      <c r="M41" s="63"/>
      <c r="N41" s="63">
        <f>+B41</f>
        <v>8.0748688846270636E-2</v>
      </c>
      <c r="O41" s="63">
        <f>+C41</f>
        <v>0.10871970751419446</v>
      </c>
      <c r="P41" s="63"/>
      <c r="Q41" s="63">
        <v>8.2299999999999998E-2</v>
      </c>
      <c r="R41" s="63">
        <v>0.1047</v>
      </c>
      <c r="S41" s="63">
        <v>9.74E-2</v>
      </c>
      <c r="T41" s="63">
        <v>0.10120037450773312</v>
      </c>
      <c r="U41" s="48"/>
      <c r="V41" s="48"/>
      <c r="W41" s="48"/>
      <c r="X41" s="48"/>
      <c r="Y41" s="48"/>
      <c r="Z41" s="48"/>
      <c r="AA41" s="48"/>
    </row>
    <row r="42" spans="1:27">
      <c r="B42" s="62"/>
      <c r="C42" s="63"/>
      <c r="D42" s="63"/>
      <c r="E42" s="61"/>
      <c r="F42" s="61"/>
      <c r="G42" s="63"/>
      <c r="H42" s="61"/>
      <c r="I42" s="63"/>
      <c r="J42" s="63"/>
      <c r="K42" s="61"/>
      <c r="L42" s="63"/>
      <c r="M42" s="63"/>
      <c r="N42" s="63"/>
      <c r="O42" s="62" t="s">
        <v>0</v>
      </c>
      <c r="P42" s="63"/>
      <c r="Q42" s="63"/>
      <c r="R42" s="63"/>
      <c r="S42" s="63"/>
      <c r="T42" s="63"/>
      <c r="U42" s="48"/>
      <c r="V42" s="48"/>
      <c r="W42" s="48"/>
      <c r="X42" s="48"/>
      <c r="Y42" s="48"/>
      <c r="Z42" s="48"/>
      <c r="AA42" s="48"/>
    </row>
    <row r="43" spans="1:27">
      <c r="A43" t="s">
        <v>221</v>
      </c>
      <c r="B43" s="62">
        <f>+sgbelvar!B30/sgbelvar!B23</f>
        <v>0.74342300486564517</v>
      </c>
      <c r="C43" s="63">
        <v>0.65633146655095909</v>
      </c>
      <c r="D43" s="63"/>
      <c r="E43" s="321">
        <v>0</v>
      </c>
      <c r="F43" s="62">
        <v>0.69335729553496372</v>
      </c>
      <c r="G43" s="63"/>
      <c r="H43" s="321">
        <v>0</v>
      </c>
      <c r="I43" s="62">
        <v>0.69891997264087236</v>
      </c>
      <c r="J43" s="63"/>
      <c r="K43" s="321">
        <v>0</v>
      </c>
      <c r="L43" s="63">
        <v>0.72267755738368278</v>
      </c>
      <c r="M43" s="63"/>
      <c r="N43" s="63">
        <f>+B43</f>
        <v>0.74342300486564517</v>
      </c>
      <c r="O43" s="63">
        <f>+C43</f>
        <v>0.65633146655095909</v>
      </c>
      <c r="P43" s="63"/>
      <c r="Q43" s="63">
        <v>0.72270000000000001</v>
      </c>
      <c r="R43" s="63">
        <v>0.66190000000000004</v>
      </c>
      <c r="S43" s="63">
        <v>0.75900000000000001</v>
      </c>
      <c r="T43" s="63">
        <v>0.76149909297321694</v>
      </c>
      <c r="U43" s="48"/>
      <c r="V43" s="48"/>
      <c r="W43" s="48"/>
      <c r="X43" s="48"/>
      <c r="Y43" s="48"/>
      <c r="Z43" s="48"/>
      <c r="AA43" s="48"/>
    </row>
    <row r="44" spans="1:27">
      <c r="A44" t="s">
        <v>0</v>
      </c>
      <c r="B44" s="61"/>
      <c r="C44" s="63"/>
      <c r="D44" s="63"/>
      <c r="E44" s="61"/>
      <c r="F44" s="61"/>
      <c r="G44" s="63"/>
      <c r="H44" s="61"/>
      <c r="I44" s="63"/>
      <c r="J44" s="63"/>
      <c r="K44" s="61"/>
      <c r="L44" s="61"/>
      <c r="M44" s="63"/>
      <c r="N44" s="63"/>
      <c r="O44" s="63"/>
      <c r="P44" s="63"/>
      <c r="Q44" s="63"/>
      <c r="R44" s="63"/>
      <c r="S44" s="63"/>
      <c r="T44" s="63"/>
      <c r="U44" s="48"/>
      <c r="V44" s="48"/>
      <c r="W44" s="48"/>
      <c r="X44" s="48"/>
      <c r="Y44" s="48"/>
      <c r="Z44" s="48"/>
      <c r="AA44" s="48"/>
    </row>
    <row r="45" spans="1:27">
      <c r="A45" s="11" t="s">
        <v>222</v>
      </c>
      <c r="B45" s="61"/>
      <c r="C45" s="63"/>
      <c r="D45" s="63"/>
      <c r="E45" s="61"/>
      <c r="F45" s="61"/>
      <c r="G45" s="63"/>
      <c r="H45" s="61"/>
      <c r="I45" s="63"/>
      <c r="J45" s="63"/>
      <c r="K45" s="61"/>
      <c r="L45" s="61"/>
      <c r="M45" s="63"/>
      <c r="N45" s="63"/>
      <c r="O45" s="63"/>
      <c r="P45" s="63"/>
      <c r="Q45" s="63"/>
      <c r="R45" s="63"/>
      <c r="S45" s="63"/>
      <c r="T45" s="63"/>
      <c r="U45" s="48"/>
      <c r="V45" s="48"/>
      <c r="W45" s="48"/>
      <c r="X45" s="48"/>
      <c r="Y45" s="48"/>
      <c r="Z45" s="48"/>
      <c r="AA45" s="48"/>
    </row>
    <row r="46" spans="1:27">
      <c r="A46" s="11"/>
      <c r="B46" s="61"/>
      <c r="C46" s="63"/>
      <c r="D46" s="63"/>
      <c r="E46" s="61"/>
      <c r="F46" s="61"/>
      <c r="G46" s="63"/>
      <c r="H46" s="61"/>
      <c r="I46" s="63"/>
      <c r="J46" s="63"/>
      <c r="K46" s="61"/>
      <c r="L46" s="61"/>
      <c r="M46" s="63"/>
      <c r="N46" s="63"/>
      <c r="O46" s="63"/>
      <c r="P46" s="63"/>
      <c r="Q46" s="63"/>
      <c r="R46" s="63"/>
      <c r="S46" s="63"/>
      <c r="T46" s="63"/>
      <c r="U46" s="48"/>
      <c r="V46" s="48"/>
      <c r="W46" s="48"/>
      <c r="X46" s="48"/>
      <c r="Y46" s="48"/>
      <c r="Z46" s="48"/>
      <c r="AA46" s="48"/>
    </row>
    <row r="47" spans="1:27">
      <c r="A47" t="s">
        <v>223</v>
      </c>
      <c r="B47" s="61"/>
      <c r="C47" s="63"/>
      <c r="D47" s="63"/>
      <c r="E47" s="61"/>
      <c r="F47" s="61"/>
      <c r="G47" s="63"/>
      <c r="H47" s="61"/>
      <c r="I47" s="62"/>
      <c r="J47" s="63"/>
      <c r="K47" s="61"/>
      <c r="L47" s="61"/>
      <c r="M47" s="63"/>
      <c r="N47" s="63"/>
      <c r="O47" s="63"/>
      <c r="P47" s="63"/>
      <c r="Q47" s="63"/>
      <c r="R47" s="63"/>
      <c r="S47" s="63"/>
      <c r="T47" s="63"/>
      <c r="U47" s="48"/>
      <c r="V47" s="48"/>
      <c r="W47" s="48"/>
      <c r="X47" s="48"/>
      <c r="Y47" s="48"/>
      <c r="Z47" s="48"/>
      <c r="AA47" s="48"/>
    </row>
    <row r="48" spans="1:27">
      <c r="A48" t="s">
        <v>224</v>
      </c>
      <c r="B48" s="63">
        <f>+sgbelvar!B63/sgbelvar!B61</f>
        <v>9.5682046674758825E-2</v>
      </c>
      <c r="C48" s="63">
        <v>0.10501826389970001</v>
      </c>
      <c r="D48" s="63"/>
      <c r="E48" s="61">
        <v>0</v>
      </c>
      <c r="F48" s="63">
        <v>0.10048908499405608</v>
      </c>
      <c r="G48" s="63"/>
      <c r="H48" s="61">
        <v>0</v>
      </c>
      <c r="I48" s="63">
        <v>0.10408606390790066</v>
      </c>
      <c r="J48" s="63"/>
      <c r="K48" s="61">
        <v>0</v>
      </c>
      <c r="L48" s="63">
        <v>9.3445765179868703E-2</v>
      </c>
      <c r="M48" s="62" t="s">
        <v>0</v>
      </c>
      <c r="N48" s="63">
        <f>+B48</f>
        <v>9.5682046674758825E-2</v>
      </c>
      <c r="O48" s="63">
        <f>+C48</f>
        <v>0.10501826389970001</v>
      </c>
      <c r="P48" s="63"/>
      <c r="Q48" s="63">
        <v>9.3399999999999997E-2</v>
      </c>
      <c r="R48" s="63">
        <v>6.9699999999999998E-2</v>
      </c>
      <c r="S48" s="63">
        <v>5.8099999999999999E-2</v>
      </c>
      <c r="T48" s="63">
        <v>6.5764521723955818E-2</v>
      </c>
      <c r="U48" s="48"/>
      <c r="V48" s="48"/>
      <c r="W48" s="48"/>
      <c r="X48" s="48"/>
      <c r="Y48" s="48"/>
      <c r="Z48" s="48"/>
      <c r="AA48" s="48"/>
    </row>
    <row r="49" spans="1:27">
      <c r="B49" s="61"/>
      <c r="C49" s="63"/>
      <c r="D49" s="63"/>
      <c r="E49" s="61"/>
      <c r="F49" s="61"/>
      <c r="G49" s="63"/>
      <c r="H49" s="61"/>
      <c r="I49" s="63"/>
      <c r="J49" s="63"/>
      <c r="K49" s="61"/>
      <c r="L49" s="63"/>
      <c r="M49" s="63"/>
      <c r="N49" s="63"/>
      <c r="O49" s="63"/>
      <c r="P49" s="63"/>
      <c r="Q49" s="63"/>
      <c r="R49" s="63"/>
      <c r="S49" s="63"/>
      <c r="T49" s="63"/>
      <c r="U49" s="48"/>
      <c r="V49" s="48"/>
      <c r="W49" s="48"/>
      <c r="X49" s="48"/>
      <c r="Y49" s="48"/>
      <c r="Z49" s="48"/>
      <c r="AA49" s="48"/>
    </row>
    <row r="50" spans="1:27">
      <c r="A50" t="s">
        <v>225</v>
      </c>
      <c r="B50" s="61"/>
      <c r="C50" s="63"/>
      <c r="D50" s="63"/>
      <c r="E50" s="61"/>
      <c r="F50" s="61"/>
      <c r="G50" s="63"/>
      <c r="H50" s="61"/>
      <c r="I50" s="63"/>
      <c r="J50" s="63"/>
      <c r="K50" s="61"/>
      <c r="L50" s="133"/>
      <c r="M50" s="63"/>
      <c r="N50" s="63"/>
      <c r="O50" s="63"/>
      <c r="P50" s="63"/>
      <c r="Q50" s="63"/>
      <c r="R50" s="63"/>
      <c r="S50" s="63"/>
      <c r="T50" s="63"/>
      <c r="U50" s="48"/>
      <c r="V50" s="48"/>
      <c r="W50" s="48"/>
      <c r="X50" s="48"/>
      <c r="Y50" s="48"/>
      <c r="Z50" s="48"/>
      <c r="AA50" s="48"/>
    </row>
    <row r="51" spans="1:27">
      <c r="A51" t="s">
        <v>226</v>
      </c>
      <c r="B51" s="63">
        <f>+sgbelvar!B62/sgbelvar!B63</f>
        <v>0.20260584372392962</v>
      </c>
      <c r="C51" s="63">
        <v>0.20081171778993706</v>
      </c>
      <c r="D51" s="63"/>
      <c r="E51" s="61">
        <v>0</v>
      </c>
      <c r="F51" s="63">
        <v>0.20528726502377548</v>
      </c>
      <c r="G51" s="63"/>
      <c r="H51" s="61">
        <v>0</v>
      </c>
      <c r="I51" s="63">
        <v>0.19866799788030845</v>
      </c>
      <c r="J51" s="63"/>
      <c r="K51" s="61">
        <v>0</v>
      </c>
      <c r="L51" s="63">
        <v>0.2249315223133197</v>
      </c>
      <c r="M51" s="63"/>
      <c r="N51" s="63">
        <f>+B51</f>
        <v>0.20260584372392962</v>
      </c>
      <c r="O51" s="63">
        <f>+C51</f>
        <v>0.20081171778993706</v>
      </c>
      <c r="P51" s="63"/>
      <c r="Q51" s="63">
        <v>0.22489999999999999</v>
      </c>
      <c r="R51" s="63">
        <v>0.39660000000000001</v>
      </c>
      <c r="S51" s="63">
        <v>0.58730000000000004</v>
      </c>
      <c r="T51" s="63">
        <v>0.67351989376832444</v>
      </c>
      <c r="U51" s="48"/>
      <c r="V51" s="48"/>
      <c r="W51" s="48"/>
      <c r="X51" s="48"/>
      <c r="Y51" s="48"/>
      <c r="Z51" s="48"/>
      <c r="AA51" s="48"/>
    </row>
    <row r="52" spans="1:27">
      <c r="B52" s="61"/>
      <c r="C52" s="63"/>
      <c r="D52" s="63"/>
      <c r="E52" s="61"/>
      <c r="F52" s="61"/>
      <c r="G52" s="63"/>
      <c r="H52" s="61"/>
      <c r="I52" s="63"/>
      <c r="J52" s="63"/>
      <c r="K52" s="61"/>
      <c r="L52" s="63"/>
      <c r="M52" s="63"/>
      <c r="N52" s="63"/>
      <c r="O52" s="63"/>
      <c r="P52" s="63"/>
      <c r="Q52" s="63"/>
      <c r="R52" s="63"/>
      <c r="S52" s="63"/>
      <c r="T52" s="63"/>
      <c r="U52" s="48"/>
      <c r="V52" s="48"/>
      <c r="W52" s="48"/>
      <c r="X52" s="48"/>
      <c r="Y52" s="48"/>
      <c r="Z52" s="48"/>
      <c r="AA52" s="48"/>
    </row>
    <row r="53" spans="1:27">
      <c r="A53" t="s">
        <v>227</v>
      </c>
      <c r="B53" s="61"/>
      <c r="C53" s="63"/>
      <c r="D53" s="63"/>
      <c r="E53" s="61"/>
      <c r="F53" s="61"/>
      <c r="G53" s="63"/>
      <c r="H53" s="61"/>
      <c r="I53" s="63"/>
      <c r="J53" s="63"/>
      <c r="K53" s="61"/>
      <c r="L53" s="62"/>
      <c r="M53" s="63"/>
      <c r="N53" s="63"/>
      <c r="O53" s="63"/>
      <c r="P53" s="63"/>
      <c r="Q53" s="63"/>
      <c r="R53" s="63"/>
      <c r="S53" s="63"/>
      <c r="T53" s="63"/>
      <c r="U53" s="48"/>
      <c r="V53" s="48"/>
      <c r="W53" s="48"/>
      <c r="X53" s="48"/>
      <c r="Y53" s="48"/>
      <c r="Z53" s="48"/>
      <c r="AA53" s="48"/>
    </row>
    <row r="54" spans="1:27">
      <c r="A54" t="s">
        <v>228</v>
      </c>
      <c r="B54" s="63">
        <f>+(sgbelvar!B63-sgbelvar!B62)/sgbelvar!B52</f>
        <v>0.52721385384799613</v>
      </c>
      <c r="C54" s="63">
        <v>0.49650430698885067</v>
      </c>
      <c r="D54" s="63"/>
      <c r="E54" s="61">
        <v>0</v>
      </c>
      <c r="F54" s="63">
        <v>0.53973159612117627</v>
      </c>
      <c r="G54" s="63"/>
      <c r="H54" s="61">
        <v>0</v>
      </c>
      <c r="I54" s="63">
        <v>0.57107332704737568</v>
      </c>
      <c r="J54" s="63"/>
      <c r="K54" s="61">
        <v>0</v>
      </c>
      <c r="L54" s="63">
        <v>0.50474504464338354</v>
      </c>
      <c r="M54" s="63"/>
      <c r="N54" s="63">
        <f>+B54</f>
        <v>0.52721385384799613</v>
      </c>
      <c r="O54" s="63">
        <f>+C54</f>
        <v>0.49650430698885067</v>
      </c>
      <c r="P54" s="63"/>
      <c r="Q54" s="63">
        <v>0.50470000000000004</v>
      </c>
      <c r="R54" s="63">
        <v>0.2465</v>
      </c>
      <c r="S54" s="63">
        <v>0.1235</v>
      </c>
      <c r="T54" s="63">
        <v>9.4927668991797304E-2</v>
      </c>
      <c r="U54" s="48"/>
      <c r="V54" s="48"/>
      <c r="W54" s="48"/>
      <c r="X54" s="48"/>
      <c r="Y54" s="48"/>
      <c r="Z54" s="48"/>
      <c r="AA54" s="48"/>
    </row>
    <row r="55" spans="1:27">
      <c r="A55" t="s">
        <v>0</v>
      </c>
      <c r="B55" s="61"/>
      <c r="C55" s="63"/>
      <c r="D55" s="63"/>
      <c r="E55" s="61"/>
      <c r="F55" s="61"/>
      <c r="G55" s="63"/>
      <c r="H55" s="61"/>
      <c r="I55" s="63"/>
      <c r="J55" s="63"/>
      <c r="K55" s="61"/>
      <c r="L55" s="61"/>
      <c r="M55" s="63"/>
      <c r="N55" s="63"/>
      <c r="O55" s="63"/>
      <c r="P55" s="63"/>
      <c r="Q55" s="63"/>
      <c r="R55" s="63"/>
      <c r="S55" s="63"/>
      <c r="T55" s="63"/>
      <c r="U55" s="48"/>
      <c r="V55" s="48"/>
      <c r="W55" s="48"/>
      <c r="X55" s="48"/>
      <c r="Y55" s="48"/>
      <c r="Z55" s="48"/>
      <c r="AA55" s="48"/>
    </row>
    <row r="56" spans="1:27">
      <c r="A56" s="11" t="s">
        <v>229</v>
      </c>
      <c r="B56" s="61"/>
      <c r="C56" s="63"/>
      <c r="D56" s="63"/>
      <c r="E56" s="61"/>
      <c r="F56" s="61"/>
      <c r="G56" s="63"/>
      <c r="H56" s="61"/>
      <c r="I56" s="63"/>
      <c r="J56" s="63"/>
      <c r="K56" s="61"/>
      <c r="L56" s="61"/>
      <c r="M56" s="63"/>
      <c r="N56" s="63"/>
      <c r="O56" s="63"/>
      <c r="P56" s="63"/>
      <c r="Q56" s="63"/>
      <c r="R56" s="63"/>
      <c r="S56" s="63"/>
      <c r="T56" s="63"/>
      <c r="U56" s="48"/>
      <c r="V56" s="48"/>
      <c r="W56" s="48"/>
      <c r="X56" s="48"/>
      <c r="Y56" s="48"/>
      <c r="Z56" s="48"/>
      <c r="AA56" s="48"/>
    </row>
    <row r="57" spans="1:27">
      <c r="A57" s="11"/>
      <c r="B57" s="61"/>
      <c r="C57" s="63"/>
      <c r="D57" s="63"/>
      <c r="E57" s="61"/>
      <c r="F57" s="61"/>
      <c r="G57" s="63"/>
      <c r="H57" s="61"/>
      <c r="I57" s="63"/>
      <c r="J57" s="63"/>
      <c r="K57" s="61"/>
      <c r="L57" s="61"/>
      <c r="M57" s="63"/>
      <c r="N57" s="63"/>
      <c r="O57" s="63"/>
      <c r="P57" s="63"/>
      <c r="Q57" s="63"/>
      <c r="R57" s="63"/>
      <c r="S57" s="63"/>
      <c r="T57" s="63"/>
      <c r="U57" s="48"/>
      <c r="V57" s="48"/>
      <c r="W57" s="48"/>
      <c r="X57" s="48"/>
      <c r="Y57" s="48"/>
      <c r="Z57" s="48"/>
      <c r="AA57" s="48"/>
    </row>
    <row r="58" spans="1:27">
      <c r="A58" t="s">
        <v>230</v>
      </c>
      <c r="B58" s="63">
        <f>+('SGBELRÉSULT       '!B41/((sgbelvar!B23+sgbelvar!J23)/2)*4)</f>
        <v>1.361901930599662E-2</v>
      </c>
      <c r="C58" s="63">
        <v>1.0668567610105564E-2</v>
      </c>
      <c r="D58" s="63"/>
      <c r="E58" s="61">
        <v>0</v>
      </c>
      <c r="F58" s="63">
        <v>1.4940139508983591E-2</v>
      </c>
      <c r="G58" s="63"/>
      <c r="H58" s="61">
        <v>0</v>
      </c>
      <c r="I58" s="63">
        <v>1.0366166897591005E-2</v>
      </c>
      <c r="J58" s="63"/>
      <c r="K58" s="61">
        <v>0</v>
      </c>
      <c r="L58" s="62">
        <v>1.0782537021730522E-2</v>
      </c>
      <c r="M58" s="63"/>
      <c r="N58" s="320">
        <f>+'sysratfinclédéc. 14'!I37</f>
        <v>1.361901930599662E-2</v>
      </c>
      <c r="O58" s="320">
        <f>+'sysratfinclédéc. 14'!I38</f>
        <v>1.0699999999999999E-2</v>
      </c>
      <c r="P58" s="63"/>
      <c r="Q58" s="63">
        <v>1.1299999999999999E-2</v>
      </c>
      <c r="R58" s="63">
        <v>1.2999999999999999E-2</v>
      </c>
      <c r="S58" s="63">
        <v>1.23E-2</v>
      </c>
      <c r="T58" s="63">
        <v>9.9129609381721617E-3</v>
      </c>
      <c r="U58" s="48"/>
      <c r="V58" s="48"/>
      <c r="W58" s="48"/>
      <c r="X58" s="48"/>
      <c r="Y58" s="48"/>
      <c r="Z58" s="48"/>
      <c r="AA58" s="48"/>
    </row>
    <row r="59" spans="1:27" ht="7.15" customHeight="1">
      <c r="B59" s="61"/>
      <c r="C59" s="63"/>
      <c r="D59" s="63"/>
      <c r="E59" s="61"/>
      <c r="F59" s="61"/>
      <c r="G59" s="63"/>
      <c r="H59" s="61"/>
      <c r="I59" s="63"/>
      <c r="J59" s="63"/>
      <c r="K59" s="61"/>
      <c r="L59" s="62"/>
      <c r="M59" s="63"/>
      <c r="N59" s="61"/>
      <c r="O59" s="63"/>
      <c r="P59" s="63"/>
      <c r="Q59" s="63"/>
      <c r="R59" s="63"/>
      <c r="S59" s="63"/>
      <c r="T59" s="63"/>
      <c r="U59" s="48"/>
      <c r="V59" s="48"/>
      <c r="W59" s="48"/>
      <c r="X59" s="48"/>
      <c r="Y59" s="48"/>
      <c r="Z59" s="48"/>
      <c r="AA59" s="48"/>
    </row>
    <row r="60" spans="1:27">
      <c r="A60" t="s">
        <v>390</v>
      </c>
      <c r="B60" s="63">
        <f>+('SGBELRÉSULT       '!B41/((sgbelvar!J52+sgbelvar!B52)/2)*4)</f>
        <v>0.16713419586426931</v>
      </c>
      <c r="C60" s="63">
        <v>9.9954195812555741E-2</v>
      </c>
      <c r="D60" s="63"/>
      <c r="E60" s="61">
        <v>0</v>
      </c>
      <c r="F60" s="63">
        <v>0.15034044954381628</v>
      </c>
      <c r="G60" s="63"/>
      <c r="H60" s="61">
        <v>0</v>
      </c>
      <c r="I60" s="63">
        <v>0.11698359039944044</v>
      </c>
      <c r="J60" s="63"/>
      <c r="K60" s="61">
        <v>0</v>
      </c>
      <c r="L60" s="63">
        <v>0.12799582534765128</v>
      </c>
      <c r="M60" s="63"/>
      <c r="N60" s="320">
        <f>+'sysratfinclédéc. 14'!I43</f>
        <v>0.16713419586426931</v>
      </c>
      <c r="O60" s="320">
        <f>+'sysratfinclédéc. 14'!I44</f>
        <v>0.1</v>
      </c>
      <c r="P60" s="63"/>
      <c r="Q60" s="63">
        <v>0.12330000000000001</v>
      </c>
      <c r="R60" s="63">
        <v>0.1283</v>
      </c>
      <c r="S60" s="63">
        <v>0.12379999999999999</v>
      </c>
      <c r="T60" s="63">
        <v>9.5869690240293279E-2</v>
      </c>
      <c r="U60" s="48"/>
      <c r="V60" s="48"/>
      <c r="W60" s="48"/>
      <c r="X60" s="48"/>
      <c r="Y60" s="48"/>
      <c r="Z60" s="48"/>
      <c r="AA60" s="48"/>
    </row>
    <row r="61" spans="1:27" ht="7.15" customHeight="1">
      <c r="B61" s="61"/>
      <c r="C61" s="63"/>
      <c r="D61" s="63"/>
      <c r="E61" s="61"/>
      <c r="F61" s="61"/>
      <c r="G61" s="63"/>
      <c r="H61" s="61"/>
      <c r="I61" s="63"/>
      <c r="J61" s="63"/>
      <c r="K61" s="61"/>
      <c r="L61" s="63"/>
      <c r="M61" s="63"/>
      <c r="N61" s="61"/>
      <c r="O61" s="63"/>
      <c r="P61" s="63"/>
      <c r="Q61" s="63"/>
      <c r="R61" s="63"/>
      <c r="S61" s="63"/>
      <c r="T61" s="63"/>
      <c r="U61" s="48"/>
      <c r="V61" s="48"/>
      <c r="W61" s="48"/>
      <c r="X61" s="48"/>
      <c r="Y61" s="48"/>
      <c r="Z61" s="48"/>
      <c r="AA61" s="48"/>
    </row>
    <row r="62" spans="1:27">
      <c r="A62" t="s">
        <v>209</v>
      </c>
      <c r="B62" s="61"/>
      <c r="C62" s="63"/>
      <c r="D62" s="63"/>
      <c r="E62" s="61"/>
      <c r="F62" s="61"/>
      <c r="G62" s="63"/>
      <c r="H62" s="61"/>
      <c r="I62" s="63"/>
      <c r="J62" s="63"/>
      <c r="K62" s="61"/>
      <c r="L62" s="63"/>
      <c r="M62" s="63"/>
      <c r="N62" s="61"/>
      <c r="O62" s="63"/>
      <c r="P62" s="63"/>
      <c r="Q62" s="62"/>
      <c r="R62" s="62"/>
      <c r="S62" s="62"/>
      <c r="T62" s="62"/>
      <c r="U62" s="48"/>
      <c r="V62" s="48"/>
      <c r="W62" s="48"/>
      <c r="X62" s="48"/>
      <c r="Y62" s="48"/>
      <c r="Z62" s="48"/>
      <c r="AA62" s="48"/>
    </row>
    <row r="63" spans="1:27">
      <c r="A63" t="s">
        <v>233</v>
      </c>
      <c r="B63" s="63">
        <f>+'SGBELRÉSULT       '!B15/'SGBELRÉSULT       '!B13</f>
        <v>0.65791998424638398</v>
      </c>
      <c r="C63" s="63">
        <v>0.68143975091567255</v>
      </c>
      <c r="D63" s="63"/>
      <c r="E63" s="61">
        <v>0</v>
      </c>
      <c r="F63" s="63">
        <v>0.65439218965022905</v>
      </c>
      <c r="G63" s="63"/>
      <c r="H63" s="61">
        <v>0</v>
      </c>
      <c r="I63" s="63">
        <v>0.61788198346527257</v>
      </c>
      <c r="J63" s="63"/>
      <c r="K63" s="61">
        <v>0</v>
      </c>
      <c r="L63" s="63">
        <v>0.60042082652300566</v>
      </c>
      <c r="M63" s="63"/>
      <c r="N63" s="320">
        <f>+'sysratfinclédéc. 14'!I50</f>
        <v>0.65791998424638398</v>
      </c>
      <c r="O63" s="320">
        <f>+'sysratfinclédéc. 14'!I51</f>
        <v>0.68143975091567255</v>
      </c>
      <c r="P63" s="63"/>
      <c r="Q63" s="63">
        <v>0.63429999999999997</v>
      </c>
      <c r="R63" s="63">
        <v>0.78620000000000001</v>
      </c>
      <c r="S63" s="63">
        <v>0.77170000000000005</v>
      </c>
      <c r="T63" s="63">
        <v>0.75781173884270858</v>
      </c>
      <c r="U63" s="48"/>
      <c r="V63" s="48"/>
      <c r="W63" s="48"/>
      <c r="X63" s="48"/>
      <c r="Y63" s="48"/>
      <c r="Z63" s="48"/>
      <c r="AA63" s="48"/>
    </row>
    <row r="64" spans="1:27" ht="7.15" customHeight="1">
      <c r="B64" s="61"/>
      <c r="C64" s="63"/>
      <c r="D64" s="63"/>
      <c r="E64" s="61"/>
      <c r="F64" s="61"/>
      <c r="G64" s="63"/>
      <c r="H64" s="61"/>
      <c r="I64" s="63"/>
      <c r="J64" s="63"/>
      <c r="K64" s="61"/>
      <c r="L64" s="63"/>
      <c r="M64" s="63"/>
      <c r="N64" s="61"/>
      <c r="O64" s="63"/>
      <c r="P64" s="63"/>
      <c r="Q64" s="63"/>
      <c r="R64" s="63"/>
      <c r="S64" s="63"/>
      <c r="T64" s="63"/>
      <c r="U64" s="48"/>
      <c r="V64" s="48"/>
      <c r="W64" s="48"/>
      <c r="X64" s="48"/>
      <c r="Y64" s="48"/>
      <c r="Z64" s="48"/>
      <c r="AA64" s="48"/>
    </row>
    <row r="65" spans="1:20">
      <c r="A65" t="s">
        <v>234</v>
      </c>
      <c r="B65" s="63">
        <f>+('SGBELRÉSULT       '!B10/((sgbelvar!B61+sgbelvar!J61)/2)*4)</f>
        <v>8.3074542086047712E-2</v>
      </c>
      <c r="C65" s="60">
        <v>7.5394076051366332E-2</v>
      </c>
      <c r="D65" s="60"/>
      <c r="E65" s="61">
        <v>0</v>
      </c>
      <c r="F65" s="63">
        <v>8.248622996883509E-2</v>
      </c>
      <c r="G65" s="60"/>
      <c r="H65" s="61">
        <v>0</v>
      </c>
      <c r="I65" s="63">
        <v>8.1180715457445499E-2</v>
      </c>
      <c r="J65" s="60"/>
      <c r="K65" s="61">
        <v>0</v>
      </c>
      <c r="L65" s="60">
        <v>8.8788938484209434E-2</v>
      </c>
      <c r="M65" s="60"/>
      <c r="N65" s="320">
        <f>+'sysratfinclédéc. 14'!I56</f>
        <v>8.3074542086047712E-2</v>
      </c>
      <c r="O65" s="320">
        <f>+'sysratfinclédéc. 14'!I57</f>
        <v>7.5399999999999995E-2</v>
      </c>
      <c r="P65" s="60"/>
      <c r="Q65" s="60">
        <v>8.2600000000000007E-2</v>
      </c>
      <c r="R65" s="60">
        <v>8.8499999999999995E-2</v>
      </c>
      <c r="S65" s="60">
        <v>8.7999999999999995E-2</v>
      </c>
      <c r="T65" s="60">
        <v>0.1001536829702043</v>
      </c>
    </row>
    <row r="66" spans="1:20" ht="7.15" customHeight="1">
      <c r="B66" s="17"/>
      <c r="C66" s="60"/>
      <c r="D66" s="60"/>
      <c r="E66" s="54"/>
      <c r="F66" s="54"/>
      <c r="G66" s="60"/>
      <c r="H66" s="54"/>
      <c r="I66" s="60"/>
      <c r="J66" s="60"/>
      <c r="K66" s="54"/>
      <c r="L66" s="60"/>
      <c r="M66" s="60"/>
      <c r="N66" s="54"/>
      <c r="O66" s="60"/>
      <c r="P66" s="60"/>
      <c r="Q66" s="60"/>
      <c r="R66" s="60"/>
      <c r="S66" s="60"/>
      <c r="T66" s="60"/>
    </row>
    <row r="67" spans="1:20" ht="15.75" customHeight="1">
      <c r="A67" t="s">
        <v>630</v>
      </c>
      <c r="B67" s="63">
        <f>+('SGBELRÉSULT       '!B10/((sgbelvar!B61-sgbelvar!B63+sgbelvar!J61-sgbelvar!J63)/2)*4)</f>
        <v>9.1753628980541471E-2</v>
      </c>
      <c r="C67" s="984">
        <v>8.2658135272343725E-2</v>
      </c>
      <c r="D67" s="60"/>
      <c r="E67" s="54">
        <v>0</v>
      </c>
      <c r="F67" s="60">
        <v>9.1924380344865095E-2</v>
      </c>
      <c r="G67" s="60"/>
      <c r="H67" s="54">
        <v>0</v>
      </c>
      <c r="I67" s="60">
        <v>9.0434471993928539E-2</v>
      </c>
      <c r="J67" s="60"/>
      <c r="K67" s="54">
        <v>0</v>
      </c>
      <c r="L67" s="60">
        <v>9.8504839228091751E-2</v>
      </c>
      <c r="M67" s="60"/>
      <c r="N67" s="320">
        <f>+'sysratfinclédéc. 14'!I62</f>
        <v>9.1753628980541471E-2</v>
      </c>
      <c r="O67" s="320">
        <f>+'sysratfinclédéc. 14'!I63</f>
        <v>8.2699999999999996E-2</v>
      </c>
      <c r="P67" s="60"/>
      <c r="Q67" s="60">
        <v>0.09</v>
      </c>
      <c r="R67" s="60">
        <v>9.4600000000000004E-2</v>
      </c>
      <c r="S67" s="60">
        <v>9.3799999999999994E-2</v>
      </c>
      <c r="T67" s="60">
        <v>0.11023184936221649</v>
      </c>
    </row>
    <row r="68" spans="1:20" ht="7.15" customHeight="1">
      <c r="B68" s="17"/>
      <c r="C68" s="60"/>
      <c r="D68" s="60"/>
      <c r="E68" s="54"/>
      <c r="F68" s="54"/>
      <c r="G68" s="60"/>
      <c r="H68" s="54"/>
      <c r="I68" s="60"/>
      <c r="J68" s="60"/>
      <c r="K68" s="54"/>
      <c r="L68" s="60"/>
      <c r="M68" s="60"/>
      <c r="N68" s="54"/>
      <c r="O68" s="60"/>
      <c r="P68" s="60"/>
      <c r="Q68" s="60"/>
      <c r="R68" s="60"/>
      <c r="S68" s="60"/>
      <c r="T68" s="60"/>
    </row>
    <row r="69" spans="1:20">
      <c r="A69" t="s">
        <v>235</v>
      </c>
      <c r="B69" s="63">
        <f>+('SGBELRÉSULT       '!B14/((sgbelvar!J30+sgbelvar!B30)/2)*4)</f>
        <v>2.5115829213238662E-2</v>
      </c>
      <c r="C69" s="60">
        <v>2.6342660113051052E-2</v>
      </c>
      <c r="D69" s="60"/>
      <c r="E69" s="61">
        <v>0</v>
      </c>
      <c r="F69" s="63">
        <v>3.0359850224953095E-2</v>
      </c>
      <c r="G69" s="60"/>
      <c r="H69" s="61">
        <v>0</v>
      </c>
      <c r="I69" s="63">
        <v>3.1695080579507401E-2</v>
      </c>
      <c r="J69" s="60"/>
      <c r="K69" s="61">
        <v>0</v>
      </c>
      <c r="L69" s="60">
        <v>3.5213393111772844E-2</v>
      </c>
      <c r="M69" s="60"/>
      <c r="N69" s="320">
        <f>+'sysratfinclédéc. 14'!I68</f>
        <v>2.5115829213238662E-2</v>
      </c>
      <c r="O69" s="320">
        <f>+'sysratfinclédéc. 14'!I69</f>
        <v>2.63E-2</v>
      </c>
      <c r="P69" s="60"/>
      <c r="Q69" s="60">
        <v>3.0099999999999998E-2</v>
      </c>
      <c r="R69" s="60">
        <v>1.66E-2</v>
      </c>
      <c r="S69" s="60">
        <v>1.5100000000000001E-2</v>
      </c>
      <c r="T69" s="60">
        <v>1.5937006055162298E-2</v>
      </c>
    </row>
    <row r="70" spans="1:20" ht="6" customHeight="1">
      <c r="B70" s="17"/>
      <c r="C70" s="60"/>
      <c r="D70" s="60"/>
      <c r="E70" s="54"/>
      <c r="F70" s="54"/>
      <c r="G70" s="60"/>
      <c r="H70" s="54"/>
      <c r="I70" s="60"/>
      <c r="J70" s="60"/>
      <c r="K70" s="54"/>
      <c r="L70" s="60"/>
      <c r="M70" s="60"/>
      <c r="N70" s="54"/>
      <c r="O70" s="60"/>
      <c r="P70" s="60"/>
      <c r="Q70" s="60"/>
      <c r="R70" s="60"/>
      <c r="S70" s="60"/>
      <c r="T70" s="60"/>
    </row>
    <row r="71" spans="1:20">
      <c r="A71" t="s">
        <v>212</v>
      </c>
      <c r="B71" s="17"/>
      <c r="C71" s="60"/>
      <c r="D71" s="60"/>
      <c r="E71" s="54"/>
      <c r="F71" s="54"/>
      <c r="G71" s="60"/>
      <c r="H71" s="54"/>
      <c r="I71" s="60"/>
      <c r="J71" s="60"/>
      <c r="K71" s="54"/>
      <c r="L71" s="60"/>
      <c r="M71" s="60"/>
      <c r="N71" s="54"/>
      <c r="O71" s="60"/>
      <c r="P71" s="60"/>
      <c r="Q71" s="60"/>
      <c r="R71" s="60"/>
      <c r="S71" s="60"/>
      <c r="T71" s="60"/>
    </row>
    <row r="72" spans="1:20">
      <c r="A72" t="s">
        <v>236</v>
      </c>
      <c r="B72" s="63">
        <f>+'SGBELRÉSULT       '!B35/'SGBELRÉSULT       '!B23</f>
        <v>0.53695498821524679</v>
      </c>
      <c r="C72" s="60">
        <v>0.6407095504993805</v>
      </c>
      <c r="D72" s="60"/>
      <c r="E72" s="61">
        <v>0</v>
      </c>
      <c r="F72" s="63">
        <v>0.57742053302736995</v>
      </c>
      <c r="G72" s="60"/>
      <c r="H72" s="61">
        <v>0</v>
      </c>
      <c r="I72" s="63">
        <v>0.62496010503932908</v>
      </c>
      <c r="J72" s="60"/>
      <c r="K72" s="61">
        <v>0</v>
      </c>
      <c r="L72" s="60">
        <v>0.59524445964807271</v>
      </c>
      <c r="M72" s="60"/>
      <c r="N72" s="320">
        <f>+'sysratfinclédéc. 14'!I76</f>
        <v>0.53695498821524679</v>
      </c>
      <c r="O72" s="320">
        <f>+'sysratfinclédéc. 14'!I77</f>
        <v>0.6407095504993805</v>
      </c>
      <c r="P72" s="60"/>
      <c r="Q72" s="60">
        <v>0.60760000000000003</v>
      </c>
      <c r="R72" s="60">
        <v>0.51629999999999998</v>
      </c>
      <c r="S72" s="60">
        <v>0.52059999999999995</v>
      </c>
      <c r="T72" s="60">
        <v>0.61863196065464354</v>
      </c>
    </row>
    <row r="73" spans="1:20">
      <c r="A73" t="s">
        <v>385</v>
      </c>
      <c r="B73" s="17"/>
      <c r="C73" s="17"/>
      <c r="D73" s="17"/>
      <c r="E73" s="54"/>
      <c r="F73" s="54"/>
      <c r="G73" s="17"/>
      <c r="H73" s="54"/>
      <c r="I73" s="54"/>
      <c r="J73" s="17"/>
      <c r="K73" s="54"/>
      <c r="L73" s="54"/>
      <c r="M73" s="17"/>
      <c r="N73" s="54"/>
      <c r="O73" s="17"/>
      <c r="P73" s="17"/>
      <c r="Q73" s="17"/>
      <c r="R73" s="17"/>
      <c r="S73" s="17"/>
      <c r="T73" s="17"/>
    </row>
    <row r="74" spans="1:20">
      <c r="B74" s="17"/>
      <c r="C74" s="17"/>
      <c r="D74" s="17"/>
      <c r="E74" s="54"/>
      <c r="F74" s="54"/>
      <c r="G74" s="17"/>
      <c r="H74" s="54"/>
      <c r="I74" s="54"/>
      <c r="J74" s="17"/>
      <c r="K74" s="54"/>
      <c r="L74" s="54"/>
      <c r="M74" s="17"/>
      <c r="N74" s="54"/>
      <c r="O74" s="17"/>
      <c r="P74" s="17"/>
      <c r="Q74" s="17"/>
      <c r="R74" s="17"/>
      <c r="S74" s="17"/>
      <c r="T74" s="17"/>
    </row>
    <row r="75" spans="1:20">
      <c r="A75" t="s">
        <v>238</v>
      </c>
      <c r="B75" s="1311">
        <f>+('SGBELRÉSULT       '!B23/((employés!W138+employés!W136)/2)*4)</f>
        <v>3861.109754666667</v>
      </c>
      <c r="C75" s="54">
        <v>3198.9736374193544</v>
      </c>
      <c r="D75" s="17"/>
      <c r="E75" s="54">
        <f>+('SGBELRÉSULT       '!D23/((employés!W130+employés!W132)/2)*4)</f>
        <v>0</v>
      </c>
      <c r="F75" s="54">
        <v>3691.8160024427475</v>
      </c>
      <c r="G75" s="17"/>
      <c r="H75" s="54">
        <v>0</v>
      </c>
      <c r="I75" s="54">
        <v>3220.0987825563925</v>
      </c>
      <c r="J75" s="17"/>
      <c r="K75" s="54">
        <f>+('SGBELRÉSULT       '!H23/((employés!W134+employés!W136)/2)*4)</f>
        <v>0</v>
      </c>
      <c r="L75" s="54">
        <v>3579.6744823880595</v>
      </c>
      <c r="M75" s="17"/>
      <c r="N75" s="663">
        <f>+'sysratfinclédéc. 14'!I82</f>
        <v>3861.109754666667</v>
      </c>
      <c r="O75" s="663">
        <f>+'sysratfinclédéc. 14'!I83</f>
        <v>3198.97</v>
      </c>
      <c r="P75" s="17"/>
      <c r="Q75" s="1308">
        <v>3548.12</v>
      </c>
      <c r="R75" s="1308">
        <v>3910.93</v>
      </c>
      <c r="S75" s="1308">
        <v>3501.3</v>
      </c>
      <c r="T75" s="1308">
        <v>3503.7427142574279</v>
      </c>
    </row>
    <row r="76" spans="1:20" ht="16.5" thickBot="1">
      <c r="B76" s="25"/>
      <c r="C76" s="25"/>
      <c r="D76" s="25"/>
      <c r="E76" s="25"/>
      <c r="F76" s="25"/>
      <c r="G76" s="25"/>
      <c r="H76" s="25"/>
      <c r="I76" s="25"/>
      <c r="J76" s="25"/>
      <c r="K76" s="25"/>
      <c r="L76" s="25"/>
      <c r="M76" s="25"/>
      <c r="N76" s="25"/>
      <c r="O76" s="25"/>
      <c r="P76" s="25"/>
      <c r="Q76" s="25"/>
      <c r="R76" s="25"/>
      <c r="S76" s="25"/>
      <c r="T76" s="25"/>
    </row>
  </sheetData>
  <phoneticPr fontId="0" type="noConversion"/>
  <pageMargins left="0.2" right="0.2" top="0.5" bottom="0.48" header="0.32" footer="0.27"/>
  <pageSetup scale="44" orientation="landscape" r:id="rId1"/>
  <headerFooter alignWithMargins="0">
    <oddFooter>&amp;R&amp;16&amp;P</oddFooter>
  </headerFooter>
</worksheet>
</file>

<file path=xl/worksheets/sheet109.xml><?xml version="1.0" encoding="utf-8"?>
<worksheet xmlns="http://schemas.openxmlformats.org/spreadsheetml/2006/main" xmlns:r="http://schemas.openxmlformats.org/officeDocument/2006/relationships">
  <sheetPr>
    <pageSetUpPr fitToPage="1"/>
  </sheetPr>
  <dimension ref="A1:AI170"/>
  <sheetViews>
    <sheetView topLeftCell="A6" workbookViewId="0">
      <pane xSplit="1" ySplit="2" topLeftCell="B8"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8.12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11.2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556" t="s">
        <v>408</v>
      </c>
      <c r="B1" s="1556"/>
      <c r="C1" s="1556"/>
      <c r="D1" s="1556"/>
      <c r="E1" s="1556"/>
      <c r="F1" s="1556"/>
      <c r="G1" s="1556"/>
      <c r="H1" s="1556"/>
      <c r="I1" s="1556"/>
      <c r="J1" s="1556"/>
      <c r="K1" s="1556"/>
      <c r="L1" s="1556"/>
      <c r="M1" s="1556"/>
      <c r="N1" s="1556"/>
      <c r="O1" s="1556"/>
      <c r="P1" s="1556"/>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5" spans="1:21">
      <c r="A5" s="111"/>
      <c r="B5" s="42"/>
      <c r="C5" s="43"/>
      <c r="D5" s="42"/>
      <c r="E5" s="43"/>
      <c r="F5" s="42"/>
      <c r="G5" s="43"/>
      <c r="H5" s="42"/>
      <c r="I5" s="43"/>
      <c r="J5" s="42"/>
      <c r="K5" s="43"/>
      <c r="L5" s="42"/>
      <c r="M5" s="43"/>
      <c r="N5" s="42"/>
      <c r="O5" s="43"/>
      <c r="P5" s="42"/>
    </row>
    <row r="6" spans="1:21" ht="16.5" thickBot="1">
      <c r="B6" s="215" t="s">
        <v>0</v>
      </c>
      <c r="C6" s="193"/>
      <c r="D6" s="194"/>
      <c r="E6" s="193"/>
      <c r="F6" s="194"/>
      <c r="G6" s="193"/>
      <c r="H6" s="194"/>
      <c r="I6" s="71" t="str">
        <f>+sogebkvar!I6</f>
        <v>Var. déc. 14</v>
      </c>
      <c r="J6" s="118" t="s">
        <v>195</v>
      </c>
      <c r="K6" s="43"/>
      <c r="L6" s="42"/>
      <c r="M6" s="43"/>
      <c r="N6" s="42"/>
      <c r="O6" s="43"/>
      <c r="P6" s="42"/>
    </row>
    <row r="7" spans="1:21" s="11" customFormat="1" ht="16.5" thickBot="1">
      <c r="B7" s="200" t="str">
        <f>+sogebkvar!B7</f>
        <v>Déc. 14</v>
      </c>
      <c r="C7" s="201" t="s">
        <v>196</v>
      </c>
      <c r="D7" s="200" t="str">
        <f>+sogebkvar!D7</f>
        <v>Mars 15</v>
      </c>
      <c r="E7" s="201" t="s">
        <v>196</v>
      </c>
      <c r="F7" s="200" t="str">
        <f>+sogebkvar!F7</f>
        <v>Juin 15</v>
      </c>
      <c r="G7" s="201" t="s">
        <v>196</v>
      </c>
      <c r="H7" s="200" t="str">
        <f>+sogebkvar!H7</f>
        <v>Sept. 15</v>
      </c>
      <c r="I7" s="376" t="str">
        <f>+sogebkvar!I7</f>
        <v>/sept. 14</v>
      </c>
      <c r="J7" s="205" t="str">
        <f>+sogebkvar!J7</f>
        <v>2014</v>
      </c>
      <c r="K7" s="205" t="s">
        <v>196</v>
      </c>
      <c r="L7" s="205" t="str">
        <f>+sogebkvar!L7</f>
        <v>2013</v>
      </c>
      <c r="M7" s="204" t="s">
        <v>196</v>
      </c>
      <c r="N7" s="205" t="str">
        <f>+sogebkvar!N7</f>
        <v>2012</v>
      </c>
      <c r="O7" s="204" t="s">
        <v>196</v>
      </c>
      <c r="P7" s="205" t="str">
        <f>+sogebkvar!P7</f>
        <v>2011</v>
      </c>
      <c r="Q7" s="2"/>
      <c r="R7" s="2"/>
      <c r="S7" s="3"/>
      <c r="T7" s="3"/>
      <c r="U7" s="3"/>
    </row>
    <row r="8" spans="1:21">
      <c r="A8" s="86" t="s">
        <v>244</v>
      </c>
      <c r="B8" s="120"/>
      <c r="C8" s="119"/>
      <c r="D8" s="197"/>
      <c r="E8" s="119"/>
      <c r="F8" s="197"/>
      <c r="G8" s="119"/>
      <c r="H8" s="197"/>
      <c r="I8" s="341"/>
      <c r="J8" s="197"/>
      <c r="K8" s="119"/>
      <c r="L8" s="197"/>
      <c r="M8" s="119"/>
      <c r="N8" s="197"/>
      <c r="O8" s="119"/>
      <c r="P8" s="197"/>
      <c r="Q8" s="22"/>
      <c r="R8" s="22"/>
      <c r="S8" s="17"/>
      <c r="T8" s="17"/>
      <c r="U8" s="17"/>
    </row>
    <row r="9" spans="1:21">
      <c r="A9" s="10" t="s">
        <v>255</v>
      </c>
      <c r="B9" t="s">
        <v>0</v>
      </c>
    </row>
    <row r="10" spans="1:21">
      <c r="A10" s="10" t="s">
        <v>256</v>
      </c>
      <c r="B10" s="20">
        <v>30925.8946</v>
      </c>
      <c r="C10" s="49">
        <v>0</v>
      </c>
      <c r="D10" s="20">
        <v>0</v>
      </c>
      <c r="E10" s="49">
        <v>0</v>
      </c>
      <c r="F10" s="20">
        <v>0</v>
      </c>
      <c r="G10" s="49">
        <v>0</v>
      </c>
      <c r="H10" s="20">
        <v>0</v>
      </c>
      <c r="I10" s="52">
        <f t="shared" ref="I10:I15" si="0">+(B10-J10)/ABS(J10)</f>
        <v>-0.22166369314346873</v>
      </c>
      <c r="J10" s="20">
        <v>39733.331630000001</v>
      </c>
      <c r="K10" s="52">
        <f t="shared" ref="K10:K15" si="1">+(J10-L10)/ABS(L10)</f>
        <v>8.1162721551118075E-2</v>
      </c>
      <c r="L10" s="20">
        <v>36750.556450000004</v>
      </c>
      <c r="M10" s="52">
        <f t="shared" ref="M10:M15" si="2">+(L10-N10)/ABS(N10)</f>
        <v>1.3936727217760263</v>
      </c>
      <c r="N10" s="20">
        <v>15353.20853</v>
      </c>
      <c r="O10" s="52">
        <f t="shared" ref="O10:O15" si="3">+(N10-P10)/ABS(P10)</f>
        <v>-0.58345344536402566</v>
      </c>
      <c r="P10" s="20">
        <v>36858.325579999997</v>
      </c>
    </row>
    <row r="11" spans="1:21">
      <c r="A11" s="10" t="s">
        <v>257</v>
      </c>
      <c r="B11" s="20">
        <v>583519.22311999998</v>
      </c>
      <c r="C11" s="49">
        <v>0</v>
      </c>
      <c r="D11" s="20">
        <v>0</v>
      </c>
      <c r="E11" s="49">
        <v>0</v>
      </c>
      <c r="F11" s="20">
        <v>0</v>
      </c>
      <c r="G11" s="49">
        <v>0</v>
      </c>
      <c r="H11" s="20">
        <v>0</v>
      </c>
      <c r="I11" s="52">
        <f t="shared" si="0"/>
        <v>0.12701492107865547</v>
      </c>
      <c r="J11" s="20">
        <v>517756.43091</v>
      </c>
      <c r="K11" s="52">
        <f t="shared" si="1"/>
        <v>0.46296601585886143</v>
      </c>
      <c r="L11" s="20">
        <v>353908.72057</v>
      </c>
      <c r="M11" s="52">
        <f t="shared" si="2"/>
        <v>0.13103036160003398</v>
      </c>
      <c r="N11" s="20">
        <v>312908.24065000005</v>
      </c>
      <c r="O11" s="52">
        <f t="shared" si="3"/>
        <v>3.3487104879590397E-2</v>
      </c>
      <c r="P11" s="20">
        <v>302769.37097000005</v>
      </c>
    </row>
    <row r="12" spans="1:21">
      <c r="A12" s="10" t="s">
        <v>258</v>
      </c>
      <c r="B12" s="20">
        <v>10976.945239999999</v>
      </c>
      <c r="C12" s="49">
        <v>0</v>
      </c>
      <c r="D12" s="20">
        <v>0</v>
      </c>
      <c r="E12" s="49">
        <v>0</v>
      </c>
      <c r="F12" s="20">
        <v>0</v>
      </c>
      <c r="G12" s="49">
        <v>0</v>
      </c>
      <c r="H12" s="20">
        <v>0</v>
      </c>
      <c r="I12" s="52">
        <f t="shared" si="0"/>
        <v>0.59799576063017457</v>
      </c>
      <c r="J12" s="20">
        <v>6869.1954699999997</v>
      </c>
      <c r="K12" s="52">
        <f t="shared" si="1"/>
        <v>-1.3306423158215137E-2</v>
      </c>
      <c r="L12" s="20">
        <v>6961.8325599999998</v>
      </c>
      <c r="M12" s="52">
        <f t="shared" si="2"/>
        <v>5.6245370360634599</v>
      </c>
      <c r="N12" s="20">
        <v>1050.9160899999999</v>
      </c>
      <c r="O12" s="52">
        <f t="shared" si="3"/>
        <v>6.5122101269115937</v>
      </c>
      <c r="P12" s="20">
        <v>-190.6524</v>
      </c>
    </row>
    <row r="13" spans="1:21">
      <c r="A13" s="10" t="s">
        <v>259</v>
      </c>
      <c r="B13" s="20">
        <v>1715543.7151500001</v>
      </c>
      <c r="C13" s="49">
        <v>0</v>
      </c>
      <c r="D13" s="20">
        <v>0</v>
      </c>
      <c r="E13" s="49">
        <v>0</v>
      </c>
      <c r="F13" s="20">
        <v>0</v>
      </c>
      <c r="G13" s="49">
        <v>0</v>
      </c>
      <c r="H13" s="20">
        <v>0</v>
      </c>
      <c r="I13" s="52">
        <f t="shared" si="0"/>
        <v>0.13833556895427221</v>
      </c>
      <c r="J13" s="20">
        <v>1507063.26143</v>
      </c>
      <c r="K13" s="52">
        <f t="shared" si="1"/>
        <v>0.51040154795580073</v>
      </c>
      <c r="L13" s="20">
        <v>997789.80197000003</v>
      </c>
      <c r="M13" s="52">
        <f t="shared" si="2"/>
        <v>-0.37489872780856992</v>
      </c>
      <c r="N13" s="20">
        <v>1596205.0412599999</v>
      </c>
      <c r="O13" s="52">
        <f t="shared" si="3"/>
        <v>-6.2079496636496543E-3</v>
      </c>
      <c r="P13" s="20">
        <v>1606176.1016500001</v>
      </c>
    </row>
    <row r="14" spans="1:21">
      <c r="A14" s="10" t="s">
        <v>260</v>
      </c>
      <c r="B14" s="199">
        <v>15550.34153</v>
      </c>
      <c r="C14" s="49">
        <v>0</v>
      </c>
      <c r="D14" s="199">
        <v>0</v>
      </c>
      <c r="E14" s="49">
        <v>0</v>
      </c>
      <c r="F14" s="199">
        <v>0</v>
      </c>
      <c r="G14" s="49">
        <v>0</v>
      </c>
      <c r="H14" s="199">
        <v>0</v>
      </c>
      <c r="I14" s="52">
        <f t="shared" si="0"/>
        <v>-0.54118786730766888</v>
      </c>
      <c r="J14" s="199">
        <v>33892.611860000005</v>
      </c>
      <c r="K14" s="52">
        <f t="shared" si="1"/>
        <v>0.61711698496510126</v>
      </c>
      <c r="L14" s="199">
        <v>20958.664199999999</v>
      </c>
      <c r="M14" s="52">
        <f t="shared" si="2"/>
        <v>-0.43039524313709598</v>
      </c>
      <c r="N14" s="199">
        <v>36795.10037</v>
      </c>
      <c r="O14" s="52">
        <f t="shared" si="3"/>
        <v>-0.24884388498697385</v>
      </c>
      <c r="P14" s="199">
        <v>48984.624680000001</v>
      </c>
    </row>
    <row r="15" spans="1:21" ht="15.6" customHeight="1">
      <c r="A15" s="10"/>
      <c r="B15" s="20">
        <f>SUM(B10:B14)</f>
        <v>2356516.1196400002</v>
      </c>
      <c r="C15" s="49">
        <v>0</v>
      </c>
      <c r="D15" s="20">
        <f>SUM(D10:D14)</f>
        <v>0</v>
      </c>
      <c r="E15" s="49">
        <v>0</v>
      </c>
      <c r="F15" s="20">
        <f>SUM(F10:F14)</f>
        <v>0</v>
      </c>
      <c r="G15" s="49">
        <v>0</v>
      </c>
      <c r="H15" s="20">
        <f>SUM(H10:H14)</f>
        <v>0</v>
      </c>
      <c r="I15" s="52">
        <f t="shared" si="0"/>
        <v>0.11931768332477236</v>
      </c>
      <c r="J15" s="20">
        <f>SUM(J10:J14)</f>
        <v>2105314.8313000002</v>
      </c>
      <c r="K15" s="52">
        <f t="shared" si="1"/>
        <v>0.4864163049994828</v>
      </c>
      <c r="L15" s="20">
        <f>SUM(L10:L14)</f>
        <v>1416369.5757500001</v>
      </c>
      <c r="M15" s="52">
        <f t="shared" si="2"/>
        <v>-0.27821406082381012</v>
      </c>
      <c r="N15" s="20">
        <f>SUM(N10:N14)</f>
        <v>1962312.5068999999</v>
      </c>
      <c r="O15" s="52">
        <f t="shared" si="3"/>
        <v>-1.6186352986963672E-2</v>
      </c>
      <c r="P15" s="20">
        <f>SUM(P10:P14)</f>
        <v>1994597.7704799999</v>
      </c>
    </row>
    <row r="16" spans="1:21" ht="7.9" customHeight="1">
      <c r="A16" s="10"/>
      <c r="C16" s="49" t="s">
        <v>0</v>
      </c>
      <c r="E16" s="49" t="s">
        <v>0</v>
      </c>
      <c r="G16" s="49" t="s">
        <v>0</v>
      </c>
      <c r="I16" s="52" t="s">
        <v>0</v>
      </c>
      <c r="K16" s="52" t="s">
        <v>0</v>
      </c>
      <c r="M16" s="52" t="s">
        <v>0</v>
      </c>
      <c r="O16" s="52" t="s">
        <v>0</v>
      </c>
    </row>
    <row r="17" spans="1:31" ht="15.6" customHeight="1">
      <c r="A17" s="10" t="s">
        <v>261</v>
      </c>
      <c r="B17" s="20">
        <v>0</v>
      </c>
      <c r="C17" s="49">
        <v>0</v>
      </c>
      <c r="D17" s="20">
        <v>0</v>
      </c>
      <c r="E17" s="49">
        <v>0</v>
      </c>
      <c r="F17" s="20">
        <v>0</v>
      </c>
      <c r="G17" s="49">
        <v>0</v>
      </c>
      <c r="H17" s="20">
        <v>0</v>
      </c>
      <c r="I17" s="49">
        <v>0</v>
      </c>
      <c r="J17" s="20">
        <v>0</v>
      </c>
      <c r="K17" s="49">
        <v>0</v>
      </c>
      <c r="L17" s="20">
        <v>0</v>
      </c>
      <c r="M17" s="49">
        <v>0</v>
      </c>
      <c r="N17" s="20">
        <v>0</v>
      </c>
      <c r="O17" s="49">
        <v>0</v>
      </c>
      <c r="P17" s="20">
        <v>0</v>
      </c>
    </row>
    <row r="18" spans="1:31" ht="15.6"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row>
    <row r="19" spans="1:31">
      <c r="A19" s="10" t="s">
        <v>262</v>
      </c>
      <c r="B19" s="20">
        <v>55612.465030000007</v>
      </c>
      <c r="C19" s="49">
        <v>0</v>
      </c>
      <c r="D19" s="20">
        <v>0</v>
      </c>
      <c r="E19" s="49">
        <v>0</v>
      </c>
      <c r="F19" s="20">
        <v>0</v>
      </c>
      <c r="G19" s="49">
        <v>0</v>
      </c>
      <c r="H19" s="20">
        <v>0</v>
      </c>
      <c r="I19" s="52">
        <f>+(B19-J19)/ABS(J19)</f>
        <v>-1.1114652248025488E-2</v>
      </c>
      <c r="J19" s="20">
        <v>56237.525569999998</v>
      </c>
      <c r="K19" s="52">
        <f>+(J19-L19)/ABS(L19)</f>
        <v>0.46222108316150817</v>
      </c>
      <c r="L19" s="20">
        <v>38460.343800000002</v>
      </c>
      <c r="M19" s="52">
        <f>+(L19-N19)/ABS(N19)</f>
        <v>0.32654211694941859</v>
      </c>
      <c r="N19" s="20">
        <v>28992.930800000002</v>
      </c>
      <c r="O19" s="52">
        <f>+(N19-P19)/ABS(P19)</f>
        <v>-0.47971991368106931</v>
      </c>
      <c r="P19" s="20">
        <v>55725.620800000004</v>
      </c>
    </row>
    <row r="20" spans="1:31">
      <c r="A20" s="10" t="s">
        <v>263</v>
      </c>
      <c r="B20" s="20">
        <v>3345304.2581560002</v>
      </c>
      <c r="C20" s="49">
        <v>0</v>
      </c>
      <c r="D20" s="20">
        <v>0</v>
      </c>
      <c r="E20" s="49">
        <v>0</v>
      </c>
      <c r="F20" s="20">
        <v>0</v>
      </c>
      <c r="G20" s="49">
        <v>0</v>
      </c>
      <c r="H20" s="20">
        <v>0</v>
      </c>
      <c r="I20" s="52">
        <f>+(B20-J20)/ABS(J20)</f>
        <v>5.1814724845844581E-2</v>
      </c>
      <c r="J20" s="20">
        <v>3180507.1550469999</v>
      </c>
      <c r="K20" s="52">
        <f>+(J20-L20)/ABS(L20)</f>
        <v>0.25965007634308529</v>
      </c>
      <c r="L20" s="20">
        <v>2524913.2396200001</v>
      </c>
      <c r="M20" s="52">
        <f>+(L20-N20)/ABS(N20)</f>
        <v>0.20824570689289337</v>
      </c>
      <c r="N20" s="20">
        <v>2089734.9150224</v>
      </c>
      <c r="O20" s="52">
        <f>+(N20-P20)/ABS(P20)</f>
        <v>0.21694015717667736</v>
      </c>
      <c r="P20" s="20">
        <v>1717204.336383</v>
      </c>
    </row>
    <row r="21" spans="1:31">
      <c r="A21" s="10" t="s">
        <v>264</v>
      </c>
      <c r="B21" s="20">
        <v>210745.71995999999</v>
      </c>
      <c r="C21" s="49">
        <v>0</v>
      </c>
      <c r="D21" s="20">
        <v>0</v>
      </c>
      <c r="E21" s="49">
        <v>0</v>
      </c>
      <c r="F21" s="20">
        <v>0</v>
      </c>
      <c r="G21" s="49">
        <v>0</v>
      </c>
      <c r="H21" s="20">
        <v>0</v>
      </c>
      <c r="I21" s="52">
        <f>+(B21-J21)/ABS(J21)</f>
        <v>0.17631743948507705</v>
      </c>
      <c r="J21" s="20">
        <v>179157.18401</v>
      </c>
      <c r="K21" s="52">
        <f>+(J21-L21)/ABS(L21)</f>
        <v>7.1510053396910148E-2</v>
      </c>
      <c r="L21" s="20">
        <v>167200.65615999998</v>
      </c>
      <c r="M21" s="52">
        <f>+(L21-N21)/ABS(N21)</f>
        <v>8.4045442934793713E-2</v>
      </c>
      <c r="N21" s="20">
        <v>154237.68187000003</v>
      </c>
      <c r="O21" s="52">
        <f>+(N21-P21)/ABS(P21)</f>
        <v>-0.13324319772673973</v>
      </c>
      <c r="P21" s="20">
        <v>177948.04894000001</v>
      </c>
    </row>
    <row r="22" spans="1:31" ht="16.5" thickBot="1">
      <c r="A22" s="10" t="s">
        <v>265</v>
      </c>
      <c r="B22" s="97">
        <v>145725.66902</v>
      </c>
      <c r="C22" s="49">
        <v>0</v>
      </c>
      <c r="D22" s="97">
        <v>0</v>
      </c>
      <c r="E22" s="49">
        <v>0</v>
      </c>
      <c r="F22" s="97">
        <v>0</v>
      </c>
      <c r="G22" s="49">
        <v>0</v>
      </c>
      <c r="H22" s="97">
        <v>0</v>
      </c>
      <c r="I22" s="52">
        <f>+(B22-J22)/ABS(J22)</f>
        <v>8.7546899623180043E-3</v>
      </c>
      <c r="J22" s="97">
        <v>144460.95812</v>
      </c>
      <c r="K22" s="52">
        <f>+(J22-L22)/ABS(L22)</f>
        <v>0.74424645272638768</v>
      </c>
      <c r="L22" s="97">
        <v>82821.414310000007</v>
      </c>
      <c r="M22" s="52">
        <f>+(L22-N22)/ABS(N22)</f>
        <v>9.6773441909457941E-2</v>
      </c>
      <c r="N22" s="97">
        <v>75513.694210000001</v>
      </c>
      <c r="O22" s="52">
        <f>+(N22-P22)/ABS(P22)</f>
        <v>7.394724382624239E-2</v>
      </c>
      <c r="P22" s="97">
        <v>70314.156159999999</v>
      </c>
    </row>
    <row r="23" spans="1:31">
      <c r="A23" s="10" t="s">
        <v>54</v>
      </c>
      <c r="B23" s="13">
        <f>SUM(B15:B22)</f>
        <v>6113904.2318060007</v>
      </c>
      <c r="C23" s="49">
        <v>0</v>
      </c>
      <c r="D23" s="13">
        <f>SUM(D15:D22)</f>
        <v>0</v>
      </c>
      <c r="E23" s="49">
        <v>0</v>
      </c>
      <c r="F23" s="13">
        <f>SUM(F15:F22)</f>
        <v>0</v>
      </c>
      <c r="G23" s="49">
        <v>0</v>
      </c>
      <c r="H23" s="13">
        <f>SUM(H15:H22)</f>
        <v>0</v>
      </c>
      <c r="I23" s="52">
        <f>+(B23-J23)/ABS(J23)</f>
        <v>7.9112615494252789E-2</v>
      </c>
      <c r="J23" s="13">
        <f>SUM(J15:J22)</f>
        <v>5665677.6540470002</v>
      </c>
      <c r="K23" s="52">
        <f>+(J23-L23)/ABS(L23)</f>
        <v>0.33947804344904808</v>
      </c>
      <c r="L23" s="13">
        <f>SUM(L15:L22)</f>
        <v>4229765.2296399996</v>
      </c>
      <c r="M23" s="52">
        <f>+(L23-N23)/ABS(N23)</f>
        <v>-1.8796198995424767E-2</v>
      </c>
      <c r="N23" s="13">
        <f>SUM(N15:N22)</f>
        <v>4310791.7288024006</v>
      </c>
      <c r="O23" s="52">
        <f>+(N23-P23)/ABS(P23)</f>
        <v>7.3460465058845681E-2</v>
      </c>
      <c r="P23" s="13">
        <f>SUM(P15:P22)</f>
        <v>4015789.932763</v>
      </c>
    </row>
    <row r="24" spans="1:31" ht="7.9" customHeight="1">
      <c r="A24" s="10"/>
      <c r="C24" s="49" t="s">
        <v>0</v>
      </c>
      <c r="E24" s="49" t="s">
        <v>0</v>
      </c>
      <c r="G24" s="49" t="s">
        <v>0</v>
      </c>
      <c r="I24" s="52" t="s">
        <v>0</v>
      </c>
      <c r="K24" s="52" t="s">
        <v>0</v>
      </c>
      <c r="M24" s="52" t="s">
        <v>0</v>
      </c>
      <c r="O24" s="52" t="s">
        <v>0</v>
      </c>
    </row>
    <row r="25" spans="1:31">
      <c r="A25" s="86" t="s">
        <v>266</v>
      </c>
      <c r="C25" s="49" t="s">
        <v>0</v>
      </c>
      <c r="E25" s="49" t="s">
        <v>0</v>
      </c>
      <c r="G25" s="49" t="s">
        <v>0</v>
      </c>
      <c r="I25" s="52" t="s">
        <v>0</v>
      </c>
      <c r="K25" s="52" t="s">
        <v>0</v>
      </c>
      <c r="M25" s="52" t="s">
        <v>0</v>
      </c>
      <c r="O25" s="52" t="s">
        <v>0</v>
      </c>
    </row>
    <row r="26" spans="1:31">
      <c r="A26" s="10" t="s">
        <v>267</v>
      </c>
      <c r="C26" s="49" t="s">
        <v>0</v>
      </c>
      <c r="E26" s="49" t="s">
        <v>0</v>
      </c>
      <c r="G26" s="49" t="s">
        <v>0</v>
      </c>
      <c r="I26" s="52" t="s">
        <v>0</v>
      </c>
      <c r="K26" s="52" t="s">
        <v>0</v>
      </c>
      <c r="M26" s="52" t="s">
        <v>0</v>
      </c>
      <c r="O26" s="52" t="s">
        <v>0</v>
      </c>
    </row>
    <row r="27" spans="1:31">
      <c r="A27" s="10" t="s">
        <v>268</v>
      </c>
      <c r="B27" s="20">
        <f>+[5]Bilan!$K$72</f>
        <v>1083757.2214300002</v>
      </c>
      <c r="C27" s="49">
        <v>0</v>
      </c>
      <c r="D27" s="20">
        <v>0</v>
      </c>
      <c r="E27" s="49">
        <v>0</v>
      </c>
      <c r="F27" s="20">
        <v>0</v>
      </c>
      <c r="G27" s="49">
        <v>0</v>
      </c>
      <c r="H27" s="20">
        <v>0</v>
      </c>
      <c r="I27" s="52">
        <f>+(B27-J27)/ABS(J27)</f>
        <v>-1.1201103918515604E-2</v>
      </c>
      <c r="J27" s="20">
        <v>1096034.0123000001</v>
      </c>
      <c r="K27" s="52">
        <f>+(J27-L27)/ABS(L27)</f>
        <v>0.20397432216536093</v>
      </c>
      <c r="L27" s="20">
        <v>910346.66780000005</v>
      </c>
      <c r="M27" s="52">
        <f>+(L27-N27)/ABS(N27)</f>
        <v>8.3156730161206352E-2</v>
      </c>
      <c r="N27" s="20">
        <v>840457.01092999999</v>
      </c>
      <c r="O27" s="52">
        <f>+(N27-P27)/ABS(P27)</f>
        <v>0.15868360384139688</v>
      </c>
      <c r="P27" s="20">
        <v>725355.05649999995</v>
      </c>
    </row>
    <row r="28" spans="1:31">
      <c r="A28" s="10" t="s">
        <v>269</v>
      </c>
      <c r="B28" s="20">
        <f>+[5]Bilan!$K$74</f>
        <v>508819.43869999994</v>
      </c>
      <c r="C28" s="49">
        <v>0</v>
      </c>
      <c r="D28" s="20">
        <v>0</v>
      </c>
      <c r="E28" s="49">
        <v>0</v>
      </c>
      <c r="F28" s="20">
        <v>0</v>
      </c>
      <c r="G28" s="49">
        <v>0</v>
      </c>
      <c r="H28" s="20">
        <v>0</v>
      </c>
      <c r="I28" s="52">
        <f>+(B28-J28)/ABS(J28)</f>
        <v>-4.8839579055282422E-3</v>
      </c>
      <c r="J28" s="20">
        <v>511316.68787999998</v>
      </c>
      <c r="K28" s="52">
        <f>+(J28-L28)/ABS(L28)</f>
        <v>4.6309456100588876E-2</v>
      </c>
      <c r="L28" s="20">
        <v>488685.90922000003</v>
      </c>
      <c r="M28" s="52">
        <f>+(L28-N28)/ABS(N28)</f>
        <v>0.13874270618958628</v>
      </c>
      <c r="N28" s="20">
        <v>429145.14979000005</v>
      </c>
      <c r="O28" s="52">
        <f>+(N28-P28)/ABS(P28)</f>
        <v>5.0485769697555048E-2</v>
      </c>
      <c r="P28" s="20">
        <v>408520.66936000006</v>
      </c>
    </row>
    <row r="29" spans="1:31">
      <c r="A29" s="10" t="s">
        <v>270</v>
      </c>
      <c r="B29" s="199">
        <f>+[5]Bilan!$K$76</f>
        <v>2952640.3953400003</v>
      </c>
      <c r="C29" s="49">
        <v>0</v>
      </c>
      <c r="D29" s="199">
        <v>0</v>
      </c>
      <c r="E29" s="49">
        <v>0</v>
      </c>
      <c r="F29" s="199">
        <v>0</v>
      </c>
      <c r="G29" s="49">
        <v>0</v>
      </c>
      <c r="H29" s="199">
        <v>0</v>
      </c>
      <c r="I29" s="52">
        <f>+(B29-J29)/ABS(J29)</f>
        <v>0.18717849090843175</v>
      </c>
      <c r="J29" s="199">
        <v>2487107.3877699999</v>
      </c>
      <c r="K29" s="52">
        <f>+(J29-L29)/ABS(L29)</f>
        <v>0.77551963870952545</v>
      </c>
      <c r="L29" s="199">
        <v>1400777.1773099999</v>
      </c>
      <c r="M29" s="52">
        <f>+(L29-N29)/ABS(N29)</f>
        <v>-0.30033701352858411</v>
      </c>
      <c r="N29" s="199">
        <v>2002074.14769</v>
      </c>
      <c r="O29" s="52">
        <f>+(N29-P29)/ABS(P29)</f>
        <v>4.0500843609565282E-2</v>
      </c>
      <c r="P29" s="199">
        <v>1924144.6655100002</v>
      </c>
    </row>
    <row r="30" spans="1:31">
      <c r="A30" s="10"/>
      <c r="B30" s="20">
        <f>SUM(B27:B29)</f>
        <v>4545217.055470001</v>
      </c>
      <c r="C30" s="49">
        <v>0</v>
      </c>
      <c r="D30" s="20">
        <f>SUM(D27:D29)</f>
        <v>0</v>
      </c>
      <c r="E30" s="49">
        <v>0</v>
      </c>
      <c r="F30" s="20">
        <f>SUM(F27:F29)</f>
        <v>0</v>
      </c>
      <c r="G30" s="49">
        <v>0</v>
      </c>
      <c r="H30" s="20">
        <f>SUM(H27:H29)</f>
        <v>0</v>
      </c>
      <c r="I30" s="52">
        <f>+(B30-J30)/ABS(J30)</f>
        <v>0.11009001871250938</v>
      </c>
      <c r="J30" s="20">
        <f>SUM(J27:J29)</f>
        <v>4094458.0879500001</v>
      </c>
      <c r="K30" s="52">
        <f>+(J30-L30)/ABS(L30)</f>
        <v>0.46240582297342991</v>
      </c>
      <c r="L30" s="20">
        <f>SUM(L27:L29)</f>
        <v>2799809.7543299999</v>
      </c>
      <c r="M30" s="52">
        <f>+(L30-N30)/ABS(N30)</f>
        <v>-0.14422776265092138</v>
      </c>
      <c r="N30" s="20">
        <f>SUM(N27:N29)</f>
        <v>3271676.3084100001</v>
      </c>
      <c r="O30" s="52">
        <f>+(N30-P30)/ABS(P30)</f>
        <v>6.9867394489243867E-2</v>
      </c>
      <c r="P30" s="20">
        <f>SUM(P27:P29)</f>
        <v>3058020.3913700003</v>
      </c>
    </row>
    <row r="31" spans="1:31" ht="7.9" customHeight="1">
      <c r="A31" s="10"/>
      <c r="C31" s="49" t="s">
        <v>0</v>
      </c>
      <c r="E31" s="49" t="s">
        <v>0</v>
      </c>
      <c r="G31" s="49" t="s">
        <v>0</v>
      </c>
      <c r="I31" s="52" t="s">
        <v>0</v>
      </c>
      <c r="K31" s="52" t="s">
        <v>0</v>
      </c>
      <c r="M31" s="52" t="s">
        <v>0</v>
      </c>
      <c r="O31" s="52" t="s">
        <v>0</v>
      </c>
    </row>
    <row r="32" spans="1:31">
      <c r="A32" s="10" t="s">
        <v>271</v>
      </c>
      <c r="C32" s="49" t="s">
        <v>0</v>
      </c>
      <c r="E32" s="49" t="s">
        <v>0</v>
      </c>
      <c r="G32" s="49" t="s">
        <v>0</v>
      </c>
      <c r="I32" s="52" t="s">
        <v>0</v>
      </c>
      <c r="K32" s="52" t="s">
        <v>0</v>
      </c>
      <c r="M32" s="52" t="s">
        <v>0</v>
      </c>
      <c r="O32" s="52" t="s">
        <v>0</v>
      </c>
      <c r="AE32" s="26"/>
    </row>
    <row r="33" spans="1:35">
      <c r="A33" s="10" t="s">
        <v>272</v>
      </c>
      <c r="B33" s="20">
        <v>0</v>
      </c>
      <c r="C33" s="49">
        <v>0</v>
      </c>
      <c r="D33" s="20">
        <f>+D139</f>
        <v>0</v>
      </c>
      <c r="E33" s="49">
        <v>0</v>
      </c>
      <c r="F33" s="20">
        <f>+F139</f>
        <v>0</v>
      </c>
      <c r="G33" s="49">
        <v>0</v>
      </c>
      <c r="H33" s="20">
        <f>+H139</f>
        <v>0</v>
      </c>
      <c r="I33" s="49">
        <v>0</v>
      </c>
      <c r="J33" s="20">
        <v>0</v>
      </c>
      <c r="K33" s="49">
        <v>0</v>
      </c>
      <c r="L33" s="20">
        <v>0</v>
      </c>
      <c r="M33" s="49">
        <v>0</v>
      </c>
      <c r="N33" s="20">
        <v>0</v>
      </c>
      <c r="O33" s="49">
        <v>0</v>
      </c>
      <c r="P33" s="20">
        <v>0</v>
      </c>
    </row>
    <row r="34" spans="1:35">
      <c r="A34" s="10" t="s">
        <v>273</v>
      </c>
      <c r="B34" s="20">
        <v>0</v>
      </c>
      <c r="C34" s="49">
        <v>0</v>
      </c>
      <c r="D34" s="20">
        <f>+D140</f>
        <v>0</v>
      </c>
      <c r="E34" s="49">
        <v>0</v>
      </c>
      <c r="F34" s="20">
        <f>+F140</f>
        <v>0</v>
      </c>
      <c r="G34" s="49">
        <v>0</v>
      </c>
      <c r="H34" s="20">
        <f>+H140</f>
        <v>0</v>
      </c>
      <c r="I34" s="49">
        <v>0</v>
      </c>
      <c r="J34" s="20">
        <v>0</v>
      </c>
      <c r="K34" s="49">
        <v>0</v>
      </c>
      <c r="L34" s="20">
        <v>0</v>
      </c>
      <c r="M34" s="49">
        <v>0</v>
      </c>
      <c r="N34" s="20">
        <v>0</v>
      </c>
      <c r="O34" s="49">
        <v>0</v>
      </c>
      <c r="P34" s="20">
        <v>0</v>
      </c>
      <c r="AI34" s="26"/>
    </row>
    <row r="35" spans="1:35" ht="18">
      <c r="A35" s="10" t="s">
        <v>274</v>
      </c>
      <c r="B35" s="199">
        <v>87823.308000000005</v>
      </c>
      <c r="C35" s="49">
        <v>0</v>
      </c>
      <c r="D35" s="199">
        <v>0</v>
      </c>
      <c r="E35" s="49">
        <v>0</v>
      </c>
      <c r="F35" s="199">
        <v>0</v>
      </c>
      <c r="G35" s="49">
        <v>0</v>
      </c>
      <c r="H35" s="199">
        <v>0</v>
      </c>
      <c r="I35" s="52">
        <f>+(B35-J35)/ABS(J35)</f>
        <v>-0.20373364612012096</v>
      </c>
      <c r="J35" s="199">
        <v>110293.88291</v>
      </c>
      <c r="K35" s="52">
        <f>+(J35-L35)/ABS(L35)</f>
        <v>0.23718428725394738</v>
      </c>
      <c r="L35" s="199">
        <v>89149.113875999959</v>
      </c>
      <c r="M35" s="52">
        <f>+(L35-N35)/ABS(N35)</f>
        <v>-0.13323464394946477</v>
      </c>
      <c r="N35" s="199">
        <v>102852.65009</v>
      </c>
      <c r="O35" s="52">
        <f>+(N35-P35)/ABS(P35)</f>
        <v>-0.28691352598349973</v>
      </c>
      <c r="P35" s="199">
        <v>144235.87297999999</v>
      </c>
      <c r="Q35" s="14"/>
      <c r="R35" s="14"/>
      <c r="S35" s="15"/>
      <c r="T35" s="15"/>
      <c r="U35" s="15"/>
    </row>
    <row r="36" spans="1:35">
      <c r="A36" s="10"/>
      <c r="B36" s="20">
        <f>SUM(B33:B35)</f>
        <v>87823.308000000005</v>
      </c>
      <c r="C36" s="49">
        <v>0</v>
      </c>
      <c r="D36" s="20">
        <f>SUM(D33:D35)</f>
        <v>0</v>
      </c>
      <c r="E36" s="49">
        <v>0</v>
      </c>
      <c r="F36" s="20">
        <f>SUM(F33:F35)</f>
        <v>0</v>
      </c>
      <c r="G36" s="49">
        <v>0</v>
      </c>
      <c r="H36" s="20">
        <f>SUM(H33:H35)</f>
        <v>0</v>
      </c>
      <c r="I36" s="52">
        <f>+(B36-J36)/ABS(J36)</f>
        <v>-0.20373364612012096</v>
      </c>
      <c r="J36" s="20">
        <f>SUM(J33:J35)</f>
        <v>110293.88291</v>
      </c>
      <c r="K36" s="52">
        <f>+(J36-L36)/ABS(L36)</f>
        <v>0.23718428725394738</v>
      </c>
      <c r="L36" s="20">
        <f>SUM(L33:L35)</f>
        <v>89149.113875999959</v>
      </c>
      <c r="M36" s="52">
        <f>+(L36-N36)/ABS(N36)</f>
        <v>-0.13323464394946477</v>
      </c>
      <c r="N36" s="20">
        <f>SUM(N33:N35)</f>
        <v>102852.65009</v>
      </c>
      <c r="O36" s="52">
        <f>+(N36-P36)/ABS(P36)</f>
        <v>-0.28691352598349973</v>
      </c>
      <c r="P36" s="20">
        <f>SUM(P33:P35)</f>
        <v>144235.87297999999</v>
      </c>
    </row>
    <row r="37" spans="1:35" ht="7.15" customHeight="1">
      <c r="A37" s="10"/>
      <c r="C37" s="49" t="s">
        <v>0</v>
      </c>
      <c r="E37" s="49" t="s">
        <v>0</v>
      </c>
      <c r="G37" s="49" t="s">
        <v>0</v>
      </c>
      <c r="I37" s="52" t="s">
        <v>0</v>
      </c>
      <c r="K37" s="52" t="s">
        <v>0</v>
      </c>
      <c r="M37" s="52" t="s">
        <v>0</v>
      </c>
      <c r="O37" s="52" t="s">
        <v>0</v>
      </c>
    </row>
    <row r="38" spans="1:35">
      <c r="A38" s="10" t="s">
        <v>275</v>
      </c>
      <c r="C38" s="49" t="s">
        <v>0</v>
      </c>
      <c r="E38" s="49" t="s">
        <v>0</v>
      </c>
      <c r="G38" s="49" t="s">
        <v>0</v>
      </c>
      <c r="I38" s="52" t="s">
        <v>0</v>
      </c>
      <c r="K38" s="52" t="s">
        <v>0</v>
      </c>
      <c r="M38" s="52" t="s">
        <v>0</v>
      </c>
      <c r="O38" s="52" t="s">
        <v>0</v>
      </c>
    </row>
    <row r="39" spans="1:35">
      <c r="A39" s="10" t="s">
        <v>272</v>
      </c>
      <c r="B39" s="20">
        <v>855000</v>
      </c>
      <c r="C39" s="49">
        <v>0</v>
      </c>
      <c r="D39" s="20">
        <v>0</v>
      </c>
      <c r="E39" s="49">
        <v>0</v>
      </c>
      <c r="F39" s="20">
        <v>0</v>
      </c>
      <c r="G39" s="49">
        <v>0</v>
      </c>
      <c r="H39" s="20">
        <v>0</v>
      </c>
      <c r="I39" s="52">
        <f>+(B39-J39)/ABS(J39)</f>
        <v>0</v>
      </c>
      <c r="J39" s="20">
        <v>855000</v>
      </c>
      <c r="K39" s="52">
        <f>+(J39-L39)/ABS(L39)</f>
        <v>0</v>
      </c>
      <c r="L39" s="20">
        <v>855000</v>
      </c>
      <c r="M39" s="52">
        <f>+(L39-N39)/ABS(N39)</f>
        <v>0.71</v>
      </c>
      <c r="N39" s="20">
        <v>500000</v>
      </c>
      <c r="O39" s="52">
        <f>+(N39-P39)/ABS(P39)</f>
        <v>0.25</v>
      </c>
      <c r="P39" s="20">
        <v>400000</v>
      </c>
    </row>
    <row r="40" spans="1:35">
      <c r="A40" s="10" t="s">
        <v>276</v>
      </c>
      <c r="B40" s="20">
        <v>0</v>
      </c>
      <c r="C40" s="49">
        <v>0</v>
      </c>
      <c r="D40" s="20">
        <v>0</v>
      </c>
      <c r="E40" s="49">
        <v>0</v>
      </c>
      <c r="F40" s="20">
        <v>0</v>
      </c>
      <c r="G40" s="49">
        <v>0</v>
      </c>
      <c r="H40" s="20">
        <v>0</v>
      </c>
      <c r="I40" s="49">
        <v>0</v>
      </c>
      <c r="J40" s="20">
        <v>0</v>
      </c>
      <c r="K40" s="49">
        <v>0</v>
      </c>
      <c r="L40" s="20">
        <v>0</v>
      </c>
      <c r="M40" s="49">
        <v>0</v>
      </c>
      <c r="N40" s="20">
        <v>0</v>
      </c>
      <c r="O40" s="49">
        <v>0</v>
      </c>
      <c r="P40" s="20">
        <v>0</v>
      </c>
    </row>
    <row r="41" spans="1:35">
      <c r="A41" s="10" t="s">
        <v>274</v>
      </c>
      <c r="B41" s="199">
        <v>63772.701469999971</v>
      </c>
      <c r="C41" s="49">
        <v>0</v>
      </c>
      <c r="D41" s="199">
        <v>0</v>
      </c>
      <c r="E41" s="49">
        <v>0</v>
      </c>
      <c r="F41" s="199">
        <v>0</v>
      </c>
      <c r="G41" s="49">
        <v>0</v>
      </c>
      <c r="H41" s="199">
        <v>0</v>
      </c>
      <c r="I41" s="52">
        <f>+(B41-J41)/ABS(J41)</f>
        <v>1.4075603341243229E-2</v>
      </c>
      <c r="J41" s="199">
        <v>62887.521659999969</v>
      </c>
      <c r="K41" s="52">
        <f>+(J41-L41)/ABS(L41)</f>
        <v>3.2477324320291046</v>
      </c>
      <c r="L41" s="199">
        <v>14804.963039999944</v>
      </c>
      <c r="M41" s="52">
        <f>+(L41-N41)/ABS(N41)</f>
        <v>0.37273708270326544</v>
      </c>
      <c r="N41" s="199">
        <v>10784.995340000023</v>
      </c>
      <c r="O41" s="52">
        <f>+(N41-P41)/ABS(P41)</f>
        <v>1.7814829289860983</v>
      </c>
      <c r="P41" s="199">
        <v>3877.4264000000003</v>
      </c>
    </row>
    <row r="42" spans="1:35">
      <c r="A42" s="10"/>
      <c r="B42" s="20">
        <f>SUM(B39:B41)</f>
        <v>918772.70146999997</v>
      </c>
      <c r="C42" s="49">
        <v>0</v>
      </c>
      <c r="D42" s="20">
        <f>SUM(D39:D41)</f>
        <v>0</v>
      </c>
      <c r="E42" s="49">
        <v>0</v>
      </c>
      <c r="F42" s="20">
        <f>SUM(F39:F41)</f>
        <v>0</v>
      </c>
      <c r="G42" s="49">
        <v>0</v>
      </c>
      <c r="H42" s="20">
        <f>SUM(H39:H41)</f>
        <v>0</v>
      </c>
      <c r="I42" s="52">
        <f>+(B42-J42)/ABS(J42)</f>
        <v>9.6436631843426022E-4</v>
      </c>
      <c r="J42" s="20">
        <f>SUM(J39:J41)</f>
        <v>917887.52165999997</v>
      </c>
      <c r="K42" s="52">
        <f>+(J42-L42)/ABS(L42)</f>
        <v>5.5279701384951557E-2</v>
      </c>
      <c r="L42" s="20">
        <f>SUM(L39:L41)</f>
        <v>869804.96303999994</v>
      </c>
      <c r="M42" s="52">
        <f>+(L42-N42)/ABS(N42)</f>
        <v>0.70287884525860256</v>
      </c>
      <c r="N42" s="20">
        <f>SUM(N39:N41)</f>
        <v>510784.99534000002</v>
      </c>
      <c r="O42" s="52">
        <f>+(N42-P42)/ABS(P42)</f>
        <v>0.26470300628814747</v>
      </c>
      <c r="P42" s="20">
        <f>SUM(P39:P41)</f>
        <v>403877.4264</v>
      </c>
    </row>
    <row r="43" spans="1:35" ht="8.4499999999999993" customHeight="1">
      <c r="A43" s="10"/>
      <c r="C43" s="49" t="s">
        <v>0</v>
      </c>
      <c r="E43" s="49" t="s">
        <v>0</v>
      </c>
      <c r="G43" s="49" t="s">
        <v>0</v>
      </c>
      <c r="I43" s="52" t="s">
        <v>0</v>
      </c>
      <c r="K43" s="52" t="s">
        <v>0</v>
      </c>
      <c r="M43" s="52" t="s">
        <v>0</v>
      </c>
      <c r="O43" s="52" t="s">
        <v>0</v>
      </c>
    </row>
    <row r="44" spans="1:35" ht="18">
      <c r="A44" s="10" t="s">
        <v>277</v>
      </c>
      <c r="B44" s="199">
        <v>68401.416389999984</v>
      </c>
      <c r="C44" s="49">
        <v>0</v>
      </c>
      <c r="D44" s="199">
        <v>0</v>
      </c>
      <c r="E44" s="49">
        <v>0</v>
      </c>
      <c r="F44" s="199">
        <v>0</v>
      </c>
      <c r="G44" s="49">
        <v>0</v>
      </c>
      <c r="H44" s="199">
        <v>0</v>
      </c>
      <c r="I44" s="52">
        <f>+(B44-J44)/ABS(J44)</f>
        <v>-0.11007943387223665</v>
      </c>
      <c r="J44" s="199">
        <v>76862.384119999973</v>
      </c>
      <c r="K44" s="52">
        <f>+(J44-L44)/ABS(L44)</f>
        <v>1.739537037712487</v>
      </c>
      <c r="L44" s="199">
        <v>28056.705590000001</v>
      </c>
      <c r="M44" s="52">
        <f>+(L44-N44)/ABS(N44)</f>
        <v>4.0230724831719584</v>
      </c>
      <c r="N44" s="199">
        <v>5585.5665399999989</v>
      </c>
      <c r="O44" s="52">
        <f>+(N44-P44)/ABS(P44)</f>
        <v>0.71504911555981454</v>
      </c>
      <c r="P44" s="199">
        <v>3256.79684</v>
      </c>
      <c r="Q44" s="14"/>
      <c r="R44" s="14"/>
    </row>
    <row r="45" spans="1:35">
      <c r="A45" s="10"/>
      <c r="B45" s="20">
        <f>+B30+B36+B42+B44</f>
        <v>5620214.4813300008</v>
      </c>
      <c r="C45" s="49">
        <v>0</v>
      </c>
      <c r="D45" s="20">
        <f>+D30+D36+D42+D44</f>
        <v>0</v>
      </c>
      <c r="E45" s="49">
        <v>0</v>
      </c>
      <c r="F45" s="20">
        <f>+F30+F36+F42+F44</f>
        <v>0</v>
      </c>
      <c r="G45" s="49">
        <v>0</v>
      </c>
      <c r="H45" s="20">
        <f>+H30+H36+H42+H44</f>
        <v>0</v>
      </c>
      <c r="I45" s="52">
        <f>+(B45-J45)/ABS(J45)</f>
        <v>8.0914021125783789E-2</v>
      </c>
      <c r="J45" s="20">
        <f>+J30+J36+J42+J44</f>
        <v>5199501.8766399994</v>
      </c>
      <c r="K45" s="52">
        <f>+(J45-L45)/ABS(L45)</f>
        <v>0.37305209635953246</v>
      </c>
      <c r="L45" s="20">
        <f>+L30+L36+L42+L44</f>
        <v>3786820.5368359997</v>
      </c>
      <c r="M45" s="52">
        <f>+(L45-N45)/ABS(N45)</f>
        <v>-2.6749337267346261E-2</v>
      </c>
      <c r="N45" s="20">
        <f>+N30+N36+N42+N44</f>
        <v>3890899.5203800001</v>
      </c>
      <c r="O45" s="52">
        <f>+(N45-P45)/ABS(P45)</f>
        <v>7.7993509917505338E-2</v>
      </c>
      <c r="P45" s="20">
        <f>+P30+P36+P42+P44</f>
        <v>3609390.48759</v>
      </c>
    </row>
    <row r="46" spans="1:35" ht="8.4499999999999993" customHeight="1">
      <c r="A46" s="10"/>
      <c r="C46" s="49" t="s">
        <v>0</v>
      </c>
      <c r="E46" s="49" t="s">
        <v>0</v>
      </c>
      <c r="G46" s="49" t="s">
        <v>0</v>
      </c>
      <c r="I46" s="52" t="s">
        <v>0</v>
      </c>
      <c r="K46" s="52" t="s">
        <v>0</v>
      </c>
      <c r="M46" s="52" t="s">
        <v>0</v>
      </c>
      <c r="O46" s="52" t="s">
        <v>0</v>
      </c>
    </row>
    <row r="47" spans="1:35">
      <c r="A47" s="86" t="s">
        <v>278</v>
      </c>
      <c r="C47" s="49" t="s">
        <v>0</v>
      </c>
      <c r="E47" s="49" t="s">
        <v>0</v>
      </c>
      <c r="G47" s="49" t="s">
        <v>0</v>
      </c>
      <c r="I47" s="52" t="s">
        <v>0</v>
      </c>
      <c r="K47" s="52" t="s">
        <v>0</v>
      </c>
      <c r="M47" s="52" t="s">
        <v>0</v>
      </c>
      <c r="O47" s="52" t="s">
        <v>0</v>
      </c>
    </row>
    <row r="48" spans="1:35">
      <c r="A48" s="10" t="s">
        <v>279</v>
      </c>
      <c r="B48" s="20">
        <v>150000</v>
      </c>
      <c r="C48" s="49">
        <v>0</v>
      </c>
      <c r="D48" s="20">
        <v>0</v>
      </c>
      <c r="E48" s="49">
        <v>0</v>
      </c>
      <c r="F48" s="20">
        <v>0</v>
      </c>
      <c r="G48" s="49">
        <v>0</v>
      </c>
      <c r="H48" s="20">
        <v>0</v>
      </c>
      <c r="I48" s="52">
        <f>+(B48-J48)/ABS(J48)</f>
        <v>0</v>
      </c>
      <c r="J48" s="20">
        <v>150000</v>
      </c>
      <c r="K48" s="52">
        <f>+(J48-L48)/ABS(L48)</f>
        <v>0</v>
      </c>
      <c r="L48" s="20">
        <v>150000</v>
      </c>
      <c r="M48" s="52">
        <f>+(L48-N48)/ABS(N48)</f>
        <v>0</v>
      </c>
      <c r="N48" s="20">
        <v>150000</v>
      </c>
      <c r="O48" s="52">
        <f>+(N48-P48)/ABS(P48)</f>
        <v>0</v>
      </c>
      <c r="P48" s="20">
        <v>150000</v>
      </c>
    </row>
    <row r="49" spans="1:21">
      <c r="A49" s="10" t="s">
        <v>280</v>
      </c>
      <c r="B49" s="20">
        <v>166509.38644</v>
      </c>
      <c r="C49" s="49">
        <v>0</v>
      </c>
      <c r="D49" s="20">
        <v>0</v>
      </c>
      <c r="E49" s="49">
        <v>0</v>
      </c>
      <c r="F49" s="20">
        <v>0</v>
      </c>
      <c r="G49" s="49">
        <v>0</v>
      </c>
      <c r="H49" s="20">
        <v>0</v>
      </c>
      <c r="I49" s="52">
        <f>+(B49-J49)/ABS(J49)</f>
        <v>6.9341403741664448E-2</v>
      </c>
      <c r="J49" s="20">
        <v>155712.09143999999</v>
      </c>
      <c r="K49" s="52">
        <f>+(J49-L49)/ABS(L49)</f>
        <v>0.11982934298717381</v>
      </c>
      <c r="L49" s="20">
        <v>139049.84042000002</v>
      </c>
      <c r="M49" s="52">
        <f>+(L49-N49)/ABS(N49)</f>
        <v>6.1570754529099297E-2</v>
      </c>
      <c r="N49" s="20">
        <v>130984.99542000001</v>
      </c>
      <c r="O49" s="52">
        <f>+(N49-P49)/ABS(P49)</f>
        <v>1.0878218442013849E-2</v>
      </c>
      <c r="P49" s="20">
        <v>129575.44542</v>
      </c>
    </row>
    <row r="50" spans="1:21">
      <c r="A50" s="10" t="s">
        <v>290</v>
      </c>
      <c r="B50" s="20">
        <v>0</v>
      </c>
      <c r="C50" s="49">
        <v>0</v>
      </c>
      <c r="D50" s="20">
        <v>0</v>
      </c>
      <c r="E50" s="49">
        <v>0</v>
      </c>
      <c r="F50" s="20">
        <v>0</v>
      </c>
      <c r="G50" s="49">
        <v>0</v>
      </c>
      <c r="H50" s="20">
        <v>0</v>
      </c>
      <c r="I50" s="49">
        <v>0</v>
      </c>
      <c r="J50" s="20">
        <v>0</v>
      </c>
      <c r="K50" s="49">
        <v>0</v>
      </c>
      <c r="L50" s="20">
        <v>0</v>
      </c>
      <c r="M50" s="49">
        <v>0</v>
      </c>
      <c r="N50" s="20">
        <v>0</v>
      </c>
      <c r="O50" s="49">
        <v>0</v>
      </c>
      <c r="P50" s="20">
        <v>0</v>
      </c>
    </row>
    <row r="51" spans="1:21" ht="18">
      <c r="A51" s="10" t="s">
        <v>282</v>
      </c>
      <c r="B51" s="199">
        <v>177180.36401000002</v>
      </c>
      <c r="C51" s="49">
        <v>0</v>
      </c>
      <c r="D51" s="199">
        <v>0</v>
      </c>
      <c r="E51" s="49">
        <v>0</v>
      </c>
      <c r="F51" s="199">
        <v>0</v>
      </c>
      <c r="G51" s="49">
        <v>0</v>
      </c>
      <c r="H51" s="199">
        <v>0</v>
      </c>
      <c r="I51" s="52">
        <f>+(B51-J51)/ABS(J51)</f>
        <v>0.10417732865455358</v>
      </c>
      <c r="J51" s="199">
        <v>160463.68586999999</v>
      </c>
      <c r="K51" s="52">
        <f>+(J51-L51)/ABS(L51)</f>
        <v>4.2683907178704725E-2</v>
      </c>
      <c r="L51" s="199">
        <v>153894.85227999999</v>
      </c>
      <c r="M51" s="52">
        <f>+(L51-N51)/ABS(N51)</f>
        <v>0.10789676824508539</v>
      </c>
      <c r="N51" s="199">
        <v>138907.21292000002</v>
      </c>
      <c r="O51" s="52">
        <f>+(N51-P51)/ABS(P51)</f>
        <v>9.52754464981167E-2</v>
      </c>
      <c r="P51" s="199">
        <v>126823.99971999999</v>
      </c>
      <c r="Q51" s="14"/>
      <c r="R51" s="14"/>
      <c r="S51" s="15"/>
      <c r="T51" s="15"/>
      <c r="U51" s="15"/>
    </row>
    <row r="52" spans="1:21" ht="16.5" thickBot="1">
      <c r="A52" s="10" t="s">
        <v>54</v>
      </c>
      <c r="B52" s="79">
        <f>SUM(B48:B51)</f>
        <v>493689.75045000005</v>
      </c>
      <c r="C52" s="49">
        <v>0</v>
      </c>
      <c r="D52" s="79">
        <f>SUM(D48:D51)</f>
        <v>0</v>
      </c>
      <c r="E52" s="49">
        <v>0</v>
      </c>
      <c r="F52" s="79">
        <f>SUM(F48:F51)</f>
        <v>0</v>
      </c>
      <c r="G52" s="49">
        <v>0</v>
      </c>
      <c r="H52" s="79">
        <f>SUM(H48:H51)</f>
        <v>0</v>
      </c>
      <c r="I52" s="52">
        <f>+(B52-J52)/ABS(J52)</f>
        <v>5.9020597978654069E-2</v>
      </c>
      <c r="J52" s="79">
        <f>SUM(J48:J51)</f>
        <v>466175.77730999998</v>
      </c>
      <c r="K52" s="52">
        <f>+(J52-L52)/ABS(L52)</f>
        <v>5.244691943003827E-2</v>
      </c>
      <c r="L52" s="79">
        <f>SUM(L48:L51)</f>
        <v>442944.69270000001</v>
      </c>
      <c r="M52" s="52">
        <f>+(L52-N52)/ABS(N52)</f>
        <v>5.4900957679437756E-2</v>
      </c>
      <c r="N52" s="79">
        <f>SUM(N48:N51)</f>
        <v>419892.20834000001</v>
      </c>
      <c r="O52" s="52">
        <f>+(N52-P52)/ABS(P52)</f>
        <v>3.3200742179537036E-2</v>
      </c>
      <c r="P52" s="79">
        <f>SUM(P48:P51)</f>
        <v>406399.44513999997</v>
      </c>
    </row>
    <row r="53" spans="1:21">
      <c r="A53" s="10" t="s">
        <v>0</v>
      </c>
      <c r="B53" s="13">
        <f>+B30+B36+B42+B44+B52</f>
        <v>6113904.231780001</v>
      </c>
      <c r="C53" s="49">
        <v>0</v>
      </c>
      <c r="D53" s="13">
        <f>+D30+D36+D42+D44+D52</f>
        <v>0</v>
      </c>
      <c r="E53" s="49">
        <v>0</v>
      </c>
      <c r="F53" s="13">
        <f>+F30+F36+F42+F44+F52</f>
        <v>0</v>
      </c>
      <c r="G53" s="49">
        <v>0</v>
      </c>
      <c r="H53" s="13">
        <f>+H30+H36+H42+H44+H52</f>
        <v>0</v>
      </c>
      <c r="I53" s="52">
        <f>+(B53-J53)/ABS(J53)</f>
        <v>7.911261550813907E-2</v>
      </c>
      <c r="J53" s="13">
        <f>+J30+J36+J42+J44+J52</f>
        <v>5665677.6539499993</v>
      </c>
      <c r="K53" s="52">
        <f>+(J53-L53)/ABS(L53)</f>
        <v>0.33947804345904975</v>
      </c>
      <c r="L53" s="13">
        <f>+L30+L36+L42+L44+L52</f>
        <v>4229765.2295359997</v>
      </c>
      <c r="M53" s="52">
        <f>+(L53-N53)/ABS(N53)</f>
        <v>-1.8796199000794558E-2</v>
      </c>
      <c r="N53" s="13">
        <f>+N30+N36+N42+N44+N52</f>
        <v>4310791.72872</v>
      </c>
      <c r="O53" s="52">
        <f>+(N53-P53)/ABS(P53)</f>
        <v>7.346046504714776E-2</v>
      </c>
      <c r="P53" s="13">
        <f>+P30+P36+P42+P44+P52</f>
        <v>4015789.93273</v>
      </c>
    </row>
    <row r="54" spans="1:21">
      <c r="C54" s="48"/>
      <c r="E54" s="48"/>
      <c r="G54" s="48"/>
      <c r="I54" s="88"/>
    </row>
    <row r="55" spans="1:21">
      <c r="C55" s="48"/>
      <c r="E55" s="48"/>
      <c r="G55" s="48"/>
      <c r="I55" s="46"/>
    </row>
    <row r="56" spans="1:21">
      <c r="A56" s="166" t="s">
        <v>283</v>
      </c>
      <c r="C56" s="48"/>
      <c r="E56" s="48"/>
      <c r="G56" s="48"/>
      <c r="I56" s="46"/>
    </row>
    <row r="57" spans="1:21">
      <c r="A57" t="s">
        <v>284</v>
      </c>
      <c r="B57" s="12">
        <v>0</v>
      </c>
      <c r="C57" s="48"/>
      <c r="D57" s="48">
        <v>0</v>
      </c>
      <c r="E57" s="48"/>
      <c r="F57" s="48">
        <v>0</v>
      </c>
      <c r="G57" s="48"/>
      <c r="H57" s="48">
        <v>0</v>
      </c>
      <c r="I57" s="46" t="s">
        <v>0</v>
      </c>
      <c r="J57" s="48">
        <v>0</v>
      </c>
      <c r="K57" s="20"/>
      <c r="L57" s="48">
        <v>0</v>
      </c>
      <c r="M57" s="20"/>
      <c r="N57" s="48">
        <v>0</v>
      </c>
      <c r="O57" s="20"/>
      <c r="P57" s="48">
        <v>0</v>
      </c>
    </row>
    <row r="58" spans="1:21">
      <c r="A58" t="s">
        <v>285</v>
      </c>
      <c r="B58" s="20">
        <v>0</v>
      </c>
      <c r="C58" s="48"/>
      <c r="D58" s="48">
        <v>0</v>
      </c>
      <c r="E58" s="48"/>
      <c r="F58" s="48">
        <v>0</v>
      </c>
      <c r="G58" s="48"/>
      <c r="H58" s="48">
        <v>0</v>
      </c>
      <c r="I58" s="46"/>
      <c r="J58" s="48">
        <v>0</v>
      </c>
      <c r="K58" s="20"/>
      <c r="L58" s="48">
        <v>0</v>
      </c>
      <c r="M58" s="20"/>
      <c r="N58" s="48">
        <v>0</v>
      </c>
      <c r="O58" s="20"/>
      <c r="P58" s="48">
        <v>0</v>
      </c>
    </row>
    <row r="59" spans="1:21">
      <c r="A59" t="s">
        <v>274</v>
      </c>
      <c r="B59" s="20">
        <v>633300.95925700001</v>
      </c>
      <c r="C59" s="48"/>
      <c r="D59" s="20">
        <v>0</v>
      </c>
      <c r="E59" s="48"/>
      <c r="F59" s="20">
        <v>0</v>
      </c>
      <c r="G59" s="48"/>
      <c r="H59" s="20">
        <v>0</v>
      </c>
      <c r="I59" s="46"/>
      <c r="J59" s="20">
        <v>609384.05111899995</v>
      </c>
      <c r="K59" s="20"/>
      <c r="L59" s="20">
        <v>944447.68732000003</v>
      </c>
      <c r="M59" s="20"/>
      <c r="N59" s="20">
        <v>1078134.4024499999</v>
      </c>
      <c r="O59" s="20"/>
      <c r="P59" s="20">
        <v>406029.01094000001</v>
      </c>
    </row>
    <row r="60" spans="1:21">
      <c r="B60"/>
      <c r="C60" s="48"/>
      <c r="D60" s="48"/>
      <c r="E60" s="48"/>
      <c r="F60" s="48"/>
      <c r="G60" s="48"/>
      <c r="H60" s="48"/>
      <c r="I60" s="46"/>
      <c r="J60" s="48"/>
      <c r="K60" s="20"/>
      <c r="L60" s="48"/>
      <c r="M60" s="20"/>
      <c r="N60" s="48"/>
      <c r="O60" s="20"/>
      <c r="P60" s="48"/>
    </row>
    <row r="61" spans="1:21">
      <c r="A61" t="s">
        <v>286</v>
      </c>
      <c r="B61" s="20">
        <v>3411437.504776</v>
      </c>
      <c r="C61" s="49">
        <v>0</v>
      </c>
      <c r="D61" s="20">
        <v>0</v>
      </c>
      <c r="E61" s="49">
        <v>0</v>
      </c>
      <c r="F61" s="20">
        <v>0</v>
      </c>
      <c r="G61" s="49">
        <v>0</v>
      </c>
      <c r="H61" s="20">
        <v>0</v>
      </c>
      <c r="I61" s="52">
        <f>+(B61-J61)/ABS(J61)</f>
        <v>5.0062988160371039E-2</v>
      </c>
      <c r="J61" s="20">
        <v>3248793.2088270001</v>
      </c>
      <c r="K61" s="52">
        <f>+(J61-L61)/ABS(L61)</f>
        <v>0.25114725378381214</v>
      </c>
      <c r="L61" s="20">
        <v>2596651.3525900003</v>
      </c>
      <c r="M61" s="52">
        <f>+(L61-N61)/ABS(N61)</f>
        <v>0.20020166812265555</v>
      </c>
      <c r="N61" s="20">
        <v>2163512.5342323999</v>
      </c>
      <c r="O61" s="52">
        <f>+(N61-P61)/ABS(P61)</f>
        <v>0.20409812954578116</v>
      </c>
      <c r="P61" s="20">
        <v>1796790.877043</v>
      </c>
    </row>
    <row r="62" spans="1:21">
      <c r="A62" t="s">
        <v>225</v>
      </c>
      <c r="B62" s="20">
        <v>66133.246619999991</v>
      </c>
      <c r="C62" s="49">
        <v>0</v>
      </c>
      <c r="D62" s="20">
        <v>0</v>
      </c>
      <c r="E62" s="49">
        <v>0</v>
      </c>
      <c r="F62" s="20">
        <v>0</v>
      </c>
      <c r="G62" s="49">
        <v>0</v>
      </c>
      <c r="H62" s="20">
        <v>0</v>
      </c>
      <c r="I62" s="52">
        <f>+(B62-J62)/ABS(J62)</f>
        <v>-3.1526307947678439E-2</v>
      </c>
      <c r="J62" s="20">
        <v>68286.053780000002</v>
      </c>
      <c r="K62" s="52">
        <f>+(J62-L62)/ABS(L62)</f>
        <v>-4.8120295434082701E-2</v>
      </c>
      <c r="L62" s="20">
        <v>71738.112970000002</v>
      </c>
      <c r="M62" s="52">
        <f>+(L62-N62)/ABS(N62)</f>
        <v>-2.7643969293652169E-2</v>
      </c>
      <c r="N62" s="20">
        <v>73777.619210000004</v>
      </c>
      <c r="O62" s="52">
        <f>+(N62-P62)/ABS(P62)</f>
        <v>-7.2988741586547487E-2</v>
      </c>
      <c r="P62" s="20">
        <v>79586.540659999999</v>
      </c>
    </row>
    <row r="63" spans="1:21">
      <c r="A63" t="s">
        <v>287</v>
      </c>
      <c r="B63" s="20">
        <v>326413.32256</v>
      </c>
      <c r="C63" s="49">
        <v>0</v>
      </c>
      <c r="D63" s="20">
        <v>0</v>
      </c>
      <c r="E63" s="49">
        <v>0</v>
      </c>
      <c r="F63" s="20">
        <v>0</v>
      </c>
      <c r="G63" s="49">
        <v>0</v>
      </c>
      <c r="H63" s="20">
        <v>0</v>
      </c>
      <c r="I63" s="52">
        <f>+(B63-J63)/ABS(J63)</f>
        <v>7.519239262693056E-2</v>
      </c>
      <c r="J63" s="20">
        <v>303585.96730999998</v>
      </c>
      <c r="K63" s="52">
        <f>+(J63-L63)/ABS(L63)</f>
        <v>0.6781593276124589</v>
      </c>
      <c r="L63" s="20">
        <v>180904.13842999999</v>
      </c>
      <c r="M63" s="52">
        <f>+(L63-N63)/ABS(N63)</f>
        <v>0.44006707491246294</v>
      </c>
      <c r="N63" s="20">
        <v>125622.022461</v>
      </c>
      <c r="O63" s="52">
        <f>+(N63-P63)/ABS(P63)</f>
        <v>6.3106029251237816E-2</v>
      </c>
      <c r="P63" s="20">
        <v>118165.0926667</v>
      </c>
    </row>
    <row r="64" spans="1:21">
      <c r="C64" s="52" t="s">
        <v>0</v>
      </c>
    </row>
    <row r="65" spans="2:16">
      <c r="H65" s="23" t="s">
        <v>0</v>
      </c>
    </row>
    <row r="68" spans="2:16">
      <c r="B68"/>
      <c r="C68"/>
      <c r="D68"/>
      <c r="E68"/>
      <c r="F68"/>
      <c r="G68"/>
      <c r="H68"/>
      <c r="I68"/>
      <c r="J68"/>
      <c r="K68"/>
      <c r="L68"/>
      <c r="M68"/>
      <c r="N68"/>
      <c r="O68"/>
      <c r="P68"/>
    </row>
    <row r="69" spans="2:16">
      <c r="B69"/>
      <c r="C69"/>
      <c r="D69"/>
      <c r="E69"/>
      <c r="F69"/>
      <c r="G69"/>
      <c r="H69"/>
      <c r="I69"/>
      <c r="J69"/>
      <c r="K69"/>
      <c r="L69"/>
      <c r="M69"/>
      <c r="N69"/>
      <c r="O69"/>
      <c r="P69"/>
    </row>
    <row r="70" spans="2:16">
      <c r="B70"/>
      <c r="C70"/>
      <c r="D70"/>
      <c r="E70"/>
      <c r="F70"/>
      <c r="G70"/>
      <c r="H70"/>
      <c r="I70"/>
      <c r="J70"/>
      <c r="K70"/>
      <c r="L70"/>
      <c r="M70"/>
      <c r="N70"/>
      <c r="O70"/>
      <c r="P70"/>
    </row>
    <row r="71" spans="2:16">
      <c r="B71"/>
      <c r="C71"/>
      <c r="D71"/>
      <c r="E71"/>
      <c r="F71"/>
      <c r="G71"/>
      <c r="H71"/>
      <c r="I71"/>
      <c r="J71"/>
      <c r="K71"/>
      <c r="L71"/>
      <c r="M71"/>
      <c r="N71"/>
      <c r="O71"/>
      <c r="P71"/>
    </row>
    <row r="72" spans="2:16">
      <c r="B72"/>
      <c r="C72"/>
      <c r="D72"/>
      <c r="E72"/>
      <c r="F72"/>
      <c r="G72"/>
      <c r="H72"/>
      <c r="I72"/>
      <c r="J72"/>
      <c r="K72"/>
      <c r="L72"/>
      <c r="M72"/>
      <c r="N72"/>
      <c r="O72"/>
      <c r="P72"/>
    </row>
    <row r="73" spans="2:16">
      <c r="B73"/>
      <c r="C73"/>
      <c r="D73"/>
      <c r="E73"/>
      <c r="F73"/>
      <c r="G73"/>
      <c r="H73"/>
      <c r="I73"/>
      <c r="J73"/>
      <c r="K73"/>
      <c r="L73"/>
      <c r="M73"/>
      <c r="N73"/>
      <c r="O73"/>
      <c r="P73"/>
    </row>
    <row r="74" spans="2:16">
      <c r="B74"/>
      <c r="C74"/>
      <c r="D74"/>
      <c r="E74"/>
      <c r="F74"/>
      <c r="G74"/>
      <c r="H74"/>
      <c r="I74"/>
      <c r="J74"/>
      <c r="K74"/>
      <c r="L74"/>
      <c r="M74"/>
      <c r="N74"/>
      <c r="O74"/>
      <c r="P74"/>
    </row>
    <row r="75" spans="2:16">
      <c r="B75"/>
      <c r="C75"/>
      <c r="D75"/>
      <c r="E75"/>
      <c r="F75"/>
      <c r="G75"/>
      <c r="H75"/>
      <c r="I75"/>
      <c r="J75"/>
      <c r="K75"/>
      <c r="L75"/>
      <c r="M75"/>
      <c r="N75"/>
      <c r="O75"/>
      <c r="P75"/>
    </row>
    <row r="76" spans="2:16">
      <c r="B76"/>
      <c r="C76"/>
      <c r="D76"/>
      <c r="E76"/>
      <c r="F76"/>
      <c r="G76"/>
      <c r="H76"/>
      <c r="I76"/>
      <c r="J76"/>
      <c r="K76"/>
      <c r="L76"/>
      <c r="M76"/>
      <c r="N76"/>
      <c r="O76"/>
      <c r="P76"/>
    </row>
    <row r="77" spans="2:16">
      <c r="B77"/>
      <c r="C77"/>
      <c r="D77"/>
      <c r="E77"/>
      <c r="F77"/>
      <c r="G77"/>
      <c r="H77"/>
      <c r="I77"/>
      <c r="J77"/>
      <c r="K77"/>
      <c r="L77"/>
      <c r="M77"/>
      <c r="N77"/>
      <c r="O77"/>
      <c r="P77"/>
    </row>
    <row r="78" spans="2:16">
      <c r="B78"/>
      <c r="C78"/>
      <c r="D78"/>
      <c r="E78"/>
      <c r="F78"/>
      <c r="G78"/>
      <c r="H78"/>
      <c r="I78"/>
      <c r="J78"/>
      <c r="K78"/>
      <c r="L78"/>
      <c r="M78"/>
      <c r="N78"/>
      <c r="O78"/>
      <c r="P78"/>
    </row>
    <row r="79" spans="2:16">
      <c r="B79"/>
      <c r="C79"/>
      <c r="D79"/>
      <c r="E79"/>
      <c r="F79"/>
      <c r="G79"/>
      <c r="H79"/>
      <c r="I79"/>
      <c r="J79"/>
      <c r="K79"/>
      <c r="L79"/>
      <c r="M79"/>
      <c r="N79"/>
      <c r="O79"/>
      <c r="P79"/>
    </row>
    <row r="80" spans="2:16">
      <c r="B80"/>
      <c r="C80"/>
      <c r="D80"/>
      <c r="E80"/>
      <c r="F80"/>
      <c r="G80"/>
      <c r="H80"/>
      <c r="I80"/>
      <c r="J80"/>
      <c r="K80"/>
      <c r="L80"/>
      <c r="M80"/>
      <c r="N80"/>
      <c r="O80"/>
      <c r="P80"/>
    </row>
    <row r="81" spans="2:16">
      <c r="B81"/>
      <c r="C81"/>
      <c r="D81"/>
      <c r="E81"/>
      <c r="F81"/>
      <c r="G81"/>
      <c r="H81"/>
      <c r="I81"/>
      <c r="J81"/>
      <c r="K81"/>
      <c r="L81"/>
      <c r="M81"/>
      <c r="N81"/>
      <c r="O81"/>
      <c r="P81"/>
    </row>
    <row r="82" spans="2:16">
      <c r="B82"/>
      <c r="C82"/>
      <c r="D82"/>
      <c r="E82"/>
      <c r="F82"/>
      <c r="G82"/>
      <c r="H82"/>
      <c r="I82"/>
      <c r="J82"/>
      <c r="K82"/>
      <c r="L82"/>
      <c r="M82"/>
      <c r="N82"/>
      <c r="O82"/>
      <c r="P82"/>
    </row>
    <row r="83" spans="2:16">
      <c r="B83"/>
      <c r="C83"/>
      <c r="D83"/>
      <c r="E83"/>
      <c r="F83"/>
      <c r="G83"/>
      <c r="H83"/>
      <c r="I83"/>
      <c r="J83"/>
      <c r="K83"/>
      <c r="L83"/>
      <c r="M83"/>
      <c r="N83"/>
      <c r="O83"/>
      <c r="P83"/>
    </row>
    <row r="84" spans="2:16">
      <c r="B84"/>
      <c r="C84"/>
      <c r="D84"/>
      <c r="E84"/>
      <c r="F84"/>
      <c r="G84"/>
      <c r="H84"/>
      <c r="I84"/>
      <c r="J84"/>
      <c r="K84"/>
      <c r="L84"/>
      <c r="M84"/>
      <c r="N84"/>
      <c r="O84"/>
      <c r="P84"/>
    </row>
    <row r="85" spans="2:16">
      <c r="B85"/>
      <c r="C85"/>
      <c r="D85"/>
      <c r="E85"/>
      <c r="F85"/>
      <c r="G85"/>
      <c r="H85"/>
      <c r="I85"/>
      <c r="J85"/>
      <c r="K85"/>
      <c r="L85"/>
      <c r="M85"/>
      <c r="N85"/>
      <c r="O85"/>
      <c r="P85"/>
    </row>
    <row r="86" spans="2:16">
      <c r="B86"/>
      <c r="C86"/>
      <c r="D86"/>
      <c r="E86"/>
      <c r="F86"/>
      <c r="G86"/>
      <c r="H86"/>
      <c r="I86"/>
      <c r="J86"/>
      <c r="K86"/>
      <c r="L86"/>
      <c r="M86"/>
      <c r="N86"/>
      <c r="O86"/>
      <c r="P86"/>
    </row>
    <row r="87" spans="2:16">
      <c r="B87"/>
      <c r="C87"/>
      <c r="D87"/>
      <c r="E87"/>
      <c r="F87"/>
      <c r="G87"/>
      <c r="H87"/>
      <c r="I87"/>
      <c r="J87"/>
      <c r="K87"/>
      <c r="L87"/>
      <c r="M87"/>
      <c r="N87"/>
      <c r="O87"/>
      <c r="P87"/>
    </row>
    <row r="88" spans="2:16">
      <c r="B88"/>
      <c r="C88"/>
      <c r="D88"/>
      <c r="E88"/>
      <c r="F88"/>
      <c r="G88"/>
      <c r="H88"/>
      <c r="I88"/>
      <c r="J88"/>
      <c r="K88"/>
      <c r="L88"/>
      <c r="M88"/>
      <c r="N88"/>
      <c r="O88"/>
      <c r="P88"/>
    </row>
    <row r="89" spans="2:16">
      <c r="B89"/>
      <c r="C89"/>
      <c r="D89"/>
      <c r="E89"/>
      <c r="F89"/>
      <c r="G89"/>
      <c r="H89"/>
      <c r="I89"/>
      <c r="J89"/>
      <c r="K89"/>
      <c r="L89"/>
      <c r="M89"/>
      <c r="N89"/>
      <c r="O89"/>
      <c r="P89"/>
    </row>
    <row r="90" spans="2:16">
      <c r="B90"/>
      <c r="C90"/>
      <c r="D90"/>
      <c r="E90"/>
      <c r="F90"/>
      <c r="G90"/>
      <c r="H90"/>
      <c r="I90"/>
      <c r="J90"/>
      <c r="K90"/>
      <c r="L90"/>
      <c r="M90"/>
      <c r="N90"/>
      <c r="O90"/>
      <c r="P90"/>
    </row>
    <row r="91" spans="2:16">
      <c r="B91"/>
      <c r="C91"/>
      <c r="D91"/>
      <c r="E91"/>
      <c r="F91"/>
      <c r="G91"/>
      <c r="H91"/>
      <c r="I91"/>
      <c r="J91"/>
      <c r="K91"/>
      <c r="L91"/>
      <c r="M91"/>
      <c r="N91"/>
      <c r="O91"/>
      <c r="P91"/>
    </row>
    <row r="92" spans="2:16">
      <c r="B92"/>
      <c r="C92"/>
      <c r="D92"/>
      <c r="E92"/>
      <c r="F92"/>
      <c r="G92"/>
      <c r="H92"/>
      <c r="I92"/>
      <c r="J92"/>
      <c r="K92"/>
      <c r="L92"/>
      <c r="M92"/>
      <c r="N92"/>
      <c r="O92"/>
      <c r="P92"/>
    </row>
    <row r="93" spans="2:16">
      <c r="B93"/>
      <c r="C93"/>
      <c r="D93"/>
      <c r="E93"/>
      <c r="F93"/>
      <c r="G93"/>
      <c r="H93"/>
      <c r="I93"/>
      <c r="J93"/>
      <c r="K93"/>
      <c r="L93"/>
      <c r="M93"/>
      <c r="N93"/>
      <c r="O93"/>
      <c r="P93"/>
    </row>
    <row r="94" spans="2:16">
      <c r="B94"/>
      <c r="C94"/>
      <c r="D94"/>
      <c r="E94"/>
      <c r="F94"/>
      <c r="G94"/>
      <c r="H94"/>
      <c r="I94"/>
      <c r="J94"/>
      <c r="K94"/>
      <c r="L94"/>
      <c r="M94"/>
      <c r="N94"/>
      <c r="O94"/>
      <c r="P94"/>
    </row>
    <row r="95" spans="2:16">
      <c r="B95"/>
      <c r="C95"/>
      <c r="D95"/>
      <c r="E95"/>
      <c r="F95"/>
      <c r="G95"/>
      <c r="H95"/>
      <c r="I95"/>
      <c r="J95"/>
      <c r="K95"/>
      <c r="L95"/>
      <c r="M95"/>
      <c r="N95"/>
      <c r="O95"/>
      <c r="P95"/>
    </row>
    <row r="96" spans="2:16">
      <c r="B96"/>
      <c r="C96"/>
      <c r="D96"/>
      <c r="E96"/>
      <c r="F96"/>
      <c r="G96"/>
      <c r="H96"/>
      <c r="I96"/>
      <c r="J96"/>
      <c r="K96"/>
      <c r="L96"/>
      <c r="M96"/>
      <c r="N96"/>
      <c r="O96"/>
      <c r="P96"/>
    </row>
    <row r="97" spans="2:16">
      <c r="B97"/>
      <c r="C97"/>
      <c r="D97"/>
      <c r="E97"/>
      <c r="F97"/>
      <c r="G97"/>
      <c r="H97"/>
      <c r="I97"/>
      <c r="J97"/>
      <c r="K97"/>
      <c r="L97"/>
      <c r="M97"/>
      <c r="N97"/>
      <c r="O97"/>
      <c r="P97"/>
    </row>
    <row r="98" spans="2:16">
      <c r="B98"/>
      <c r="C98"/>
      <c r="D98"/>
      <c r="E98"/>
      <c r="F98"/>
      <c r="G98"/>
      <c r="H98"/>
      <c r="I98"/>
      <c r="J98"/>
      <c r="K98"/>
      <c r="L98"/>
      <c r="M98"/>
      <c r="N98"/>
      <c r="O98"/>
      <c r="P98"/>
    </row>
    <row r="99" spans="2:16">
      <c r="B99"/>
      <c r="C99"/>
      <c r="D99"/>
      <c r="E99"/>
      <c r="F99"/>
      <c r="G99"/>
      <c r="H99"/>
      <c r="I99"/>
      <c r="J99"/>
      <c r="K99"/>
      <c r="L99"/>
      <c r="M99"/>
      <c r="N99"/>
      <c r="O99"/>
      <c r="P99"/>
    </row>
    <row r="100" spans="2:16">
      <c r="B100"/>
      <c r="C100"/>
      <c r="D100"/>
      <c r="E100"/>
      <c r="F100"/>
      <c r="G100"/>
      <c r="H100"/>
      <c r="I100"/>
      <c r="J100"/>
      <c r="K100"/>
      <c r="L100"/>
      <c r="M100"/>
      <c r="N100"/>
      <c r="O100"/>
      <c r="P100"/>
    </row>
    <row r="101" spans="2:16">
      <c r="B101"/>
      <c r="C101"/>
      <c r="D101"/>
      <c r="E101"/>
      <c r="F101"/>
      <c r="G101"/>
      <c r="H101"/>
      <c r="I101"/>
      <c r="J101"/>
      <c r="K101"/>
      <c r="L101"/>
      <c r="M101"/>
      <c r="N101"/>
      <c r="O101"/>
      <c r="P101"/>
    </row>
    <row r="102" spans="2:16">
      <c r="B102"/>
      <c r="C102"/>
      <c r="D102"/>
      <c r="E102"/>
      <c r="F102"/>
      <c r="G102"/>
      <c r="H102"/>
      <c r="I102"/>
      <c r="J102"/>
      <c r="K102"/>
      <c r="L102"/>
      <c r="M102"/>
      <c r="N102"/>
      <c r="O102"/>
      <c r="P102"/>
    </row>
    <row r="103" spans="2:16">
      <c r="B103"/>
      <c r="C103"/>
      <c r="D103"/>
      <c r="E103"/>
      <c r="F103"/>
      <c r="G103"/>
      <c r="H103"/>
      <c r="I103"/>
      <c r="J103"/>
      <c r="K103"/>
      <c r="L103"/>
      <c r="M103"/>
      <c r="N103"/>
      <c r="O103"/>
      <c r="P103"/>
    </row>
    <row r="104" spans="2:16">
      <c r="B104"/>
      <c r="C104"/>
      <c r="D104"/>
      <c r="E104"/>
      <c r="F104"/>
      <c r="G104"/>
      <c r="H104"/>
      <c r="I104"/>
      <c r="J104"/>
      <c r="K104"/>
      <c r="L104"/>
      <c r="M104"/>
      <c r="N104"/>
      <c r="O104"/>
      <c r="P104"/>
    </row>
    <row r="105" spans="2:16">
      <c r="B105"/>
      <c r="C105"/>
      <c r="D105"/>
      <c r="E105"/>
      <c r="F105"/>
      <c r="G105"/>
      <c r="H105"/>
      <c r="I105"/>
      <c r="J105"/>
      <c r="K105"/>
      <c r="L105"/>
      <c r="M105"/>
      <c r="N105"/>
      <c r="O105"/>
      <c r="P105"/>
    </row>
    <row r="106" spans="2:16">
      <c r="B106"/>
      <c r="C106"/>
      <c r="D106"/>
      <c r="E106"/>
      <c r="F106"/>
      <c r="G106"/>
      <c r="H106"/>
      <c r="I106"/>
      <c r="J106"/>
      <c r="K106"/>
      <c r="L106"/>
      <c r="M106"/>
      <c r="N106"/>
      <c r="O106"/>
      <c r="P106"/>
    </row>
    <row r="107" spans="2:16">
      <c r="B107"/>
      <c r="C107"/>
      <c r="D107"/>
      <c r="E107"/>
      <c r="F107"/>
      <c r="G107"/>
      <c r="H107"/>
      <c r="I107"/>
      <c r="J107"/>
      <c r="K107"/>
      <c r="L107"/>
      <c r="M107"/>
      <c r="N107"/>
      <c r="O107"/>
      <c r="P107"/>
    </row>
    <row r="108" spans="2:16">
      <c r="B108"/>
      <c r="C108"/>
      <c r="D108"/>
      <c r="E108"/>
      <c r="F108"/>
      <c r="G108"/>
      <c r="H108"/>
      <c r="I108"/>
      <c r="J108"/>
      <c r="K108"/>
      <c r="L108"/>
      <c r="M108"/>
      <c r="N108"/>
      <c r="O108"/>
      <c r="P108"/>
    </row>
    <row r="109" spans="2:16">
      <c r="B109"/>
      <c r="C109"/>
      <c r="D109"/>
      <c r="E109"/>
      <c r="F109"/>
      <c r="G109"/>
      <c r="H109"/>
      <c r="I109"/>
      <c r="J109"/>
      <c r="K109"/>
      <c r="L109"/>
      <c r="M109"/>
      <c r="N109"/>
      <c r="O109"/>
      <c r="P109"/>
    </row>
    <row r="110" spans="2:16">
      <c r="B110"/>
      <c r="C110"/>
      <c r="D110"/>
      <c r="E110"/>
      <c r="F110"/>
      <c r="G110"/>
      <c r="H110"/>
      <c r="I110"/>
      <c r="J110"/>
      <c r="K110"/>
      <c r="L110"/>
      <c r="M110"/>
      <c r="N110"/>
      <c r="O110"/>
      <c r="P110"/>
    </row>
    <row r="111" spans="2:16">
      <c r="B111"/>
      <c r="C111"/>
      <c r="D111"/>
      <c r="E111"/>
      <c r="F111"/>
      <c r="G111"/>
      <c r="H111"/>
      <c r="I111"/>
      <c r="J111"/>
      <c r="K111"/>
      <c r="L111"/>
      <c r="M111"/>
      <c r="N111"/>
      <c r="O111"/>
      <c r="P111"/>
    </row>
    <row r="112" spans="2:16">
      <c r="B112"/>
      <c r="C112"/>
      <c r="D112"/>
      <c r="E112"/>
      <c r="F112"/>
      <c r="G112"/>
      <c r="H112"/>
      <c r="I112"/>
      <c r="J112"/>
      <c r="K112"/>
      <c r="L112"/>
      <c r="M112"/>
      <c r="N112"/>
      <c r="O112"/>
      <c r="P112"/>
    </row>
    <row r="113" spans="2:16">
      <c r="B113"/>
      <c r="C113"/>
      <c r="D113"/>
      <c r="E113"/>
      <c r="F113"/>
      <c r="G113"/>
      <c r="H113"/>
      <c r="I113"/>
      <c r="J113"/>
      <c r="K113"/>
      <c r="L113"/>
      <c r="M113"/>
      <c r="N113"/>
      <c r="O113"/>
      <c r="P113"/>
    </row>
    <row r="114" spans="2:16">
      <c r="B114"/>
      <c r="C114"/>
      <c r="D114"/>
      <c r="E114"/>
      <c r="F114"/>
      <c r="G114"/>
      <c r="H114"/>
      <c r="I114"/>
      <c r="J114"/>
      <c r="K114"/>
      <c r="L114"/>
      <c r="M114"/>
      <c r="N114"/>
      <c r="O114"/>
      <c r="P114"/>
    </row>
    <row r="115" spans="2:16">
      <c r="B115"/>
      <c r="C115"/>
      <c r="D115"/>
      <c r="E115"/>
      <c r="F115"/>
      <c r="G115"/>
      <c r="H115"/>
      <c r="I115"/>
      <c r="J115"/>
      <c r="K115"/>
      <c r="L115"/>
      <c r="M115"/>
      <c r="N115"/>
      <c r="O115"/>
      <c r="P115"/>
    </row>
    <row r="116" spans="2:16">
      <c r="B116"/>
      <c r="C116"/>
      <c r="D116"/>
      <c r="E116"/>
      <c r="F116"/>
      <c r="G116"/>
      <c r="H116"/>
      <c r="I116"/>
      <c r="J116"/>
      <c r="K116"/>
      <c r="L116"/>
      <c r="M116"/>
      <c r="N116"/>
      <c r="O116"/>
      <c r="P116"/>
    </row>
    <row r="117" spans="2:16">
      <c r="B117"/>
      <c r="C117"/>
      <c r="D117"/>
      <c r="E117"/>
      <c r="F117"/>
      <c r="G117"/>
      <c r="H117"/>
      <c r="I117"/>
      <c r="J117"/>
      <c r="K117"/>
      <c r="L117"/>
      <c r="M117"/>
      <c r="N117"/>
      <c r="O117"/>
      <c r="P117"/>
    </row>
    <row r="118" spans="2:16">
      <c r="B118"/>
      <c r="C118"/>
      <c r="D118"/>
      <c r="E118"/>
      <c r="F118"/>
      <c r="G118"/>
      <c r="H118"/>
      <c r="I118"/>
      <c r="J118"/>
      <c r="K118"/>
      <c r="L118"/>
      <c r="M118"/>
      <c r="N118"/>
      <c r="O118"/>
      <c r="P118"/>
    </row>
    <row r="119" spans="2:16">
      <c r="B119"/>
      <c r="C119"/>
      <c r="D119"/>
      <c r="E119"/>
      <c r="F119"/>
      <c r="G119"/>
      <c r="H119"/>
      <c r="I119"/>
      <c r="J119"/>
      <c r="K119"/>
      <c r="L119"/>
      <c r="M119"/>
      <c r="N119"/>
      <c r="O119"/>
      <c r="P119"/>
    </row>
    <row r="120" spans="2:16">
      <c r="B120"/>
      <c r="C120"/>
      <c r="D120"/>
      <c r="E120"/>
      <c r="F120"/>
      <c r="G120"/>
      <c r="H120"/>
      <c r="I120"/>
      <c r="J120"/>
      <c r="K120"/>
      <c r="L120"/>
      <c r="M120"/>
      <c r="N120"/>
      <c r="O120"/>
      <c r="P120"/>
    </row>
    <row r="121" spans="2:16">
      <c r="B121"/>
      <c r="C121"/>
      <c r="D121"/>
      <c r="E121"/>
      <c r="F121"/>
      <c r="G121"/>
      <c r="H121"/>
      <c r="I121"/>
      <c r="J121"/>
      <c r="K121"/>
      <c r="L121"/>
      <c r="M121"/>
      <c r="N121"/>
      <c r="O121"/>
      <c r="P121"/>
    </row>
    <row r="122" spans="2:16">
      <c r="B122"/>
      <c r="C122"/>
      <c r="D122"/>
      <c r="E122"/>
      <c r="F122"/>
      <c r="G122"/>
      <c r="H122"/>
      <c r="I122"/>
      <c r="J122"/>
      <c r="K122"/>
      <c r="L122"/>
      <c r="M122"/>
      <c r="N122"/>
      <c r="O122"/>
      <c r="P122"/>
    </row>
    <row r="123" spans="2:16">
      <c r="B123"/>
      <c r="C123"/>
      <c r="D123"/>
      <c r="E123"/>
      <c r="F123"/>
      <c r="G123"/>
      <c r="H123"/>
      <c r="I123"/>
      <c r="J123"/>
      <c r="K123"/>
      <c r="L123"/>
      <c r="M123"/>
      <c r="N123"/>
      <c r="O123"/>
      <c r="P123"/>
    </row>
    <row r="124" spans="2:16">
      <c r="B124"/>
      <c r="C124"/>
      <c r="D124"/>
      <c r="E124"/>
      <c r="F124"/>
      <c r="G124"/>
      <c r="H124"/>
      <c r="I124"/>
      <c r="J124"/>
      <c r="K124"/>
      <c r="L124"/>
      <c r="M124"/>
      <c r="N124"/>
      <c r="O124"/>
      <c r="P124"/>
    </row>
    <row r="125" spans="2:16">
      <c r="B125"/>
      <c r="C125"/>
      <c r="D125"/>
      <c r="E125"/>
      <c r="F125"/>
      <c r="G125"/>
      <c r="H125"/>
      <c r="I125"/>
      <c r="J125"/>
      <c r="K125"/>
      <c r="L125"/>
      <c r="M125"/>
      <c r="N125"/>
      <c r="O125"/>
      <c r="P125"/>
    </row>
    <row r="126" spans="2:16">
      <c r="B126"/>
      <c r="C126"/>
      <c r="D126"/>
      <c r="E126"/>
      <c r="F126"/>
      <c r="G126"/>
      <c r="H126"/>
      <c r="I126"/>
      <c r="J126"/>
      <c r="K126"/>
      <c r="L126"/>
      <c r="M126"/>
      <c r="N126"/>
      <c r="O126"/>
      <c r="P126"/>
    </row>
    <row r="127" spans="2:16">
      <c r="B127"/>
      <c r="C127"/>
      <c r="D127"/>
      <c r="E127"/>
      <c r="F127"/>
      <c r="G127"/>
      <c r="H127"/>
      <c r="I127"/>
      <c r="J127"/>
      <c r="K127"/>
      <c r="L127"/>
      <c r="M127"/>
      <c r="N127"/>
      <c r="O127"/>
      <c r="P127"/>
    </row>
    <row r="128" spans="2:16">
      <c r="B128"/>
      <c r="C128"/>
      <c r="D128"/>
      <c r="E128"/>
      <c r="F128"/>
      <c r="G128"/>
      <c r="H128"/>
      <c r="I128"/>
      <c r="J128"/>
      <c r="K128"/>
      <c r="L128"/>
      <c r="M128"/>
      <c r="N128"/>
      <c r="O128"/>
      <c r="P128"/>
    </row>
    <row r="129" spans="2:16">
      <c r="B129"/>
      <c r="C129"/>
      <c r="D129"/>
      <c r="E129"/>
      <c r="F129"/>
      <c r="G129"/>
      <c r="H129"/>
      <c r="I129"/>
      <c r="J129"/>
      <c r="K129"/>
      <c r="L129"/>
      <c r="M129"/>
      <c r="N129"/>
      <c r="O129"/>
      <c r="P129"/>
    </row>
    <row r="130" spans="2:16">
      <c r="B130"/>
      <c r="C130"/>
      <c r="D130"/>
      <c r="E130"/>
      <c r="F130"/>
      <c r="G130"/>
      <c r="H130"/>
      <c r="I130"/>
      <c r="J130"/>
      <c r="K130"/>
      <c r="L130"/>
      <c r="M130"/>
      <c r="N130"/>
      <c r="O130"/>
      <c r="P130"/>
    </row>
    <row r="131" spans="2:16">
      <c r="B131"/>
      <c r="C131"/>
      <c r="D131"/>
      <c r="E131"/>
      <c r="F131"/>
      <c r="G131"/>
      <c r="H131"/>
      <c r="I131"/>
      <c r="J131"/>
      <c r="K131"/>
      <c r="L131"/>
      <c r="M131"/>
      <c r="N131"/>
      <c r="O131"/>
      <c r="P131"/>
    </row>
    <row r="132" spans="2:16">
      <c r="B132"/>
      <c r="C132"/>
      <c r="D132"/>
      <c r="E132"/>
      <c r="F132"/>
      <c r="G132"/>
      <c r="H132"/>
      <c r="I132"/>
      <c r="J132"/>
      <c r="K132"/>
      <c r="L132"/>
      <c r="M132"/>
      <c r="N132"/>
      <c r="O132"/>
      <c r="P132"/>
    </row>
    <row r="133" spans="2:16">
      <c r="B133"/>
      <c r="C133"/>
      <c r="D133"/>
      <c r="E133"/>
      <c r="F133"/>
      <c r="G133"/>
      <c r="H133"/>
      <c r="I133"/>
      <c r="J133"/>
      <c r="K133"/>
      <c r="L133"/>
      <c r="M133"/>
      <c r="N133"/>
      <c r="O133"/>
      <c r="P133"/>
    </row>
    <row r="134" spans="2:16">
      <c r="B134"/>
      <c r="C134"/>
      <c r="D134"/>
      <c r="E134"/>
      <c r="F134"/>
      <c r="G134"/>
      <c r="H134"/>
      <c r="I134"/>
      <c r="J134"/>
      <c r="K134"/>
      <c r="L134"/>
      <c r="M134"/>
      <c r="N134"/>
      <c r="O134"/>
      <c r="P134"/>
    </row>
    <row r="135" spans="2:16">
      <c r="B135"/>
      <c r="C135"/>
      <c r="D135"/>
      <c r="E135"/>
      <c r="F135"/>
      <c r="G135"/>
      <c r="H135"/>
      <c r="I135"/>
      <c r="J135"/>
      <c r="K135"/>
      <c r="L135"/>
      <c r="M135"/>
      <c r="N135"/>
      <c r="O135"/>
      <c r="P135"/>
    </row>
    <row r="136" spans="2:16">
      <c r="B136"/>
      <c r="C136"/>
      <c r="D136"/>
      <c r="E136"/>
      <c r="F136"/>
      <c r="G136"/>
      <c r="H136"/>
      <c r="I136"/>
      <c r="J136"/>
      <c r="K136"/>
      <c r="L136"/>
      <c r="M136"/>
      <c r="N136"/>
      <c r="O136"/>
      <c r="P136"/>
    </row>
    <row r="137" spans="2:16">
      <c r="B137"/>
      <c r="C137"/>
      <c r="D137"/>
      <c r="E137"/>
      <c r="F137"/>
      <c r="G137"/>
      <c r="H137"/>
      <c r="I137"/>
      <c r="J137"/>
      <c r="K137"/>
      <c r="L137"/>
      <c r="M137"/>
      <c r="N137"/>
      <c r="O137"/>
      <c r="P137"/>
    </row>
    <row r="138" spans="2:16">
      <c r="B138"/>
      <c r="C138"/>
      <c r="D138"/>
      <c r="E138"/>
      <c r="F138"/>
      <c r="G138"/>
      <c r="H138"/>
      <c r="I138"/>
      <c r="J138"/>
      <c r="K138"/>
      <c r="L138"/>
      <c r="M138"/>
      <c r="N138"/>
      <c r="O138"/>
      <c r="P138"/>
    </row>
    <row r="139" spans="2:16">
      <c r="B139"/>
      <c r="C139"/>
      <c r="D139"/>
      <c r="E139"/>
      <c r="F139"/>
      <c r="G139"/>
      <c r="H139"/>
      <c r="I139"/>
      <c r="J139"/>
      <c r="K139"/>
      <c r="L139"/>
      <c r="M139"/>
      <c r="N139"/>
      <c r="O139"/>
      <c r="P139"/>
    </row>
    <row r="140" spans="2:16">
      <c r="B140"/>
      <c r="C140"/>
      <c r="D140"/>
      <c r="E140"/>
      <c r="F140"/>
      <c r="G140"/>
      <c r="H140"/>
      <c r="I140"/>
      <c r="J140"/>
      <c r="K140"/>
      <c r="L140"/>
      <c r="M140"/>
      <c r="N140"/>
      <c r="O140"/>
      <c r="P140"/>
    </row>
    <row r="141" spans="2:16">
      <c r="B141"/>
      <c r="C141"/>
      <c r="D141"/>
      <c r="E141"/>
      <c r="F141"/>
      <c r="G141"/>
      <c r="H141"/>
      <c r="I141"/>
      <c r="J141"/>
      <c r="K141"/>
      <c r="L141"/>
      <c r="M141"/>
      <c r="N141"/>
      <c r="O141"/>
      <c r="P141"/>
    </row>
    <row r="142" spans="2:16">
      <c r="B142"/>
      <c r="C142"/>
      <c r="D142"/>
      <c r="E142"/>
      <c r="F142"/>
      <c r="G142"/>
      <c r="H142"/>
      <c r="I142"/>
      <c r="J142"/>
      <c r="K142"/>
      <c r="L142"/>
      <c r="M142"/>
      <c r="N142"/>
      <c r="O142"/>
      <c r="P142"/>
    </row>
    <row r="143" spans="2:16">
      <c r="B143"/>
      <c r="C143"/>
      <c r="D143"/>
      <c r="E143"/>
      <c r="F143"/>
      <c r="G143"/>
      <c r="H143"/>
      <c r="I143"/>
      <c r="J143"/>
      <c r="K143"/>
      <c r="L143"/>
      <c r="M143"/>
      <c r="N143"/>
      <c r="O143"/>
      <c r="P143"/>
    </row>
    <row r="144" spans="2:16">
      <c r="B144"/>
      <c r="C144"/>
      <c r="D144"/>
      <c r="E144"/>
      <c r="F144"/>
      <c r="G144"/>
      <c r="H144"/>
      <c r="I144"/>
      <c r="J144"/>
      <c r="K144"/>
      <c r="L144"/>
      <c r="M144"/>
      <c r="N144"/>
      <c r="O144"/>
      <c r="P144"/>
    </row>
    <row r="145" spans="2:16">
      <c r="B145"/>
      <c r="C145"/>
      <c r="D145"/>
      <c r="E145"/>
      <c r="F145"/>
      <c r="G145"/>
      <c r="H145"/>
      <c r="I145"/>
      <c r="J145"/>
      <c r="K145"/>
      <c r="L145"/>
      <c r="M145"/>
      <c r="N145"/>
      <c r="O145"/>
      <c r="P145"/>
    </row>
    <row r="146" spans="2:16">
      <c r="B146"/>
      <c r="C146"/>
      <c r="D146"/>
      <c r="E146"/>
      <c r="F146"/>
      <c r="G146"/>
      <c r="H146"/>
      <c r="I146"/>
      <c r="J146"/>
      <c r="K146"/>
      <c r="L146"/>
      <c r="M146"/>
      <c r="N146"/>
      <c r="O146"/>
      <c r="P146"/>
    </row>
    <row r="147" spans="2:16">
      <c r="B147"/>
      <c r="C147"/>
      <c r="D147"/>
      <c r="E147"/>
      <c r="F147"/>
      <c r="G147"/>
      <c r="H147"/>
      <c r="I147"/>
      <c r="J147"/>
      <c r="K147"/>
      <c r="L147"/>
      <c r="M147"/>
      <c r="N147"/>
      <c r="O147"/>
      <c r="P147"/>
    </row>
    <row r="148" spans="2:16">
      <c r="B148"/>
      <c r="C148"/>
      <c r="D148"/>
      <c r="E148"/>
      <c r="F148"/>
      <c r="G148"/>
      <c r="H148"/>
      <c r="I148"/>
      <c r="J148"/>
      <c r="K148"/>
      <c r="L148"/>
      <c r="M148"/>
      <c r="N148"/>
      <c r="O148"/>
      <c r="P148"/>
    </row>
    <row r="149" spans="2:16">
      <c r="B149"/>
      <c r="C149"/>
      <c r="D149"/>
      <c r="E149"/>
      <c r="F149"/>
      <c r="G149"/>
      <c r="H149"/>
      <c r="I149"/>
      <c r="J149"/>
      <c r="K149"/>
      <c r="L149"/>
      <c r="M149"/>
      <c r="N149"/>
      <c r="O149"/>
      <c r="P149"/>
    </row>
    <row r="150" spans="2:16">
      <c r="B150"/>
      <c r="C150"/>
      <c r="D150"/>
      <c r="E150"/>
      <c r="F150"/>
      <c r="G150"/>
      <c r="H150"/>
      <c r="I150"/>
      <c r="J150"/>
      <c r="K150"/>
      <c r="L150"/>
      <c r="M150"/>
      <c r="N150"/>
      <c r="O150"/>
      <c r="P150"/>
    </row>
    <row r="151" spans="2:16">
      <c r="B151"/>
      <c r="C151"/>
      <c r="D151"/>
      <c r="E151"/>
      <c r="F151"/>
      <c r="G151"/>
      <c r="H151"/>
      <c r="I151"/>
      <c r="J151"/>
      <c r="K151"/>
      <c r="L151"/>
      <c r="M151"/>
      <c r="N151"/>
      <c r="O151"/>
      <c r="P151"/>
    </row>
    <row r="152" spans="2:16">
      <c r="B152"/>
      <c r="C152"/>
      <c r="D152"/>
      <c r="E152"/>
      <c r="F152"/>
      <c r="G152"/>
      <c r="H152"/>
      <c r="I152"/>
      <c r="J152"/>
      <c r="K152"/>
      <c r="L152"/>
      <c r="M152"/>
      <c r="N152"/>
      <c r="O152"/>
      <c r="P152"/>
    </row>
    <row r="153" spans="2:16">
      <c r="B153"/>
      <c r="C153"/>
      <c r="D153"/>
      <c r="E153"/>
      <c r="F153"/>
      <c r="G153"/>
      <c r="H153"/>
      <c r="I153"/>
      <c r="J153"/>
      <c r="K153"/>
      <c r="L153"/>
      <c r="M153"/>
      <c r="N153"/>
      <c r="O153"/>
      <c r="P153"/>
    </row>
    <row r="154" spans="2:16">
      <c r="B154"/>
      <c r="C154"/>
      <c r="D154"/>
      <c r="E154"/>
      <c r="F154"/>
      <c r="G154"/>
      <c r="H154"/>
      <c r="I154"/>
      <c r="J154"/>
      <c r="K154"/>
      <c r="L154"/>
      <c r="M154"/>
      <c r="N154"/>
      <c r="O154"/>
      <c r="P154"/>
    </row>
    <row r="155" spans="2:16">
      <c r="B155"/>
      <c r="C155"/>
      <c r="D155"/>
      <c r="E155"/>
      <c r="F155"/>
      <c r="G155"/>
      <c r="H155"/>
      <c r="I155"/>
      <c r="J155"/>
      <c r="K155"/>
      <c r="L155"/>
      <c r="M155"/>
      <c r="N155"/>
      <c r="O155"/>
      <c r="P155"/>
    </row>
    <row r="156" spans="2:16">
      <c r="B156"/>
      <c r="C156"/>
      <c r="D156"/>
      <c r="E156"/>
      <c r="F156"/>
      <c r="G156"/>
      <c r="H156"/>
      <c r="I156"/>
      <c r="J156"/>
      <c r="K156"/>
      <c r="L156"/>
      <c r="M156"/>
      <c r="N156"/>
      <c r="O156"/>
      <c r="P156"/>
    </row>
    <row r="157" spans="2:16">
      <c r="B157"/>
      <c r="C157"/>
      <c r="D157"/>
      <c r="E157"/>
      <c r="F157"/>
      <c r="G157"/>
      <c r="H157"/>
      <c r="I157"/>
      <c r="J157"/>
      <c r="K157"/>
      <c r="L157"/>
      <c r="M157"/>
      <c r="N157"/>
      <c r="O157"/>
      <c r="P157"/>
    </row>
    <row r="158" spans="2:16">
      <c r="B158"/>
      <c r="C158"/>
      <c r="D158"/>
      <c r="E158"/>
      <c r="F158"/>
      <c r="G158"/>
      <c r="H158"/>
      <c r="I158"/>
      <c r="J158"/>
      <c r="K158"/>
      <c r="L158"/>
      <c r="M158"/>
      <c r="N158"/>
      <c r="O158"/>
      <c r="P158"/>
    </row>
    <row r="159" spans="2:16">
      <c r="B159"/>
      <c r="C159"/>
      <c r="D159"/>
      <c r="E159"/>
      <c r="F159"/>
      <c r="G159"/>
      <c r="H159"/>
      <c r="I159"/>
      <c r="J159"/>
      <c r="K159"/>
      <c r="L159"/>
      <c r="M159"/>
      <c r="N159"/>
      <c r="O159"/>
      <c r="P159"/>
    </row>
    <row r="160" spans="2:16">
      <c r="B160"/>
      <c r="C160"/>
      <c r="D160"/>
      <c r="E160"/>
      <c r="F160"/>
      <c r="G160"/>
      <c r="H160"/>
      <c r="I160"/>
      <c r="J160"/>
      <c r="K160"/>
      <c r="L160"/>
      <c r="M160"/>
      <c r="N160"/>
      <c r="O160"/>
      <c r="P160"/>
    </row>
    <row r="161" spans="2:16">
      <c r="B161"/>
      <c r="C161"/>
      <c r="D161"/>
      <c r="E161"/>
      <c r="F161"/>
      <c r="G161"/>
      <c r="H161"/>
      <c r="I161"/>
      <c r="J161"/>
      <c r="K161"/>
      <c r="L161"/>
      <c r="M161"/>
      <c r="N161"/>
      <c r="O161"/>
      <c r="P161"/>
    </row>
    <row r="162" spans="2:16">
      <c r="B162"/>
      <c r="C162"/>
      <c r="D162"/>
      <c r="E162"/>
      <c r="F162"/>
      <c r="G162"/>
      <c r="H162"/>
      <c r="I162"/>
      <c r="J162"/>
      <c r="K162"/>
      <c r="L162"/>
      <c r="M162"/>
      <c r="N162"/>
      <c r="O162"/>
      <c r="P162"/>
    </row>
    <row r="163" spans="2:16">
      <c r="B163"/>
      <c r="C163"/>
      <c r="D163"/>
      <c r="E163"/>
      <c r="F163"/>
      <c r="G163"/>
      <c r="H163"/>
      <c r="I163"/>
      <c r="J163"/>
      <c r="K163"/>
      <c r="L163"/>
      <c r="M163"/>
      <c r="N163"/>
      <c r="O163"/>
      <c r="P163"/>
    </row>
    <row r="164" spans="2:16">
      <c r="B164"/>
      <c r="C164"/>
      <c r="D164"/>
      <c r="E164"/>
      <c r="F164"/>
      <c r="G164"/>
      <c r="H164"/>
      <c r="I164"/>
      <c r="J164"/>
      <c r="K164"/>
      <c r="L164"/>
      <c r="M164"/>
      <c r="N164"/>
      <c r="O164"/>
      <c r="P164"/>
    </row>
    <row r="165" spans="2:16">
      <c r="B165"/>
      <c r="C165"/>
      <c r="D165"/>
      <c r="E165"/>
      <c r="F165"/>
      <c r="G165"/>
      <c r="H165"/>
      <c r="I165"/>
      <c r="J165"/>
      <c r="K165"/>
      <c r="L165"/>
      <c r="M165"/>
      <c r="N165"/>
      <c r="O165"/>
      <c r="P165"/>
    </row>
    <row r="166" spans="2:16">
      <c r="B166"/>
      <c r="C166"/>
      <c r="D166"/>
      <c r="E166"/>
      <c r="F166"/>
      <c r="G166"/>
      <c r="H166"/>
      <c r="I166"/>
      <c r="J166"/>
      <c r="K166"/>
      <c r="L166"/>
      <c r="M166"/>
      <c r="N166"/>
      <c r="O166"/>
      <c r="P166"/>
    </row>
    <row r="167" spans="2:16">
      <c r="B167"/>
      <c r="C167"/>
      <c r="D167"/>
      <c r="E167"/>
      <c r="F167"/>
      <c r="G167"/>
      <c r="H167"/>
      <c r="I167"/>
      <c r="J167"/>
      <c r="K167"/>
      <c r="L167"/>
      <c r="M167"/>
      <c r="N167"/>
      <c r="O167"/>
      <c r="P167"/>
    </row>
    <row r="168" spans="2:16">
      <c r="B168"/>
      <c r="C168"/>
      <c r="D168"/>
      <c r="E168"/>
      <c r="F168"/>
      <c r="G168"/>
      <c r="H168"/>
      <c r="I168"/>
      <c r="J168"/>
      <c r="K168"/>
      <c r="L168"/>
      <c r="M168"/>
      <c r="N168"/>
      <c r="O168"/>
      <c r="P168"/>
    </row>
    <row r="169" spans="2:16">
      <c r="B169"/>
      <c r="C169"/>
      <c r="D169"/>
      <c r="E169"/>
      <c r="F169"/>
      <c r="G169"/>
      <c r="H169"/>
      <c r="I169"/>
      <c r="J169"/>
      <c r="K169"/>
      <c r="L169"/>
      <c r="M169"/>
      <c r="N169"/>
      <c r="O169"/>
      <c r="P169"/>
    </row>
    <row r="170" spans="2:16">
      <c r="B170"/>
      <c r="C170"/>
      <c r="D170"/>
      <c r="E170"/>
      <c r="F170"/>
      <c r="G170"/>
      <c r="H170"/>
      <c r="I170"/>
      <c r="J170"/>
      <c r="K170"/>
      <c r="L170"/>
      <c r="M170"/>
      <c r="N170"/>
      <c r="O170"/>
      <c r="P170"/>
    </row>
  </sheetData>
  <mergeCells count="1">
    <mergeCell ref="A1:P1"/>
  </mergeCells>
  <phoneticPr fontId="0" type="noConversion"/>
  <pageMargins left="0.2" right="0.2" top="0.45" bottom="0.59" header="0.34" footer="0.3"/>
  <pageSetup scale="54" orientation="landscape" r:id="rId1"/>
  <headerFooter alignWithMargins="0">
    <oddFooter>&amp;R&amp;P</oddFooter>
  </headerFooter>
</worksheet>
</file>

<file path=xl/worksheets/sheet110.xml><?xml version="1.0" encoding="utf-8"?>
<worksheet xmlns="http://schemas.openxmlformats.org/spreadsheetml/2006/main" xmlns:r="http://schemas.openxmlformats.org/officeDocument/2006/relationships">
  <sheetPr>
    <pageSetUpPr fitToPage="1"/>
  </sheetPr>
  <dimension ref="A1:U156"/>
  <sheetViews>
    <sheetView workbookViewId="0">
      <selection activeCell="H43" sqref="H43"/>
    </sheetView>
  </sheetViews>
  <sheetFormatPr baseColWidth="10" defaultColWidth="9" defaultRowHeight="15.75"/>
  <cols>
    <col min="1" max="1" width="33.25" customWidth="1"/>
    <col min="2" max="2" width="17.62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10.125" style="21" customWidth="1"/>
    <col min="18" max="18" width="15.75" style="20" customWidth="1"/>
    <col min="19" max="21" width="15.75" customWidth="1"/>
  </cols>
  <sheetData>
    <row r="1" spans="1:21">
      <c r="A1" s="111" t="s">
        <v>408</v>
      </c>
      <c r="B1" s="42"/>
      <c r="C1" s="43"/>
      <c r="D1" s="42"/>
      <c r="E1" s="43"/>
      <c r="F1" s="42"/>
      <c r="G1" s="43"/>
      <c r="H1" s="42"/>
      <c r="I1" s="43"/>
      <c r="J1" s="42"/>
      <c r="K1" s="43"/>
      <c r="L1" s="42"/>
      <c r="M1" s="43"/>
      <c r="N1" s="42"/>
      <c r="O1" s="43"/>
      <c r="P1" s="42"/>
      <c r="Q1" s="43"/>
    </row>
    <row r="2" spans="1:21">
      <c r="A2" s="111" t="s">
        <v>291</v>
      </c>
      <c r="B2" s="42"/>
      <c r="C2" s="43"/>
      <c r="D2" s="42"/>
      <c r="E2" s="43"/>
      <c r="F2" s="42"/>
      <c r="G2" s="43"/>
      <c r="H2" s="42"/>
      <c r="I2" s="43"/>
      <c r="J2" s="42"/>
      <c r="K2" s="43"/>
      <c r="L2" s="42"/>
      <c r="M2" s="43"/>
      <c r="N2" s="42"/>
      <c r="O2" s="43"/>
      <c r="P2" s="42"/>
      <c r="Q2" s="43"/>
    </row>
    <row r="3" spans="1:21">
      <c r="A3" s="111" t="s">
        <v>387</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5" spans="1:21">
      <c r="A5" s="111"/>
      <c r="B5" s="42"/>
      <c r="C5" s="43"/>
      <c r="D5" s="42"/>
      <c r="E5" s="43"/>
      <c r="F5" s="42"/>
      <c r="G5" s="43"/>
      <c r="H5" s="42"/>
      <c r="I5" s="43"/>
      <c r="J5" s="42"/>
      <c r="K5" s="43"/>
      <c r="L5" s="42"/>
      <c r="M5" s="43"/>
      <c r="N5" s="42"/>
      <c r="O5" s="43"/>
      <c r="P5" s="42"/>
      <c r="Q5" s="43"/>
    </row>
    <row r="6" spans="1:21" ht="16.5" thickBot="1">
      <c r="B6" s="215" t="s">
        <v>0</v>
      </c>
      <c r="C6" s="193"/>
      <c r="D6" s="194"/>
      <c r="E6" s="193"/>
      <c r="F6" s="194"/>
      <c r="G6" s="193"/>
      <c r="H6" s="194"/>
      <c r="J6" s="118" t="s">
        <v>195</v>
      </c>
      <c r="K6" s="43"/>
      <c r="L6" s="42"/>
      <c r="M6" s="43"/>
      <c r="N6" s="42"/>
      <c r="O6" s="43"/>
      <c r="P6" s="42"/>
      <c r="Q6" s="43"/>
    </row>
    <row r="7" spans="1:21" s="11" customFormat="1" ht="16.5" thickBot="1">
      <c r="B7" s="200" t="str">
        <f>+'sogebkcomp '!B7</f>
        <v>Déc. 14</v>
      </c>
      <c r="C7" s="201" t="s">
        <v>289</v>
      </c>
      <c r="D7" s="200" t="str">
        <f>+'sogebkcomp '!D7</f>
        <v>Mars 15</v>
      </c>
      <c r="E7" s="201" t="s">
        <v>289</v>
      </c>
      <c r="F7" s="200" t="str">
        <f>+'sogebkcomp '!F7</f>
        <v>Juin 15</v>
      </c>
      <c r="G7" s="201" t="s">
        <v>289</v>
      </c>
      <c r="H7" s="200" t="str">
        <f>+'sogebkcomp '!H7</f>
        <v>Sept. 15</v>
      </c>
      <c r="I7" s="201" t="s">
        <v>289</v>
      </c>
      <c r="J7" s="205" t="str">
        <f>+'sogebkcomp '!J7</f>
        <v>2014</v>
      </c>
      <c r="K7" s="204" t="s">
        <v>289</v>
      </c>
      <c r="L7" s="205" t="str">
        <f>+'sogebkcomp '!L7</f>
        <v>2013</v>
      </c>
      <c r="M7" s="204" t="s">
        <v>289</v>
      </c>
      <c r="N7" s="205" t="str">
        <f>+'sogebkcomp '!N7</f>
        <v>2012</v>
      </c>
      <c r="O7" s="204" t="s">
        <v>289</v>
      </c>
      <c r="P7" s="205" t="str">
        <f>+'sogebkcomp '!P7</f>
        <v>2011</v>
      </c>
      <c r="Q7" s="204" t="s">
        <v>289</v>
      </c>
      <c r="R7" s="2"/>
      <c r="S7" s="3"/>
      <c r="T7" s="3"/>
      <c r="U7" s="3"/>
    </row>
    <row r="8" spans="1:21">
      <c r="A8" s="86" t="s">
        <v>244</v>
      </c>
      <c r="B8" s="120"/>
      <c r="C8" s="119"/>
      <c r="D8" s="197"/>
      <c r="E8" s="119"/>
      <c r="F8" s="197"/>
      <c r="G8" s="119"/>
      <c r="H8" s="197"/>
      <c r="I8" s="119"/>
      <c r="J8" s="197"/>
      <c r="K8" s="119"/>
      <c r="L8" s="197"/>
      <c r="M8" s="119"/>
      <c r="N8" s="197"/>
      <c r="O8" s="119"/>
      <c r="P8" s="197"/>
      <c r="Q8" s="119"/>
      <c r="R8" s="22"/>
      <c r="S8" s="17"/>
      <c r="T8" s="17"/>
      <c r="U8" s="17"/>
    </row>
    <row r="9" spans="1:21">
      <c r="A9" s="10" t="s">
        <v>255</v>
      </c>
      <c r="B9"/>
    </row>
    <row r="10" spans="1:21">
      <c r="A10" s="10" t="s">
        <v>256</v>
      </c>
      <c r="B10" s="20">
        <f>+sgbelvar!B10</f>
        <v>30925.8946</v>
      </c>
      <c r="C10" s="52">
        <f t="shared" ref="C10:C15" si="0">+B10/$B$23</f>
        <v>5.0582890126273251E-3</v>
      </c>
      <c r="D10" s="20">
        <f>+sgbelvar!D10</f>
        <v>0</v>
      </c>
      <c r="E10" s="49">
        <v>0</v>
      </c>
      <c r="F10" s="20">
        <f>+sgbelvar!F10</f>
        <v>0</v>
      </c>
      <c r="G10" s="49">
        <v>0</v>
      </c>
      <c r="H10" s="20">
        <f>+sgbelvar!H10</f>
        <v>0</v>
      </c>
      <c r="I10" s="49">
        <v>0</v>
      </c>
      <c r="J10" s="20">
        <f>+sgbelvar!J10</f>
        <v>39733.331630000001</v>
      </c>
      <c r="K10" s="52">
        <f t="shared" ref="K10:K15" si="1">+J10/$J$23</f>
        <v>7.0129883936510991E-3</v>
      </c>
      <c r="L10" s="20">
        <f>+sgbelvar!L10</f>
        <v>36750.556450000004</v>
      </c>
      <c r="M10" s="52">
        <f t="shared" ref="M10:M15" si="2">+L10/$L$23</f>
        <v>8.688557036799863E-3</v>
      </c>
      <c r="N10" s="20">
        <f>+sgbelvar!N10</f>
        <v>15353.20853</v>
      </c>
      <c r="O10" s="52">
        <f t="shared" ref="O10:O15" si="3">+N10/$N$23</f>
        <v>3.5615751109983086E-3</v>
      </c>
      <c r="P10" s="20">
        <f>+sgbelvar!P10</f>
        <v>36858.325579999997</v>
      </c>
      <c r="Q10" s="52">
        <f>+P10/$P$23</f>
        <v>9.178350012606416E-3</v>
      </c>
    </row>
    <row r="11" spans="1:21">
      <c r="A11" s="10" t="s">
        <v>257</v>
      </c>
      <c r="B11" s="20">
        <f>+sgbelvar!B11</f>
        <v>583519.22311999998</v>
      </c>
      <c r="C11" s="52">
        <f t="shared" si="0"/>
        <v>9.5441341734532351E-2</v>
      </c>
      <c r="D11" s="20">
        <f>+sgbelvar!D11</f>
        <v>0</v>
      </c>
      <c r="E11" s="49">
        <v>0</v>
      </c>
      <c r="F11" s="20">
        <f>+sgbelvar!F11</f>
        <v>0</v>
      </c>
      <c r="G11" s="49">
        <v>0</v>
      </c>
      <c r="H11" s="20">
        <f>+sgbelvar!H11</f>
        <v>0</v>
      </c>
      <c r="I11" s="49">
        <v>0</v>
      </c>
      <c r="J11" s="20">
        <f>+sgbelvar!J11</f>
        <v>517756.43091</v>
      </c>
      <c r="K11" s="52">
        <f t="shared" si="1"/>
        <v>9.138473145223254E-2</v>
      </c>
      <c r="L11" s="20">
        <f>+sgbelvar!L11</f>
        <v>353908.72057</v>
      </c>
      <c r="M11" s="52">
        <f t="shared" si="2"/>
        <v>8.3671008047915135E-2</v>
      </c>
      <c r="N11" s="20">
        <f>+sgbelvar!N11</f>
        <v>312908.24065000005</v>
      </c>
      <c r="O11" s="52">
        <f t="shared" si="3"/>
        <v>7.2587185912813837E-2</v>
      </c>
      <c r="P11" s="20">
        <f>+sgbelvar!P11</f>
        <v>302769.37097000005</v>
      </c>
      <c r="Q11" s="52">
        <f t="shared" ref="Q11:Q28" si="4">+P11/$P$23</f>
        <v>7.5394723339446301E-2</v>
      </c>
    </row>
    <row r="12" spans="1:21">
      <c r="A12" s="10" t="s">
        <v>258</v>
      </c>
      <c r="B12" s="20">
        <f>+sgbelvar!B12</f>
        <v>10976.945239999999</v>
      </c>
      <c r="C12" s="52">
        <f t="shared" si="0"/>
        <v>1.7954068012539825E-3</v>
      </c>
      <c r="D12" s="20">
        <f>+sgbelvar!D12</f>
        <v>0</v>
      </c>
      <c r="E12" s="49">
        <v>0</v>
      </c>
      <c r="F12" s="20">
        <f>+sgbelvar!F12</f>
        <v>0</v>
      </c>
      <c r="G12" s="49">
        <v>0</v>
      </c>
      <c r="H12" s="20">
        <f>+sgbelvar!H12</f>
        <v>0</v>
      </c>
      <c r="I12" s="49">
        <v>0</v>
      </c>
      <c r="J12" s="20">
        <f>+sgbelvar!J12</f>
        <v>6869.1954699999997</v>
      </c>
      <c r="K12" s="52">
        <f t="shared" si="1"/>
        <v>1.212422571392378E-3</v>
      </c>
      <c r="L12" s="20">
        <f>+sgbelvar!L12</f>
        <v>6961.8325599999998</v>
      </c>
      <c r="M12" s="52">
        <f t="shared" si="2"/>
        <v>1.6459146505851177E-3</v>
      </c>
      <c r="N12" s="20">
        <f>+sgbelvar!N12</f>
        <v>1050.9160899999999</v>
      </c>
      <c r="O12" s="52">
        <f t="shared" si="3"/>
        <v>2.4378725675340372E-4</v>
      </c>
      <c r="P12" s="20">
        <f>+sgbelvar!P12</f>
        <v>-190.6524</v>
      </c>
      <c r="Q12" s="52">
        <f t="shared" si="4"/>
        <v>-4.7475690509743536E-5</v>
      </c>
    </row>
    <row r="13" spans="1:21">
      <c r="A13" s="10" t="s">
        <v>259</v>
      </c>
      <c r="B13" s="20">
        <f>+sgbelvar!B13</f>
        <v>1715543.7151500001</v>
      </c>
      <c r="C13" s="52">
        <f t="shared" si="0"/>
        <v>0.28059708659244759</v>
      </c>
      <c r="D13" s="20">
        <f>+sgbelvar!D13</f>
        <v>0</v>
      </c>
      <c r="E13" s="49">
        <v>0</v>
      </c>
      <c r="F13" s="20">
        <f>+sgbelvar!F13</f>
        <v>0</v>
      </c>
      <c r="G13" s="49">
        <v>0</v>
      </c>
      <c r="H13" s="20">
        <f>+sgbelvar!H13</f>
        <v>0</v>
      </c>
      <c r="I13" s="49">
        <v>0</v>
      </c>
      <c r="J13" s="20">
        <f>+sgbelvar!J13</f>
        <v>1507063.26143</v>
      </c>
      <c r="K13" s="52">
        <f t="shared" si="1"/>
        <v>0.26599876545279677</v>
      </c>
      <c r="L13" s="20">
        <f>+sgbelvar!L13</f>
        <v>997789.80197000003</v>
      </c>
      <c r="M13" s="52">
        <f t="shared" si="2"/>
        <v>0.23589720653477572</v>
      </c>
      <c r="N13" s="20">
        <f>+sgbelvar!N13</f>
        <v>1596205.0412599999</v>
      </c>
      <c r="O13" s="52">
        <f t="shared" si="3"/>
        <v>0.37028117841903913</v>
      </c>
      <c r="P13" s="20">
        <f>+sgbelvar!P13</f>
        <v>1606176.1016500001</v>
      </c>
      <c r="Q13" s="52">
        <f t="shared" si="4"/>
        <v>0.39996516962850603</v>
      </c>
    </row>
    <row r="14" spans="1:21">
      <c r="A14" s="10" t="s">
        <v>260</v>
      </c>
      <c r="B14" s="199">
        <f>+sgbelvar!B14</f>
        <v>15550.34153</v>
      </c>
      <c r="C14" s="294">
        <f t="shared" si="0"/>
        <v>2.5434388469978615E-3</v>
      </c>
      <c r="D14" s="199">
        <f>+sgbelvar!D14</f>
        <v>0</v>
      </c>
      <c r="E14" s="1524">
        <v>0</v>
      </c>
      <c r="F14" s="199">
        <f>+sgbelvar!F14</f>
        <v>0</v>
      </c>
      <c r="G14" s="1524">
        <v>0</v>
      </c>
      <c r="H14" s="217">
        <f>+sgbelvar!H14</f>
        <v>0</v>
      </c>
      <c r="I14" s="1524">
        <v>0</v>
      </c>
      <c r="J14" s="199">
        <f>+sgbelvar!J14</f>
        <v>33892.611860000005</v>
      </c>
      <c r="K14" s="294">
        <f t="shared" si="1"/>
        <v>5.9820932162969898E-3</v>
      </c>
      <c r="L14" s="199">
        <f>+sgbelvar!L14</f>
        <v>20958.664199999999</v>
      </c>
      <c r="M14" s="294">
        <f t="shared" si="2"/>
        <v>4.955041961462201E-3</v>
      </c>
      <c r="N14" s="199">
        <f>+sgbelvar!N14</f>
        <v>36795.10037</v>
      </c>
      <c r="O14" s="294">
        <f t="shared" si="3"/>
        <v>8.535578307844207E-3</v>
      </c>
      <c r="P14" s="199">
        <f>+sgbelvar!P14</f>
        <v>48984.624680000001</v>
      </c>
      <c r="Q14" s="294">
        <f t="shared" si="4"/>
        <v>1.2198004751283619E-2</v>
      </c>
    </row>
    <row r="15" spans="1:21" ht="15.6" customHeight="1">
      <c r="A15" s="10"/>
      <c r="B15" s="20">
        <f>SUM(B10:B14)</f>
        <v>2356516.1196400002</v>
      </c>
      <c r="C15" s="52">
        <f t="shared" si="0"/>
        <v>0.38543556298785914</v>
      </c>
      <c r="D15" s="20">
        <f>SUM(D10:D14)</f>
        <v>0</v>
      </c>
      <c r="E15" s="49">
        <v>0</v>
      </c>
      <c r="F15" s="20">
        <f>SUM(F10:F14)</f>
        <v>0</v>
      </c>
      <c r="G15" s="49">
        <v>0</v>
      </c>
      <c r="H15" s="20">
        <f>SUM(H10:H14)</f>
        <v>0</v>
      </c>
      <c r="I15" s="49">
        <v>0</v>
      </c>
      <c r="J15" s="20">
        <f>SUM(J10:J14)</f>
        <v>2105314.8313000002</v>
      </c>
      <c r="K15" s="52">
        <f t="shared" si="1"/>
        <v>0.37159100108636983</v>
      </c>
      <c r="L15" s="20">
        <f>SUM(L10:L14)</f>
        <v>1416369.5757500001</v>
      </c>
      <c r="M15" s="52">
        <f t="shared" si="2"/>
        <v>0.33485772823153803</v>
      </c>
      <c r="N15" s="20">
        <f>SUM(N10:N14)</f>
        <v>1962312.5068999999</v>
      </c>
      <c r="O15" s="52">
        <f t="shared" si="3"/>
        <v>0.45520930500744888</v>
      </c>
      <c r="P15" s="20">
        <f>SUM(P10:P14)</f>
        <v>1994597.7704799999</v>
      </c>
      <c r="Q15" s="52">
        <f t="shared" si="4"/>
        <v>0.49668877204133255</v>
      </c>
    </row>
    <row r="16" spans="1:21" ht="7.9" customHeight="1">
      <c r="A16" s="10"/>
      <c r="C16" s="52" t="s">
        <v>0</v>
      </c>
      <c r="E16" s="49" t="s">
        <v>0</v>
      </c>
      <c r="G16" s="49" t="s">
        <v>0</v>
      </c>
      <c r="I16" s="49" t="s">
        <v>0</v>
      </c>
      <c r="K16" s="52" t="s">
        <v>0</v>
      </c>
      <c r="M16" s="52" t="s">
        <v>0</v>
      </c>
      <c r="O16" s="52" t="s">
        <v>0</v>
      </c>
      <c r="Q16" s="52" t="s">
        <v>0</v>
      </c>
    </row>
    <row r="17" spans="1:17" ht="15.6" customHeight="1">
      <c r="A17" s="10" t="s">
        <v>261</v>
      </c>
      <c r="B17" s="20">
        <f>+sgbelvar!B17</f>
        <v>0</v>
      </c>
      <c r="C17" s="52">
        <f t="shared" ref="C17:C23" si="5">+B17/$B$23</f>
        <v>0</v>
      </c>
      <c r="D17" s="20">
        <f>+sgbelvar!D17</f>
        <v>0</v>
      </c>
      <c r="E17" s="49">
        <v>0</v>
      </c>
      <c r="F17" s="20">
        <f>+sgbelvar!F17</f>
        <v>0</v>
      </c>
      <c r="G17" s="49">
        <v>0</v>
      </c>
      <c r="H17" s="20">
        <f>+sgbelvar!H17</f>
        <v>0</v>
      </c>
      <c r="I17" s="49">
        <v>0</v>
      </c>
      <c r="J17" s="20">
        <f>+sgbelvar!J17</f>
        <v>0</v>
      </c>
      <c r="K17" s="52">
        <f t="shared" ref="K17:K23" si="6">+J17/$J$23</f>
        <v>0</v>
      </c>
      <c r="L17" s="20">
        <f>+sgbelvar!L17</f>
        <v>0</v>
      </c>
      <c r="M17" s="52">
        <f t="shared" ref="M17:M23" si="7">+L17/$L$23</f>
        <v>0</v>
      </c>
      <c r="N17" s="20">
        <f>+sgbelvar!N17</f>
        <v>0</v>
      </c>
      <c r="O17" s="52">
        <f t="shared" ref="O17:O23" si="8">+N17/$N$23</f>
        <v>0</v>
      </c>
      <c r="P17" s="20">
        <f>+sgbelvar!P17</f>
        <v>0</v>
      </c>
      <c r="Q17" s="52">
        <f t="shared" si="4"/>
        <v>0</v>
      </c>
    </row>
    <row r="18" spans="1:17" ht="15.6" customHeight="1">
      <c r="A18" s="10" t="s">
        <v>909</v>
      </c>
      <c r="B18" s="20">
        <v>0</v>
      </c>
      <c r="C18" s="52">
        <f t="shared" si="5"/>
        <v>0</v>
      </c>
      <c r="D18" s="20">
        <v>0</v>
      </c>
      <c r="E18" s="49">
        <v>0</v>
      </c>
      <c r="F18" s="20">
        <v>0</v>
      </c>
      <c r="G18" s="49">
        <v>0</v>
      </c>
      <c r="H18" s="20">
        <v>0</v>
      </c>
      <c r="I18" s="49">
        <v>0</v>
      </c>
      <c r="J18" s="20">
        <v>0</v>
      </c>
      <c r="K18" s="52">
        <v>0</v>
      </c>
      <c r="L18" s="20">
        <v>0</v>
      </c>
      <c r="M18" s="52">
        <v>0</v>
      </c>
      <c r="N18" s="20">
        <v>0</v>
      </c>
      <c r="O18" s="52">
        <v>0</v>
      </c>
      <c r="P18" s="20">
        <v>0</v>
      </c>
      <c r="Q18" s="52">
        <v>0</v>
      </c>
    </row>
    <row r="19" spans="1:17">
      <c r="A19" s="10" t="s">
        <v>262</v>
      </c>
      <c r="B19" s="20">
        <f>+sgbelvar!B19</f>
        <v>55612.465030000007</v>
      </c>
      <c r="C19" s="52">
        <f t="shared" si="5"/>
        <v>9.0960641386383812E-3</v>
      </c>
      <c r="D19" s="20">
        <f>+sgbelvar!D19</f>
        <v>0</v>
      </c>
      <c r="E19" s="49">
        <v>0</v>
      </c>
      <c r="F19" s="20">
        <f>+sgbelvar!F19</f>
        <v>0</v>
      </c>
      <c r="G19" s="49">
        <v>0</v>
      </c>
      <c r="H19" s="20">
        <f>+sgbelvar!H19</f>
        <v>0</v>
      </c>
      <c r="I19" s="49">
        <v>0</v>
      </c>
      <c r="J19" s="20">
        <f>+sgbelvar!J19</f>
        <v>56237.525569999998</v>
      </c>
      <c r="K19" s="52">
        <f t="shared" si="6"/>
        <v>9.9260016195643376E-3</v>
      </c>
      <c r="L19" s="20">
        <f>+sgbelvar!L19</f>
        <v>38460.343800000002</v>
      </c>
      <c r="M19" s="52">
        <f t="shared" si="7"/>
        <v>9.0927845192186729E-3</v>
      </c>
      <c r="N19" s="20">
        <f>+sgbelvar!N19</f>
        <v>28992.930800000002</v>
      </c>
      <c r="O19" s="52">
        <f t="shared" si="8"/>
        <v>6.725662621621168E-3</v>
      </c>
      <c r="P19" s="20">
        <f>+sgbelvar!P19</f>
        <v>55725.620800000004</v>
      </c>
      <c r="Q19" s="52">
        <f t="shared" si="4"/>
        <v>1.3876627446410994E-2</v>
      </c>
    </row>
    <row r="20" spans="1:17">
      <c r="A20" s="10" t="s">
        <v>263</v>
      </c>
      <c r="B20" s="20">
        <f>+sgbelvar!B20</f>
        <v>3345304.2581560002</v>
      </c>
      <c r="C20" s="52">
        <f t="shared" si="5"/>
        <v>0.54716333971227793</v>
      </c>
      <c r="D20" s="20">
        <f>+sgbelvar!D20</f>
        <v>0</v>
      </c>
      <c r="E20" s="49">
        <v>0</v>
      </c>
      <c r="F20" s="20">
        <f>+sgbelvar!F20</f>
        <v>0</v>
      </c>
      <c r="G20" s="49">
        <v>0</v>
      </c>
      <c r="H20" s="20">
        <f>+sgbelvar!H20</f>
        <v>0</v>
      </c>
      <c r="I20" s="49">
        <v>0</v>
      </c>
      <c r="J20" s="20">
        <f>+sgbelvar!J20</f>
        <v>3180507.1550469999</v>
      </c>
      <c r="K20" s="52">
        <f t="shared" si="6"/>
        <v>0.56136394430684911</v>
      </c>
      <c r="L20" s="20">
        <f>+sgbelvar!L20</f>
        <v>2524913.2396200001</v>
      </c>
      <c r="M20" s="52">
        <f t="shared" si="7"/>
        <v>0.59693933410930666</v>
      </c>
      <c r="N20" s="20">
        <f>+sgbelvar!N20</f>
        <v>2089734.9150224</v>
      </c>
      <c r="O20" s="52">
        <f t="shared" si="8"/>
        <v>0.48476823898958304</v>
      </c>
      <c r="P20" s="20">
        <f>+sgbelvar!P20</f>
        <v>1717204.336383</v>
      </c>
      <c r="Q20" s="52">
        <f t="shared" si="4"/>
        <v>0.42761308861629249</v>
      </c>
    </row>
    <row r="21" spans="1:17">
      <c r="A21" s="10" t="s">
        <v>264</v>
      </c>
      <c r="B21" s="20">
        <f>+sgbelvar!B21</f>
        <v>210745.71995999999</v>
      </c>
      <c r="C21" s="52">
        <f t="shared" si="5"/>
        <v>3.4469908583724625E-2</v>
      </c>
      <c r="D21" s="20">
        <f>+sgbelvar!D21</f>
        <v>0</v>
      </c>
      <c r="E21" s="49">
        <v>0</v>
      </c>
      <c r="F21" s="20">
        <f>+sgbelvar!F21</f>
        <v>0</v>
      </c>
      <c r="G21" s="49">
        <v>0</v>
      </c>
      <c r="H21" s="20">
        <f>+sgbelvar!H21</f>
        <v>0</v>
      </c>
      <c r="I21" s="49">
        <v>0</v>
      </c>
      <c r="J21" s="20">
        <f>+sgbelvar!J21</f>
        <v>179157.18401</v>
      </c>
      <c r="K21" s="52">
        <f t="shared" si="6"/>
        <v>3.1621492599747149E-2</v>
      </c>
      <c r="L21" s="20">
        <f>+sgbelvar!L21</f>
        <v>167200.65615999998</v>
      </c>
      <c r="M21" s="52">
        <f t="shared" si="7"/>
        <v>3.9529535821124201E-2</v>
      </c>
      <c r="N21" s="20">
        <f>+sgbelvar!N21</f>
        <v>154237.68187000003</v>
      </c>
      <c r="O21" s="52">
        <f t="shared" si="8"/>
        <v>3.577943254355493E-2</v>
      </c>
      <c r="P21" s="20">
        <f>+sgbelvar!P21</f>
        <v>177948.04894000001</v>
      </c>
      <c r="Q21" s="52">
        <f t="shared" si="4"/>
        <v>4.4312091000628037E-2</v>
      </c>
    </row>
    <row r="22" spans="1:17" ht="16.5" thickBot="1">
      <c r="A22" s="10" t="s">
        <v>265</v>
      </c>
      <c r="B22" s="97">
        <f>+sgbelvar!B22</f>
        <v>145725.66902</v>
      </c>
      <c r="C22" s="295">
        <f t="shared" si="5"/>
        <v>2.3835124577499926E-2</v>
      </c>
      <c r="D22" s="97">
        <f>+sgbelvar!D22</f>
        <v>0</v>
      </c>
      <c r="E22" s="209">
        <v>0</v>
      </c>
      <c r="F22" s="97">
        <f>+sgbelvar!F22</f>
        <v>0</v>
      </c>
      <c r="G22" s="209">
        <v>0</v>
      </c>
      <c r="H22" s="79">
        <f>+sgbelvar!H22</f>
        <v>0</v>
      </c>
      <c r="I22" s="209">
        <v>0</v>
      </c>
      <c r="J22" s="97">
        <f>+sgbelvar!J22</f>
        <v>144460.95812</v>
      </c>
      <c r="K22" s="295">
        <f t="shared" si="6"/>
        <v>2.5497560387469514E-2</v>
      </c>
      <c r="L22" s="97">
        <f>+sgbelvar!L22</f>
        <v>82821.414310000007</v>
      </c>
      <c r="M22" s="295">
        <f t="shared" si="7"/>
        <v>1.9580617318812523E-2</v>
      </c>
      <c r="N22" s="97">
        <f>+sgbelvar!N22</f>
        <v>75513.694210000001</v>
      </c>
      <c r="O22" s="295">
        <f t="shared" si="8"/>
        <v>1.7517360837791804E-2</v>
      </c>
      <c r="P22" s="97">
        <f>+sgbelvar!P22</f>
        <v>70314.156159999999</v>
      </c>
      <c r="Q22" s="295">
        <f t="shared" si="4"/>
        <v>1.7509420895335893E-2</v>
      </c>
    </row>
    <row r="23" spans="1:17">
      <c r="A23" s="10" t="s">
        <v>54</v>
      </c>
      <c r="B23" s="13">
        <f>SUM(B15:B22)</f>
        <v>6113904.2318060007</v>
      </c>
      <c r="C23" s="109">
        <f t="shared" si="5"/>
        <v>1</v>
      </c>
      <c r="D23" s="13">
        <f>SUM(D15:D22)</f>
        <v>0</v>
      </c>
      <c r="E23" s="47">
        <v>0</v>
      </c>
      <c r="F23" s="13">
        <f>SUM(F15:F22)</f>
        <v>0</v>
      </c>
      <c r="G23" s="47">
        <v>0</v>
      </c>
      <c r="H23" s="13">
        <f>SUM(H15:H22)</f>
        <v>0</v>
      </c>
      <c r="I23" s="47">
        <v>0</v>
      </c>
      <c r="J23" s="13">
        <f>SUM(J15:J22)</f>
        <v>5665677.6540470002</v>
      </c>
      <c r="K23" s="109">
        <f t="shared" si="6"/>
        <v>1</v>
      </c>
      <c r="L23" s="13">
        <f>SUM(L15:L22)</f>
        <v>4229765.2296399996</v>
      </c>
      <c r="M23" s="109">
        <f t="shared" si="7"/>
        <v>1</v>
      </c>
      <c r="N23" s="13">
        <f>SUM(N15:N22)</f>
        <v>4310791.7288024006</v>
      </c>
      <c r="O23" s="109">
        <f t="shared" si="8"/>
        <v>1</v>
      </c>
      <c r="P23" s="13">
        <f>SUM(P15:P22)</f>
        <v>4015789.932763</v>
      </c>
      <c r="Q23" s="52">
        <f t="shared" si="4"/>
        <v>1</v>
      </c>
    </row>
    <row r="24" spans="1:17" ht="7.9" customHeight="1">
      <c r="A24" s="10"/>
      <c r="C24" s="52" t="s">
        <v>0</v>
      </c>
      <c r="E24" s="49" t="s">
        <v>0</v>
      </c>
      <c r="G24" s="49" t="s">
        <v>0</v>
      </c>
      <c r="I24" s="49" t="s">
        <v>0</v>
      </c>
      <c r="K24" s="52" t="s">
        <v>0</v>
      </c>
      <c r="M24" s="52" t="s">
        <v>0</v>
      </c>
      <c r="O24" s="52" t="s">
        <v>0</v>
      </c>
      <c r="Q24" s="52" t="s">
        <v>0</v>
      </c>
    </row>
    <row r="25" spans="1:17">
      <c r="A25" s="86" t="s">
        <v>266</v>
      </c>
      <c r="C25" s="52" t="s">
        <v>0</v>
      </c>
      <c r="E25" s="49" t="s">
        <v>0</v>
      </c>
      <c r="G25" s="49" t="s">
        <v>0</v>
      </c>
      <c r="I25" s="49" t="s">
        <v>0</v>
      </c>
      <c r="K25" s="52" t="s">
        <v>0</v>
      </c>
      <c r="M25" s="52" t="s">
        <v>0</v>
      </c>
      <c r="O25" s="52" t="s">
        <v>0</v>
      </c>
      <c r="Q25" s="52" t="s">
        <v>0</v>
      </c>
    </row>
    <row r="26" spans="1:17">
      <c r="A26" s="10" t="s">
        <v>267</v>
      </c>
      <c r="C26" s="52" t="s">
        <v>0</v>
      </c>
      <c r="E26" s="49" t="s">
        <v>0</v>
      </c>
      <c r="G26" s="49" t="s">
        <v>0</v>
      </c>
      <c r="I26" s="49" t="s">
        <v>0</v>
      </c>
      <c r="K26" s="52" t="s">
        <v>0</v>
      </c>
      <c r="M26" s="52" t="s">
        <v>0</v>
      </c>
      <c r="O26" s="52" t="s">
        <v>0</v>
      </c>
      <c r="Q26" s="52" t="s">
        <v>0</v>
      </c>
    </row>
    <row r="27" spans="1:17">
      <c r="A27" s="10" t="s">
        <v>268</v>
      </c>
      <c r="B27" s="20">
        <f>+sgbelvar!B27</f>
        <v>1083757.2214300002</v>
      </c>
      <c r="C27" s="52">
        <f>+B27/$B$23</f>
        <v>0.17726107252253551</v>
      </c>
      <c r="D27" s="20">
        <f>+sgbelvar!D27</f>
        <v>0</v>
      </c>
      <c r="E27" s="49">
        <v>0</v>
      </c>
      <c r="F27" s="20">
        <f>+sgbelvar!F27</f>
        <v>0</v>
      </c>
      <c r="G27" s="49">
        <v>0</v>
      </c>
      <c r="H27" s="20">
        <f>+sgbelvar!H27</f>
        <v>0</v>
      </c>
      <c r="I27" s="49">
        <v>0</v>
      </c>
      <c r="J27" s="20">
        <f>+sgbelvar!J27</f>
        <v>1096034.0123000001</v>
      </c>
      <c r="K27" s="52">
        <f>+J27/$J$23</f>
        <v>0.19345153028907347</v>
      </c>
      <c r="L27" s="20">
        <f>+sgbelvar!L27</f>
        <v>910346.66780000005</v>
      </c>
      <c r="M27" s="52">
        <f>+L27/$L$23</f>
        <v>0.21522392340377736</v>
      </c>
      <c r="N27" s="20">
        <f>+sgbelvar!N27</f>
        <v>840457.01092999999</v>
      </c>
      <c r="O27" s="52">
        <f>+N27/$N$23</f>
        <v>0.1949658122693603</v>
      </c>
      <c r="P27" s="20">
        <f>+sgbelvar!P27</f>
        <v>725355.05649999995</v>
      </c>
      <c r="Q27" s="52">
        <f t="shared" si="4"/>
        <v>0.18062574702480291</v>
      </c>
    </row>
    <row r="28" spans="1:17">
      <c r="A28" s="10" t="s">
        <v>269</v>
      </c>
      <c r="B28" s="20">
        <f>+sgbelvar!B28</f>
        <v>508819.43869999994</v>
      </c>
      <c r="C28" s="52">
        <f>+B28/$B$23</f>
        <v>8.322332496688431E-2</v>
      </c>
      <c r="D28" s="20">
        <f>+sgbelvar!D28</f>
        <v>0</v>
      </c>
      <c r="E28" s="49">
        <v>0</v>
      </c>
      <c r="F28" s="20">
        <f>+sgbelvar!F28</f>
        <v>0</v>
      </c>
      <c r="G28" s="49">
        <v>0</v>
      </c>
      <c r="H28" s="20">
        <f>+sgbelvar!H28</f>
        <v>0</v>
      </c>
      <c r="I28" s="49">
        <v>0</v>
      </c>
      <c r="J28" s="20">
        <f>+sgbelvar!J28</f>
        <v>511316.68787999998</v>
      </c>
      <c r="K28" s="52">
        <f>+J28/$J$23</f>
        <v>9.0248107834861702E-2</v>
      </c>
      <c r="L28" s="20">
        <f>+sgbelvar!L28</f>
        <v>488685.90922000003</v>
      </c>
      <c r="M28" s="52">
        <f>+L28/$L$23</f>
        <v>0.11553499607863406</v>
      </c>
      <c r="N28" s="20">
        <f>+sgbelvar!N28</f>
        <v>429145.14979000005</v>
      </c>
      <c r="O28" s="52">
        <f>+N28/$N$23</f>
        <v>9.9551353159254272E-2</v>
      </c>
      <c r="P28" s="20">
        <f>+sgbelvar!P28</f>
        <v>408520.66936000006</v>
      </c>
      <c r="Q28" s="52">
        <f t="shared" si="4"/>
        <v>0.10172859541956268</v>
      </c>
    </row>
    <row r="29" spans="1:17">
      <c r="A29" s="10" t="s">
        <v>270</v>
      </c>
      <c r="B29" s="199">
        <f>+sgbelvar!B29</f>
        <v>2952640.3953400003</v>
      </c>
      <c r="C29" s="294">
        <f>+B29/$B$23</f>
        <v>0.48293860737622524</v>
      </c>
      <c r="D29" s="199">
        <f>+sgbelvar!D29</f>
        <v>0</v>
      </c>
      <c r="E29" s="1524">
        <v>0</v>
      </c>
      <c r="F29" s="199">
        <f>+sgbelvar!F29</f>
        <v>0</v>
      </c>
      <c r="G29" s="1524">
        <v>0</v>
      </c>
      <c r="H29" s="217">
        <f>+sgbelvar!H29</f>
        <v>0</v>
      </c>
      <c r="I29" s="1524">
        <v>0</v>
      </c>
      <c r="J29" s="199">
        <f>+sgbelvar!J29</f>
        <v>2487107.3877699999</v>
      </c>
      <c r="K29" s="294">
        <f>+J29/$J$23</f>
        <v>0.43897791925974755</v>
      </c>
      <c r="L29" s="199">
        <f>+sgbelvar!L29</f>
        <v>1400777.1773099999</v>
      </c>
      <c r="M29" s="294">
        <f>+L29/$L$23</f>
        <v>0.33117137743108777</v>
      </c>
      <c r="N29" s="199">
        <f>+sgbelvar!N29</f>
        <v>2002074.14769</v>
      </c>
      <c r="O29" s="294">
        <f>+N29/$N$23</f>
        <v>0.46443304934293467</v>
      </c>
      <c r="P29" s="199">
        <f>+sgbelvar!P29</f>
        <v>1924144.6655100002</v>
      </c>
      <c r="Q29" s="294">
        <f t="shared" ref="Q29:Q44" si="9">+P29/$P$23</f>
        <v>0.4791447505288513</v>
      </c>
    </row>
    <row r="30" spans="1:17">
      <c r="A30" s="10"/>
      <c r="B30" s="20">
        <f>SUM(B27:B29)</f>
        <v>4545217.055470001</v>
      </c>
      <c r="C30" s="52">
        <f>+B30/$B$23</f>
        <v>0.74342300486564517</v>
      </c>
      <c r="D30" s="20">
        <f>SUM(D27:D29)</f>
        <v>0</v>
      </c>
      <c r="E30" s="49">
        <v>0</v>
      </c>
      <c r="F30" s="20">
        <f>SUM(F27:F29)</f>
        <v>0</v>
      </c>
      <c r="G30" s="49">
        <v>0</v>
      </c>
      <c r="H30" s="20">
        <f>SUM(H27:H29)</f>
        <v>0</v>
      </c>
      <c r="I30" s="49">
        <v>0</v>
      </c>
      <c r="J30" s="20">
        <f>SUM(J27:J29)</f>
        <v>4094458.0879500001</v>
      </c>
      <c r="K30" s="52">
        <f>+J30/$J$23</f>
        <v>0.72267755738368278</v>
      </c>
      <c r="L30" s="20">
        <f>SUM(L27:L29)</f>
        <v>2799809.7543299999</v>
      </c>
      <c r="M30" s="52">
        <f>+L30/$L$23</f>
        <v>0.66193029691349914</v>
      </c>
      <c r="N30" s="20">
        <f>SUM(N27:N29)</f>
        <v>3271676.3084100001</v>
      </c>
      <c r="O30" s="52">
        <f>+N30/$N$23</f>
        <v>0.75895021477154923</v>
      </c>
      <c r="P30" s="20">
        <f>SUM(P27:P29)</f>
        <v>3058020.3913700003</v>
      </c>
      <c r="Q30" s="52">
        <f t="shared" si="9"/>
        <v>0.76149909297321694</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+sgbelvar!B33</f>
        <v>0</v>
      </c>
      <c r="C33" s="52">
        <f>+B33/$B$23</f>
        <v>0</v>
      </c>
      <c r="D33" s="20">
        <f>+sgbelvar!D33</f>
        <v>0</v>
      </c>
      <c r="E33" s="49">
        <v>0</v>
      </c>
      <c r="F33" s="20">
        <f>+sgbelvar!F33</f>
        <v>0</v>
      </c>
      <c r="G33" s="49">
        <v>0</v>
      </c>
      <c r="H33" s="20">
        <f>+sgbelvar!H33</f>
        <v>0</v>
      </c>
      <c r="I33" s="49">
        <v>0</v>
      </c>
      <c r="J33" s="20">
        <f>+sgbelvar!J33</f>
        <v>0</v>
      </c>
      <c r="K33" s="52">
        <f>+J33/$J$23</f>
        <v>0</v>
      </c>
      <c r="L33" s="20">
        <f>+sgbelvar!L33</f>
        <v>0</v>
      </c>
      <c r="M33" s="52">
        <f>+L33/$L$23</f>
        <v>0</v>
      </c>
      <c r="N33" s="20">
        <f>+sgbelvar!N33</f>
        <v>0</v>
      </c>
      <c r="O33" s="52">
        <f>+N33/$N$23</f>
        <v>0</v>
      </c>
      <c r="P33" s="20">
        <f>+sgbelvar!P33</f>
        <v>0</v>
      </c>
      <c r="Q33" s="52">
        <f t="shared" si="9"/>
        <v>0</v>
      </c>
    </row>
    <row r="34" spans="1:21">
      <c r="A34" s="10" t="s">
        <v>273</v>
      </c>
      <c r="B34" s="20">
        <f>+sgbelvar!B34</f>
        <v>0</v>
      </c>
      <c r="C34" s="52">
        <f>+B34/$B$23</f>
        <v>0</v>
      </c>
      <c r="D34" s="20">
        <f>+sgbelvar!D34</f>
        <v>0</v>
      </c>
      <c r="E34" s="49">
        <v>0</v>
      </c>
      <c r="F34" s="20">
        <f>+sgbelvar!F34</f>
        <v>0</v>
      </c>
      <c r="G34" s="49">
        <v>0</v>
      </c>
      <c r="H34" s="20">
        <f>+sgbelvar!H34</f>
        <v>0</v>
      </c>
      <c r="I34" s="49">
        <v>0</v>
      </c>
      <c r="J34" s="20">
        <f>+sgbelvar!J34</f>
        <v>0</v>
      </c>
      <c r="K34" s="52">
        <f>+J34/$J$23</f>
        <v>0</v>
      </c>
      <c r="L34" s="20">
        <f>+sgbelvar!L34</f>
        <v>0</v>
      </c>
      <c r="M34" s="52">
        <f>+L34/$L$23</f>
        <v>0</v>
      </c>
      <c r="N34" s="20">
        <f>+sgbelvar!N34</f>
        <v>0</v>
      </c>
      <c r="O34" s="52">
        <f>+N34/$N$23</f>
        <v>0</v>
      </c>
      <c r="P34" s="20">
        <f>+sgbelvar!P34</f>
        <v>0</v>
      </c>
      <c r="Q34" s="52">
        <f t="shared" si="9"/>
        <v>0</v>
      </c>
    </row>
    <row r="35" spans="1:21" ht="18">
      <c r="A35" s="10" t="s">
        <v>274</v>
      </c>
      <c r="B35" s="199">
        <f>+sgbelvar!B35</f>
        <v>87823.308000000005</v>
      </c>
      <c r="C35" s="294">
        <f>+B35/$B$23</f>
        <v>1.4364521371323095E-2</v>
      </c>
      <c r="D35" s="199">
        <f>+sgbelvar!D35</f>
        <v>0</v>
      </c>
      <c r="E35" s="1524">
        <v>0</v>
      </c>
      <c r="F35" s="199">
        <f>+sgbelvar!F35</f>
        <v>0</v>
      </c>
      <c r="G35" s="1524">
        <v>0</v>
      </c>
      <c r="H35" s="217">
        <f>+sgbelvar!H35</f>
        <v>0</v>
      </c>
      <c r="I35" s="1524">
        <v>0</v>
      </c>
      <c r="J35" s="199">
        <f>+sgbelvar!J35</f>
        <v>110293.88291</v>
      </c>
      <c r="K35" s="294">
        <f>+J35/$J$23</f>
        <v>1.9467024007484249E-2</v>
      </c>
      <c r="L35" s="199">
        <f>+sgbelvar!L35</f>
        <v>89149.113875999959</v>
      </c>
      <c r="M35" s="294">
        <f>+L35/$L$23</f>
        <v>2.1076610411208934E-2</v>
      </c>
      <c r="N35" s="199">
        <f>+sgbelvar!N35</f>
        <v>102852.65009</v>
      </c>
      <c r="O35" s="294">
        <f>+N35/$N$23</f>
        <v>2.3859341058579495E-2</v>
      </c>
      <c r="P35" s="199">
        <f>+sgbelvar!P35</f>
        <v>144235.87297999999</v>
      </c>
      <c r="Q35" s="294">
        <f t="shared" si="9"/>
        <v>3.5917185757961399E-2</v>
      </c>
      <c r="R35" s="14"/>
      <c r="S35" s="15"/>
      <c r="T35" s="15"/>
      <c r="U35" s="15"/>
    </row>
    <row r="36" spans="1:21">
      <c r="A36" s="10"/>
      <c r="B36" s="20">
        <f>SUM(B33:B35)</f>
        <v>87823.308000000005</v>
      </c>
      <c r="C36" s="52">
        <f>+B36/$B$23</f>
        <v>1.4364521371323095E-2</v>
      </c>
      <c r="D36" s="20">
        <f>SUM(D33:D35)</f>
        <v>0</v>
      </c>
      <c r="E36" s="49">
        <v>0</v>
      </c>
      <c r="F36" s="20">
        <f>SUM(F33:F35)</f>
        <v>0</v>
      </c>
      <c r="G36" s="49">
        <v>0</v>
      </c>
      <c r="H36" s="20">
        <f>SUM(H33:H35)</f>
        <v>0</v>
      </c>
      <c r="I36" s="49">
        <v>0</v>
      </c>
      <c r="J36" s="20">
        <f>SUM(J33:J35)</f>
        <v>110293.88291</v>
      </c>
      <c r="K36" s="52">
        <f>+J36/$J$23</f>
        <v>1.9467024007484249E-2</v>
      </c>
      <c r="L36" s="20">
        <f>SUM(L33:L35)</f>
        <v>89149.113875999959</v>
      </c>
      <c r="M36" s="52">
        <f>+L36/$L$23</f>
        <v>2.1076610411208934E-2</v>
      </c>
      <c r="N36" s="20">
        <f>SUM(N33:N35)</f>
        <v>102852.65009</v>
      </c>
      <c r="O36" s="52">
        <f>+N36/$N$23</f>
        <v>2.3859341058579495E-2</v>
      </c>
      <c r="P36" s="20">
        <f>SUM(P33:P35)</f>
        <v>144235.87297999999</v>
      </c>
      <c r="Q36" s="52">
        <f t="shared" si="9"/>
        <v>3.5917185757961399E-2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+sgbelvar!B39</f>
        <v>855000</v>
      </c>
      <c r="C39" s="52">
        <f>+B39/$B$23</f>
        <v>0.13984517381742492</v>
      </c>
      <c r="D39" s="20">
        <f>+sgbelvar!D39</f>
        <v>0</v>
      </c>
      <c r="E39" s="49">
        <v>0</v>
      </c>
      <c r="F39" s="20">
        <f>+sgbelvar!F39</f>
        <v>0</v>
      </c>
      <c r="G39" s="49">
        <v>0</v>
      </c>
      <c r="H39" s="20">
        <f>+sgbelvar!H39</f>
        <v>0</v>
      </c>
      <c r="I39" s="49">
        <v>0</v>
      </c>
      <c r="J39" s="20">
        <f>+sgbelvar!J39</f>
        <v>855000</v>
      </c>
      <c r="K39" s="52">
        <f>+J39/$J$23</f>
        <v>0.15090869128236981</v>
      </c>
      <c r="L39" s="20">
        <f>+sgbelvar!L39</f>
        <v>855000</v>
      </c>
      <c r="M39" s="52">
        <f>+L39/$L$23</f>
        <v>0.20213887853836515</v>
      </c>
      <c r="N39" s="20">
        <f>+sgbelvar!N39</f>
        <v>500000</v>
      </c>
      <c r="O39" s="52">
        <f>+N39/$N$23</f>
        <v>0.11598797424131346</v>
      </c>
      <c r="P39" s="20">
        <f>+sgbelvar!P39</f>
        <v>400000</v>
      </c>
      <c r="Q39" s="52">
        <f t="shared" si="9"/>
        <v>9.9606803816251019E-2</v>
      </c>
    </row>
    <row r="40" spans="1:21">
      <c r="A40" s="10" t="s">
        <v>276</v>
      </c>
      <c r="B40" s="20">
        <f>+sgbelvar!B40</f>
        <v>0</v>
      </c>
      <c r="C40" s="52">
        <f>+B40/$B$23</f>
        <v>0</v>
      </c>
      <c r="D40" s="20">
        <f>+sgbelvar!D40</f>
        <v>0</v>
      </c>
      <c r="E40" s="49">
        <v>0</v>
      </c>
      <c r="F40" s="20">
        <f>+sgbelvar!F40</f>
        <v>0</v>
      </c>
      <c r="G40" s="49">
        <v>0</v>
      </c>
      <c r="H40" s="20">
        <f>+sgbelvar!H40</f>
        <v>0</v>
      </c>
      <c r="I40" s="49">
        <v>0</v>
      </c>
      <c r="J40" s="20">
        <f>+sgbelvar!J40</f>
        <v>0</v>
      </c>
      <c r="K40" s="52">
        <f>+J40/$J$23</f>
        <v>0</v>
      </c>
      <c r="L40" s="20">
        <f>+sgbelvar!L40</f>
        <v>0</v>
      </c>
      <c r="M40" s="52">
        <f>+L40/$L$23</f>
        <v>0</v>
      </c>
      <c r="N40" s="20">
        <f>+sgbelvar!N40</f>
        <v>0</v>
      </c>
      <c r="O40" s="52">
        <f>+N40/$N$23</f>
        <v>0</v>
      </c>
      <c r="P40" s="20">
        <f>+sgbelvar!P40</f>
        <v>0</v>
      </c>
      <c r="Q40" s="52">
        <f t="shared" si="9"/>
        <v>0</v>
      </c>
    </row>
    <row r="41" spans="1:21">
      <c r="A41" s="10" t="s">
        <v>274</v>
      </c>
      <c r="B41" s="199">
        <f>+sgbelvar!B41</f>
        <v>63772.701469999971</v>
      </c>
      <c r="C41" s="294">
        <f>+B41/$B$23</f>
        <v>1.0430765522665376E-2</v>
      </c>
      <c r="D41" s="199">
        <f>+sgbelvar!D41</f>
        <v>0</v>
      </c>
      <c r="E41" s="1524">
        <v>0</v>
      </c>
      <c r="F41" s="199">
        <f>+sgbelvar!F41</f>
        <v>0</v>
      </c>
      <c r="G41" s="1524">
        <v>0</v>
      </c>
      <c r="H41" s="217">
        <f>+sgbelvar!H41</f>
        <v>0</v>
      </c>
      <c r="I41" s="1524">
        <v>0</v>
      </c>
      <c r="J41" s="199">
        <f>+sgbelvar!J41</f>
        <v>62887.521659999969</v>
      </c>
      <c r="K41" s="294">
        <f>+J41/$J$23</f>
        <v>1.1099735194973427E-2</v>
      </c>
      <c r="L41" s="199">
        <f>+sgbelvar!L41</f>
        <v>14804.963039999944</v>
      </c>
      <c r="M41" s="294">
        <f>+L41/$L$23</f>
        <v>3.5001855271433145E-3</v>
      </c>
      <c r="N41" s="199">
        <f>+sgbelvar!N41</f>
        <v>10784.995340000023</v>
      </c>
      <c r="O41" s="294">
        <f>+N41/$N$23</f>
        <v>2.5018595233772169E-3</v>
      </c>
      <c r="P41" s="199">
        <f>+sgbelvar!P41</f>
        <v>3877.4264000000003</v>
      </c>
      <c r="Q41" s="294">
        <f t="shared" si="9"/>
        <v>9.6554512684188113E-4</v>
      </c>
    </row>
    <row r="42" spans="1:21">
      <c r="A42" s="10"/>
      <c r="B42" s="20">
        <f>SUM(B39:B41)</f>
        <v>918772.70146999997</v>
      </c>
      <c r="C42" s="52">
        <f>+B42/$B$23</f>
        <v>0.15027593934009031</v>
      </c>
      <c r="D42" s="20">
        <f>SUM(D39:D41)</f>
        <v>0</v>
      </c>
      <c r="E42" s="49">
        <v>0</v>
      </c>
      <c r="F42" s="20">
        <f>SUM(F39:F41)</f>
        <v>0</v>
      </c>
      <c r="G42" s="49">
        <v>0</v>
      </c>
      <c r="H42" s="20">
        <f>SUM(H39:H41)</f>
        <v>0</v>
      </c>
      <c r="I42" s="49">
        <v>0</v>
      </c>
      <c r="J42" s="20">
        <f>SUM(J39:J41)</f>
        <v>917887.52165999997</v>
      </c>
      <c r="K42" s="52">
        <f>+J42/$J$23</f>
        <v>0.16200842647734323</v>
      </c>
      <c r="L42" s="20">
        <f>SUM(L39:L41)</f>
        <v>869804.96303999994</v>
      </c>
      <c r="M42" s="52">
        <f>+L42/$L$23</f>
        <v>0.20563906406550844</v>
      </c>
      <c r="N42" s="20">
        <f>SUM(N39:N41)</f>
        <v>510784.99534000002</v>
      </c>
      <c r="O42" s="52">
        <f>+N42/$N$23</f>
        <v>0.11848983376469069</v>
      </c>
      <c r="P42" s="20">
        <f>SUM(P39:P41)</f>
        <v>403877.4264</v>
      </c>
      <c r="Q42" s="52">
        <f t="shared" si="9"/>
        <v>0.1005723489430929</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+sgbelvar!B44</f>
        <v>68401.416389999984</v>
      </c>
      <c r="C44" s="294">
        <f>+B44/$B$23</f>
        <v>1.1187845572418254E-2</v>
      </c>
      <c r="D44" s="199">
        <f>+sgbelvar!D44</f>
        <v>0</v>
      </c>
      <c r="E44" s="1524">
        <v>0</v>
      </c>
      <c r="F44" s="199">
        <f>+sgbelvar!F44</f>
        <v>0</v>
      </c>
      <c r="G44" s="1524">
        <v>0</v>
      </c>
      <c r="H44" s="217">
        <f>+sgbelvar!H44</f>
        <v>0</v>
      </c>
      <c r="I44" s="1524">
        <v>0</v>
      </c>
      <c r="J44" s="199">
        <f>+sgbelvar!J44</f>
        <v>76862.384119999973</v>
      </c>
      <c r="K44" s="294">
        <f>+J44/$J$23</f>
        <v>1.3566317890516958E-2</v>
      </c>
      <c r="L44" s="199">
        <f>+sgbelvar!L44</f>
        <v>28056.705590000001</v>
      </c>
      <c r="M44" s="294">
        <f>+L44/$L$23</f>
        <v>6.6331590683551822E-3</v>
      </c>
      <c r="N44" s="199">
        <f>+sgbelvar!N44</f>
        <v>5585.5665399999989</v>
      </c>
      <c r="O44" s="294">
        <f>+N44/$N$23</f>
        <v>1.2957170959293244E-3</v>
      </c>
      <c r="P44" s="199">
        <f>+sgbelvar!P44</f>
        <v>3256.79684</v>
      </c>
      <c r="Q44" s="294">
        <f t="shared" si="9"/>
        <v>8.1099780977816557E-4</v>
      </c>
      <c r="R44" s="14"/>
    </row>
    <row r="45" spans="1:21">
      <c r="A45" s="10"/>
      <c r="B45" s="20">
        <f>+B30+B36+B42+B44</f>
        <v>5620214.4813300008</v>
      </c>
      <c r="C45" s="52">
        <f>+B45/$B$23</f>
        <v>0.91925131114947678</v>
      </c>
      <c r="D45" s="20">
        <f>+D30+D36+D42+D44</f>
        <v>0</v>
      </c>
      <c r="E45" s="49">
        <v>0</v>
      </c>
      <c r="F45" s="20">
        <f>+F30+F36+F42+F44</f>
        <v>0</v>
      </c>
      <c r="G45" s="49">
        <v>0</v>
      </c>
      <c r="H45" s="20">
        <f>+H30+H36+H42+H44</f>
        <v>0</v>
      </c>
      <c r="I45" s="49">
        <v>0</v>
      </c>
      <c r="J45" s="20">
        <f>+J30+J36+J42+J44</f>
        <v>5199501.8766399994</v>
      </c>
      <c r="K45" s="52">
        <f>+J45/$J$23</f>
        <v>0.91771932575902715</v>
      </c>
      <c r="L45" s="20">
        <f>+L30+L36+L42+L44</f>
        <v>3786820.5368359997</v>
      </c>
      <c r="M45" s="52">
        <f>+L45/$L$23</f>
        <v>0.89527913045857166</v>
      </c>
      <c r="N45" s="20">
        <f>+N30+N36+N42+N44</f>
        <v>3890899.5203800001</v>
      </c>
      <c r="O45" s="52">
        <f>+N45/$N$23</f>
        <v>0.90259510669074872</v>
      </c>
      <c r="P45" s="20">
        <f>+P30+P36+P42+P44</f>
        <v>3609390.48759</v>
      </c>
      <c r="Q45" s="52">
        <f t="shared" ref="Q45:Q52" si="10">+P45/$P$23</f>
        <v>0.89879962548404935</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+sgbelvar!B48</f>
        <v>150000</v>
      </c>
      <c r="C48" s="52">
        <f t="shared" ref="C48:C53" si="11">+B48/$B$23</f>
        <v>2.4534241020600863E-2</v>
      </c>
      <c r="D48" s="20">
        <f>+sgbelvar!D48</f>
        <v>0</v>
      </c>
      <c r="E48" s="49">
        <v>0</v>
      </c>
      <c r="F48" s="20">
        <f>+sgbelvar!F48</f>
        <v>0</v>
      </c>
      <c r="G48" s="49">
        <v>0</v>
      </c>
      <c r="H48" s="20">
        <f>+sgbelvar!H48</f>
        <v>0</v>
      </c>
      <c r="I48" s="49">
        <v>0</v>
      </c>
      <c r="J48" s="20">
        <f>+sgbelvar!J48</f>
        <v>150000</v>
      </c>
      <c r="K48" s="52">
        <f t="shared" ref="K48:K53" si="12">+J48/$J$23</f>
        <v>2.6475208996906984E-2</v>
      </c>
      <c r="L48" s="20">
        <f>+sgbelvar!L48</f>
        <v>150000</v>
      </c>
      <c r="M48" s="52">
        <f t="shared" ref="M48:M53" si="13">+L48/$L$23</f>
        <v>3.5462961147081605E-2</v>
      </c>
      <c r="N48" s="20">
        <f>+sgbelvar!N48</f>
        <v>150000</v>
      </c>
      <c r="O48" s="52">
        <f t="shared" ref="O48:O53" si="14">+N48/$N$23</f>
        <v>3.479639227239404E-2</v>
      </c>
      <c r="P48" s="20">
        <f>+sgbelvar!P48</f>
        <v>150000</v>
      </c>
      <c r="Q48" s="52">
        <f t="shared" si="10"/>
        <v>3.735255143109413E-2</v>
      </c>
    </row>
    <row r="49" spans="1:21">
      <c r="A49" s="10" t="s">
        <v>280</v>
      </c>
      <c r="B49" s="20">
        <f>+sgbelvar!B49</f>
        <v>166509.38644</v>
      </c>
      <c r="C49" s="52">
        <f t="shared" si="11"/>
        <v>2.7234542794075528E-2</v>
      </c>
      <c r="D49" s="20">
        <f>+sgbelvar!D49</f>
        <v>0</v>
      </c>
      <c r="E49" s="49">
        <v>0</v>
      </c>
      <c r="F49" s="20">
        <f>+sgbelvar!F49</f>
        <v>0</v>
      </c>
      <c r="G49" s="49">
        <v>0</v>
      </c>
      <c r="H49" s="20">
        <f>+sgbelvar!H49</f>
        <v>0</v>
      </c>
      <c r="I49" s="49">
        <v>0</v>
      </c>
      <c r="J49" s="20">
        <f>+sgbelvar!J49</f>
        <v>155712.09143999999</v>
      </c>
      <c r="K49" s="52">
        <f t="shared" si="12"/>
        <v>2.7483401094796606E-2</v>
      </c>
      <c r="L49" s="20">
        <f>+sgbelvar!L49</f>
        <v>139049.84042000002</v>
      </c>
      <c r="M49" s="52">
        <f t="shared" si="13"/>
        <v>3.2874127255482388E-2</v>
      </c>
      <c r="N49" s="20">
        <f>+sgbelvar!N49</f>
        <v>130984.99542000001</v>
      </c>
      <c r="O49" s="52">
        <f t="shared" si="14"/>
        <v>3.0385368549547046E-2</v>
      </c>
      <c r="P49" s="20">
        <f>+sgbelvar!P49</f>
        <v>129575.44542</v>
      </c>
      <c r="Q49" s="52">
        <f t="shared" si="10"/>
        <v>3.2266489928383206E-2</v>
      </c>
    </row>
    <row r="50" spans="1:21">
      <c r="A50" s="10" t="s">
        <v>290</v>
      </c>
      <c r="B50" s="20">
        <f>+sgbelvar!B50</f>
        <v>0</v>
      </c>
      <c r="C50" s="52">
        <f t="shared" si="11"/>
        <v>0</v>
      </c>
      <c r="D50" s="20">
        <f>+sgbelvar!D50</f>
        <v>0</v>
      </c>
      <c r="E50" s="49">
        <v>0</v>
      </c>
      <c r="F50" s="20">
        <f>+sgbelvar!F50</f>
        <v>0</v>
      </c>
      <c r="G50" s="49">
        <v>0</v>
      </c>
      <c r="H50" s="20">
        <f>+sgbelvar!H50</f>
        <v>0</v>
      </c>
      <c r="I50" s="49">
        <v>0</v>
      </c>
      <c r="J50" s="20">
        <f>+sgbelvar!J50</f>
        <v>0</v>
      </c>
      <c r="K50" s="52">
        <f t="shared" si="12"/>
        <v>0</v>
      </c>
      <c r="L50" s="20">
        <f>+sgbelvar!L50</f>
        <v>0</v>
      </c>
      <c r="M50" s="52">
        <f t="shared" si="13"/>
        <v>0</v>
      </c>
      <c r="N50" s="20">
        <f>+sgbelvar!N50</f>
        <v>0</v>
      </c>
      <c r="O50" s="52">
        <f t="shared" si="14"/>
        <v>0</v>
      </c>
      <c r="P50" s="20">
        <f>+sgbelvar!P50</f>
        <v>0</v>
      </c>
      <c r="Q50" s="52">
        <f t="shared" si="10"/>
        <v>0</v>
      </c>
    </row>
    <row r="51" spans="1:21" ht="18">
      <c r="A51" s="10" t="s">
        <v>282</v>
      </c>
      <c r="B51" s="199">
        <f>+sgbelvar!B51</f>
        <v>177180.36401000002</v>
      </c>
      <c r="C51" s="294">
        <f t="shared" si="11"/>
        <v>2.8979905031594238E-2</v>
      </c>
      <c r="D51" s="199">
        <f>+sgbelvar!D51</f>
        <v>0</v>
      </c>
      <c r="E51" s="49">
        <v>0</v>
      </c>
      <c r="F51" s="199">
        <f>+sgbelvar!F51</f>
        <v>0</v>
      </c>
      <c r="G51" s="49">
        <v>0</v>
      </c>
      <c r="H51" s="217">
        <f>+sgbelvar!H51</f>
        <v>0</v>
      </c>
      <c r="I51" s="49">
        <v>0</v>
      </c>
      <c r="J51" s="199">
        <f>+sgbelvar!J51</f>
        <v>160463.68586999999</v>
      </c>
      <c r="K51" s="294">
        <f t="shared" si="12"/>
        <v>2.8322064132148533E-2</v>
      </c>
      <c r="L51" s="199">
        <f>+sgbelvar!L51</f>
        <v>153894.85227999999</v>
      </c>
      <c r="M51" s="294">
        <f t="shared" si="13"/>
        <v>3.6383781114276682E-2</v>
      </c>
      <c r="N51" s="199">
        <f>+sgbelvar!N51</f>
        <v>138907.21292000002</v>
      </c>
      <c r="O51" s="294">
        <f t="shared" si="14"/>
        <v>3.2223132468195213E-2</v>
      </c>
      <c r="P51" s="199">
        <f>+sgbelvar!P51</f>
        <v>126823.99971999999</v>
      </c>
      <c r="Q51" s="294">
        <f t="shared" si="10"/>
        <v>3.1581333148255786E-2</v>
      </c>
      <c r="R51" s="14"/>
      <c r="S51" s="15"/>
      <c r="T51" s="15"/>
      <c r="U51" s="15"/>
    </row>
    <row r="52" spans="1:21" ht="16.5" thickBot="1">
      <c r="A52" s="10" t="s">
        <v>54</v>
      </c>
      <c r="B52" s="79">
        <f>SUM(B48:B51)</f>
        <v>493689.75045000005</v>
      </c>
      <c r="C52" s="208">
        <f t="shared" si="11"/>
        <v>8.0748688846270636E-2</v>
      </c>
      <c r="D52" s="79">
        <f>SUM(D48:D51)</f>
        <v>0</v>
      </c>
      <c r="E52" s="1525">
        <v>0</v>
      </c>
      <c r="F52" s="79">
        <f>SUM(F48:F51)</f>
        <v>0</v>
      </c>
      <c r="G52" s="1525">
        <v>0</v>
      </c>
      <c r="H52" s="79">
        <f>SUM(H48:H51)</f>
        <v>0</v>
      </c>
      <c r="I52" s="1525">
        <v>0</v>
      </c>
      <c r="J52" s="79">
        <f>SUM(J48:J51)</f>
        <v>466175.77730999998</v>
      </c>
      <c r="K52" s="208">
        <f t="shared" si="12"/>
        <v>8.2280674223852129E-2</v>
      </c>
      <c r="L52" s="79">
        <f>SUM(L48:L51)</f>
        <v>442944.69270000001</v>
      </c>
      <c r="M52" s="208">
        <f t="shared" si="13"/>
        <v>0.10472086951684068</v>
      </c>
      <c r="N52" s="79">
        <f>SUM(N48:N51)</f>
        <v>419892.20834000001</v>
      </c>
      <c r="O52" s="208">
        <f t="shared" si="14"/>
        <v>9.7404893290136296E-2</v>
      </c>
      <c r="P52" s="79">
        <f>SUM(P48:P51)</f>
        <v>406399.44513999997</v>
      </c>
      <c r="Q52" s="208">
        <f t="shared" si="10"/>
        <v>0.10120037450773312</v>
      </c>
    </row>
    <row r="53" spans="1:21">
      <c r="A53" s="10" t="s">
        <v>0</v>
      </c>
      <c r="B53" s="13">
        <f>+B30+B36+B42+B44+B52</f>
        <v>6113904.231780001</v>
      </c>
      <c r="C53" s="109">
        <f t="shared" si="11"/>
        <v>0.9999999999957474</v>
      </c>
      <c r="D53" s="13">
        <f>+D30+D36+D42+D44+D52</f>
        <v>0</v>
      </c>
      <c r="E53" s="47">
        <v>0</v>
      </c>
      <c r="F53" s="13">
        <f>+F30+F36+F42+F44+F52</f>
        <v>0</v>
      </c>
      <c r="G53" s="47">
        <v>0</v>
      </c>
      <c r="H53" s="13">
        <f>+H30+H36+H42+H44+H52</f>
        <v>0</v>
      </c>
      <c r="I53" s="47">
        <v>0</v>
      </c>
      <c r="J53" s="13">
        <f>+J30+J36+J42+J44+J52</f>
        <v>5665677.6539499993</v>
      </c>
      <c r="K53" s="109">
        <f t="shared" si="12"/>
        <v>0.99999999998287914</v>
      </c>
      <c r="L53" s="13">
        <f>+L30+L36+L42+L44+L52</f>
        <v>4229765.2295359997</v>
      </c>
      <c r="M53" s="109">
        <f t="shared" si="13"/>
        <v>0.99999999997541233</v>
      </c>
      <c r="N53" s="13">
        <f>+N30+N36+N42+N44+N52</f>
        <v>4310791.72872</v>
      </c>
      <c r="O53" s="109">
        <f t="shared" si="14"/>
        <v>0.99999999998088507</v>
      </c>
      <c r="P53" s="13">
        <f>+P30+P36+P42+P44+P52</f>
        <v>4015789.93273</v>
      </c>
      <c r="Q53" s="52">
        <f>+P53/$P$23</f>
        <v>0.99999999999178246</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sheetData>
  <phoneticPr fontId="0" type="noConversion"/>
  <pageMargins left="0.2" right="0.23" top="0.54" bottom="0.61" header="0.34" footer="0.3"/>
  <pageSetup scale="52" orientation="landscape" r:id="rId1"/>
  <headerFooter alignWithMargins="0">
    <oddFooter>&amp;R&amp;P</oddFooter>
  </headerFooter>
</worksheet>
</file>

<file path=xl/worksheets/sheet111.xml><?xml version="1.0" encoding="utf-8"?>
<worksheet xmlns="http://schemas.openxmlformats.org/spreadsheetml/2006/main" xmlns:r="http://schemas.openxmlformats.org/officeDocument/2006/relationships">
  <sheetPr>
    <pageSetUpPr fitToPage="1"/>
  </sheetPr>
  <dimension ref="A1:O172"/>
  <sheetViews>
    <sheetView topLeftCell="A7" workbookViewId="0">
      <pane xSplit="1" ySplit="2" topLeftCell="B9"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2.375" customWidth="1"/>
    <col min="2" max="2" width="18" style="20" customWidth="1"/>
    <col min="3" max="3" width="15.75" style="21" customWidth="1"/>
    <col min="4" max="4" width="15.75" style="20" customWidth="1"/>
    <col min="5" max="5" width="14.5" style="21" customWidth="1"/>
    <col min="6" max="6" width="11.125" style="20" customWidth="1"/>
    <col min="7" max="7" width="9.75" style="21" customWidth="1"/>
    <col min="8" max="8" width="17.625" style="20" customWidth="1"/>
    <col min="9" max="9" width="15.75" style="20" customWidth="1"/>
    <col min="10" max="10" width="15.75" style="21" customWidth="1"/>
    <col min="11" max="11" width="14.5" style="20" customWidth="1"/>
    <col min="12" max="12" width="15.75" style="20" customWidth="1"/>
    <col min="13" max="15" width="15.75" customWidth="1"/>
  </cols>
  <sheetData>
    <row r="1" spans="1:15">
      <c r="A1" s="111" t="s">
        <v>408</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193"/>
      <c r="D6" s="194"/>
    </row>
    <row r="7" spans="1:15" ht="16.5" thickBot="1">
      <c r="B7" s="367" t="str">
        <f>+'sogebkgdes&amp;$  '!B7</f>
        <v>Décembre 14</v>
      </c>
      <c r="C7" s="43"/>
      <c r="D7" s="42"/>
      <c r="E7" s="43"/>
      <c r="H7" s="332" t="str">
        <f>+'sogebkgdes&amp;$  '!H7</f>
        <v>Septembre 14</v>
      </c>
      <c r="I7" s="193"/>
      <c r="J7" s="194"/>
      <c r="K7" s="42"/>
    </row>
    <row r="8" spans="1:15" ht="16.5" thickTop="1">
      <c r="A8" s="86" t="s">
        <v>244</v>
      </c>
      <c r="B8" s="348" t="s">
        <v>297</v>
      </c>
      <c r="C8" s="349" t="s">
        <v>294</v>
      </c>
      <c r="D8" s="354" t="s">
        <v>295</v>
      </c>
      <c r="E8" s="353" t="s">
        <v>296</v>
      </c>
      <c r="F8" s="120" t="s">
        <v>0</v>
      </c>
      <c r="G8" s="119" t="s">
        <v>0</v>
      </c>
      <c r="H8" s="348" t="s">
        <v>409</v>
      </c>
      <c r="I8" s="350" t="s">
        <v>294</v>
      </c>
      <c r="J8" s="352" t="s">
        <v>295</v>
      </c>
      <c r="K8" s="353" t="s">
        <v>296</v>
      </c>
      <c r="L8" s="22"/>
      <c r="M8" s="17"/>
      <c r="N8" s="17"/>
      <c r="O8" s="17"/>
    </row>
    <row r="9" spans="1:15">
      <c r="A9" s="10" t="s">
        <v>255</v>
      </c>
      <c r="B9" s="121"/>
      <c r="C9" s="122"/>
      <c r="D9" s="322"/>
      <c r="E9" s="328" t="s">
        <v>0</v>
      </c>
      <c r="H9" s="128"/>
      <c r="I9" s="81"/>
      <c r="J9" s="326" t="s">
        <v>0</v>
      </c>
      <c r="K9" s="328" t="s">
        <v>0</v>
      </c>
    </row>
    <row r="10" spans="1:15">
      <c r="A10" s="10" t="s">
        <v>256</v>
      </c>
      <c r="B10" s="124">
        <v>7526.3394900000003</v>
      </c>
      <c r="C10" s="91">
        <v>23399.555110000001</v>
      </c>
      <c r="D10" s="323">
        <f t="shared" ref="D10:D15" si="0">SUM(B10:C10)</f>
        <v>30925.8946</v>
      </c>
      <c r="E10" s="329">
        <f t="shared" ref="E10:E15" si="1">+B10/D10</f>
        <v>0.24336691265836496</v>
      </c>
      <c r="F10" s="87" t="s">
        <v>0</v>
      </c>
      <c r="G10" s="98" t="s">
        <v>0</v>
      </c>
      <c r="H10" s="124">
        <v>11425.151809999999</v>
      </c>
      <c r="I10" s="91">
        <v>28308.179820000001</v>
      </c>
      <c r="J10" s="323">
        <f t="shared" ref="J10:J15" si="2">SUM(H10:I10)</f>
        <v>39733.331630000001</v>
      </c>
      <c r="K10" s="329">
        <f t="shared" ref="K10:K15" si="3">+H10/J10</f>
        <v>0.28754577935703801</v>
      </c>
    </row>
    <row r="11" spans="1:15">
      <c r="A11" s="10" t="s">
        <v>257</v>
      </c>
      <c r="B11" s="124">
        <v>497934.62901999999</v>
      </c>
      <c r="C11" s="91">
        <v>85584.594100000002</v>
      </c>
      <c r="D11" s="323">
        <f t="shared" si="0"/>
        <v>583519.22311999998</v>
      </c>
      <c r="E11" s="329">
        <f t="shared" si="1"/>
        <v>0.85333029194412735</v>
      </c>
      <c r="F11" s="87" t="s">
        <v>0</v>
      </c>
      <c r="G11" s="98" t="s">
        <v>0</v>
      </c>
      <c r="H11" s="124">
        <v>442194.89623999997</v>
      </c>
      <c r="I11" s="91">
        <v>75561.534670000008</v>
      </c>
      <c r="J11" s="323">
        <f t="shared" si="2"/>
        <v>517756.43091</v>
      </c>
      <c r="K11" s="329">
        <f t="shared" si="3"/>
        <v>0.85405968876679261</v>
      </c>
    </row>
    <row r="12" spans="1:15">
      <c r="A12" s="10" t="s">
        <v>258</v>
      </c>
      <c r="B12" s="124">
        <v>10976.945239999999</v>
      </c>
      <c r="C12" s="91">
        <v>0</v>
      </c>
      <c r="D12" s="323">
        <f t="shared" si="0"/>
        <v>10976.945239999999</v>
      </c>
      <c r="E12" s="329">
        <f t="shared" si="1"/>
        <v>1</v>
      </c>
      <c r="F12" s="87" t="s">
        <v>0</v>
      </c>
      <c r="G12" s="98" t="s">
        <v>0</v>
      </c>
      <c r="H12" s="124">
        <v>6869.1954699999997</v>
      </c>
      <c r="I12" s="91">
        <v>0</v>
      </c>
      <c r="J12" s="323">
        <f t="shared" si="2"/>
        <v>6869.1954699999997</v>
      </c>
      <c r="K12" s="329">
        <f t="shared" si="3"/>
        <v>1</v>
      </c>
    </row>
    <row r="13" spans="1:15">
      <c r="A13" s="10" t="s">
        <v>259</v>
      </c>
      <c r="B13" s="124">
        <v>1400873.1609499999</v>
      </c>
      <c r="C13" s="91">
        <v>314670.55420000001</v>
      </c>
      <c r="D13" s="323">
        <f t="shared" si="0"/>
        <v>1715543.7151500001</v>
      </c>
      <c r="E13" s="329">
        <f t="shared" si="1"/>
        <v>0.81657677888290559</v>
      </c>
      <c r="F13" s="87" t="s">
        <v>0</v>
      </c>
      <c r="G13" s="98" t="s">
        <v>0</v>
      </c>
      <c r="H13" s="124">
        <v>1193891.23695</v>
      </c>
      <c r="I13" s="91">
        <v>313172.02448000002</v>
      </c>
      <c r="J13" s="323">
        <f t="shared" si="2"/>
        <v>1507063.26143</v>
      </c>
      <c r="K13" s="329">
        <f t="shared" si="3"/>
        <v>0.79219716086580083</v>
      </c>
    </row>
    <row r="14" spans="1:15">
      <c r="A14" s="10" t="s">
        <v>260</v>
      </c>
      <c r="B14" s="685">
        <v>3612.5589500000001</v>
      </c>
      <c r="C14" s="224">
        <v>11937.782579999999</v>
      </c>
      <c r="D14" s="684">
        <f t="shared" si="0"/>
        <v>15550.34153</v>
      </c>
      <c r="E14" s="329">
        <f t="shared" si="1"/>
        <v>0.23231380114903497</v>
      </c>
      <c r="F14" s="87" t="s">
        <v>0</v>
      </c>
      <c r="G14" s="98" t="s">
        <v>0</v>
      </c>
      <c r="H14" s="685">
        <v>20793.274590000001</v>
      </c>
      <c r="I14" s="224">
        <v>13099.33727</v>
      </c>
      <c r="J14" s="684">
        <f t="shared" si="2"/>
        <v>33892.611860000005</v>
      </c>
      <c r="K14" s="329">
        <f t="shared" si="3"/>
        <v>0.61350463858880655</v>
      </c>
    </row>
    <row r="15" spans="1:15" ht="15.6" customHeight="1">
      <c r="A15" s="10"/>
      <c r="B15" s="124">
        <f>SUM(B10:B14)</f>
        <v>1920923.6336499997</v>
      </c>
      <c r="C15" s="91">
        <f>SUM(C10:C14)</f>
        <v>435592.48599000002</v>
      </c>
      <c r="D15" s="323">
        <f t="shared" si="0"/>
        <v>2356516.1196399997</v>
      </c>
      <c r="E15" s="329">
        <f t="shared" si="1"/>
        <v>0.81515403932117192</v>
      </c>
      <c r="F15" s="87" t="s">
        <v>0</v>
      </c>
      <c r="G15" s="98" t="s">
        <v>0</v>
      </c>
      <c r="H15" s="124">
        <f>SUM(H10:H14)</f>
        <v>1675173.7550600001</v>
      </c>
      <c r="I15" s="91">
        <f>SUM(I10:I14)</f>
        <v>430141.07624000008</v>
      </c>
      <c r="J15" s="323">
        <f t="shared" si="2"/>
        <v>2105314.8313000002</v>
      </c>
      <c r="K15" s="329">
        <f t="shared" si="3"/>
        <v>0.7956880035968803</v>
      </c>
    </row>
    <row r="16" spans="1:15" ht="7.9" customHeight="1">
      <c r="A16" s="10"/>
      <c r="B16" s="124"/>
      <c r="C16" s="92" t="s">
        <v>0</v>
      </c>
      <c r="D16" s="323"/>
      <c r="E16" s="129" t="s">
        <v>0</v>
      </c>
      <c r="F16" s="87"/>
      <c r="G16" s="98" t="s">
        <v>0</v>
      </c>
      <c r="H16" s="124"/>
      <c r="I16" s="92" t="s">
        <v>0</v>
      </c>
      <c r="J16" s="323" t="s">
        <v>0</v>
      </c>
      <c r="K16" s="610" t="s">
        <v>0</v>
      </c>
    </row>
    <row r="17" spans="1:11" ht="15.6" customHeight="1">
      <c r="A17" s="10" t="s">
        <v>261</v>
      </c>
      <c r="B17" s="124">
        <v>0</v>
      </c>
      <c r="C17" s="91">
        <v>0</v>
      </c>
      <c r="D17" s="323">
        <f t="shared" ref="D17:D23" si="4">SUM(B17:C17)</f>
        <v>0</v>
      </c>
      <c r="E17" s="129">
        <v>0</v>
      </c>
      <c r="F17" s="133" t="s">
        <v>0</v>
      </c>
      <c r="G17"/>
      <c r="H17" s="124">
        <v>0</v>
      </c>
      <c r="I17" s="91">
        <v>0</v>
      </c>
      <c r="J17" s="323">
        <f t="shared" ref="J17:J23" si="5">SUM(H17:I17)</f>
        <v>0</v>
      </c>
      <c r="K17" s="129">
        <v>0</v>
      </c>
    </row>
    <row r="18" spans="1:11" ht="15.6" customHeight="1">
      <c r="A18" s="10" t="s">
        <v>909</v>
      </c>
      <c r="B18" s="124">
        <v>0</v>
      </c>
      <c r="C18" s="91">
        <v>0</v>
      </c>
      <c r="D18" s="323">
        <f t="shared" si="4"/>
        <v>0</v>
      </c>
      <c r="E18" s="129">
        <v>0</v>
      </c>
      <c r="F18" s="133"/>
      <c r="G18"/>
      <c r="H18" s="124">
        <v>0</v>
      </c>
      <c r="I18" s="91">
        <v>0</v>
      </c>
      <c r="J18" s="323">
        <f t="shared" si="5"/>
        <v>0</v>
      </c>
      <c r="K18" s="129">
        <v>0</v>
      </c>
    </row>
    <row r="19" spans="1:11">
      <c r="A19" s="10" t="s">
        <v>262</v>
      </c>
      <c r="B19" s="124">
        <v>4674.7700000000004</v>
      </c>
      <c r="C19" s="91">
        <v>50937.69503000001</v>
      </c>
      <c r="D19" s="323">
        <f t="shared" si="4"/>
        <v>55612.465030000007</v>
      </c>
      <c r="E19" s="329">
        <f>+B19/D19</f>
        <v>8.4059751666792817E-2</v>
      </c>
      <c r="F19"/>
      <c r="G19"/>
      <c r="H19" s="124">
        <v>4555.7700000000004</v>
      </c>
      <c r="I19" s="91">
        <v>51681.755570000001</v>
      </c>
      <c r="J19" s="323">
        <f t="shared" si="5"/>
        <v>56237.525569999998</v>
      </c>
      <c r="K19" s="329">
        <f>+H19/J19</f>
        <v>8.1009431937565254E-2</v>
      </c>
    </row>
    <row r="20" spans="1:11">
      <c r="A20" s="10" t="s">
        <v>298</v>
      </c>
      <c r="B20" s="124">
        <v>1442507.4545159999</v>
      </c>
      <c r="C20" s="91">
        <v>1902796.8036399998</v>
      </c>
      <c r="D20" s="323">
        <f t="shared" si="4"/>
        <v>3345304.2581559997</v>
      </c>
      <c r="E20" s="329">
        <f>+B20/D20</f>
        <v>0.4312036643600064</v>
      </c>
      <c r="F20"/>
      <c r="G20"/>
      <c r="H20" s="124">
        <v>1467294.237867</v>
      </c>
      <c r="I20" s="91">
        <v>1713212.9171800001</v>
      </c>
      <c r="J20" s="323">
        <f t="shared" si="5"/>
        <v>3180507.1550470004</v>
      </c>
      <c r="K20" s="329">
        <f>+H20/J20</f>
        <v>0.46133970663723184</v>
      </c>
    </row>
    <row r="21" spans="1:11">
      <c r="A21" s="10" t="s">
        <v>264</v>
      </c>
      <c r="B21" s="124">
        <v>0</v>
      </c>
      <c r="C21" s="91">
        <v>210745.71995999999</v>
      </c>
      <c r="D21" s="323">
        <f t="shared" si="4"/>
        <v>210745.71995999999</v>
      </c>
      <c r="E21" s="129">
        <v>0</v>
      </c>
      <c r="F21"/>
      <c r="G21"/>
      <c r="H21" s="124">
        <v>0</v>
      </c>
      <c r="I21" s="91">
        <v>179157.18401</v>
      </c>
      <c r="J21" s="323">
        <f t="shared" si="5"/>
        <v>179157.18401</v>
      </c>
      <c r="K21" s="129">
        <v>0</v>
      </c>
    </row>
    <row r="22" spans="1:11">
      <c r="A22" s="10" t="s">
        <v>265</v>
      </c>
      <c r="B22" s="685">
        <v>45711.887849999999</v>
      </c>
      <c r="C22" s="224">
        <v>100013.78117</v>
      </c>
      <c r="D22" s="684">
        <f t="shared" si="4"/>
        <v>145725.66902</v>
      </c>
      <c r="E22" s="329">
        <f>+B22/D22</f>
        <v>0.31368452900172522</v>
      </c>
      <c r="F22"/>
      <c r="G22"/>
      <c r="H22" s="685">
        <v>50849.831639999989</v>
      </c>
      <c r="I22" s="224">
        <v>93611.126480000006</v>
      </c>
      <c r="J22" s="684">
        <f t="shared" si="5"/>
        <v>144460.95812</v>
      </c>
      <c r="K22" s="329">
        <f>+H22/J22</f>
        <v>0.35199705374901602</v>
      </c>
    </row>
    <row r="23" spans="1:11">
      <c r="A23" s="10" t="s">
        <v>54</v>
      </c>
      <c r="B23" s="125">
        <f>SUM(B15:B22)</f>
        <v>3413817.7460159999</v>
      </c>
      <c r="C23" s="94">
        <f>SUM(C15:C22)</f>
        <v>2700086.4857899994</v>
      </c>
      <c r="D23" s="324">
        <f t="shared" si="4"/>
        <v>6113904.2318059988</v>
      </c>
      <c r="E23" s="369">
        <f>+B23/D23</f>
        <v>0.55836951587440642</v>
      </c>
      <c r="F23"/>
      <c r="G23"/>
      <c r="H23" s="125">
        <f>SUM(H15:H22)</f>
        <v>3197873.5945670004</v>
      </c>
      <c r="I23" s="94">
        <f>SUM(I15:I22)</f>
        <v>2467804.0594800003</v>
      </c>
      <c r="J23" s="324">
        <f t="shared" si="5"/>
        <v>5665677.6540470012</v>
      </c>
      <c r="K23" s="369">
        <f>+H23/J23</f>
        <v>0.5644291450790101</v>
      </c>
    </row>
    <row r="24" spans="1:11" ht="7.9" customHeight="1">
      <c r="A24" s="10"/>
      <c r="B24" s="124"/>
      <c r="C24" s="92" t="s">
        <v>0</v>
      </c>
      <c r="D24" s="323"/>
      <c r="E24" s="129" t="s">
        <v>0</v>
      </c>
      <c r="F24"/>
      <c r="G24"/>
      <c r="H24" s="124"/>
      <c r="I24" s="92" t="s">
        <v>0</v>
      </c>
      <c r="J24" s="327" t="s">
        <v>0</v>
      </c>
      <c r="K24" s="610" t="s">
        <v>0</v>
      </c>
    </row>
    <row r="25" spans="1:11">
      <c r="A25" s="86" t="s">
        <v>266</v>
      </c>
      <c r="B25" s="124"/>
      <c r="C25" s="92" t="s">
        <v>0</v>
      </c>
      <c r="D25" s="323"/>
      <c r="E25" s="129" t="s">
        <v>0</v>
      </c>
      <c r="F25"/>
      <c r="G25"/>
      <c r="H25" s="124"/>
      <c r="I25" s="92" t="s">
        <v>0</v>
      </c>
      <c r="J25" s="327" t="s">
        <v>0</v>
      </c>
      <c r="K25" s="610" t="s">
        <v>0</v>
      </c>
    </row>
    <row r="26" spans="1:11">
      <c r="A26" s="10" t="s">
        <v>267</v>
      </c>
      <c r="B26" s="124" t="s">
        <v>0</v>
      </c>
      <c r="C26" s="92" t="s">
        <v>0</v>
      </c>
      <c r="D26" s="323"/>
      <c r="E26" s="129" t="s">
        <v>0</v>
      </c>
      <c r="F26"/>
      <c r="G26"/>
      <c r="H26" s="124" t="s">
        <v>0</v>
      </c>
      <c r="I26" s="92" t="s">
        <v>0</v>
      </c>
      <c r="J26" s="327" t="s">
        <v>0</v>
      </c>
      <c r="K26" s="610" t="s">
        <v>0</v>
      </c>
    </row>
    <row r="27" spans="1:11">
      <c r="A27" s="10" t="s">
        <v>268</v>
      </c>
      <c r="B27" s="124">
        <v>789146.41282000009</v>
      </c>
      <c r="C27" s="91">
        <v>294610.80861000001</v>
      </c>
      <c r="D27" s="323">
        <f>SUM(B27:C27)</f>
        <v>1083757.2214300002</v>
      </c>
      <c r="E27" s="329">
        <f>+B27/D27</f>
        <v>0.72815792800783752</v>
      </c>
      <c r="F27"/>
      <c r="G27"/>
      <c r="H27" s="124">
        <v>838433.56692999997</v>
      </c>
      <c r="I27" s="91">
        <v>257600.44537</v>
      </c>
      <c r="J27" s="323">
        <f>SUM(H27:I27)</f>
        <v>1096034.0123000001</v>
      </c>
      <c r="K27" s="329">
        <f>+H27/J27</f>
        <v>0.76497039099230879</v>
      </c>
    </row>
    <row r="28" spans="1:11">
      <c r="A28" s="10" t="s">
        <v>269</v>
      </c>
      <c r="B28" s="124">
        <v>301560.29267999995</v>
      </c>
      <c r="C28" s="91">
        <v>207259.14601999999</v>
      </c>
      <c r="D28" s="323">
        <f>SUM(B28:C28)</f>
        <v>508819.43869999994</v>
      </c>
      <c r="E28" s="329">
        <f>+B28/D28</f>
        <v>0.59266661165789303</v>
      </c>
      <c r="F28"/>
      <c r="G28"/>
      <c r="H28" s="124">
        <v>295348.06250999996</v>
      </c>
      <c r="I28" s="91">
        <v>215968.62536999999</v>
      </c>
      <c r="J28" s="323">
        <f>SUM(H28:I28)</f>
        <v>511316.68787999998</v>
      </c>
      <c r="K28" s="329">
        <f>+H28/J28</f>
        <v>0.57762257620528645</v>
      </c>
    </row>
    <row r="29" spans="1:11">
      <c r="A29" s="10" t="s">
        <v>270</v>
      </c>
      <c r="B29" s="685">
        <v>2241750.2298400002</v>
      </c>
      <c r="C29" s="224">
        <v>710890.16549999989</v>
      </c>
      <c r="D29" s="684">
        <f>SUM(B29:C29)</f>
        <v>2952640.3953400003</v>
      </c>
      <c r="E29" s="329">
        <f>+B29/D29</f>
        <v>0.75923577872132297</v>
      </c>
      <c r="F29"/>
      <c r="G29"/>
      <c r="H29" s="685">
        <v>1942410.7385499999</v>
      </c>
      <c r="I29" s="224">
        <v>544696.64922000002</v>
      </c>
      <c r="J29" s="684">
        <f>SUM(H29:I29)</f>
        <v>2487107.3877699999</v>
      </c>
      <c r="K29" s="329">
        <f>+H29/J29</f>
        <v>0.78099190573818045</v>
      </c>
    </row>
    <row r="30" spans="1:11">
      <c r="A30" s="10"/>
      <c r="B30" s="124">
        <f>SUM(B27:B29)</f>
        <v>3332456.9353400003</v>
      </c>
      <c r="C30" s="91">
        <f>SUM(C27:C29)</f>
        <v>1212760.1201299999</v>
      </c>
      <c r="D30" s="323">
        <f>SUM(B30:C30)</f>
        <v>4545217.05547</v>
      </c>
      <c r="E30" s="329">
        <f>+B30/D30</f>
        <v>0.73317883275332518</v>
      </c>
      <c r="F30"/>
      <c r="G30"/>
      <c r="H30" s="124">
        <f>SUM(H27:H29)</f>
        <v>3076192.3679899997</v>
      </c>
      <c r="I30" s="91">
        <f>SUM(I27:I29)</f>
        <v>1018265.71996</v>
      </c>
      <c r="J30" s="323">
        <f>SUM(H30:I30)</f>
        <v>4094458.0879499996</v>
      </c>
      <c r="K30" s="329">
        <f>+H30/J30</f>
        <v>0.75130635163741</v>
      </c>
    </row>
    <row r="31" spans="1:11" ht="7.9" customHeight="1">
      <c r="A31" s="10"/>
      <c r="B31" s="124"/>
      <c r="C31" s="92" t="s">
        <v>0</v>
      </c>
      <c r="D31" s="323"/>
      <c r="E31" s="129" t="s">
        <v>0</v>
      </c>
      <c r="F31"/>
      <c r="G31"/>
      <c r="H31" s="124"/>
      <c r="I31" s="92" t="s">
        <v>0</v>
      </c>
      <c r="J31" s="323" t="s">
        <v>0</v>
      </c>
      <c r="K31" s="610" t="s">
        <v>0</v>
      </c>
    </row>
    <row r="32" spans="1:11">
      <c r="A32" s="10" t="s">
        <v>271</v>
      </c>
      <c r="B32" s="124"/>
      <c r="C32" s="92" t="s">
        <v>0</v>
      </c>
      <c r="D32" s="323"/>
      <c r="E32" s="129" t="s">
        <v>0</v>
      </c>
      <c r="F32"/>
      <c r="G32"/>
      <c r="H32" s="124"/>
      <c r="I32" s="92" t="s">
        <v>0</v>
      </c>
      <c r="J32" s="323" t="s">
        <v>0</v>
      </c>
      <c r="K32" s="610" t="s">
        <v>0</v>
      </c>
    </row>
    <row r="33" spans="1:15">
      <c r="A33" s="10" t="s">
        <v>272</v>
      </c>
      <c r="B33" s="124">
        <v>0</v>
      </c>
      <c r="C33" s="91">
        <v>0</v>
      </c>
      <c r="D33" s="323">
        <f>SUM(B33:C33)</f>
        <v>0</v>
      </c>
      <c r="E33" s="129">
        <v>0</v>
      </c>
      <c r="F33"/>
      <c r="G33"/>
      <c r="H33" s="124">
        <v>0</v>
      </c>
      <c r="I33" s="91">
        <v>0</v>
      </c>
      <c r="J33" s="323">
        <f>SUM(H33:I33)</f>
        <v>0</v>
      </c>
      <c r="K33" s="129">
        <v>0</v>
      </c>
    </row>
    <row r="34" spans="1:15">
      <c r="A34" s="10" t="s">
        <v>273</v>
      </c>
      <c r="B34" s="124">
        <v>0</v>
      </c>
      <c r="C34" s="91">
        <v>0</v>
      </c>
      <c r="D34" s="323">
        <f>SUM(B34:C34)</f>
        <v>0</v>
      </c>
      <c r="E34" s="129">
        <v>0</v>
      </c>
      <c r="F34"/>
      <c r="G34"/>
      <c r="H34" s="124">
        <v>0</v>
      </c>
      <c r="I34" s="91">
        <v>0</v>
      </c>
      <c r="J34" s="323">
        <f>SUM(H34:I34)</f>
        <v>0</v>
      </c>
      <c r="K34" s="129">
        <v>0</v>
      </c>
    </row>
    <row r="35" spans="1:15" ht="18">
      <c r="A35" s="10" t="s">
        <v>274</v>
      </c>
      <c r="B35" s="685">
        <v>14330.57662</v>
      </c>
      <c r="C35" s="224">
        <v>73492.731379999997</v>
      </c>
      <c r="D35" s="684">
        <f>SUM(B35:C35)</f>
        <v>87823.30799999999</v>
      </c>
      <c r="E35" s="329">
        <f>+B35/D35</f>
        <v>0.16317509493037999</v>
      </c>
      <c r="F35"/>
      <c r="G35"/>
      <c r="H35" s="685">
        <v>16296.435740000001</v>
      </c>
      <c r="I35" s="224">
        <v>93997.447169999999</v>
      </c>
      <c r="J35" s="684">
        <f>SUM(H35:I35)</f>
        <v>110293.88291</v>
      </c>
      <c r="K35" s="329">
        <f>+H35/J35</f>
        <v>0.14775466517302616</v>
      </c>
      <c r="L35" s="14"/>
      <c r="M35" s="15"/>
      <c r="N35" s="15"/>
      <c r="O35" s="15"/>
    </row>
    <row r="36" spans="1:15">
      <c r="A36" s="10"/>
      <c r="B36" s="124">
        <f>SUM(B33:B35)</f>
        <v>14330.57662</v>
      </c>
      <c r="C36" s="91">
        <f>SUM(C33:C35)</f>
        <v>73492.731379999997</v>
      </c>
      <c r="D36" s="323">
        <f>SUM(B36:C36)</f>
        <v>87823.30799999999</v>
      </c>
      <c r="E36" s="329">
        <f>+B36/D36</f>
        <v>0.16317509493037999</v>
      </c>
      <c r="F36"/>
      <c r="G36"/>
      <c r="H36" s="124">
        <f>SUM(H33:H35)</f>
        <v>16296.435740000001</v>
      </c>
      <c r="I36" s="91">
        <f>SUM(I33:I35)</f>
        <v>93997.447169999999</v>
      </c>
      <c r="J36" s="323">
        <f>SUM(H36:I36)</f>
        <v>110293.88291</v>
      </c>
      <c r="K36" s="329">
        <f>+H36/J36</f>
        <v>0.14775466517302616</v>
      </c>
    </row>
    <row r="37" spans="1:15" ht="7.15" customHeight="1">
      <c r="A37" s="10"/>
      <c r="B37" s="124"/>
      <c r="C37" s="92" t="s">
        <v>0</v>
      </c>
      <c r="D37" s="323"/>
      <c r="E37" s="129" t="s">
        <v>54</v>
      </c>
      <c r="F37"/>
      <c r="G37"/>
      <c r="H37" s="124"/>
      <c r="I37" s="92" t="s">
        <v>0</v>
      </c>
      <c r="J37" s="323" t="s">
        <v>0</v>
      </c>
      <c r="K37" s="610" t="s">
        <v>54</v>
      </c>
    </row>
    <row r="38" spans="1:15">
      <c r="A38" s="10" t="s">
        <v>275</v>
      </c>
      <c r="B38" s="124"/>
      <c r="C38" s="92" t="s">
        <v>0</v>
      </c>
      <c r="D38" s="323"/>
      <c r="E38" s="129" t="s">
        <v>0</v>
      </c>
      <c r="F38"/>
      <c r="G38"/>
      <c r="H38" s="124"/>
      <c r="I38" s="92" t="s">
        <v>0</v>
      </c>
      <c r="J38" s="323" t="s">
        <v>0</v>
      </c>
      <c r="K38" s="610" t="s">
        <v>0</v>
      </c>
    </row>
    <row r="39" spans="1:15">
      <c r="A39" s="10" t="s">
        <v>272</v>
      </c>
      <c r="B39" s="124">
        <v>0</v>
      </c>
      <c r="C39" s="91">
        <v>855000</v>
      </c>
      <c r="D39" s="323">
        <f>SUM(B39:C39)</f>
        <v>855000</v>
      </c>
      <c r="E39" s="129">
        <v>0</v>
      </c>
      <c r="F39"/>
      <c r="G39"/>
      <c r="H39" s="124">
        <v>0</v>
      </c>
      <c r="I39" s="91">
        <v>855000</v>
      </c>
      <c r="J39" s="323">
        <f>SUM(H39:I39)</f>
        <v>855000</v>
      </c>
      <c r="K39" s="129">
        <f>+H39/J39</f>
        <v>0</v>
      </c>
    </row>
    <row r="40" spans="1:15">
      <c r="A40" s="10" t="s">
        <v>276</v>
      </c>
      <c r="B40" s="124">
        <v>0</v>
      </c>
      <c r="C40" s="91">
        <v>0</v>
      </c>
      <c r="D40" s="323">
        <f>SUM(B40:C40)</f>
        <v>0</v>
      </c>
      <c r="E40" s="129">
        <v>0</v>
      </c>
      <c r="F40"/>
      <c r="G40"/>
      <c r="H40" s="124">
        <v>0</v>
      </c>
      <c r="I40" s="91">
        <v>0</v>
      </c>
      <c r="J40" s="323">
        <f>SUM(H40:I40)</f>
        <v>0</v>
      </c>
      <c r="K40" s="129">
        <v>0</v>
      </c>
    </row>
    <row r="41" spans="1:15">
      <c r="A41" s="10" t="s">
        <v>274</v>
      </c>
      <c r="B41" s="685">
        <v>0</v>
      </c>
      <c r="C41" s="224">
        <v>63772.701469999971</v>
      </c>
      <c r="D41" s="684">
        <f>SUM(B41:C41)</f>
        <v>63772.701469999971</v>
      </c>
      <c r="E41" s="129">
        <v>0</v>
      </c>
      <c r="F41"/>
      <c r="G41"/>
      <c r="H41" s="685">
        <v>0</v>
      </c>
      <c r="I41" s="224">
        <v>62887.521659999969</v>
      </c>
      <c r="J41" s="684">
        <f>SUM(H41:I41)</f>
        <v>62887.521659999969</v>
      </c>
      <c r="K41" s="129">
        <v>0</v>
      </c>
    </row>
    <row r="42" spans="1:15">
      <c r="A42" s="10"/>
      <c r="B42" s="124">
        <f>SUM(B39:B41)</f>
        <v>0</v>
      </c>
      <c r="C42" s="91">
        <f>SUM(C39:C41)</f>
        <v>918772.70146999997</v>
      </c>
      <c r="D42" s="323">
        <f>SUM(B42:C42)</f>
        <v>918772.70146999997</v>
      </c>
      <c r="E42" s="129">
        <f>+B42/D42</f>
        <v>0</v>
      </c>
      <c r="F42"/>
      <c r="G42"/>
      <c r="H42" s="124">
        <f>SUM(H39:H41)</f>
        <v>0</v>
      </c>
      <c r="I42" s="91">
        <f>SUM(I39:I41)</f>
        <v>917887.52165999997</v>
      </c>
      <c r="J42" s="323">
        <f>SUM(H42:I42)</f>
        <v>917887.52165999997</v>
      </c>
      <c r="K42" s="129">
        <f>+H42/J42</f>
        <v>0</v>
      </c>
    </row>
    <row r="43" spans="1:15" ht="8.4499999999999993" customHeight="1">
      <c r="A43" s="10"/>
      <c r="B43" s="124"/>
      <c r="C43" s="92" t="s">
        <v>0</v>
      </c>
      <c r="D43" s="323"/>
      <c r="E43" s="129" t="s">
        <v>0</v>
      </c>
      <c r="F43"/>
      <c r="G43"/>
      <c r="H43" s="124"/>
      <c r="I43" s="92" t="s">
        <v>0</v>
      </c>
      <c r="J43" s="323" t="s">
        <v>0</v>
      </c>
      <c r="K43" s="610" t="s">
        <v>0</v>
      </c>
    </row>
    <row r="44" spans="1:15" ht="18">
      <c r="A44" s="10" t="s">
        <v>277</v>
      </c>
      <c r="B44" s="685">
        <v>65761.496389999986</v>
      </c>
      <c r="C44" s="224">
        <v>2639.92</v>
      </c>
      <c r="D44" s="684">
        <f>SUM(B44:C44)</f>
        <v>68401.416389999984</v>
      </c>
      <c r="E44" s="329">
        <f>+B44/D44</f>
        <v>0.96140547755695382</v>
      </c>
      <c r="F44"/>
      <c r="G44"/>
      <c r="H44" s="685">
        <v>75466.20511999997</v>
      </c>
      <c r="I44" s="224">
        <v>1396.1790000000001</v>
      </c>
      <c r="J44" s="684">
        <f>SUM(H44:I44)</f>
        <v>76862.384119999973</v>
      </c>
      <c r="K44" s="329">
        <f>+H44/J44</f>
        <v>0.9818353409670425</v>
      </c>
      <c r="L44" s="14"/>
    </row>
    <row r="45" spans="1:15">
      <c r="A45" s="10"/>
      <c r="B45" s="124">
        <f>+B30+B36+B42+B44</f>
        <v>3412549.0083500003</v>
      </c>
      <c r="C45" s="91">
        <f>+C30+C36+C42+C44</f>
        <v>2207665.4729800001</v>
      </c>
      <c r="D45" s="323">
        <f>+D30+D36+D42+D44</f>
        <v>5620214.4813299999</v>
      </c>
      <c r="E45" s="329">
        <f>+B45/D45</f>
        <v>0.6071919532050376</v>
      </c>
      <c r="F45"/>
      <c r="G45"/>
      <c r="H45" s="124">
        <f>+H30+H36+H42+H44</f>
        <v>3167955.0088499999</v>
      </c>
      <c r="I45" s="91">
        <f>+I30+I36+I42+I44</f>
        <v>2031546.86779</v>
      </c>
      <c r="J45" s="323">
        <f>+J30+J36+J42+J44</f>
        <v>5199501.8766399994</v>
      </c>
      <c r="K45" s="329">
        <f>+H45/J45</f>
        <v>0.60928048186361705</v>
      </c>
    </row>
    <row r="46" spans="1:15" ht="8.4499999999999993" customHeight="1">
      <c r="A46" s="10"/>
      <c r="B46" s="124"/>
      <c r="C46" s="92" t="s">
        <v>0</v>
      </c>
      <c r="D46" s="323"/>
      <c r="E46" s="129" t="s">
        <v>0</v>
      </c>
      <c r="F46"/>
      <c r="G46"/>
      <c r="H46" s="124"/>
      <c r="I46" s="92" t="s">
        <v>0</v>
      </c>
      <c r="J46" s="323" t="s">
        <v>0</v>
      </c>
      <c r="K46" s="610" t="s">
        <v>0</v>
      </c>
    </row>
    <row r="47" spans="1:15">
      <c r="A47" s="86" t="s">
        <v>278</v>
      </c>
      <c r="B47" s="124"/>
      <c r="C47" s="92" t="s">
        <v>0</v>
      </c>
      <c r="D47" s="323"/>
      <c r="E47" s="129" t="s">
        <v>0</v>
      </c>
      <c r="F47"/>
      <c r="G47"/>
      <c r="H47" s="124"/>
      <c r="I47" s="92" t="s">
        <v>0</v>
      </c>
      <c r="J47" s="323" t="s">
        <v>0</v>
      </c>
      <c r="K47" s="610" t="s">
        <v>0</v>
      </c>
    </row>
    <row r="48" spans="1:15">
      <c r="A48" s="10" t="s">
        <v>279</v>
      </c>
      <c r="B48" s="124">
        <v>0</v>
      </c>
      <c r="C48" s="91">
        <f>+sgbelvar!B48</f>
        <v>150000</v>
      </c>
      <c r="D48" s="323">
        <f>SUM(B48:C48)</f>
        <v>150000</v>
      </c>
      <c r="E48" s="129">
        <v>0</v>
      </c>
      <c r="F48"/>
      <c r="G48"/>
      <c r="H48" s="124">
        <v>0</v>
      </c>
      <c r="I48" s="91">
        <v>150000</v>
      </c>
      <c r="J48" s="323">
        <f>SUM(H48:I48)</f>
        <v>150000</v>
      </c>
      <c r="K48" s="129">
        <f>+H48/J48</f>
        <v>0</v>
      </c>
    </row>
    <row r="49" spans="1:15">
      <c r="A49" s="10" t="s">
        <v>280</v>
      </c>
      <c r="B49" s="124">
        <v>0</v>
      </c>
      <c r="C49" s="91">
        <f>+sgbelvar!B49</f>
        <v>166509.38644</v>
      </c>
      <c r="D49" s="323">
        <f>SUM(B49:C49)</f>
        <v>166509.38644</v>
      </c>
      <c r="E49" s="129">
        <v>0</v>
      </c>
      <c r="F49"/>
      <c r="G49"/>
      <c r="H49" s="124">
        <v>0</v>
      </c>
      <c r="I49" s="91">
        <v>155712.09143999999</v>
      </c>
      <c r="J49" s="323">
        <f>SUM(H49:I49)</f>
        <v>155712.09143999999</v>
      </c>
      <c r="K49" s="129">
        <v>0</v>
      </c>
    </row>
    <row r="50" spans="1:15">
      <c r="A50" s="10" t="s">
        <v>290</v>
      </c>
      <c r="B50" s="124">
        <v>0</v>
      </c>
      <c r="C50" s="91">
        <f>+sgbelvar!B50</f>
        <v>0</v>
      </c>
      <c r="D50" s="323">
        <v>0</v>
      </c>
      <c r="E50" s="129">
        <v>0</v>
      </c>
      <c r="F50"/>
      <c r="G50"/>
      <c r="H50" s="124">
        <v>0</v>
      </c>
      <c r="I50" s="91">
        <v>0</v>
      </c>
      <c r="J50" s="323">
        <v>0</v>
      </c>
      <c r="K50" s="129">
        <v>0</v>
      </c>
    </row>
    <row r="51" spans="1:15" ht="18">
      <c r="A51" s="10" t="s">
        <v>282</v>
      </c>
      <c r="B51" s="685">
        <v>0</v>
      </c>
      <c r="C51" s="199">
        <f>+sgbelvar!B51</f>
        <v>177180.36401000002</v>
      </c>
      <c r="D51" s="684">
        <f>SUM(B51:C51)</f>
        <v>177180.36401000002</v>
      </c>
      <c r="E51" s="129">
        <v>0</v>
      </c>
      <c r="F51"/>
      <c r="G51"/>
      <c r="H51" s="685">
        <v>0</v>
      </c>
      <c r="I51" s="224">
        <v>160463.68586999999</v>
      </c>
      <c r="J51" s="684">
        <f>SUM(H51:I51)</f>
        <v>160463.68586999999</v>
      </c>
      <c r="K51" s="129">
        <v>0</v>
      </c>
      <c r="L51" s="14"/>
      <c r="M51" s="15"/>
      <c r="N51" s="15"/>
      <c r="O51" s="15"/>
    </row>
    <row r="52" spans="1:15">
      <c r="A52" s="10" t="s">
        <v>54</v>
      </c>
      <c r="B52" s="124">
        <f>SUM(B48:B51)</f>
        <v>0</v>
      </c>
      <c r="C52" s="91">
        <f>SUM(C48:C51)</f>
        <v>493689.75045000005</v>
      </c>
      <c r="D52" s="323">
        <f>SUM(B52:C52)</f>
        <v>493689.75045000005</v>
      </c>
      <c r="E52" s="129" t="s">
        <v>0</v>
      </c>
      <c r="F52"/>
      <c r="G52"/>
      <c r="H52" s="124">
        <f>SUM(H48:H51)</f>
        <v>0</v>
      </c>
      <c r="I52" s="91">
        <f>SUM(I48:I51)</f>
        <v>466175.77730999998</v>
      </c>
      <c r="J52" s="323">
        <f>SUM(H52:I52)</f>
        <v>466175.77730999998</v>
      </c>
      <c r="K52" s="610" t="s">
        <v>0</v>
      </c>
    </row>
    <row r="53" spans="1:15">
      <c r="A53" s="10" t="s">
        <v>0</v>
      </c>
      <c r="B53" s="124"/>
      <c r="C53" s="92" t="s">
        <v>0</v>
      </c>
      <c r="D53" s="323"/>
      <c r="E53" s="129" t="s">
        <v>0</v>
      </c>
      <c r="F53"/>
      <c r="G53"/>
      <c r="H53" s="124"/>
      <c r="I53" s="92" t="s">
        <v>0</v>
      </c>
      <c r="J53" s="323" t="s">
        <v>0</v>
      </c>
      <c r="K53" s="610" t="s">
        <v>0</v>
      </c>
    </row>
    <row r="54" spans="1:15" ht="16.5" thickBot="1">
      <c r="A54" s="10" t="s">
        <v>0</v>
      </c>
      <c r="B54" s="126">
        <f>+B30+B36+B42+B44+B52</f>
        <v>3412549.0083500003</v>
      </c>
      <c r="C54" s="127">
        <f>+C30+C36+C42+C44+C52</f>
        <v>2701355.2234300002</v>
      </c>
      <c r="D54" s="325">
        <f>SUM(B54:C54)</f>
        <v>6113904.23178</v>
      </c>
      <c r="E54" s="368">
        <f>+B54/D54</f>
        <v>0.55816199910551623</v>
      </c>
      <c r="F54"/>
      <c r="G54"/>
      <c r="H54" s="126">
        <f>+H30+H36+H42+H44+H52</f>
        <v>3167955.0088499999</v>
      </c>
      <c r="I54" s="127">
        <f>+I30+I36+I42+I44+I52</f>
        <v>2497722.6450999998</v>
      </c>
      <c r="J54" s="325">
        <f>SUM(H54:I54)</f>
        <v>5665677.6539500002</v>
      </c>
      <c r="K54" s="368">
        <f>+H54/J54</f>
        <v>0.55914847302358672</v>
      </c>
    </row>
    <row r="55" spans="1:15" ht="16.5" thickTop="1">
      <c r="A55" s="10"/>
      <c r="B55" s="94"/>
      <c r="C55" s="94"/>
      <c r="D55" s="339"/>
      <c r="E55" s="238"/>
      <c r="F55"/>
      <c r="G55"/>
      <c r="H55" s="94"/>
      <c r="I55" s="94"/>
      <c r="J55" s="339"/>
      <c r="K55" s="92"/>
    </row>
    <row r="56" spans="1:15">
      <c r="A56" s="10"/>
      <c r="B56" s="90" t="str">
        <f>+'sogebkgdes&amp;$  '!B56</f>
        <v xml:space="preserve">* converties au taux de 46,7477 Gdes </v>
      </c>
      <c r="C56"/>
      <c r="D56" s="90"/>
      <c r="E56" s="98" t="s">
        <v>0</v>
      </c>
      <c r="F56"/>
      <c r="G56"/>
      <c r="H56" s="90" t="str">
        <f>+'sogebkgdes&amp;$  '!H56</f>
        <v xml:space="preserve">* converties au taux de 45,5577 Gdes </v>
      </c>
      <c r="I56"/>
      <c r="J56"/>
    </row>
    <row r="57" spans="1:15">
      <c r="C57" s="48"/>
      <c r="E57" s="112" t="s">
        <v>0</v>
      </c>
      <c r="F57"/>
      <c r="G57"/>
      <c r="H57"/>
      <c r="J57" s="48"/>
    </row>
    <row r="58" spans="1:15">
      <c r="B58"/>
      <c r="C58"/>
      <c r="D58"/>
      <c r="E58"/>
      <c r="F58"/>
      <c r="G58"/>
      <c r="H58"/>
      <c r="I58"/>
      <c r="J58"/>
    </row>
    <row r="59" spans="1:15">
      <c r="B59"/>
      <c r="C59"/>
      <c r="D59"/>
      <c r="E59"/>
      <c r="F59"/>
      <c r="G59"/>
      <c r="H59"/>
      <c r="I59"/>
      <c r="J59"/>
    </row>
    <row r="60" spans="1:15">
      <c r="B60"/>
      <c r="C60"/>
      <c r="D60"/>
      <c r="E60"/>
      <c r="F60"/>
      <c r="G60"/>
      <c r="H60"/>
      <c r="I60"/>
      <c r="J60"/>
    </row>
    <row r="61" spans="1:15">
      <c r="B61"/>
      <c r="C61"/>
      <c r="D61"/>
      <c r="E61"/>
      <c r="F61"/>
      <c r="G61"/>
      <c r="H61"/>
      <c r="I61"/>
      <c r="J61"/>
    </row>
    <row r="62" spans="1:15">
      <c r="B62"/>
      <c r="C62"/>
      <c r="D62"/>
      <c r="E62"/>
      <c r="F62"/>
      <c r="G62"/>
      <c r="H62"/>
      <c r="I62"/>
      <c r="J62"/>
    </row>
    <row r="63" spans="1:15">
      <c r="B63"/>
      <c r="C63"/>
      <c r="D63"/>
      <c r="E63"/>
      <c r="F63"/>
      <c r="G63"/>
      <c r="H63"/>
      <c r="I63"/>
      <c r="J63"/>
    </row>
    <row r="64" spans="1:15">
      <c r="B64"/>
      <c r="C64"/>
      <c r="D64"/>
      <c r="E64"/>
      <c r="F64"/>
      <c r="G64"/>
      <c r="H64"/>
      <c r="I64"/>
      <c r="J64"/>
    </row>
    <row r="65" spans="2:12">
      <c r="B65"/>
      <c r="C65"/>
      <c r="D65"/>
      <c r="E65"/>
      <c r="F65"/>
      <c r="G65"/>
      <c r="H65"/>
      <c r="I65"/>
      <c r="J65"/>
    </row>
    <row r="66" spans="2:12">
      <c r="B66"/>
      <c r="C66"/>
      <c r="D66"/>
      <c r="E66"/>
      <c r="F66"/>
      <c r="G66"/>
      <c r="H66"/>
      <c r="I66"/>
      <c r="J66"/>
    </row>
    <row r="67" spans="2:12">
      <c r="B67"/>
      <c r="C67"/>
      <c r="D67"/>
      <c r="E67"/>
      <c r="F67"/>
      <c r="G67"/>
      <c r="H67"/>
      <c r="I67"/>
      <c r="J67"/>
    </row>
    <row r="68" spans="2:12">
      <c r="B68"/>
      <c r="C68"/>
      <c r="D68"/>
      <c r="E68"/>
      <c r="F68"/>
      <c r="G68"/>
      <c r="H68"/>
      <c r="I68"/>
      <c r="J68"/>
    </row>
    <row r="69" spans="2:12">
      <c r="B69"/>
      <c r="C69"/>
      <c r="D69"/>
      <c r="E69"/>
      <c r="F69"/>
      <c r="G69"/>
      <c r="H69"/>
      <c r="I69"/>
      <c r="J69"/>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7" right="0.28999999999999998" top="0.55000000000000004" bottom="0.48" header="0.32" footer="0.22"/>
  <pageSetup scale="66" orientation="landscape" r:id="rId1"/>
  <headerFooter alignWithMargins="0">
    <oddFooter>&amp;R&amp;P</oddFooter>
  </headerFooter>
</worksheet>
</file>

<file path=xl/worksheets/sheet112.xml><?xml version="1.0" encoding="utf-8"?>
<worksheet xmlns="http://schemas.openxmlformats.org/spreadsheetml/2006/main" xmlns:r="http://schemas.openxmlformats.org/officeDocument/2006/relationships">
  <sheetPr>
    <pageSetUpPr fitToPage="1"/>
  </sheetPr>
  <dimension ref="A1:X120"/>
  <sheetViews>
    <sheetView workbookViewId="0">
      <selection activeCell="B9" sqref="B9"/>
    </sheetView>
  </sheetViews>
  <sheetFormatPr baseColWidth="10" defaultColWidth="9" defaultRowHeight="15.75"/>
  <cols>
    <col min="1" max="1" width="50" customWidth="1"/>
    <col min="2" max="2" width="15.75" style="33" customWidth="1"/>
    <col min="3" max="3" width="8.75"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8.75" style="33" customWidth="1"/>
    <col min="12" max="12" width="15.75" style="33" customWidth="1"/>
    <col min="13" max="13" width="9" style="33"/>
    <col min="14" max="14" width="15.75" style="33" customWidth="1"/>
    <col min="15" max="15" width="9" style="33"/>
    <col min="16" max="16" width="15.75" style="33" customWidth="1"/>
    <col min="17" max="17" width="9" style="33"/>
    <col min="18" max="18" width="15.75" style="33" customWidth="1"/>
    <col min="19" max="19" width="9" style="33"/>
    <col min="20" max="20" width="16.25" style="33" customWidth="1"/>
    <col min="21" max="21" width="12.5" style="33" customWidth="1"/>
  </cols>
  <sheetData>
    <row r="1" spans="1:22">
      <c r="A1" s="111" t="s">
        <v>408</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6" spans="1:22" s="11" customFormat="1" ht="16.5" thickBot="1">
      <c r="B6" s="1022">
        <f>+SOGEBKRÉSULT!B6</f>
        <v>2015</v>
      </c>
      <c r="C6" s="345"/>
      <c r="D6" s="346"/>
      <c r="E6" s="345"/>
      <c r="F6" s="346"/>
      <c r="G6" s="345"/>
      <c r="H6" s="346"/>
      <c r="I6" s="347"/>
      <c r="J6" s="332" t="str">
        <f>+SOGEBKRÉSULT!J6</f>
        <v>2014</v>
      </c>
      <c r="K6" s="345"/>
      <c r="L6" s="346"/>
      <c r="M6" s="345"/>
      <c r="N6" s="346"/>
      <c r="O6" s="345"/>
      <c r="P6" s="346"/>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52" t="s">
        <v>0</v>
      </c>
      <c r="D9" s="24" t="s">
        <v>0</v>
      </c>
      <c r="E9" s="24" t="s">
        <v>0</v>
      </c>
      <c r="F9" s="24" t="s">
        <v>0</v>
      </c>
      <c r="G9" s="24" t="s">
        <v>0</v>
      </c>
      <c r="H9" s="24" t="s">
        <v>0</v>
      </c>
      <c r="I9" s="24" t="s">
        <v>0</v>
      </c>
      <c r="J9" s="24" t="s">
        <v>0</v>
      </c>
      <c r="K9" s="52" t="s">
        <v>0</v>
      </c>
      <c r="L9" s="24" t="s">
        <v>0</v>
      </c>
      <c r="M9" s="52" t="s">
        <v>0</v>
      </c>
      <c r="N9" s="24" t="s">
        <v>0</v>
      </c>
      <c r="O9" s="52" t="s">
        <v>0</v>
      </c>
      <c r="P9" s="24" t="s">
        <v>0</v>
      </c>
      <c r="Q9" s="20"/>
      <c r="R9" s="20"/>
      <c r="S9" s="20"/>
      <c r="T9" s="20"/>
      <c r="U9" s="20"/>
    </row>
    <row r="10" spans="1:22">
      <c r="A10" t="s">
        <v>302</v>
      </c>
      <c r="B10" s="20">
        <f>+B50</f>
        <v>69161.952090000006</v>
      </c>
      <c r="C10" s="48">
        <v>0</v>
      </c>
      <c r="D10" s="20">
        <f>+F50</f>
        <v>0</v>
      </c>
      <c r="E10" s="48">
        <v>0</v>
      </c>
      <c r="F10" s="20">
        <f>+J50</f>
        <v>0</v>
      </c>
      <c r="G10" s="48">
        <v>0</v>
      </c>
      <c r="H10" s="20">
        <f>+N50</f>
        <v>0</v>
      </c>
      <c r="I10" s="20"/>
      <c r="J10" s="20">
        <f>+D50</f>
        <v>50478.079109999991</v>
      </c>
      <c r="K10" s="51">
        <f t="shared" ref="K10:K15" si="0">+(-J10+L10)/ABS(J10)</f>
        <v>0.1689916720367057</v>
      </c>
      <c r="L10" s="20">
        <f>+H50</f>
        <v>59008.454099999995</v>
      </c>
      <c r="M10" s="51">
        <f t="shared" ref="M10:M15" si="1">+(-L10+N10)/ABS(L10)</f>
        <v>4.1222806580862706E-2</v>
      </c>
      <c r="N10" s="20">
        <f>+L50</f>
        <v>61440.94819000001</v>
      </c>
      <c r="O10" s="51">
        <f t="shared" ref="O10:O15" si="2">+(-N10+P10)/ABS(N10)</f>
        <v>0.14526303504301435</v>
      </c>
      <c r="P10" s="20">
        <f>+P50</f>
        <v>70366.046800000011</v>
      </c>
      <c r="Q10" s="20"/>
      <c r="R10" s="20"/>
      <c r="S10" s="20"/>
      <c r="T10" s="20"/>
      <c r="U10" s="20"/>
    </row>
    <row r="11" spans="1:22">
      <c r="A11" t="s">
        <v>322</v>
      </c>
      <c r="B11" s="20">
        <f>+B51</f>
        <v>0</v>
      </c>
      <c r="C11" s="48">
        <v>0</v>
      </c>
      <c r="D11" s="20">
        <f>+F51</f>
        <v>0</v>
      </c>
      <c r="E11" s="48">
        <v>0</v>
      </c>
      <c r="F11" s="20">
        <f>+J51</f>
        <v>0</v>
      </c>
      <c r="G11" s="48">
        <v>0</v>
      </c>
      <c r="H11" s="20">
        <f>+N51</f>
        <v>0</v>
      </c>
      <c r="I11" s="20"/>
      <c r="J11" s="20">
        <f>+D51</f>
        <v>0</v>
      </c>
      <c r="K11" s="48">
        <v>0</v>
      </c>
      <c r="L11" s="20">
        <f>+H51</f>
        <v>0</v>
      </c>
      <c r="M11" s="48">
        <v>0</v>
      </c>
      <c r="N11" s="20">
        <f>+L51</f>
        <v>0</v>
      </c>
      <c r="O11" s="48">
        <v>0</v>
      </c>
      <c r="P11" s="20">
        <f>+P51</f>
        <v>0</v>
      </c>
      <c r="Q11" s="20"/>
      <c r="R11" s="20"/>
      <c r="S11" s="20"/>
      <c r="T11" s="20"/>
      <c r="U11" s="20"/>
    </row>
    <row r="12" spans="1:22">
      <c r="A12" t="s">
        <v>304</v>
      </c>
      <c r="B12" s="217">
        <f>+B52</f>
        <v>10129.65929</v>
      </c>
      <c r="C12" s="48">
        <v>0</v>
      </c>
      <c r="D12" s="217">
        <f>+F52</f>
        <v>0</v>
      </c>
      <c r="E12" s="48">
        <v>0</v>
      </c>
      <c r="F12" s="217">
        <f>+J52</f>
        <v>0</v>
      </c>
      <c r="G12" s="48">
        <v>0</v>
      </c>
      <c r="H12" s="217">
        <f>+N52</f>
        <v>0</v>
      </c>
      <c r="I12" s="20"/>
      <c r="J12" s="199">
        <f>+D52</f>
        <v>7570.9460999999992</v>
      </c>
      <c r="K12" s="51">
        <f t="shared" si="0"/>
        <v>0.13309152207542491</v>
      </c>
      <c r="L12" s="199">
        <f>+H52</f>
        <v>8578.5748400000011</v>
      </c>
      <c r="M12" s="51">
        <f t="shared" si="1"/>
        <v>0.28947580994700484</v>
      </c>
      <c r="N12" s="199">
        <f>+L52</f>
        <v>11061.864739999999</v>
      </c>
      <c r="O12" s="51">
        <f t="shared" si="2"/>
        <v>0.35475454023676622</v>
      </c>
      <c r="P12" s="199">
        <f>+P52</f>
        <v>14986.111479999994</v>
      </c>
      <c r="Q12" s="20"/>
      <c r="R12" s="20"/>
      <c r="S12" s="20"/>
      <c r="T12" s="20"/>
      <c r="U12" s="20"/>
    </row>
    <row r="13" spans="1:22">
      <c r="B13" s="20">
        <f>SUM(B10:B12)</f>
        <v>79291.611380000002</v>
      </c>
      <c r="C13" s="48">
        <v>0</v>
      </c>
      <c r="D13" s="20">
        <f>SUM(D10:D12)</f>
        <v>0</v>
      </c>
      <c r="E13" s="48">
        <v>0</v>
      </c>
      <c r="F13" s="20">
        <f>SUM(F10:F12)</f>
        <v>0</v>
      </c>
      <c r="G13" s="48">
        <v>0</v>
      </c>
      <c r="H13" s="20">
        <f>SUM(H10:H12)</f>
        <v>0</v>
      </c>
      <c r="I13" s="20"/>
      <c r="J13" s="20">
        <f>SUM(J10:J12)</f>
        <v>58049.025209999993</v>
      </c>
      <c r="K13" s="51">
        <f t="shared" si="0"/>
        <v>0.16430945559369881</v>
      </c>
      <c r="L13" s="20">
        <f>SUM(L10:L12)</f>
        <v>67587.028939999989</v>
      </c>
      <c r="M13" s="51">
        <f t="shared" si="1"/>
        <v>7.273265398844482E-2</v>
      </c>
      <c r="N13" s="20">
        <f>SUM(N10:N12)</f>
        <v>72502.812930000015</v>
      </c>
      <c r="O13" s="51">
        <f t="shared" si="2"/>
        <v>0.17722547347791553</v>
      </c>
      <c r="P13" s="20">
        <f>SUM(P10:P12)</f>
        <v>85352.158280000003</v>
      </c>
      <c r="Q13" s="20"/>
      <c r="R13" s="20"/>
      <c r="S13" s="20"/>
      <c r="T13" s="20"/>
      <c r="U13" s="20"/>
    </row>
    <row r="14" spans="1:22">
      <c r="A14" t="s">
        <v>305</v>
      </c>
      <c r="B14" s="217">
        <f>+B54</f>
        <v>27124.075669999998</v>
      </c>
      <c r="C14" s="48">
        <v>0</v>
      </c>
      <c r="D14" s="217">
        <f>+F54</f>
        <v>0</v>
      </c>
      <c r="E14" s="48">
        <v>0</v>
      </c>
      <c r="F14" s="217">
        <f>+J54</f>
        <v>0</v>
      </c>
      <c r="G14" s="48">
        <v>0</v>
      </c>
      <c r="H14" s="217">
        <f>+N54</f>
        <v>0</v>
      </c>
      <c r="I14" s="20"/>
      <c r="J14" s="217">
        <f>+D54</f>
        <v>18492.111929999999</v>
      </c>
      <c r="K14" s="51">
        <f t="shared" si="0"/>
        <v>0.26316589302625959</v>
      </c>
      <c r="L14" s="217">
        <f>+H54</f>
        <v>23358.605079999998</v>
      </c>
      <c r="M14" s="51">
        <f t="shared" si="1"/>
        <v>0.18605674333357919</v>
      </c>
      <c r="N14" s="217">
        <f>+L54</f>
        <v>27704.631069999996</v>
      </c>
      <c r="O14" s="51">
        <f t="shared" si="2"/>
        <v>0.23101963616944163</v>
      </c>
      <c r="P14" s="217">
        <f>+P54</f>
        <v>34104.944860000003</v>
      </c>
      <c r="Q14" s="20"/>
      <c r="R14" s="20"/>
      <c r="S14" s="20"/>
      <c r="T14" s="20"/>
      <c r="U14" s="20"/>
    </row>
    <row r="15" spans="1:22">
      <c r="B15" s="20">
        <f>+B13-B14</f>
        <v>52167.535710000004</v>
      </c>
      <c r="C15" s="48">
        <v>0</v>
      </c>
      <c r="D15" s="20">
        <f>+D13-D14</f>
        <v>0</v>
      </c>
      <c r="E15" s="48">
        <v>0</v>
      </c>
      <c r="F15" s="20">
        <f>+F13-F14</f>
        <v>0</v>
      </c>
      <c r="G15" s="48">
        <v>0</v>
      </c>
      <c r="H15" s="20">
        <f>+H13-H14</f>
        <v>0</v>
      </c>
      <c r="I15" s="20"/>
      <c r="J15" s="20">
        <f>+J13-J14</f>
        <v>39556.913279999993</v>
      </c>
      <c r="K15" s="51">
        <f t="shared" si="0"/>
        <v>0.11809593298984533</v>
      </c>
      <c r="L15" s="20">
        <f>+L13-L14</f>
        <v>44228.423859999995</v>
      </c>
      <c r="M15" s="51">
        <f t="shared" si="1"/>
        <v>1.2882168304335851E-2</v>
      </c>
      <c r="N15" s="20">
        <f>+N13-N14</f>
        <v>44798.181860000019</v>
      </c>
      <c r="O15" s="51">
        <f t="shared" si="2"/>
        <v>0.14395743961560806</v>
      </c>
      <c r="P15" s="20">
        <f>+P13-P14</f>
        <v>51247.21342</v>
      </c>
      <c r="Q15" s="20"/>
      <c r="R15" s="20"/>
      <c r="S15" s="20"/>
      <c r="T15" s="20"/>
      <c r="U15" s="20"/>
    </row>
    <row r="16" spans="1:22" ht="9" customHeight="1">
      <c r="B16" s="20"/>
      <c r="C16" s="49" t="s">
        <v>0</v>
      </c>
      <c r="D16" s="20"/>
      <c r="E16" s="49" t="s">
        <v>0</v>
      </c>
      <c r="F16" s="20"/>
      <c r="G16" s="49" t="s">
        <v>0</v>
      </c>
      <c r="H16" s="20"/>
      <c r="I16" s="20"/>
      <c r="J16" s="20"/>
      <c r="K16" s="51"/>
      <c r="L16" s="20"/>
      <c r="M16" s="51"/>
      <c r="N16" s="20"/>
      <c r="O16" s="51"/>
      <c r="P16" s="20"/>
      <c r="Q16" s="20"/>
      <c r="R16" s="20"/>
      <c r="S16" s="20"/>
      <c r="T16" s="20"/>
      <c r="U16" s="20"/>
    </row>
    <row r="17" spans="1:21">
      <c r="A17" t="s">
        <v>306</v>
      </c>
      <c r="B17" s="20"/>
      <c r="C17" s="49" t="s">
        <v>0</v>
      </c>
      <c r="D17" s="20"/>
      <c r="E17" s="49" t="s">
        <v>0</v>
      </c>
      <c r="F17" s="20"/>
      <c r="G17" s="49" t="s">
        <v>0</v>
      </c>
      <c r="H17" s="20"/>
      <c r="I17" s="20"/>
      <c r="J17" s="20"/>
      <c r="K17" s="51"/>
      <c r="L17" s="20"/>
      <c r="M17" s="51"/>
      <c r="N17" s="20"/>
      <c r="O17" s="52" t="s">
        <v>0</v>
      </c>
      <c r="P17" s="20"/>
      <c r="Q17" s="20"/>
      <c r="R17" s="20"/>
      <c r="S17" s="20"/>
      <c r="T17" s="20"/>
      <c r="U17" s="20"/>
    </row>
    <row r="18" spans="1:21">
      <c r="A18" t="s">
        <v>307</v>
      </c>
      <c r="B18" s="20">
        <f>+B58</f>
        <v>7273.8762999999999</v>
      </c>
      <c r="C18" s="48">
        <v>0</v>
      </c>
      <c r="D18" s="20">
        <f>+F58</f>
        <v>0</v>
      </c>
      <c r="E18" s="48">
        <v>0</v>
      </c>
      <c r="F18" s="20">
        <f>+J58</f>
        <v>0</v>
      </c>
      <c r="G18" s="48">
        <v>0</v>
      </c>
      <c r="H18" s="20">
        <f>+N58</f>
        <v>0</v>
      </c>
      <c r="I18" s="20"/>
      <c r="J18" s="20">
        <f>+D58</f>
        <v>5678.4520499999999</v>
      </c>
      <c r="K18" s="51">
        <f>+(-J18+L18)/ABS(J18)</f>
        <v>0.19328547821408476</v>
      </c>
      <c r="L18" s="20">
        <f>+H58</f>
        <v>6776.0143699999999</v>
      </c>
      <c r="M18" s="51">
        <f>+(-L18+N18)/ABS(L18)</f>
        <v>-0.28073421721506775</v>
      </c>
      <c r="N18" s="20">
        <f>+L58</f>
        <v>4873.7552799999994</v>
      </c>
      <c r="O18" s="51">
        <f>+(-N18+P18)/ABS(N18)</f>
        <v>0.30340097831091761</v>
      </c>
      <c r="P18" s="20">
        <f>+P58</f>
        <v>6352.4573999999993</v>
      </c>
      <c r="Q18" s="20"/>
      <c r="R18" s="20"/>
      <c r="S18" s="20"/>
      <c r="T18" s="20"/>
      <c r="U18" s="20"/>
    </row>
    <row r="19" spans="1:21">
      <c r="A19" t="s">
        <v>308</v>
      </c>
      <c r="B19" s="20">
        <f>+B59</f>
        <v>5225.3338100000001</v>
      </c>
      <c r="C19" s="48">
        <v>0</v>
      </c>
      <c r="D19" s="20">
        <f>+F59</f>
        <v>0</v>
      </c>
      <c r="E19" s="48">
        <v>0</v>
      </c>
      <c r="F19" s="20">
        <f>+J59</f>
        <v>0</v>
      </c>
      <c r="G19" s="48">
        <v>0</v>
      </c>
      <c r="H19" s="20">
        <f>+N59</f>
        <v>0</v>
      </c>
      <c r="I19" s="20"/>
      <c r="J19" s="20">
        <f>+D59</f>
        <v>2664.2930900000001</v>
      </c>
      <c r="K19" s="51">
        <f>+(-J19+L19)/ABS(J19)</f>
        <v>0.27081796019671389</v>
      </c>
      <c r="L19" s="20">
        <f>+H59</f>
        <v>3385.83151</v>
      </c>
      <c r="M19" s="51">
        <f>+(-L19+N19)/ABS(L19)</f>
        <v>-0.14995836576640509</v>
      </c>
      <c r="N19" s="20">
        <f>+L59</f>
        <v>2878.0977500000004</v>
      </c>
      <c r="O19" s="51">
        <f>+(-N19+P19)/ABS(N19)</f>
        <v>0.17675634192758025</v>
      </c>
      <c r="P19" s="20">
        <f>+P59</f>
        <v>3386.8197799999998</v>
      </c>
      <c r="Q19" s="20"/>
      <c r="R19" s="20"/>
      <c r="S19" s="20"/>
      <c r="T19" s="20"/>
      <c r="U19" s="20"/>
    </row>
    <row r="20" spans="1:21">
      <c r="A20" t="s">
        <v>274</v>
      </c>
      <c r="B20" s="217">
        <f>+B60</f>
        <v>489.48128999999994</v>
      </c>
      <c r="C20" s="48">
        <v>0</v>
      </c>
      <c r="D20" s="217">
        <f>+F60</f>
        <v>0</v>
      </c>
      <c r="E20" s="48">
        <v>0</v>
      </c>
      <c r="F20" s="217">
        <f>+J60</f>
        <v>0</v>
      </c>
      <c r="G20" s="48">
        <v>0</v>
      </c>
      <c r="H20" s="217">
        <f>+N60</f>
        <v>0</v>
      </c>
      <c r="I20" s="20"/>
      <c r="J20" s="217">
        <f>+D60</f>
        <v>1684.4329600000001</v>
      </c>
      <c r="K20" s="51">
        <f>+(-J20+L20)/ABS(J20)</f>
        <v>2.5995598780019122</v>
      </c>
      <c r="L20" s="217">
        <f>+H60</f>
        <v>6063.2173000000003</v>
      </c>
      <c r="M20" s="51">
        <f>+(-L20+N20)/ABS(L20)</f>
        <v>-0.83769221498955682</v>
      </c>
      <c r="N20" s="217">
        <f>+L60</f>
        <v>984.10736999999995</v>
      </c>
      <c r="O20" s="51">
        <f>+(-N20+P20)/ABS(N20)</f>
        <v>-2.0435274151030902</v>
      </c>
      <c r="P20" s="217">
        <f>+P60</f>
        <v>-1026.9430200000002</v>
      </c>
      <c r="Q20" s="20"/>
      <c r="R20" s="20"/>
      <c r="S20" s="20"/>
      <c r="T20" s="20"/>
      <c r="U20" s="20"/>
    </row>
    <row r="21" spans="1:21">
      <c r="B21" s="20">
        <f>SUM(B18:B20)</f>
        <v>12988.6914</v>
      </c>
      <c r="C21" s="48">
        <v>0</v>
      </c>
      <c r="D21" s="20">
        <f>SUM(D18:D20)</f>
        <v>0</v>
      </c>
      <c r="E21" s="48">
        <v>0</v>
      </c>
      <c r="F21" s="20">
        <f>SUM(F18:F20)</f>
        <v>0</v>
      </c>
      <c r="G21" s="48">
        <v>0</v>
      </c>
      <c r="H21" s="20">
        <f>SUM(H18:H20)</f>
        <v>0</v>
      </c>
      <c r="I21" s="20"/>
      <c r="J21" s="20">
        <f>SUM(J18:J20)</f>
        <v>10027.178099999999</v>
      </c>
      <c r="K21" s="51">
        <f>+(-J21+L21)/ABS(J21)</f>
        <v>0.618108606248851</v>
      </c>
      <c r="L21" s="20">
        <f>SUM(L18:L20)</f>
        <v>16225.063180000001</v>
      </c>
      <c r="M21" s="51">
        <f>+(-L21+N21)/ABS(L21)</f>
        <v>-0.46157618598561295</v>
      </c>
      <c r="N21" s="20">
        <f>SUM(N18:N20)</f>
        <v>8735.9603999999999</v>
      </c>
      <c r="O21" s="51">
        <f>+(-N21+P21)/ABS(N21)</f>
        <v>-2.7044811237928023E-3</v>
      </c>
      <c r="P21" s="20">
        <f>SUM(P18:P20)</f>
        <v>8712.3341599999985</v>
      </c>
      <c r="Q21" s="20"/>
      <c r="R21" s="20"/>
      <c r="S21" s="20"/>
      <c r="T21" s="20"/>
      <c r="U21" s="20"/>
    </row>
    <row r="22" spans="1:21">
      <c r="B22" s="217"/>
      <c r="C22" s="49" t="s">
        <v>0</v>
      </c>
      <c r="D22" s="217"/>
      <c r="E22" s="49" t="s">
        <v>0</v>
      </c>
      <c r="F22" s="217"/>
      <c r="G22" s="49" t="s">
        <v>0</v>
      </c>
      <c r="H22" s="217"/>
      <c r="I22" s="20"/>
      <c r="J22" s="217"/>
      <c r="K22" s="51"/>
      <c r="L22" s="217"/>
      <c r="M22" s="51"/>
      <c r="N22" s="217"/>
      <c r="O22" s="51"/>
      <c r="P22" s="217"/>
      <c r="Q22" s="20"/>
      <c r="R22" s="20"/>
      <c r="S22" s="20"/>
      <c r="T22" s="20"/>
      <c r="U22" s="20"/>
    </row>
    <row r="23" spans="1:21">
      <c r="A23" t="s">
        <v>309</v>
      </c>
      <c r="B23" s="20">
        <f>+B15+B21</f>
        <v>65156.227110000007</v>
      </c>
      <c r="C23" s="48">
        <v>0</v>
      </c>
      <c r="D23" s="20">
        <f>+D15+D21</f>
        <v>0</v>
      </c>
      <c r="E23" s="48">
        <v>0</v>
      </c>
      <c r="F23" s="20">
        <f>+F15+F21</f>
        <v>0</v>
      </c>
      <c r="G23" s="48">
        <v>0</v>
      </c>
      <c r="H23" s="20">
        <f>+H15+H21</f>
        <v>0</v>
      </c>
      <c r="I23" s="20"/>
      <c r="J23" s="20">
        <f>+J15+J21</f>
        <v>49584.091379999991</v>
      </c>
      <c r="K23" s="51">
        <f>+(-J23+L23)/ABS(J23)</f>
        <v>0.21921135100973599</v>
      </c>
      <c r="L23" s="20">
        <f>+L15+L21</f>
        <v>60453.487039999993</v>
      </c>
      <c r="M23" s="51">
        <f>+(-L23+N23)/ABS(L23)</f>
        <v>-0.11445733106217144</v>
      </c>
      <c r="N23" s="20">
        <f>+N15+N21</f>
        <v>53534.142260000022</v>
      </c>
      <c r="O23" s="51">
        <f>+(-N23+P23)/ABS(N23)</f>
        <v>0.12002443765314516</v>
      </c>
      <c r="P23" s="20">
        <f>+P15+P21</f>
        <v>59959.547579999999</v>
      </c>
      <c r="Q23" s="20"/>
      <c r="R23" s="20"/>
      <c r="S23" s="20"/>
      <c r="T23" s="20"/>
      <c r="U23" s="20"/>
    </row>
    <row r="24" spans="1:21">
      <c r="B24" s="20"/>
      <c r="C24" s="49" t="s">
        <v>0</v>
      </c>
      <c r="D24" s="20"/>
      <c r="E24" s="49" t="s">
        <v>0</v>
      </c>
      <c r="F24" s="20"/>
      <c r="G24" s="49" t="s">
        <v>0</v>
      </c>
      <c r="H24" s="20"/>
      <c r="I24" s="20"/>
      <c r="J24" s="20"/>
      <c r="K24" s="51"/>
      <c r="L24" s="20"/>
      <c r="M24" s="51"/>
      <c r="N24" s="20"/>
      <c r="O24" s="51"/>
      <c r="P24" s="20"/>
      <c r="Q24" s="20"/>
      <c r="R24" s="20"/>
      <c r="S24" s="20"/>
      <c r="T24" s="20"/>
      <c r="U24" s="20"/>
    </row>
    <row r="25" spans="1:21">
      <c r="A25" t="s">
        <v>310</v>
      </c>
      <c r="B25" s="20">
        <f>+B65</f>
        <v>2700</v>
      </c>
      <c r="C25" s="48">
        <v>0</v>
      </c>
      <c r="D25" s="20">
        <f>+F65</f>
        <v>0</v>
      </c>
      <c r="E25" s="48">
        <v>0</v>
      </c>
      <c r="F25" s="20">
        <f>+J65</f>
        <v>0</v>
      </c>
      <c r="G25" s="48">
        <v>0</v>
      </c>
      <c r="H25" s="20">
        <f>+N65</f>
        <v>0</v>
      </c>
      <c r="I25" s="20"/>
      <c r="J25" s="20">
        <f>+D65</f>
        <v>2250</v>
      </c>
      <c r="K25" s="51">
        <f>+(-J25+L25)/ABS(J25)</f>
        <v>0</v>
      </c>
      <c r="L25" s="20">
        <f>+H65</f>
        <v>2250</v>
      </c>
      <c r="M25" s="51">
        <f>+(-L25+N25)/ABS(L25)</f>
        <v>0</v>
      </c>
      <c r="N25" s="20">
        <f>+L65</f>
        <v>2250</v>
      </c>
      <c r="O25" s="51">
        <f>+(-N25+P25)/ABS(N25)</f>
        <v>0.84725102222222226</v>
      </c>
      <c r="P25" s="20">
        <f>+P65</f>
        <v>4156.3148000000001</v>
      </c>
      <c r="Q25" s="20"/>
      <c r="R25" s="20"/>
      <c r="S25" s="20"/>
      <c r="T25" s="20"/>
      <c r="U25" s="20"/>
    </row>
    <row r="26" spans="1:21">
      <c r="B26" s="20"/>
      <c r="C26" s="49" t="s">
        <v>0</v>
      </c>
      <c r="D26" s="20"/>
      <c r="E26" s="49" t="s">
        <v>0</v>
      </c>
      <c r="F26" s="20"/>
      <c r="G26" s="49" t="s">
        <v>0</v>
      </c>
      <c r="H26" s="20"/>
      <c r="I26" s="20"/>
      <c r="J26" s="20"/>
      <c r="K26" s="51"/>
      <c r="L26" s="20"/>
      <c r="M26" s="51"/>
      <c r="N26" s="20"/>
      <c r="O26" s="51"/>
      <c r="P26" s="20"/>
      <c r="Q26" s="20"/>
      <c r="R26" s="20"/>
      <c r="S26" s="20"/>
      <c r="T26" s="20"/>
      <c r="U26" s="20"/>
    </row>
    <row r="27" spans="1:21">
      <c r="A27" t="s">
        <v>311</v>
      </c>
      <c r="B27" s="217"/>
      <c r="C27" s="49" t="s">
        <v>0</v>
      </c>
      <c r="D27" s="217"/>
      <c r="E27" s="49" t="s">
        <v>0</v>
      </c>
      <c r="F27" s="217"/>
      <c r="G27" s="49" t="s">
        <v>0</v>
      </c>
      <c r="H27" s="217"/>
      <c r="I27" s="20"/>
      <c r="J27" s="217"/>
      <c r="K27" s="51"/>
      <c r="L27" s="217"/>
      <c r="M27" s="51"/>
      <c r="N27" s="217"/>
      <c r="O27" s="51"/>
      <c r="P27" s="217"/>
      <c r="Q27" s="20"/>
      <c r="R27" s="20"/>
      <c r="S27" s="20"/>
      <c r="T27" s="20"/>
      <c r="U27" s="20"/>
    </row>
    <row r="28" spans="1:21">
      <c r="A28" t="s">
        <v>312</v>
      </c>
      <c r="B28" s="20">
        <f>+B23-B25</f>
        <v>62456.227110000007</v>
      </c>
      <c r="C28" s="48">
        <v>0</v>
      </c>
      <c r="D28" s="20">
        <f>+D23-D25</f>
        <v>0</v>
      </c>
      <c r="E28" s="48">
        <v>0</v>
      </c>
      <c r="F28" s="20">
        <f>+F23-F25</f>
        <v>0</v>
      </c>
      <c r="G28" s="48">
        <v>0</v>
      </c>
      <c r="H28" s="20">
        <f>+H23-H25</f>
        <v>0</v>
      </c>
      <c r="I28" s="20"/>
      <c r="J28" s="20">
        <f>+J23-J25</f>
        <v>47334.091379999991</v>
      </c>
      <c r="K28" s="51">
        <f>+(-J28+L28)/ABS(J28)</f>
        <v>0.2296314420137498</v>
      </c>
      <c r="L28" s="20">
        <f>+L23-L25</f>
        <v>58203.487039999993</v>
      </c>
      <c r="M28" s="51">
        <f>+(-L28+N28)/ABS(L28)</f>
        <v>-0.1188819627807642</v>
      </c>
      <c r="N28" s="20">
        <f>+N23-N25</f>
        <v>51284.142260000022</v>
      </c>
      <c r="O28" s="51">
        <f>+(-N28+P28)/ABS(N28)</f>
        <v>8.8118672183091593E-2</v>
      </c>
      <c r="P28" s="20">
        <f>+P23-P25</f>
        <v>55803.232779999998</v>
      </c>
      <c r="Q28" s="20"/>
      <c r="R28" s="20"/>
      <c r="S28" s="20"/>
      <c r="T28" s="20"/>
      <c r="U28" s="20"/>
    </row>
    <row r="29" spans="1:21">
      <c r="B29" s="20"/>
      <c r="C29" s="49" t="s">
        <v>0</v>
      </c>
      <c r="D29" s="20"/>
      <c r="E29" s="49" t="s">
        <v>0</v>
      </c>
      <c r="F29" s="20"/>
      <c r="G29" s="49" t="s">
        <v>0</v>
      </c>
      <c r="H29" s="20"/>
      <c r="I29" s="20"/>
      <c r="J29" s="20"/>
      <c r="K29" s="51"/>
      <c r="L29" s="20"/>
      <c r="M29" s="51"/>
      <c r="N29" s="20"/>
      <c r="O29" s="51"/>
      <c r="P29" s="20"/>
      <c r="Q29" s="20"/>
      <c r="R29" s="20"/>
      <c r="S29" s="20"/>
      <c r="T29" s="20"/>
      <c r="U29" s="20"/>
    </row>
    <row r="30" spans="1:21">
      <c r="A30" t="s">
        <v>313</v>
      </c>
      <c r="B30" s="20"/>
      <c r="C30" s="49" t="s">
        <v>0</v>
      </c>
      <c r="D30" s="20"/>
      <c r="E30" s="49" t="s">
        <v>0</v>
      </c>
      <c r="F30" s="20"/>
      <c r="G30" s="49" t="s">
        <v>0</v>
      </c>
      <c r="H30" s="20"/>
      <c r="I30" s="20"/>
      <c r="J30" s="20"/>
      <c r="K30" s="51"/>
      <c r="L30" s="20"/>
      <c r="M30" s="51"/>
      <c r="N30" s="20"/>
      <c r="O30" s="51"/>
      <c r="P30" s="20"/>
      <c r="Q30" s="20"/>
      <c r="R30" s="20"/>
      <c r="S30" s="20"/>
      <c r="T30" s="20"/>
      <c r="U30" s="20"/>
    </row>
    <row r="31" spans="1:21">
      <c r="A31" t="s">
        <v>314</v>
      </c>
      <c r="B31" s="20">
        <f>+B71</f>
        <v>13550.577140000001</v>
      </c>
      <c r="C31" s="48">
        <v>0</v>
      </c>
      <c r="D31" s="20">
        <f>+F71</f>
        <v>0</v>
      </c>
      <c r="E31" s="48">
        <v>0</v>
      </c>
      <c r="F31" s="20">
        <f>+J71</f>
        <v>0</v>
      </c>
      <c r="G31" s="48">
        <v>0</v>
      </c>
      <c r="H31" s="20">
        <f>+N71</f>
        <v>0</v>
      </c>
      <c r="I31" s="20"/>
      <c r="J31" s="20">
        <f>+D71</f>
        <v>12709.22114</v>
      </c>
      <c r="K31" s="51">
        <f>+(-J31+L31)/ABS(J31)</f>
        <v>6.1528334536478067E-2</v>
      </c>
      <c r="L31" s="20">
        <f>+H71</f>
        <v>13491.198349999999</v>
      </c>
      <c r="M31" s="51">
        <f>+(-L31+N31)/ABS(L31)</f>
        <v>-9.4006200716778843E-3</v>
      </c>
      <c r="N31" s="20">
        <f>+L71</f>
        <v>13364.372720000001</v>
      </c>
      <c r="O31" s="51">
        <f>+(-N31+P31)/ABS(N31)</f>
        <v>1.5424735924305932E-2</v>
      </c>
      <c r="P31" s="20">
        <f>+P71</f>
        <v>13570.514639999999</v>
      </c>
      <c r="Q31" s="20"/>
      <c r="R31" s="20"/>
      <c r="S31" s="20"/>
      <c r="T31" s="20"/>
      <c r="U31" s="20"/>
    </row>
    <row r="32" spans="1:21">
      <c r="A32" t="s">
        <v>315</v>
      </c>
      <c r="B32" s="20">
        <f>+B72</f>
        <v>6274.8201499999996</v>
      </c>
      <c r="C32" s="48">
        <v>0</v>
      </c>
      <c r="D32" s="20">
        <f>+F72</f>
        <v>0</v>
      </c>
      <c r="E32" s="48">
        <v>0</v>
      </c>
      <c r="F32" s="20">
        <f>+J72</f>
        <v>0</v>
      </c>
      <c r="G32" s="48">
        <v>0</v>
      </c>
      <c r="H32" s="20">
        <f>+N72</f>
        <v>0</v>
      </c>
      <c r="I32" s="20"/>
      <c r="J32" s="20">
        <f>+D72</f>
        <v>5353.0717000000004</v>
      </c>
      <c r="K32" s="51">
        <f>+(-J32+L32)/ABS(J32)</f>
        <v>-4.5135556469381888E-2</v>
      </c>
      <c r="L32" s="20">
        <f>+H72</f>
        <v>5111.4578300000003</v>
      </c>
      <c r="M32" s="51">
        <f>+(-L32+N32)/ABS(L32)</f>
        <v>0.18134589403430529</v>
      </c>
      <c r="N32" s="20">
        <f>+L72</f>
        <v>6038.3997200000003</v>
      </c>
      <c r="O32" s="51">
        <f>+(-N32+P32)/ABS(N32)</f>
        <v>-2.7804803886020506E-2</v>
      </c>
      <c r="P32" s="20">
        <f>+P72</f>
        <v>5870.5031999999992</v>
      </c>
      <c r="Q32" s="20"/>
      <c r="R32" s="20"/>
      <c r="S32" s="20"/>
      <c r="T32" s="20"/>
      <c r="U32" s="20"/>
    </row>
    <row r="33" spans="1:22">
      <c r="A33" t="s">
        <v>316</v>
      </c>
      <c r="B33" s="20">
        <f>+B73</f>
        <v>2505.9178499999998</v>
      </c>
      <c r="C33" s="48">
        <v>0</v>
      </c>
      <c r="D33" s="20">
        <f>+F73</f>
        <v>0</v>
      </c>
      <c r="E33" s="48">
        <v>0</v>
      </c>
      <c r="F33" s="20">
        <f>+J73</f>
        <v>0</v>
      </c>
      <c r="G33" s="48">
        <v>0</v>
      </c>
      <c r="H33" s="20">
        <f>+N73</f>
        <v>0</v>
      </c>
      <c r="I33" s="20"/>
      <c r="J33" s="20">
        <f>+D73</f>
        <v>2746.85682</v>
      </c>
      <c r="K33" s="51">
        <f>+(-J33+L33)/ABS(J33)</f>
        <v>-5.7934745211801732E-2</v>
      </c>
      <c r="L33" s="20">
        <f>+H73</f>
        <v>2587.71837</v>
      </c>
      <c r="M33" s="51">
        <f>+(-L33+N33)/ABS(L33)</f>
        <v>7.0243791637959435E-2</v>
      </c>
      <c r="N33" s="20">
        <f>+L73</f>
        <v>2769.4895200000001</v>
      </c>
      <c r="O33" s="51">
        <f>+(-N33+P33)/ABS(N33)</f>
        <v>-9.1694508380013556E-2</v>
      </c>
      <c r="P33" s="20">
        <f>+P73</f>
        <v>2515.5425400000004</v>
      </c>
      <c r="Q33" s="20"/>
      <c r="R33" s="20"/>
      <c r="S33" s="20"/>
      <c r="T33" s="20"/>
      <c r="U33" s="20"/>
    </row>
    <row r="34" spans="1:22">
      <c r="A34" t="s">
        <v>317</v>
      </c>
      <c r="B34" s="217">
        <f>+B74</f>
        <v>12654.64602</v>
      </c>
      <c r="C34" s="48">
        <v>0</v>
      </c>
      <c r="D34" s="217">
        <f>+F74</f>
        <v>0</v>
      </c>
      <c r="E34" s="48">
        <v>0</v>
      </c>
      <c r="F34" s="217">
        <f>+J74</f>
        <v>0</v>
      </c>
      <c r="G34" s="48">
        <v>0</v>
      </c>
      <c r="H34" s="217">
        <f>+N74</f>
        <v>0</v>
      </c>
      <c r="I34" s="20"/>
      <c r="J34" s="217">
        <f>+D74</f>
        <v>10959.85124</v>
      </c>
      <c r="K34" s="51">
        <f>+(-J34+L34)/ABS(J34)</f>
        <v>0.25154163680053748</v>
      </c>
      <c r="L34" s="217">
        <f>+H74</f>
        <v>13716.710160000001</v>
      </c>
      <c r="M34" s="51">
        <f>+(-L34+N34)/ABS(L34)</f>
        <v>-0.17732159691562657</v>
      </c>
      <c r="N34" s="217">
        <f>+L74</f>
        <v>11284.441210000001</v>
      </c>
      <c r="O34" s="51">
        <f>+(-N34+P34)/ABS(N34)</f>
        <v>0.21707649181859665</v>
      </c>
      <c r="P34" s="217">
        <f>+P74</f>
        <v>13734.028120000001</v>
      </c>
      <c r="Q34" s="20"/>
      <c r="R34" s="20"/>
      <c r="S34" s="20"/>
      <c r="T34" s="20"/>
      <c r="U34" s="20"/>
    </row>
    <row r="35" spans="1:22">
      <c r="B35" s="20">
        <f>SUM(B31:B34)</f>
        <v>34985.961159999999</v>
      </c>
      <c r="C35" s="48">
        <v>0</v>
      </c>
      <c r="D35" s="20">
        <f>SUM(D31:D34)</f>
        <v>0</v>
      </c>
      <c r="E35" s="48">
        <v>0</v>
      </c>
      <c r="F35" s="20">
        <f>SUM(F31:F34)</f>
        <v>0</v>
      </c>
      <c r="G35" s="48">
        <v>0</v>
      </c>
      <c r="H35" s="20">
        <f>SUM(H31:H34)</f>
        <v>0</v>
      </c>
      <c r="I35" s="20"/>
      <c r="J35" s="20">
        <f>SUM(J31:J34)</f>
        <v>31769.000900000003</v>
      </c>
      <c r="K35" s="51">
        <f>+(-J35+L35)/ABS(J35)</f>
        <v>9.8778171207769785E-2</v>
      </c>
      <c r="L35" s="20">
        <f>SUM(L31:L34)</f>
        <v>34907.084709999996</v>
      </c>
      <c r="M35" s="51">
        <f>+(-L35+N35)/ABS(L35)</f>
        <v>-4.1549775698813865E-2</v>
      </c>
      <c r="N35" s="20">
        <f>SUM(N31:N34)</f>
        <v>33456.703170000001</v>
      </c>
      <c r="O35" s="51">
        <f>+(-N35+P35)/ABS(N35)</f>
        <v>6.676943985332924E-2</v>
      </c>
      <c r="P35" s="20">
        <f>SUM(P31:P34)</f>
        <v>35690.588500000005</v>
      </c>
      <c r="Q35" s="20"/>
      <c r="R35" s="20"/>
      <c r="S35" s="20"/>
      <c r="T35" s="20"/>
      <c r="U35" s="20"/>
    </row>
    <row r="36" spans="1:22">
      <c r="B36" s="217"/>
      <c r="C36" s="188"/>
      <c r="D36" s="217"/>
      <c r="E36" s="188"/>
      <c r="F36" s="217"/>
      <c r="G36" s="188"/>
      <c r="H36" s="217"/>
      <c r="I36" s="20"/>
      <c r="J36" s="217"/>
      <c r="K36" s="51"/>
      <c r="L36" s="217"/>
      <c r="M36" s="51"/>
      <c r="N36" s="217"/>
      <c r="O36" s="51"/>
      <c r="P36" s="217"/>
      <c r="Q36" s="20"/>
      <c r="R36" s="20"/>
      <c r="S36" s="20"/>
      <c r="T36" s="20"/>
      <c r="U36" s="20"/>
    </row>
    <row r="37" spans="1:22">
      <c r="A37" t="s">
        <v>318</v>
      </c>
      <c r="B37" s="20">
        <f>+B28-B35</f>
        <v>27470.265950000008</v>
      </c>
      <c r="C37" s="48">
        <v>0</v>
      </c>
      <c r="D37" s="20">
        <f>+D28-D35</f>
        <v>0</v>
      </c>
      <c r="E37" s="48">
        <v>0</v>
      </c>
      <c r="F37" s="20">
        <f>+F28-F35</f>
        <v>0</v>
      </c>
      <c r="G37" s="48">
        <v>0</v>
      </c>
      <c r="H37" s="20">
        <f>+H28-H35</f>
        <v>0</v>
      </c>
      <c r="I37" s="20"/>
      <c r="J37" s="20">
        <f>+J28-J35</f>
        <v>15565.090479999988</v>
      </c>
      <c r="K37" s="51">
        <f>+(-J37+L37)/ABS(J37)</f>
        <v>0.49670844251976459</v>
      </c>
      <c r="L37" s="20">
        <f>+L28-L35</f>
        <v>23296.402329999997</v>
      </c>
      <c r="M37" s="51">
        <f>+(-L37+N37)/ABS(L37)</f>
        <v>-0.23475570015192024</v>
      </c>
      <c r="N37" s="20">
        <f>+N28-N35</f>
        <v>17827.439090000022</v>
      </c>
      <c r="O37" s="51">
        <f>+(-N37+P37)/ABS(N37)</f>
        <v>0.12818471449900035</v>
      </c>
      <c r="P37" s="20">
        <f>+P28-P35</f>
        <v>20112.644279999993</v>
      </c>
      <c r="Q37" s="20"/>
      <c r="R37" s="20"/>
      <c r="S37" s="20"/>
      <c r="T37" s="20"/>
      <c r="U37" s="20"/>
    </row>
    <row r="38" spans="1:22">
      <c r="B38" s="20"/>
      <c r="C38" s="49" t="s">
        <v>0</v>
      </c>
      <c r="D38" s="20"/>
      <c r="E38" s="49" t="s">
        <v>0</v>
      </c>
      <c r="F38" s="20"/>
      <c r="G38" s="46" t="s">
        <v>0</v>
      </c>
      <c r="H38" s="20"/>
      <c r="I38" s="20"/>
      <c r="J38" s="20"/>
      <c r="K38" s="51"/>
      <c r="L38" s="20"/>
      <c r="M38" s="52" t="s">
        <v>0</v>
      </c>
      <c r="N38" s="20"/>
      <c r="O38" s="51"/>
      <c r="P38" s="20"/>
      <c r="Q38" s="20"/>
      <c r="R38" s="20"/>
      <c r="S38" s="20"/>
      <c r="T38" s="20"/>
      <c r="U38" s="20"/>
    </row>
    <row r="39" spans="1:22">
      <c r="A39" t="s">
        <v>319</v>
      </c>
      <c r="B39" s="20">
        <f>+B79</f>
        <v>7416.97181</v>
      </c>
      <c r="C39" s="48">
        <v>0</v>
      </c>
      <c r="D39" s="20">
        <f>+F79</f>
        <v>0</v>
      </c>
      <c r="E39" s="48">
        <v>0</v>
      </c>
      <c r="F39" s="20">
        <f>+J79</f>
        <v>0</v>
      </c>
      <c r="G39" s="48">
        <v>0</v>
      </c>
      <c r="H39" s="20">
        <f>+N79</f>
        <v>0</v>
      </c>
      <c r="I39" s="20"/>
      <c r="J39" s="20">
        <f>+D79</f>
        <v>4202.5744299999997</v>
      </c>
      <c r="K39" s="51">
        <f>+(-J39+L39)/ABS(J39)</f>
        <v>0.4967084425914618</v>
      </c>
      <c r="L39" s="20">
        <f>+H79</f>
        <v>6290.0286299999998</v>
      </c>
      <c r="M39" s="51">
        <f>+(-L39+N39)/ABS(L39)</f>
        <v>-0.23475570094503684</v>
      </c>
      <c r="N39" s="20">
        <f>+L79</f>
        <v>4813.4085500000001</v>
      </c>
      <c r="O39" s="51">
        <f>+(-N39+P39)/ABS(N39)</f>
        <v>0.12818471642096529</v>
      </c>
      <c r="P39" s="20">
        <f>+P79</f>
        <v>5430.4139599999999</v>
      </c>
      <c r="Q39" s="20"/>
      <c r="R39" s="20"/>
      <c r="S39" s="20"/>
      <c r="T39" s="20"/>
      <c r="U39" s="20"/>
    </row>
    <row r="40" spans="1:22" ht="16.5" thickBot="1">
      <c r="B40" s="79"/>
      <c r="C40" s="49" t="s">
        <v>0</v>
      </c>
      <c r="D40" s="79"/>
      <c r="E40" s="49" t="s">
        <v>0</v>
      </c>
      <c r="F40" s="79"/>
      <c r="G40" s="49" t="s">
        <v>0</v>
      </c>
      <c r="H40" s="79"/>
      <c r="I40" s="20"/>
      <c r="J40" s="79"/>
      <c r="K40" s="51"/>
      <c r="L40" s="79"/>
      <c r="M40" s="51"/>
      <c r="N40" s="79"/>
      <c r="O40" s="51"/>
      <c r="P40" s="79"/>
      <c r="Q40" s="20"/>
      <c r="R40" s="20"/>
      <c r="S40" s="20"/>
      <c r="T40" s="20"/>
      <c r="U40" s="20"/>
    </row>
    <row r="41" spans="1:22" s="11" customFormat="1">
      <c r="A41" s="11" t="s">
        <v>326</v>
      </c>
      <c r="B41" s="13">
        <f>+B37-B39</f>
        <v>20053.294140000009</v>
      </c>
      <c r="C41" s="47">
        <v>0</v>
      </c>
      <c r="D41" s="13">
        <f>+D37-D39</f>
        <v>0</v>
      </c>
      <c r="E41" s="47">
        <v>0</v>
      </c>
      <c r="F41" s="13">
        <f>+F37-F39</f>
        <v>0</v>
      </c>
      <c r="G41" s="47">
        <v>0</v>
      </c>
      <c r="H41" s="13">
        <f>+H37-H39</f>
        <v>0</v>
      </c>
      <c r="I41" s="13"/>
      <c r="J41" s="13">
        <f>+J37-J39</f>
        <v>11362.516049999987</v>
      </c>
      <c r="K41" s="109">
        <f>+(-J41+L41)/ABS(J41)</f>
        <v>0.49670844249324647</v>
      </c>
      <c r="L41" s="13">
        <f>+L37-L39</f>
        <v>17006.373699999996</v>
      </c>
      <c r="M41" s="109">
        <f>+(-L41+N41)/ABS(L41)</f>
        <v>-0.23475569985857572</v>
      </c>
      <c r="N41" s="13">
        <f>+N37-N39</f>
        <v>13014.030540000022</v>
      </c>
      <c r="O41" s="109">
        <f>+(-N41+P41)/ABS(N41)</f>
        <v>0.12818471378813662</v>
      </c>
      <c r="P41" s="13">
        <f>+P37-P39</f>
        <v>14682.230319999993</v>
      </c>
      <c r="Q41" s="13"/>
      <c r="R41" s="13"/>
      <c r="S41" s="13"/>
      <c r="T41" s="13"/>
      <c r="U41" s="13"/>
    </row>
    <row r="42" spans="1:22" ht="5.45" customHeight="1">
      <c r="B42" s="20"/>
      <c r="C42" s="24" t="s">
        <v>0</v>
      </c>
      <c r="D42" s="20"/>
      <c r="E42" s="20"/>
      <c r="F42" s="20"/>
      <c r="G42" s="20"/>
      <c r="H42" s="20"/>
      <c r="I42" s="20"/>
      <c r="J42" s="20"/>
      <c r="K42" s="20"/>
      <c r="L42" s="20"/>
      <c r="M42" s="20"/>
      <c r="N42" s="20"/>
      <c r="O42" s="20"/>
      <c r="P42" s="20"/>
      <c r="Q42" s="20"/>
      <c r="R42" s="20"/>
      <c r="S42" s="20"/>
      <c r="T42" s="20"/>
      <c r="U42" s="20"/>
    </row>
    <row r="43" spans="1:22" ht="7.9" customHeight="1" thickBot="1">
      <c r="A43" s="25"/>
      <c r="B43" s="79"/>
      <c r="C43" s="80" t="s">
        <v>0</v>
      </c>
      <c r="D43" s="79"/>
      <c r="E43" s="79"/>
      <c r="F43" s="79"/>
      <c r="G43" s="79"/>
      <c r="H43" s="79"/>
      <c r="I43" s="79"/>
      <c r="J43" s="79"/>
      <c r="K43" s="79"/>
      <c r="L43" s="79"/>
      <c r="M43" s="79"/>
      <c r="N43" s="79"/>
      <c r="O43" s="79"/>
      <c r="P43" s="79"/>
      <c r="Q43" s="79"/>
      <c r="R43" s="79"/>
      <c r="S43" s="79"/>
      <c r="T43" s="79"/>
      <c r="U43" s="20"/>
    </row>
    <row r="44" spans="1:22" ht="7.9" customHeight="1">
      <c r="A44" s="26"/>
      <c r="B44" s="81"/>
      <c r="C44" s="24" t="s">
        <v>0</v>
      </c>
      <c r="D44" s="81"/>
      <c r="E44" s="81"/>
      <c r="F44" s="81"/>
      <c r="G44" s="81"/>
      <c r="H44" s="81"/>
      <c r="I44" s="81"/>
      <c r="J44" s="81"/>
      <c r="K44" s="81"/>
      <c r="L44" s="81"/>
      <c r="M44" s="81"/>
      <c r="N44" s="81"/>
      <c r="O44" s="81"/>
      <c r="P44" s="20"/>
      <c r="Q44" s="20"/>
      <c r="R44" s="20"/>
      <c r="S44" s="20"/>
      <c r="T44" s="20"/>
      <c r="U44" s="20"/>
    </row>
    <row r="45" spans="1:22" ht="7.9" customHeight="1">
      <c r="A45" s="26"/>
      <c r="B45" s="81"/>
      <c r="C45" s="24" t="s">
        <v>0</v>
      </c>
      <c r="D45" s="81"/>
      <c r="E45" s="81"/>
      <c r="F45" s="81"/>
      <c r="G45" s="81"/>
      <c r="H45" s="81"/>
      <c r="I45" s="81"/>
      <c r="J45" s="81"/>
      <c r="K45" s="81"/>
      <c r="L45" s="81"/>
      <c r="M45" s="81"/>
      <c r="N45" s="81"/>
      <c r="O45" s="81"/>
      <c r="P45" s="20"/>
      <c r="Q45" s="20"/>
      <c r="R45" s="20"/>
      <c r="S45" s="20"/>
      <c r="T45" s="20"/>
      <c r="U45" s="20"/>
    </row>
    <row r="46" spans="1:22" s="11" customFormat="1">
      <c r="B46" s="332" t="str">
        <f>+SOGEBKRÉSULT!B46</f>
        <v xml:space="preserve"> 2015</v>
      </c>
      <c r="C46" s="13" t="s">
        <v>0</v>
      </c>
      <c r="D46" s="332" t="str">
        <f>+SOGEBKRÉSULT!D46</f>
        <v xml:space="preserve"> 2014</v>
      </c>
      <c r="E46" s="13"/>
      <c r="F46" s="332" t="str">
        <f>+SOGEBKRÉSULT!F46</f>
        <v xml:space="preserve"> 2015</v>
      </c>
      <c r="G46" s="13" t="s">
        <v>0</v>
      </c>
      <c r="H46" s="332" t="str">
        <f>+SOGEBKRÉSULT!H46</f>
        <v xml:space="preserve"> 2014</v>
      </c>
      <c r="I46" s="13"/>
      <c r="J46" s="332" t="str">
        <f>+SOGEBKRÉSULT!J46</f>
        <v xml:space="preserve"> 2015</v>
      </c>
      <c r="K46" s="13" t="s">
        <v>0</v>
      </c>
      <c r="L46" s="332" t="str">
        <f>+SOGEBKRÉSULT!L46</f>
        <v xml:space="preserve"> 2014</v>
      </c>
      <c r="M46" s="13"/>
      <c r="N46" s="332" t="str">
        <f>+SOGEBKRÉSULT!N46</f>
        <v xml:space="preserve"> 2015</v>
      </c>
      <c r="O46" s="13" t="s">
        <v>0</v>
      </c>
      <c r="P46" s="332" t="str">
        <f>+SOGEBKRÉSULT!P46</f>
        <v xml:space="preserve"> 2014</v>
      </c>
      <c r="Q46" s="13"/>
      <c r="R46" s="1026" t="str">
        <f>+SOGEBKRÉSULT!R46</f>
        <v xml:space="preserve"> 2014 (oct.-déc. 14)</v>
      </c>
      <c r="S46" s="13"/>
      <c r="T46" s="1026" t="str">
        <f>+SOGEBKRÉSULT!T46</f>
        <v xml:space="preserve"> 2013 (oct. -déc. 13)</v>
      </c>
      <c r="U46" s="332" t="str">
        <f>+SOGEBKRÉSULT!U46</f>
        <v>2014</v>
      </c>
    </row>
    <row r="47" spans="1:22" ht="16.5" thickBot="1">
      <c r="B47" s="344" t="s">
        <v>321</v>
      </c>
      <c r="C47" s="200" t="s">
        <v>196</v>
      </c>
      <c r="D47" s="200" t="s">
        <v>204</v>
      </c>
      <c r="E47" s="2"/>
      <c r="F47" s="200" t="s">
        <v>205</v>
      </c>
      <c r="G47" s="200" t="s">
        <v>196</v>
      </c>
      <c r="H47" s="200" t="s">
        <v>205</v>
      </c>
      <c r="I47" s="2"/>
      <c r="J47" s="200" t="s">
        <v>206</v>
      </c>
      <c r="K47" s="200" t="s">
        <v>196</v>
      </c>
      <c r="L47" s="200" t="s">
        <v>206</v>
      </c>
      <c r="M47" s="2"/>
      <c r="N47" s="200" t="s">
        <v>207</v>
      </c>
      <c r="O47" s="200" t="s">
        <v>196</v>
      </c>
      <c r="P47" s="200" t="s">
        <v>207</v>
      </c>
      <c r="Q47" s="2"/>
      <c r="R47" s="200" t="s">
        <v>208</v>
      </c>
      <c r="S47" s="200" t="s">
        <v>196</v>
      </c>
      <c r="T47" s="200" t="s">
        <v>208</v>
      </c>
      <c r="U47" s="2" t="s">
        <v>208</v>
      </c>
      <c r="V47" s="3"/>
    </row>
    <row r="48" spans="1:22">
      <c r="A48" t="s">
        <v>300</v>
      </c>
      <c r="B48" s="24" t="s">
        <v>0</v>
      </c>
      <c r="C48" s="20"/>
      <c r="D48" s="20"/>
      <c r="E48" s="20"/>
      <c r="F48" s="20"/>
      <c r="G48" s="20"/>
      <c r="H48" s="20"/>
      <c r="I48" s="20"/>
      <c r="J48" s="20"/>
      <c r="K48" s="20"/>
      <c r="L48" s="20"/>
      <c r="M48" s="20"/>
      <c r="N48" s="20"/>
      <c r="O48" s="20"/>
      <c r="P48" s="20"/>
      <c r="Q48" s="20"/>
      <c r="R48" s="20"/>
      <c r="S48" s="20"/>
      <c r="T48" s="20"/>
      <c r="U48" s="20"/>
    </row>
    <row r="49" spans="1:24">
      <c r="A49" t="s">
        <v>301</v>
      </c>
      <c r="B49" s="24" t="s">
        <v>0</v>
      </c>
      <c r="C49" s="52" t="s">
        <v>0</v>
      </c>
      <c r="D49" s="24" t="s">
        <v>0</v>
      </c>
      <c r="E49" s="24" t="s">
        <v>0</v>
      </c>
      <c r="F49" s="24" t="s">
        <v>0</v>
      </c>
      <c r="G49" s="52" t="s">
        <v>0</v>
      </c>
      <c r="H49" s="24" t="s">
        <v>0</v>
      </c>
      <c r="I49" s="24" t="s">
        <v>0</v>
      </c>
      <c r="J49" s="24" t="s">
        <v>0</v>
      </c>
      <c r="K49" s="52" t="s">
        <v>0</v>
      </c>
      <c r="L49" s="24" t="s">
        <v>0</v>
      </c>
      <c r="M49" s="24" t="s">
        <v>0</v>
      </c>
      <c r="N49" s="24" t="s">
        <v>0</v>
      </c>
      <c r="O49" s="49" t="s">
        <v>0</v>
      </c>
      <c r="P49" s="24" t="s">
        <v>0</v>
      </c>
      <c r="Q49" s="24" t="s">
        <v>0</v>
      </c>
      <c r="R49" s="24" t="s">
        <v>0</v>
      </c>
      <c r="S49" s="52" t="s">
        <v>0</v>
      </c>
      <c r="T49" s="24" t="s">
        <v>0</v>
      </c>
      <c r="U49" s="20" t="str">
        <f>+D49</f>
        <v xml:space="preserve"> </v>
      </c>
      <c r="V49" t="s">
        <v>0</v>
      </c>
      <c r="W49" t="s">
        <v>0</v>
      </c>
      <c r="X49" t="s">
        <v>0</v>
      </c>
    </row>
    <row r="50" spans="1:24">
      <c r="A50" t="s">
        <v>302</v>
      </c>
      <c r="B50" s="20">
        <v>69161.952090000006</v>
      </c>
      <c r="C50" s="51">
        <f t="shared" ref="C50:C55" si="3">+(B50-D50)/ABS(D50)</f>
        <v>0.37013835132840139</v>
      </c>
      <c r="D50" s="20">
        <v>50478.079109999991</v>
      </c>
      <c r="E50" s="24"/>
      <c r="F50" s="20">
        <v>0</v>
      </c>
      <c r="G50" s="48">
        <v>0</v>
      </c>
      <c r="H50" s="20">
        <v>59008.454099999995</v>
      </c>
      <c r="I50" s="20"/>
      <c r="J50" s="20">
        <v>0</v>
      </c>
      <c r="K50" s="48">
        <v>0</v>
      </c>
      <c r="L50" s="20">
        <v>61440.94819000001</v>
      </c>
      <c r="M50" s="24"/>
      <c r="N50" s="20">
        <v>0</v>
      </c>
      <c r="O50" s="48">
        <v>0</v>
      </c>
      <c r="P50" s="20">
        <v>70366.046800000011</v>
      </c>
      <c r="Q50" s="20"/>
      <c r="R50" s="20">
        <f>+B50+F50+J50+N50</f>
        <v>69161.952090000006</v>
      </c>
      <c r="S50" s="51">
        <f t="shared" ref="S50:S55" si="4">+(R50-T50)/ABS(T50)</f>
        <v>0.37013835132840139</v>
      </c>
      <c r="T50" s="81">
        <f>+D50</f>
        <v>50478.079109999991</v>
      </c>
      <c r="U50" s="20">
        <f>+D50+H50+L50+P50</f>
        <v>241293.5282</v>
      </c>
    </row>
    <row r="51" spans="1:24">
      <c r="A51" t="s">
        <v>322</v>
      </c>
      <c r="B51" s="20">
        <v>0</v>
      </c>
      <c r="C51" s="48">
        <v>0</v>
      </c>
      <c r="D51" s="20">
        <v>0</v>
      </c>
      <c r="E51" s="24"/>
      <c r="F51" s="20">
        <v>0</v>
      </c>
      <c r="G51" s="48">
        <v>0</v>
      </c>
      <c r="H51" s="20">
        <v>0</v>
      </c>
      <c r="I51" s="20"/>
      <c r="J51" s="20">
        <v>0</v>
      </c>
      <c r="K51" s="48">
        <v>0</v>
      </c>
      <c r="L51" s="20">
        <v>0</v>
      </c>
      <c r="M51" s="24"/>
      <c r="N51" s="20">
        <v>0</v>
      </c>
      <c r="O51" s="48">
        <v>0</v>
      </c>
      <c r="P51" s="20">
        <v>0</v>
      </c>
      <c r="Q51" s="20"/>
      <c r="R51" s="20">
        <f>+B51+F51+J51+N51</f>
        <v>0</v>
      </c>
      <c r="S51" s="48">
        <v>0</v>
      </c>
      <c r="T51" s="81">
        <f>+D51</f>
        <v>0</v>
      </c>
      <c r="U51" s="20">
        <f>+D51+H51+L51+P51</f>
        <v>0</v>
      </c>
    </row>
    <row r="52" spans="1:24">
      <c r="A52" t="s">
        <v>304</v>
      </c>
      <c r="B52" s="199">
        <v>10129.65929</v>
      </c>
      <c r="C52" s="51">
        <f t="shared" si="3"/>
        <v>0.3379647875184319</v>
      </c>
      <c r="D52" s="199">
        <v>7570.9460999999992</v>
      </c>
      <c r="E52" s="24"/>
      <c r="F52" s="199">
        <v>0</v>
      </c>
      <c r="G52" s="48">
        <v>0</v>
      </c>
      <c r="H52" s="199">
        <v>8578.5748400000011</v>
      </c>
      <c r="I52" s="20"/>
      <c r="J52" s="199">
        <v>0</v>
      </c>
      <c r="K52" s="48">
        <v>0</v>
      </c>
      <c r="L52" s="199">
        <v>11061.864739999999</v>
      </c>
      <c r="M52" s="24"/>
      <c r="N52" s="199">
        <v>0</v>
      </c>
      <c r="O52" s="48">
        <v>0</v>
      </c>
      <c r="P52" s="199">
        <v>14986.111479999994</v>
      </c>
      <c r="Q52" s="20"/>
      <c r="R52" s="217">
        <f>+B52+F52+J52+N52</f>
        <v>10129.65929</v>
      </c>
      <c r="S52" s="51">
        <f t="shared" si="4"/>
        <v>0.3379647875184319</v>
      </c>
      <c r="T52" s="217">
        <f>+D52</f>
        <v>7570.9460999999992</v>
      </c>
      <c r="U52" s="217">
        <f>+D52+H52+L52+P52</f>
        <v>42197.497159999992</v>
      </c>
    </row>
    <row r="53" spans="1:24">
      <c r="B53" s="20">
        <f>SUM(B50:B52)</f>
        <v>79291.611380000002</v>
      </c>
      <c r="C53" s="51">
        <f t="shared" si="3"/>
        <v>0.36594216859201611</v>
      </c>
      <c r="D53" s="20">
        <f>SUM(D50:D52)</f>
        <v>58049.025209999993</v>
      </c>
      <c r="E53" s="24"/>
      <c r="F53" s="20">
        <f>SUM(F50:F52)</f>
        <v>0</v>
      </c>
      <c r="G53" s="48">
        <v>0</v>
      </c>
      <c r="H53" s="20">
        <f>SUM(H50:H52)</f>
        <v>67587.028939999989</v>
      </c>
      <c r="I53" s="20"/>
      <c r="J53" s="20">
        <f>SUM(J50:J52)</f>
        <v>0</v>
      </c>
      <c r="K53" s="48">
        <v>0</v>
      </c>
      <c r="L53" s="20">
        <f>SUM(L50:L52)</f>
        <v>72502.812930000015</v>
      </c>
      <c r="M53" s="24"/>
      <c r="N53" s="20">
        <f>SUM(N50:N52)</f>
        <v>0</v>
      </c>
      <c r="O53" s="48">
        <v>0</v>
      </c>
      <c r="P53" s="20">
        <f>SUM(P50:P52)</f>
        <v>85352.158280000003</v>
      </c>
      <c r="Q53" s="20"/>
      <c r="R53" s="20">
        <f>SUM(R50:R52)</f>
        <v>79291.611380000002</v>
      </c>
      <c r="S53" s="51">
        <f t="shared" si="4"/>
        <v>0.36594216859201611</v>
      </c>
      <c r="T53" s="20">
        <f>SUM(T50:T52)</f>
        <v>58049.025209999993</v>
      </c>
      <c r="U53" s="20">
        <f>SUM(U50:U52)</f>
        <v>283491.02535999997</v>
      </c>
    </row>
    <row r="54" spans="1:24">
      <c r="A54" t="s">
        <v>305</v>
      </c>
      <c r="B54" s="217">
        <v>27124.075669999998</v>
      </c>
      <c r="C54" s="51">
        <f t="shared" si="3"/>
        <v>0.46679166623452295</v>
      </c>
      <c r="D54" s="217">
        <v>18492.111929999999</v>
      </c>
      <c r="E54" s="24" t="s">
        <v>0</v>
      </c>
      <c r="F54" s="217">
        <v>0</v>
      </c>
      <c r="G54" s="48">
        <v>0</v>
      </c>
      <c r="H54" s="217">
        <v>23358.605079999998</v>
      </c>
      <c r="I54" s="20"/>
      <c r="J54" s="217">
        <v>0</v>
      </c>
      <c r="K54" s="48">
        <v>0</v>
      </c>
      <c r="L54" s="217">
        <v>27704.631069999996</v>
      </c>
      <c r="M54" s="24" t="s">
        <v>0</v>
      </c>
      <c r="N54" s="217">
        <v>0</v>
      </c>
      <c r="O54" s="48">
        <v>0</v>
      </c>
      <c r="P54" s="217">
        <v>34104.944860000003</v>
      </c>
      <c r="Q54" s="20"/>
      <c r="R54" s="217">
        <f>+B54+F54+J54+N54</f>
        <v>27124.075669999998</v>
      </c>
      <c r="S54" s="51">
        <f t="shared" si="4"/>
        <v>0.46679166623452295</v>
      </c>
      <c r="T54" s="217">
        <f>+D54</f>
        <v>18492.111929999999</v>
      </c>
      <c r="U54" s="217">
        <f>+D54+H54+L54+P54</f>
        <v>103660.29294</v>
      </c>
    </row>
    <row r="55" spans="1:24">
      <c r="B55" s="20">
        <f>+B53-B54</f>
        <v>52167.535710000004</v>
      </c>
      <c r="C55" s="51">
        <f t="shared" si="3"/>
        <v>0.31879692787798869</v>
      </c>
      <c r="D55" s="20">
        <f>+D53-D54</f>
        <v>39556.913279999993</v>
      </c>
      <c r="E55" s="24" t="s">
        <v>0</v>
      </c>
      <c r="F55" s="20">
        <f>+F53-F54</f>
        <v>0</v>
      </c>
      <c r="G55" s="48">
        <v>0</v>
      </c>
      <c r="H55" s="20">
        <f>+H53-H54</f>
        <v>44228.423859999995</v>
      </c>
      <c r="I55" s="20"/>
      <c r="J55" s="20">
        <f>+J53-J54</f>
        <v>0</v>
      </c>
      <c r="K55" s="48">
        <v>0</v>
      </c>
      <c r="L55" s="20">
        <f>+L53-L54</f>
        <v>44798.181860000019</v>
      </c>
      <c r="M55" s="24" t="s">
        <v>0</v>
      </c>
      <c r="N55" s="20">
        <f>+N53-N54</f>
        <v>0</v>
      </c>
      <c r="O55" s="48">
        <v>0</v>
      </c>
      <c r="P55" s="20">
        <f>+P53-P54</f>
        <v>51247.21342</v>
      </c>
      <c r="Q55" s="20"/>
      <c r="R55" s="20">
        <f>+R53-R54</f>
        <v>52167.535710000004</v>
      </c>
      <c r="S55" s="51">
        <f t="shared" si="4"/>
        <v>0.31879692787798869</v>
      </c>
      <c r="T55" s="20">
        <f>+T53-T54</f>
        <v>39556.913279999993</v>
      </c>
      <c r="U55" s="20">
        <f>+U53-U54</f>
        <v>179830.73241999996</v>
      </c>
    </row>
    <row r="56" spans="1:24">
      <c r="B56" s="20"/>
      <c r="C56" s="52" t="s">
        <v>0</v>
      </c>
      <c r="D56" s="20"/>
      <c r="E56" s="24" t="s">
        <v>0</v>
      </c>
      <c r="F56" s="20"/>
      <c r="G56" s="49" t="s">
        <v>0</v>
      </c>
      <c r="H56" s="20"/>
      <c r="I56" s="20"/>
      <c r="J56" s="20"/>
      <c r="K56" s="49" t="s">
        <v>0</v>
      </c>
      <c r="L56" s="20"/>
      <c r="M56" s="24" t="s">
        <v>0</v>
      </c>
      <c r="N56" s="20"/>
      <c r="O56" s="49" t="s">
        <v>0</v>
      </c>
      <c r="P56" s="20"/>
      <c r="Q56" s="20"/>
      <c r="R56" s="20"/>
      <c r="S56" s="51"/>
      <c r="T56" s="20"/>
      <c r="U56" s="20"/>
    </row>
    <row r="57" spans="1:24">
      <c r="A57" t="s">
        <v>306</v>
      </c>
      <c r="B57" s="20"/>
      <c r="C57" s="52" t="s">
        <v>0</v>
      </c>
      <c r="D57" s="20"/>
      <c r="E57" s="24" t="s">
        <v>0</v>
      </c>
      <c r="F57" s="20"/>
      <c r="G57" s="49" t="s">
        <v>0</v>
      </c>
      <c r="H57" s="20"/>
      <c r="I57" s="20"/>
      <c r="J57" s="20"/>
      <c r="K57" s="49" t="s">
        <v>0</v>
      </c>
      <c r="L57" s="20"/>
      <c r="M57" s="24" t="s">
        <v>0</v>
      </c>
      <c r="N57" s="20"/>
      <c r="O57" s="49" t="s">
        <v>0</v>
      </c>
      <c r="P57" s="20"/>
      <c r="Q57" s="20"/>
      <c r="R57" s="20"/>
      <c r="S57" s="52" t="s">
        <v>0</v>
      </c>
      <c r="T57" s="20"/>
      <c r="U57" s="20"/>
    </row>
    <row r="58" spans="1:24">
      <c r="A58" t="s">
        <v>307</v>
      </c>
      <c r="B58" s="20">
        <v>7273.8762999999999</v>
      </c>
      <c r="C58" s="51">
        <f>+(B58-D58)/ABS(D58)</f>
        <v>0.28096112038138987</v>
      </c>
      <c r="D58" s="20">
        <v>5678.4520499999999</v>
      </c>
      <c r="E58" s="24" t="s">
        <v>0</v>
      </c>
      <c r="F58" s="20">
        <v>0</v>
      </c>
      <c r="G58" s="48">
        <v>0</v>
      </c>
      <c r="H58" s="20">
        <v>6776.0143699999999</v>
      </c>
      <c r="I58" s="20"/>
      <c r="J58" s="20">
        <v>0</v>
      </c>
      <c r="K58" s="48">
        <v>0</v>
      </c>
      <c r="L58" s="20">
        <v>4873.7552799999994</v>
      </c>
      <c r="M58" s="24" t="s">
        <v>0</v>
      </c>
      <c r="N58" s="20">
        <v>0</v>
      </c>
      <c r="O58" s="48">
        <v>0</v>
      </c>
      <c r="P58" s="20">
        <v>6352.4573999999993</v>
      </c>
      <c r="Q58" s="20"/>
      <c r="R58" s="20">
        <f>+B58+F58+J58+N58</f>
        <v>7273.8762999999999</v>
      </c>
      <c r="S58" s="51">
        <f>+(R58-T58)/ABS(T58)</f>
        <v>0.28096112038138987</v>
      </c>
      <c r="T58" s="81">
        <f>+D58</f>
        <v>5678.4520499999999</v>
      </c>
      <c r="U58" s="20">
        <f>+D58+H58+L58+P58</f>
        <v>23680.679100000001</v>
      </c>
    </row>
    <row r="59" spans="1:24">
      <c r="A59" t="s">
        <v>308</v>
      </c>
      <c r="B59" s="20">
        <v>5225.3338100000001</v>
      </c>
      <c r="C59" s="51">
        <f>+(B59-D59)/ABS(D59)</f>
        <v>0.96124586653490129</v>
      </c>
      <c r="D59" s="20">
        <v>2664.2930900000001</v>
      </c>
      <c r="E59" s="24" t="s">
        <v>0</v>
      </c>
      <c r="F59" s="20">
        <v>0</v>
      </c>
      <c r="G59" s="48">
        <v>0</v>
      </c>
      <c r="H59" s="20">
        <v>3385.83151</v>
      </c>
      <c r="I59" s="20"/>
      <c r="J59" s="20">
        <v>0</v>
      </c>
      <c r="K59" s="48">
        <v>0</v>
      </c>
      <c r="L59" s="20">
        <v>2878.0977500000004</v>
      </c>
      <c r="M59" s="24" t="s">
        <v>0</v>
      </c>
      <c r="N59" s="20">
        <v>0</v>
      </c>
      <c r="O59" s="48">
        <v>0</v>
      </c>
      <c r="P59" s="20">
        <v>3386.8197799999998</v>
      </c>
      <c r="Q59" s="20"/>
      <c r="R59" s="20">
        <f>+B59+F59+J59+N59</f>
        <v>5225.3338100000001</v>
      </c>
      <c r="S59" s="51">
        <f>+(R59-T59)/ABS(T59)</f>
        <v>0.96124586653490129</v>
      </c>
      <c r="T59" s="81">
        <f>+D59</f>
        <v>2664.2930900000001</v>
      </c>
      <c r="U59" s="20">
        <f>+D59+H59+L59+P59</f>
        <v>12315.04213</v>
      </c>
    </row>
    <row r="60" spans="1:24">
      <c r="A60" t="s">
        <v>274</v>
      </c>
      <c r="B60" s="217">
        <v>489.48128999999994</v>
      </c>
      <c r="C60" s="51">
        <f>+(B60-D60)/ABS(D60)</f>
        <v>-0.70940886243403833</v>
      </c>
      <c r="D60" s="217">
        <v>1684.4329600000001</v>
      </c>
      <c r="E60" s="24" t="s">
        <v>0</v>
      </c>
      <c r="F60" s="217">
        <v>0</v>
      </c>
      <c r="G60" s="48">
        <v>0</v>
      </c>
      <c r="H60" s="217">
        <v>6063.2173000000003</v>
      </c>
      <c r="I60" s="20"/>
      <c r="J60" s="217">
        <v>0</v>
      </c>
      <c r="K60" s="48">
        <v>0</v>
      </c>
      <c r="L60" s="217">
        <v>984.10736999999995</v>
      </c>
      <c r="M60" s="24" t="s">
        <v>0</v>
      </c>
      <c r="N60" s="217">
        <v>0</v>
      </c>
      <c r="O60" s="48">
        <v>0</v>
      </c>
      <c r="P60" s="217">
        <v>-1026.9430200000002</v>
      </c>
      <c r="Q60" s="20"/>
      <c r="R60" s="217">
        <f>+B60+F60+J60+N60</f>
        <v>489.48128999999994</v>
      </c>
      <c r="S60" s="51">
        <f>+(R60-T60)/ABS(T60)</f>
        <v>-0.70940886243403833</v>
      </c>
      <c r="T60" s="217">
        <f>+D60</f>
        <v>1684.4329600000001</v>
      </c>
      <c r="U60" s="217">
        <f>+D60+H60+L60+P60</f>
        <v>7704.8146099999994</v>
      </c>
    </row>
    <row r="61" spans="1:24">
      <c r="B61" s="20">
        <f>SUM(B58:B60)</f>
        <v>12988.6914</v>
      </c>
      <c r="C61" s="51">
        <f>+(B61-D61)/ABS(D61)</f>
        <v>0.29534862854385729</v>
      </c>
      <c r="D61" s="20">
        <f>SUM(D58:D60)</f>
        <v>10027.178099999999</v>
      </c>
      <c r="E61" s="24" t="s">
        <v>0</v>
      </c>
      <c r="F61" s="20">
        <f>SUM(F58:F60)</f>
        <v>0</v>
      </c>
      <c r="G61" s="48">
        <v>0</v>
      </c>
      <c r="H61" s="20">
        <f>SUM(H58:H60)</f>
        <v>16225.063180000001</v>
      </c>
      <c r="I61" s="20"/>
      <c r="J61" s="20">
        <f>SUM(J58:J60)</f>
        <v>0</v>
      </c>
      <c r="K61" s="48">
        <v>0</v>
      </c>
      <c r="L61" s="20">
        <f>SUM(L58:L60)</f>
        <v>8735.9603999999999</v>
      </c>
      <c r="M61" s="24" t="s">
        <v>0</v>
      </c>
      <c r="N61" s="20">
        <f>SUM(N58:N60)</f>
        <v>0</v>
      </c>
      <c r="O61" s="48">
        <v>0</v>
      </c>
      <c r="P61" s="20">
        <f>SUM(P58:P60)</f>
        <v>8712.3341599999985</v>
      </c>
      <c r="Q61" s="20"/>
      <c r="R61" s="20">
        <f>SUM(R58:R60)</f>
        <v>12988.6914</v>
      </c>
      <c r="S61" s="51">
        <f>+(R61-T61)/ABS(T61)</f>
        <v>0.29534862854385729</v>
      </c>
      <c r="T61" s="20">
        <f>SUM(T58:T60)</f>
        <v>10027.178099999999</v>
      </c>
      <c r="U61" s="20">
        <f>SUM(U58:U60)</f>
        <v>43700.535840000004</v>
      </c>
    </row>
    <row r="62" spans="1:24">
      <c r="B62" s="217"/>
      <c r="C62" s="52" t="s">
        <v>0</v>
      </c>
      <c r="D62" s="217"/>
      <c r="E62" s="24" t="s">
        <v>0</v>
      </c>
      <c r="F62" s="217"/>
      <c r="G62" s="49" t="s">
        <v>0</v>
      </c>
      <c r="H62" s="217"/>
      <c r="I62" s="20"/>
      <c r="J62" s="217"/>
      <c r="K62" s="49" t="s">
        <v>0</v>
      </c>
      <c r="L62" s="217"/>
      <c r="M62" s="24" t="s">
        <v>0</v>
      </c>
      <c r="N62" s="217"/>
      <c r="O62" s="49" t="s">
        <v>0</v>
      </c>
      <c r="P62" s="217"/>
      <c r="Q62" s="20"/>
      <c r="R62" s="217"/>
      <c r="S62" s="51"/>
      <c r="T62" s="217"/>
      <c r="U62" s="217"/>
    </row>
    <row r="63" spans="1:24">
      <c r="A63" t="s">
        <v>309</v>
      </c>
      <c r="B63" s="20">
        <f>+B55+B61</f>
        <v>65156.227110000007</v>
      </c>
      <c r="C63" s="51">
        <f>+(B63-D63)/ABS(D63)</f>
        <v>0.31405507888929718</v>
      </c>
      <c r="D63" s="20">
        <f>+D55+D61</f>
        <v>49584.091379999991</v>
      </c>
      <c r="E63" s="24" t="s">
        <v>0</v>
      </c>
      <c r="F63" s="20">
        <f>+F55+F61</f>
        <v>0</v>
      </c>
      <c r="G63" s="48">
        <v>0</v>
      </c>
      <c r="H63" s="20">
        <f>+H55+H61</f>
        <v>60453.487039999993</v>
      </c>
      <c r="I63" s="20"/>
      <c r="J63" s="20">
        <f>+J55+J61</f>
        <v>0</v>
      </c>
      <c r="K63" s="48">
        <v>0</v>
      </c>
      <c r="L63" s="20">
        <f>+L55+L61</f>
        <v>53534.142260000022</v>
      </c>
      <c r="M63" s="24" t="s">
        <v>0</v>
      </c>
      <c r="N63" s="20">
        <f>+N55+N61</f>
        <v>0</v>
      </c>
      <c r="O63" s="48">
        <v>0</v>
      </c>
      <c r="P63" s="20">
        <f>+P55+P61</f>
        <v>59959.547579999999</v>
      </c>
      <c r="Q63" s="20"/>
      <c r="R63" s="20">
        <f>+R55+R61</f>
        <v>65156.227110000007</v>
      </c>
      <c r="S63" s="51">
        <f>+(R63-T63)/ABS(T63)</f>
        <v>0.31405507888929718</v>
      </c>
      <c r="T63" s="20">
        <f>+T55+T61</f>
        <v>49584.091379999991</v>
      </c>
      <c r="U63" s="20">
        <f>+U55+U61</f>
        <v>223531.26825999995</v>
      </c>
    </row>
    <row r="64" spans="1:24">
      <c r="B64" s="20"/>
      <c r="C64" s="52" t="s">
        <v>0</v>
      </c>
      <c r="D64" s="20"/>
      <c r="E64" s="24" t="s">
        <v>0</v>
      </c>
      <c r="F64" s="20"/>
      <c r="G64" s="49" t="s">
        <v>0</v>
      </c>
      <c r="H64" s="20"/>
      <c r="I64" s="20"/>
      <c r="J64" s="20"/>
      <c r="K64" s="49" t="s">
        <v>0</v>
      </c>
      <c r="L64" s="20"/>
      <c r="M64" s="24" t="s">
        <v>0</v>
      </c>
      <c r="N64" s="20"/>
      <c r="O64" s="49" t="s">
        <v>0</v>
      </c>
      <c r="P64" s="20"/>
      <c r="Q64" s="20"/>
      <c r="R64" s="20"/>
      <c r="S64" s="51"/>
      <c r="T64" s="20"/>
      <c r="U64" s="20"/>
    </row>
    <row r="65" spans="1:21">
      <c r="A65" t="s">
        <v>310</v>
      </c>
      <c r="B65" s="20">
        <v>2700</v>
      </c>
      <c r="C65" s="51">
        <f>+(B65-D65)/ABS(D65)</f>
        <v>0.2</v>
      </c>
      <c r="D65" s="20">
        <v>2250</v>
      </c>
      <c r="E65" s="24" t="s">
        <v>0</v>
      </c>
      <c r="F65" s="20">
        <v>0</v>
      </c>
      <c r="G65" s="48">
        <v>0</v>
      </c>
      <c r="H65" s="20">
        <v>2250</v>
      </c>
      <c r="I65" s="20"/>
      <c r="J65" s="20">
        <v>0</v>
      </c>
      <c r="K65" s="48">
        <v>0</v>
      </c>
      <c r="L65" s="20">
        <v>2250</v>
      </c>
      <c r="M65" s="24" t="s">
        <v>0</v>
      </c>
      <c r="N65" s="20">
        <v>0</v>
      </c>
      <c r="O65" s="48">
        <v>0</v>
      </c>
      <c r="P65" s="20">
        <v>4156.3148000000001</v>
      </c>
      <c r="Q65" s="20"/>
      <c r="R65" s="20">
        <f>+B65+F65+J65+N65</f>
        <v>2700</v>
      </c>
      <c r="S65" s="51">
        <f>+(R65-T65)/ABS(T65)</f>
        <v>0.2</v>
      </c>
      <c r="T65" s="81">
        <f>+D65</f>
        <v>2250</v>
      </c>
      <c r="U65" s="20">
        <f>+D65+H65+L65+P65</f>
        <v>10906.3148</v>
      </c>
    </row>
    <row r="66" spans="1:21">
      <c r="B66" s="20"/>
      <c r="C66" s="52" t="s">
        <v>0</v>
      </c>
      <c r="D66" s="20"/>
      <c r="E66" s="24" t="s">
        <v>0</v>
      </c>
      <c r="F66" s="20"/>
      <c r="G66" s="49" t="s">
        <v>0</v>
      </c>
      <c r="H66" s="20"/>
      <c r="I66" s="20"/>
      <c r="J66" s="20"/>
      <c r="K66" s="49" t="s">
        <v>0</v>
      </c>
      <c r="L66" s="20"/>
      <c r="M66" s="24" t="s">
        <v>0</v>
      </c>
      <c r="N66" s="20"/>
      <c r="O66" s="49" t="s">
        <v>0</v>
      </c>
      <c r="P66" s="20"/>
      <c r="Q66" s="20"/>
      <c r="R66" s="20"/>
      <c r="S66" s="51"/>
      <c r="T66" s="20"/>
      <c r="U66" s="20"/>
    </row>
    <row r="67" spans="1:21">
      <c r="A67" t="s">
        <v>311</v>
      </c>
      <c r="B67" s="217"/>
      <c r="C67" s="52" t="s">
        <v>0</v>
      </c>
      <c r="D67" s="217"/>
      <c r="E67" s="24" t="s">
        <v>0</v>
      </c>
      <c r="F67" s="217"/>
      <c r="G67" s="49" t="s">
        <v>0</v>
      </c>
      <c r="H67" s="217"/>
      <c r="I67" s="20"/>
      <c r="J67" s="217"/>
      <c r="K67" s="49" t="s">
        <v>0</v>
      </c>
      <c r="L67" s="217"/>
      <c r="M67" s="24" t="s">
        <v>0</v>
      </c>
      <c r="N67" s="217"/>
      <c r="O67" s="49" t="s">
        <v>0</v>
      </c>
      <c r="P67" s="217"/>
      <c r="Q67" s="20"/>
      <c r="R67" s="217"/>
      <c r="S67" s="51"/>
      <c r="T67" s="217"/>
      <c r="U67" s="217"/>
    </row>
    <row r="68" spans="1:21">
      <c r="A68" t="s">
        <v>312</v>
      </c>
      <c r="B68" s="20">
        <f>+B63-B65</f>
        <v>62456.227110000007</v>
      </c>
      <c r="C68" s="51">
        <f>+(B68-D68)/ABS(D68)</f>
        <v>0.31947662433401125</v>
      </c>
      <c r="D68" s="20">
        <f>+D63-D65</f>
        <v>47334.091379999991</v>
      </c>
      <c r="E68" s="24" t="s">
        <v>0</v>
      </c>
      <c r="F68" s="20">
        <f>+F63-F65</f>
        <v>0</v>
      </c>
      <c r="G68" s="48">
        <v>0</v>
      </c>
      <c r="H68" s="20">
        <f>+H63-H65</f>
        <v>58203.487039999993</v>
      </c>
      <c r="I68" s="20"/>
      <c r="J68" s="20">
        <f>+J63-J65</f>
        <v>0</v>
      </c>
      <c r="K68" s="48">
        <v>0</v>
      </c>
      <c r="L68" s="20">
        <f>+L63-L65</f>
        <v>51284.142260000022</v>
      </c>
      <c r="M68" s="24" t="s">
        <v>0</v>
      </c>
      <c r="N68" s="20">
        <f>+N63-N65</f>
        <v>0</v>
      </c>
      <c r="O68" s="48">
        <v>0</v>
      </c>
      <c r="P68" s="20">
        <f>+P63-P65</f>
        <v>55803.232779999998</v>
      </c>
      <c r="Q68" s="20"/>
      <c r="R68" s="20">
        <f>+R63-R65</f>
        <v>62456.227110000007</v>
      </c>
      <c r="S68" s="51">
        <f>+(R68-T68)/ABS(T68)</f>
        <v>0.31947662433401125</v>
      </c>
      <c r="T68" s="20">
        <f>+T63-T65</f>
        <v>47334.091379999991</v>
      </c>
      <c r="U68" s="20">
        <f>+U63-U65</f>
        <v>212624.95345999996</v>
      </c>
    </row>
    <row r="69" spans="1:21">
      <c r="B69" s="20"/>
      <c r="C69" s="52" t="s">
        <v>0</v>
      </c>
      <c r="D69" s="20"/>
      <c r="E69" s="24" t="s">
        <v>0</v>
      </c>
      <c r="F69" s="20"/>
      <c r="G69" s="49" t="s">
        <v>0</v>
      </c>
      <c r="H69" s="20"/>
      <c r="I69" s="20"/>
      <c r="J69" s="20"/>
      <c r="K69" s="49" t="s">
        <v>0</v>
      </c>
      <c r="L69" s="20"/>
      <c r="M69" s="24" t="s">
        <v>0</v>
      </c>
      <c r="N69" s="20"/>
      <c r="O69" s="49" t="s">
        <v>0</v>
      </c>
      <c r="P69" s="20"/>
      <c r="Q69" s="20"/>
      <c r="R69" s="20"/>
      <c r="S69" s="51"/>
      <c r="T69" s="20"/>
      <c r="U69" s="20"/>
    </row>
    <row r="70" spans="1:21">
      <c r="A70" t="s">
        <v>313</v>
      </c>
      <c r="B70" s="20"/>
      <c r="C70" s="52" t="s">
        <v>0</v>
      </c>
      <c r="D70" s="20"/>
      <c r="E70" s="24" t="s">
        <v>0</v>
      </c>
      <c r="F70" s="20"/>
      <c r="G70" s="49" t="s">
        <v>0</v>
      </c>
      <c r="H70" s="20"/>
      <c r="I70" s="20"/>
      <c r="J70" s="20"/>
      <c r="K70" s="49" t="s">
        <v>0</v>
      </c>
      <c r="L70" s="20"/>
      <c r="M70" s="24" t="s">
        <v>0</v>
      </c>
      <c r="N70" s="20"/>
      <c r="O70" s="49" t="s">
        <v>0</v>
      </c>
      <c r="P70" s="20"/>
      <c r="Q70" s="20"/>
      <c r="R70" s="20"/>
      <c r="S70" s="51"/>
      <c r="T70" s="20"/>
      <c r="U70" s="20"/>
    </row>
    <row r="71" spans="1:21">
      <c r="A71" t="s">
        <v>314</v>
      </c>
      <c r="B71" s="20">
        <v>13550.577140000001</v>
      </c>
      <c r="C71" s="51">
        <f>+(B71-D71)/ABS(D71)</f>
        <v>6.6200437519493949E-2</v>
      </c>
      <c r="D71" s="20">
        <v>12709.22114</v>
      </c>
      <c r="E71" s="24" t="s">
        <v>0</v>
      </c>
      <c r="F71" s="20">
        <v>0</v>
      </c>
      <c r="G71" s="48">
        <v>0</v>
      </c>
      <c r="H71" s="20">
        <v>13491.198349999999</v>
      </c>
      <c r="I71" s="20"/>
      <c r="J71" s="20">
        <v>0</v>
      </c>
      <c r="K71" s="48">
        <v>0</v>
      </c>
      <c r="L71" s="20">
        <v>13364.372720000001</v>
      </c>
      <c r="M71" s="24" t="s">
        <v>0</v>
      </c>
      <c r="N71" s="20">
        <v>0</v>
      </c>
      <c r="O71" s="48">
        <v>0</v>
      </c>
      <c r="P71" s="20">
        <v>13570.514639999999</v>
      </c>
      <c r="Q71" s="20"/>
      <c r="R71" s="20">
        <f>+B71+F71+J71+N71</f>
        <v>13550.577140000001</v>
      </c>
      <c r="S71" s="51">
        <f>+(R71-T71)/ABS(T71)</f>
        <v>6.6200437519493949E-2</v>
      </c>
      <c r="T71" s="81">
        <f>+D71</f>
        <v>12709.22114</v>
      </c>
      <c r="U71" s="20">
        <f>+D71+H71+L71+P71</f>
        <v>53135.306850000001</v>
      </c>
    </row>
    <row r="72" spans="1:21">
      <c r="A72" t="s">
        <v>315</v>
      </c>
      <c r="B72" s="20">
        <v>6274.8201499999996</v>
      </c>
      <c r="C72" s="51">
        <f>+(B72-D72)/ABS(D72)</f>
        <v>0.172190566773092</v>
      </c>
      <c r="D72" s="20">
        <v>5353.0717000000004</v>
      </c>
      <c r="E72" s="24" t="s">
        <v>0</v>
      </c>
      <c r="F72" s="20">
        <v>0</v>
      </c>
      <c r="G72" s="48">
        <v>0</v>
      </c>
      <c r="H72" s="20">
        <v>5111.4578300000003</v>
      </c>
      <c r="I72" s="20"/>
      <c r="J72" s="20">
        <v>0</v>
      </c>
      <c r="K72" s="48">
        <v>0</v>
      </c>
      <c r="L72" s="20">
        <v>6038.3997200000003</v>
      </c>
      <c r="M72" s="24" t="s">
        <v>0</v>
      </c>
      <c r="N72" s="20">
        <v>0</v>
      </c>
      <c r="O72" s="48">
        <v>0</v>
      </c>
      <c r="P72" s="20">
        <v>5870.5031999999992</v>
      </c>
      <c r="Q72" s="20"/>
      <c r="R72" s="20">
        <f>+B72+F72+J72+N72</f>
        <v>6274.8201499999996</v>
      </c>
      <c r="S72" s="51">
        <f>+(R72-T72)/ABS(T72)</f>
        <v>0.172190566773092</v>
      </c>
      <c r="T72" s="81">
        <f>+D72</f>
        <v>5353.0717000000004</v>
      </c>
      <c r="U72" s="20">
        <f>+D72+H72+L72+P72</f>
        <v>22373.43245</v>
      </c>
    </row>
    <row r="73" spans="1:21">
      <c r="A73" t="s">
        <v>316</v>
      </c>
      <c r="B73" s="20">
        <v>2505.9178499999998</v>
      </c>
      <c r="C73" s="51">
        <f>+(B73-D73)/ABS(D73)</f>
        <v>-8.771442626558168E-2</v>
      </c>
      <c r="D73" s="20">
        <v>2746.85682</v>
      </c>
      <c r="E73" s="24" t="s">
        <v>0</v>
      </c>
      <c r="F73" s="20">
        <v>0</v>
      </c>
      <c r="G73" s="48">
        <v>0</v>
      </c>
      <c r="H73" s="20">
        <v>2587.71837</v>
      </c>
      <c r="I73" s="20"/>
      <c r="J73" s="20">
        <v>0</v>
      </c>
      <c r="K73" s="48">
        <v>0</v>
      </c>
      <c r="L73" s="20">
        <v>2769.4895200000001</v>
      </c>
      <c r="M73" s="24" t="s">
        <v>0</v>
      </c>
      <c r="N73" s="20">
        <v>0</v>
      </c>
      <c r="O73" s="48">
        <v>0</v>
      </c>
      <c r="P73" s="20">
        <v>2515.5425400000004</v>
      </c>
      <c r="Q73" s="20"/>
      <c r="R73" s="20">
        <f>+B73+F73+J73+N73</f>
        <v>2505.9178499999998</v>
      </c>
      <c r="S73" s="51">
        <f>+(R73-T73)/ABS(T73)</f>
        <v>-8.771442626558168E-2</v>
      </c>
      <c r="T73" s="81">
        <f>+D73</f>
        <v>2746.85682</v>
      </c>
      <c r="U73" s="20">
        <f>+D73+H73+L73+P73</f>
        <v>10619.607250000001</v>
      </c>
    </row>
    <row r="74" spans="1:21">
      <c r="A74" t="s">
        <v>317</v>
      </c>
      <c r="B74" s="217">
        <v>12654.64602</v>
      </c>
      <c r="C74" s="51">
        <f>+(B74-D74)/ABS(D74)</f>
        <v>0.15463665910122337</v>
      </c>
      <c r="D74" s="217">
        <v>10959.85124</v>
      </c>
      <c r="E74" s="24" t="s">
        <v>0</v>
      </c>
      <c r="F74" s="217">
        <v>0</v>
      </c>
      <c r="G74" s="48">
        <v>0</v>
      </c>
      <c r="H74" s="217">
        <v>13716.710160000001</v>
      </c>
      <c r="I74" s="20"/>
      <c r="J74" s="217">
        <v>0</v>
      </c>
      <c r="K74" s="48">
        <v>0</v>
      </c>
      <c r="L74" s="217">
        <v>11284.441210000001</v>
      </c>
      <c r="M74" s="24" t="s">
        <v>0</v>
      </c>
      <c r="N74" s="217">
        <v>0</v>
      </c>
      <c r="O74" s="48">
        <v>0</v>
      </c>
      <c r="P74" s="217">
        <v>13734.028120000001</v>
      </c>
      <c r="Q74" s="20"/>
      <c r="R74" s="217">
        <f>+B74+F74+J74+N74</f>
        <v>12654.64602</v>
      </c>
      <c r="S74" s="51">
        <f>+(R74-T74)/ABS(T74)</f>
        <v>0.15463665910122337</v>
      </c>
      <c r="T74" s="217">
        <f>+D74</f>
        <v>10959.85124</v>
      </c>
      <c r="U74" s="217">
        <f>+D74+H74+L74+P74</f>
        <v>49695.030729999999</v>
      </c>
    </row>
    <row r="75" spans="1:21">
      <c r="B75" s="20">
        <f>SUM(B71:B74)</f>
        <v>34985.961159999999</v>
      </c>
      <c r="C75" s="51">
        <f>+(B75-D75)/ABS(D75)</f>
        <v>0.10126098299805192</v>
      </c>
      <c r="D75" s="20">
        <f>SUM(D71:D74)</f>
        <v>31769.000900000003</v>
      </c>
      <c r="E75" s="24" t="s">
        <v>0</v>
      </c>
      <c r="F75" s="20">
        <f>SUM(F71:F74)</f>
        <v>0</v>
      </c>
      <c r="G75" s="48">
        <v>0</v>
      </c>
      <c r="H75" s="20">
        <f>SUM(H71:H74)</f>
        <v>34907.084709999996</v>
      </c>
      <c r="I75" s="20"/>
      <c r="J75" s="20">
        <f>SUM(J71:J74)</f>
        <v>0</v>
      </c>
      <c r="K75" s="48">
        <v>0</v>
      </c>
      <c r="L75" s="20">
        <f>SUM(L71:L74)</f>
        <v>33456.703170000001</v>
      </c>
      <c r="M75" s="24" t="s">
        <v>0</v>
      </c>
      <c r="N75" s="20">
        <f>SUM(N71:N74)</f>
        <v>0</v>
      </c>
      <c r="O75" s="48">
        <v>0</v>
      </c>
      <c r="P75" s="20">
        <f>SUM(P71:P74)</f>
        <v>35690.588500000005</v>
      </c>
      <c r="Q75" s="20"/>
      <c r="R75" s="20">
        <f>SUM(R71:R74)</f>
        <v>34985.961159999999</v>
      </c>
      <c r="S75" s="51">
        <f>+(R75-T75)/ABS(T75)</f>
        <v>0.10126098299805192</v>
      </c>
      <c r="T75" s="20">
        <f>SUM(T71:T74)</f>
        <v>31769.000900000003</v>
      </c>
      <c r="U75" s="20">
        <f>SUM(U71:U74)</f>
        <v>135823.37728000002</v>
      </c>
    </row>
    <row r="76" spans="1:21">
      <c r="B76" s="217"/>
      <c r="C76" s="51"/>
      <c r="D76" s="217"/>
      <c r="E76" s="24"/>
      <c r="F76" s="217"/>
      <c r="G76" s="48"/>
      <c r="H76" s="217"/>
      <c r="I76" s="20"/>
      <c r="J76" s="217"/>
      <c r="K76" s="48"/>
      <c r="L76" s="217"/>
      <c r="M76" s="24"/>
      <c r="N76" s="217"/>
      <c r="O76" s="48"/>
      <c r="P76" s="217"/>
      <c r="Q76" s="20"/>
      <c r="R76" s="217"/>
      <c r="S76" s="51"/>
      <c r="T76" s="217"/>
      <c r="U76" s="217"/>
    </row>
    <row r="77" spans="1:21">
      <c r="A77" t="s">
        <v>318</v>
      </c>
      <c r="B77" s="20">
        <f>+B68-B75</f>
        <v>27470.265950000008</v>
      </c>
      <c r="C77" s="51">
        <f>+(B77-D77)/ABS(D77)</f>
        <v>0.76486387825996305</v>
      </c>
      <c r="D77" s="20">
        <f>+D68-D75</f>
        <v>15565.090479999988</v>
      </c>
      <c r="E77" s="24" t="s">
        <v>0</v>
      </c>
      <c r="F77" s="20">
        <f>+F68-F75</f>
        <v>0</v>
      </c>
      <c r="G77" s="48">
        <v>0</v>
      </c>
      <c r="H77" s="20">
        <f>+H68-H75</f>
        <v>23296.402329999997</v>
      </c>
      <c r="I77" s="20"/>
      <c r="J77" s="20">
        <f>+J68-J75</f>
        <v>0</v>
      </c>
      <c r="K77" s="48">
        <v>0</v>
      </c>
      <c r="L77" s="20">
        <f>+L68-L75</f>
        <v>17827.439090000022</v>
      </c>
      <c r="M77" s="24" t="s">
        <v>0</v>
      </c>
      <c r="N77" s="20">
        <f>+N68-N75</f>
        <v>0</v>
      </c>
      <c r="O77" s="48">
        <v>0</v>
      </c>
      <c r="P77" s="20">
        <f>+P68-P75</f>
        <v>20112.644279999993</v>
      </c>
      <c r="Q77" s="20"/>
      <c r="R77" s="20">
        <f>+R68-R75</f>
        <v>27470.265950000008</v>
      </c>
      <c r="S77" s="51">
        <f>+(R77-T77)/ABS(T77)</f>
        <v>0.76486387825996305</v>
      </c>
      <c r="T77" s="20">
        <f>+T68-T75</f>
        <v>15565.090479999988</v>
      </c>
      <c r="U77" s="20">
        <f>+U68-U75</f>
        <v>76801.576179999945</v>
      </c>
    </row>
    <row r="78" spans="1:21">
      <c r="B78" s="20"/>
      <c r="C78" s="52" t="s">
        <v>0</v>
      </c>
      <c r="D78" s="20"/>
      <c r="E78" s="24" t="s">
        <v>0</v>
      </c>
      <c r="F78" s="20"/>
      <c r="G78" s="49" t="s">
        <v>0</v>
      </c>
      <c r="H78" s="20"/>
      <c r="I78" s="20"/>
      <c r="J78" s="20"/>
      <c r="K78" s="49" t="s">
        <v>0</v>
      </c>
      <c r="L78" s="20"/>
      <c r="M78" s="24" t="s">
        <v>0</v>
      </c>
      <c r="N78" s="20"/>
      <c r="O78" s="49" t="s">
        <v>0</v>
      </c>
      <c r="P78" s="20"/>
      <c r="Q78" s="20"/>
      <c r="R78" s="20"/>
      <c r="S78" s="51"/>
      <c r="T78" s="20"/>
      <c r="U78" s="20"/>
    </row>
    <row r="79" spans="1:21">
      <c r="A79" t="s">
        <v>319</v>
      </c>
      <c r="B79" s="20">
        <v>7416.97181</v>
      </c>
      <c r="C79" s="51">
        <f>+(B79-D79)/ABS(D79)</f>
        <v>0.76486387892480479</v>
      </c>
      <c r="D79" s="20">
        <v>4202.5744299999997</v>
      </c>
      <c r="E79" s="24" t="s">
        <v>0</v>
      </c>
      <c r="F79" s="20">
        <v>0</v>
      </c>
      <c r="G79" s="48">
        <v>0</v>
      </c>
      <c r="H79" s="20">
        <v>6290.0286299999998</v>
      </c>
      <c r="I79" s="20"/>
      <c r="J79" s="20">
        <v>0</v>
      </c>
      <c r="K79" s="48">
        <v>0</v>
      </c>
      <c r="L79" s="20">
        <v>4813.4085500000001</v>
      </c>
      <c r="M79" s="24" t="s">
        <v>0</v>
      </c>
      <c r="N79" s="20">
        <v>0</v>
      </c>
      <c r="O79" s="48">
        <v>0</v>
      </c>
      <c r="P79" s="20">
        <v>5430.4139599999999</v>
      </c>
      <c r="Q79" s="20"/>
      <c r="R79" s="20">
        <f>+B79+F79+J79+N79</f>
        <v>7416.97181</v>
      </c>
      <c r="S79" s="51">
        <f>+(R79-T79)/ABS(T79)</f>
        <v>0.76486387892480479</v>
      </c>
      <c r="T79" s="81">
        <f>+D79</f>
        <v>4202.5744299999997</v>
      </c>
      <c r="U79" s="20">
        <f>+D79+H79+L79+P79</f>
        <v>20736.425569999999</v>
      </c>
    </row>
    <row r="80" spans="1:21" ht="16.5" thickBot="1">
      <c r="B80" s="79"/>
      <c r="C80" s="52" t="s">
        <v>0</v>
      </c>
      <c r="D80" s="79"/>
      <c r="E80" s="24" t="s">
        <v>0</v>
      </c>
      <c r="F80" s="79"/>
      <c r="G80" s="49" t="s">
        <v>0</v>
      </c>
      <c r="H80" s="79"/>
      <c r="I80" s="20"/>
      <c r="J80" s="79"/>
      <c r="K80" s="49" t="s">
        <v>0</v>
      </c>
      <c r="L80" s="79"/>
      <c r="M80" s="24" t="s">
        <v>0</v>
      </c>
      <c r="N80" s="79"/>
      <c r="O80" s="49" t="s">
        <v>0</v>
      </c>
      <c r="P80" s="79"/>
      <c r="Q80" s="20"/>
      <c r="R80" s="79"/>
      <c r="S80" s="51"/>
      <c r="T80" s="79"/>
      <c r="U80" s="79"/>
    </row>
    <row r="81" spans="1:21" s="11" customFormat="1">
      <c r="A81" s="11" t="s">
        <v>326</v>
      </c>
      <c r="B81" s="13">
        <f>+B77-B79</f>
        <v>20053.294140000009</v>
      </c>
      <c r="C81" s="109">
        <f>+(B81-D81)/ABS(D81)</f>
        <v>0.76486387801406286</v>
      </c>
      <c r="D81" s="13">
        <f>+D77-D79</f>
        <v>11362.516049999987</v>
      </c>
      <c r="E81" s="13" t="s">
        <v>0</v>
      </c>
      <c r="F81" s="13">
        <f>+F77-F79</f>
        <v>0</v>
      </c>
      <c r="G81" s="47">
        <v>0</v>
      </c>
      <c r="H81" s="13">
        <f>+H77-H79</f>
        <v>17006.373699999996</v>
      </c>
      <c r="I81" s="13"/>
      <c r="J81" s="13">
        <f>+J77-J79</f>
        <v>0</v>
      </c>
      <c r="K81" s="47">
        <v>0</v>
      </c>
      <c r="L81" s="13">
        <f>+L77-L79</f>
        <v>13014.030540000022</v>
      </c>
      <c r="M81" s="13" t="s">
        <v>0</v>
      </c>
      <c r="N81" s="13">
        <f>+N77-N79</f>
        <v>0</v>
      </c>
      <c r="O81" s="47">
        <v>0</v>
      </c>
      <c r="P81" s="13">
        <f>+P77-P79</f>
        <v>14682.230319999993</v>
      </c>
      <c r="Q81" s="13"/>
      <c r="R81" s="13">
        <f>+R77-R79</f>
        <v>20053.294140000009</v>
      </c>
      <c r="S81" s="109">
        <f>+(R81-T81)/ABS(T81)</f>
        <v>0.76486387801406286</v>
      </c>
      <c r="T81" s="13">
        <f>+T77-T79</f>
        <v>11362.516049999987</v>
      </c>
      <c r="U81" s="13">
        <f>+U77-U79</f>
        <v>56065.150609999946</v>
      </c>
    </row>
    <row r="82" spans="1:21">
      <c r="E82" s="35"/>
      <c r="M82" s="35"/>
    </row>
    <row r="83" spans="1:21">
      <c r="E83" s="35"/>
      <c r="F83" s="35" t="s">
        <v>0</v>
      </c>
      <c r="M83" s="35"/>
    </row>
    <row r="84" spans="1:21">
      <c r="B84"/>
      <c r="C84"/>
      <c r="D84"/>
      <c r="E84"/>
      <c r="F84"/>
      <c r="G84"/>
      <c r="H84"/>
      <c r="M84" s="35" t="s">
        <v>0</v>
      </c>
      <c r="N84" s="35" t="s">
        <v>0</v>
      </c>
    </row>
    <row r="85" spans="1:21">
      <c r="B85"/>
      <c r="C85"/>
      <c r="D85"/>
      <c r="E85"/>
      <c r="F85"/>
      <c r="G85"/>
      <c r="H85"/>
      <c r="M85" s="35" t="s">
        <v>0</v>
      </c>
    </row>
    <row r="86" spans="1:21">
      <c r="B86"/>
      <c r="C86"/>
      <c r="D86"/>
      <c r="E86"/>
      <c r="F86"/>
      <c r="G86"/>
      <c r="H86"/>
      <c r="M86" s="35" t="s">
        <v>0</v>
      </c>
    </row>
    <row r="87" spans="1:21">
      <c r="B87"/>
      <c r="C87"/>
      <c r="D87"/>
      <c r="E87"/>
      <c r="F87"/>
      <c r="G87"/>
      <c r="H87"/>
    </row>
    <row r="88" spans="1:21">
      <c r="B88"/>
      <c r="C88"/>
      <c r="D88"/>
      <c r="E88"/>
      <c r="F88"/>
      <c r="G88"/>
      <c r="H88"/>
    </row>
    <row r="89" spans="1:21">
      <c r="B89"/>
      <c r="C89"/>
      <c r="D89"/>
      <c r="E89"/>
      <c r="F89"/>
      <c r="G89"/>
      <c r="H89"/>
    </row>
    <row r="90" spans="1:21">
      <c r="B90"/>
      <c r="C90"/>
      <c r="D90"/>
      <c r="E90"/>
      <c r="F90"/>
      <c r="G90"/>
      <c r="H90"/>
    </row>
    <row r="91" spans="1:21">
      <c r="B91"/>
      <c r="C91"/>
      <c r="D91"/>
      <c r="E91"/>
      <c r="F91"/>
      <c r="G91"/>
      <c r="H91"/>
    </row>
    <row r="92" spans="1:21">
      <c r="B92"/>
      <c r="C92"/>
      <c r="D92"/>
      <c r="E92"/>
      <c r="F92"/>
      <c r="G92"/>
      <c r="H92"/>
    </row>
    <row r="93" spans="1:21">
      <c r="B93"/>
      <c r="C93"/>
      <c r="D93"/>
      <c r="E93"/>
      <c r="F93"/>
      <c r="G93"/>
      <c r="H93"/>
    </row>
    <row r="94" spans="1:21">
      <c r="B94"/>
      <c r="C94"/>
      <c r="D94"/>
      <c r="E94"/>
      <c r="F94"/>
      <c r="G94"/>
      <c r="H94"/>
    </row>
    <row r="95" spans="1:21">
      <c r="B95"/>
      <c r="C95"/>
      <c r="D95"/>
      <c r="E95"/>
      <c r="F95"/>
      <c r="G95"/>
      <c r="H95"/>
    </row>
    <row r="96" spans="1:21">
      <c r="B96"/>
      <c r="C96"/>
      <c r="D96"/>
      <c r="E96"/>
      <c r="F96"/>
      <c r="G96"/>
      <c r="H96"/>
    </row>
    <row r="97" spans="2:8">
      <c r="B97"/>
      <c r="C97"/>
      <c r="D97"/>
      <c r="E97"/>
      <c r="F97"/>
      <c r="G97"/>
      <c r="H97"/>
    </row>
    <row r="98" spans="2:8">
      <c r="B98"/>
      <c r="C98"/>
      <c r="D98"/>
      <c r="E98"/>
      <c r="F98"/>
      <c r="G98"/>
      <c r="H98"/>
    </row>
    <row r="99" spans="2:8">
      <c r="B99"/>
      <c r="C99"/>
      <c r="D99"/>
      <c r="E99"/>
      <c r="F99"/>
      <c r="G99"/>
      <c r="H99"/>
    </row>
    <row r="100" spans="2:8">
      <c r="B100"/>
      <c r="C100"/>
      <c r="D100"/>
      <c r="E100"/>
      <c r="F100"/>
      <c r="G100"/>
      <c r="H100"/>
    </row>
    <row r="101" spans="2:8">
      <c r="B101"/>
      <c r="C101"/>
      <c r="D101"/>
      <c r="E101"/>
      <c r="F101"/>
      <c r="G101"/>
      <c r="H101"/>
    </row>
    <row r="102" spans="2:8">
      <c r="B102"/>
      <c r="C102"/>
      <c r="D102"/>
      <c r="E102"/>
      <c r="F102"/>
      <c r="G102"/>
      <c r="H102"/>
    </row>
    <row r="103" spans="2:8">
      <c r="B103"/>
      <c r="C103"/>
      <c r="D103"/>
      <c r="E103"/>
      <c r="F103"/>
      <c r="G103"/>
      <c r="H103"/>
    </row>
    <row r="104" spans="2:8">
      <c r="B104"/>
      <c r="C104"/>
      <c r="D104"/>
      <c r="E104"/>
      <c r="F104"/>
      <c r="G104"/>
      <c r="H104"/>
    </row>
    <row r="105" spans="2:8">
      <c r="B105"/>
      <c r="C105"/>
      <c r="D105"/>
      <c r="E105"/>
      <c r="F105"/>
      <c r="G105"/>
      <c r="H105"/>
    </row>
    <row r="106" spans="2:8">
      <c r="B106"/>
      <c r="C106"/>
      <c r="D106"/>
      <c r="E106"/>
      <c r="F106"/>
      <c r="G106"/>
      <c r="H106"/>
    </row>
    <row r="107" spans="2:8">
      <c r="B107"/>
      <c r="C107"/>
      <c r="D107"/>
      <c r="E107"/>
      <c r="F107"/>
      <c r="G107"/>
      <c r="H107"/>
    </row>
    <row r="108" spans="2:8">
      <c r="B108"/>
      <c r="C108"/>
      <c r="D108"/>
      <c r="E108"/>
      <c r="F108"/>
      <c r="G108"/>
      <c r="H108"/>
    </row>
    <row r="109" spans="2:8">
      <c r="B109"/>
      <c r="C109"/>
      <c r="D109"/>
      <c r="E109"/>
      <c r="F109"/>
      <c r="G109"/>
      <c r="H109"/>
    </row>
    <row r="110" spans="2:8">
      <c r="B110"/>
      <c r="C110"/>
      <c r="D110"/>
      <c r="E110"/>
      <c r="F110"/>
      <c r="G110"/>
      <c r="H110"/>
    </row>
    <row r="111" spans="2:8">
      <c r="B111"/>
      <c r="C111"/>
      <c r="D111"/>
      <c r="E111"/>
      <c r="F111"/>
      <c r="G111"/>
      <c r="H111"/>
    </row>
    <row r="112" spans="2:8">
      <c r="B112"/>
      <c r="C112"/>
      <c r="D112"/>
      <c r="E112"/>
      <c r="F112"/>
      <c r="G112"/>
      <c r="H112"/>
    </row>
    <row r="113" spans="2:8">
      <c r="B113"/>
      <c r="C113"/>
      <c r="D113"/>
      <c r="E113"/>
      <c r="F113"/>
      <c r="G113"/>
      <c r="H113"/>
    </row>
    <row r="114" spans="2:8">
      <c r="B114"/>
      <c r="C114"/>
      <c r="D114"/>
      <c r="E114"/>
      <c r="F114"/>
      <c r="G114"/>
      <c r="H114"/>
    </row>
    <row r="115" spans="2:8">
      <c r="B115"/>
      <c r="C115"/>
      <c r="D115"/>
      <c r="E115"/>
      <c r="F115"/>
      <c r="G115"/>
      <c r="H115"/>
    </row>
    <row r="116" spans="2:8">
      <c r="B116"/>
      <c r="C116"/>
      <c r="D116"/>
      <c r="E116"/>
      <c r="F116"/>
      <c r="G116"/>
      <c r="H116"/>
    </row>
    <row r="117" spans="2:8">
      <c r="B117"/>
      <c r="C117"/>
      <c r="D117"/>
      <c r="E117"/>
      <c r="F117"/>
      <c r="G117"/>
      <c r="H117"/>
    </row>
    <row r="118" spans="2:8">
      <c r="B118"/>
      <c r="C118"/>
      <c r="D118"/>
      <c r="E118"/>
      <c r="F118"/>
      <c r="G118"/>
      <c r="H118"/>
    </row>
    <row r="119" spans="2:8">
      <c r="B119"/>
      <c r="C119"/>
      <c r="D119"/>
      <c r="E119"/>
      <c r="F119"/>
      <c r="G119"/>
      <c r="H119"/>
    </row>
    <row r="120" spans="2:8">
      <c r="B120" s="35" t="s">
        <v>0</v>
      </c>
    </row>
  </sheetData>
  <phoneticPr fontId="0" type="noConversion"/>
  <pageMargins left="0.2" right="0.21" top="0.39" bottom="0.41" header="0.31" footer="0.2"/>
  <pageSetup scale="44" orientation="landscape" r:id="rId1"/>
  <headerFooter alignWithMargins="0">
    <oddFooter>&amp;R&amp;16&amp;P</oddFooter>
  </headerFooter>
</worksheet>
</file>

<file path=xl/worksheets/sheet113.xml><?xml version="1.0" encoding="utf-8"?>
<worksheet xmlns="http://schemas.openxmlformats.org/spreadsheetml/2006/main" xmlns:r="http://schemas.openxmlformats.org/officeDocument/2006/relationships">
  <dimension ref="A1:N45"/>
  <sheetViews>
    <sheetView workbookViewId="0">
      <selection activeCell="B10" sqref="B10"/>
    </sheetView>
  </sheetViews>
  <sheetFormatPr baseColWidth="10" defaultColWidth="9" defaultRowHeight="15.75"/>
  <cols>
    <col min="1" max="1" width="50" customWidth="1"/>
    <col min="2" max="2" width="15.75" customWidth="1"/>
    <col min="4" max="4" width="15.75" customWidth="1"/>
    <col min="5" max="5" width="11.25" customWidth="1"/>
    <col min="6" max="6" width="16" customWidth="1"/>
    <col min="8" max="8" width="16" customWidth="1"/>
    <col min="10" max="10" width="15.875" customWidth="1"/>
    <col min="12" max="12" width="15.875" customWidth="1"/>
  </cols>
  <sheetData>
    <row r="1" spans="1:14">
      <c r="A1" s="111" t="s">
        <v>410</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+'SOGEBKVARAN '!B8</f>
        <v xml:space="preserve">     CUMUL (Octobre - Décembre )</v>
      </c>
      <c r="C8" s="111"/>
      <c r="D8" s="39"/>
      <c r="E8" s="11"/>
      <c r="F8" s="111" t="s">
        <v>214</v>
      </c>
      <c r="G8" s="111"/>
      <c r="H8" s="111"/>
      <c r="I8" s="111"/>
      <c r="J8" s="111"/>
      <c r="K8" s="111"/>
      <c r="L8" s="111"/>
    </row>
    <row r="9" spans="1:14" ht="16.5" thickBot="1">
      <c r="B9" s="203" t="str">
        <f>+'SOGEBKVARAN '!B9</f>
        <v xml:space="preserve"> 2015</v>
      </c>
      <c r="C9" s="203" t="s">
        <v>196</v>
      </c>
      <c r="D9" s="203" t="str">
        <f>+'SOGEBKVARAN '!D9</f>
        <v xml:space="preserve"> 2014</v>
      </c>
      <c r="E9" s="11"/>
      <c r="F9" s="203" t="str">
        <f>+'SOGEBKVARAN '!F9</f>
        <v>2014</v>
      </c>
      <c r="G9" s="203" t="s">
        <v>196</v>
      </c>
      <c r="H9" s="203" t="str">
        <f>+'SOGEBKVARAN '!H9</f>
        <v>2013</v>
      </c>
      <c r="I9" s="203" t="s">
        <v>196</v>
      </c>
      <c r="J9" s="203" t="str">
        <f>+'SOGEBKVARAN '!J9</f>
        <v>2012</v>
      </c>
      <c r="K9" s="203" t="s">
        <v>196</v>
      </c>
      <c r="L9" s="203" t="str">
        <f>+'SOGEBKVARAN '!L9</f>
        <v>2011</v>
      </c>
    </row>
    <row r="10" spans="1:14">
      <c r="A10" t="s">
        <v>300</v>
      </c>
    </row>
    <row r="11" spans="1:14">
      <c r="A11" t="s">
        <v>301</v>
      </c>
      <c r="B11" s="24" t="s">
        <v>0</v>
      </c>
      <c r="C11" s="52" t="s">
        <v>0</v>
      </c>
      <c r="D11" s="24" t="s">
        <v>0</v>
      </c>
      <c r="E11" s="49" t="s">
        <v>0</v>
      </c>
      <c r="F11" s="24" t="s">
        <v>0</v>
      </c>
      <c r="G11" s="52" t="s">
        <v>0</v>
      </c>
      <c r="H11" s="24" t="s">
        <v>0</v>
      </c>
      <c r="J11" s="24" t="s">
        <v>0</v>
      </c>
      <c r="L11" s="24" t="s">
        <v>0</v>
      </c>
      <c r="M11" s="48"/>
      <c r="N11" s="48"/>
    </row>
    <row r="12" spans="1:14">
      <c r="A12" t="s">
        <v>302</v>
      </c>
      <c r="B12" s="20">
        <f>+'SGBELRÉSULT       '!R50</f>
        <v>69161.952090000006</v>
      </c>
      <c r="C12" s="51">
        <f t="shared" ref="C12:C17" si="0">+(B12-D12)/D12</f>
        <v>0.37013835132840139</v>
      </c>
      <c r="D12" s="20">
        <f>+'SGBELRÉSULT       '!T50</f>
        <v>50478.079109999991</v>
      </c>
      <c r="E12" s="49"/>
      <c r="F12" s="20">
        <f>+'SGBELRÉSULT       '!U50</f>
        <v>241293.5282</v>
      </c>
      <c r="G12" s="51">
        <f t="shared" ref="G12:G17" si="1">+(F12-H12)/ABS(H12)</f>
        <v>0.14526004228379522</v>
      </c>
      <c r="H12" s="20">
        <v>210688.85605999996</v>
      </c>
      <c r="I12" s="51">
        <f>+(H12-J12)/ABS(J12)</f>
        <v>0.20902928324223355</v>
      </c>
      <c r="J12" s="20">
        <v>174262.82306</v>
      </c>
      <c r="K12" s="51">
        <f t="shared" ref="K12:K17" si="2">+(J12-L12)/ABS(L12)</f>
        <v>7.4369597295885673E-2</v>
      </c>
      <c r="L12" s="20">
        <v>162200.06923000011</v>
      </c>
      <c r="M12" s="48"/>
      <c r="N12" s="48"/>
    </row>
    <row r="13" spans="1:14">
      <c r="A13" t="s">
        <v>322</v>
      </c>
      <c r="B13" s="20">
        <f>+'SGBELRÉSULT       '!R51</f>
        <v>0</v>
      </c>
      <c r="C13" s="48">
        <v>0</v>
      </c>
      <c r="D13" s="20">
        <f>+'SGBELRÉSULT       '!T51</f>
        <v>0</v>
      </c>
      <c r="E13" s="49"/>
      <c r="F13" s="20">
        <f>+'SGBELRÉSULT       '!U51</f>
        <v>0</v>
      </c>
      <c r="G13" s="48">
        <v>0</v>
      </c>
      <c r="H13" s="20">
        <v>0</v>
      </c>
      <c r="I13" s="48">
        <v>0</v>
      </c>
      <c r="J13" s="20">
        <v>0</v>
      </c>
      <c r="K13" s="48">
        <v>0</v>
      </c>
      <c r="L13" s="20">
        <v>0</v>
      </c>
      <c r="M13" s="48"/>
      <c r="N13" s="48"/>
    </row>
    <row r="14" spans="1:14">
      <c r="A14" t="s">
        <v>304</v>
      </c>
      <c r="B14" s="199">
        <f>+'SGBELRÉSULT       '!R52</f>
        <v>10129.65929</v>
      </c>
      <c r="C14" s="51">
        <f t="shared" si="0"/>
        <v>0.3379647875184319</v>
      </c>
      <c r="D14" s="217">
        <f>+'SGBELRÉSULT       '!T52</f>
        <v>7570.9460999999992</v>
      </c>
      <c r="E14" s="49" t="s">
        <v>0</v>
      </c>
      <c r="F14" s="217">
        <f>+'SGBELRÉSULT       '!U52</f>
        <v>42197.497159999992</v>
      </c>
      <c r="G14" s="51">
        <f t="shared" si="1"/>
        <v>0.67384602078489453</v>
      </c>
      <c r="H14" s="217">
        <v>25209.9038</v>
      </c>
      <c r="I14" s="51">
        <f>+(H14-J14)/ABS(J14)</f>
        <v>-0.27468920910287892</v>
      </c>
      <c r="J14" s="217">
        <v>34757.381410000009</v>
      </c>
      <c r="K14" s="51">
        <f t="shared" si="2"/>
        <v>5.1265443132599078E-2</v>
      </c>
      <c r="L14" s="217">
        <v>33062.421709999995</v>
      </c>
      <c r="M14" s="48"/>
      <c r="N14" s="48"/>
    </row>
    <row r="15" spans="1:14">
      <c r="B15" s="20">
        <f>SUM(B12:B14)</f>
        <v>79291.611380000002</v>
      </c>
      <c r="C15" s="51">
        <f t="shared" si="0"/>
        <v>0.36594216859201611</v>
      </c>
      <c r="D15" s="20">
        <f>SUM(D12:D14)</f>
        <v>58049.025209999993</v>
      </c>
      <c r="E15" s="49"/>
      <c r="F15" s="20">
        <f>SUM(F12:F14)</f>
        <v>283491.02535999997</v>
      </c>
      <c r="G15" s="51">
        <f t="shared" si="1"/>
        <v>0.20174868883687574</v>
      </c>
      <c r="H15" s="20">
        <f>SUM(H12:H14)</f>
        <v>235898.75985999996</v>
      </c>
      <c r="I15" s="51">
        <f>+(H15-J15)/ABS(J15)</f>
        <v>0.12859309681642647</v>
      </c>
      <c r="J15" s="20">
        <f>SUM(J12:J14)</f>
        <v>209020.20447</v>
      </c>
      <c r="K15" s="51">
        <f t="shared" si="2"/>
        <v>7.0457533670546774E-2</v>
      </c>
      <c r="L15" s="20">
        <f>SUM(L12:L14)</f>
        <v>195262.49094000011</v>
      </c>
      <c r="M15" s="48"/>
      <c r="N15" s="48"/>
    </row>
    <row r="16" spans="1:14">
      <c r="A16" t="s">
        <v>305</v>
      </c>
      <c r="B16" s="217">
        <f>+'SGBELRÉSULT       '!R54</f>
        <v>27124.075669999998</v>
      </c>
      <c r="C16" s="51">
        <f t="shared" si="0"/>
        <v>0.46679166623452295</v>
      </c>
      <c r="D16" s="217">
        <f>+'SGBELRÉSULT       '!T54</f>
        <v>18492.111929999999</v>
      </c>
      <c r="E16" s="49" t="s">
        <v>0</v>
      </c>
      <c r="F16" s="217">
        <f>+'SGBELRÉSULT       '!U54</f>
        <v>103660.29294</v>
      </c>
      <c r="G16" s="51">
        <f t="shared" si="1"/>
        <v>1.0551147852788834</v>
      </c>
      <c r="H16" s="217">
        <v>50440.147519999999</v>
      </c>
      <c r="I16" s="51">
        <f>+(H16-J16)/ABS(J16)</f>
        <v>5.7159962933875277E-2</v>
      </c>
      <c r="J16" s="217">
        <v>47712.881009999997</v>
      </c>
      <c r="K16" s="51">
        <f t="shared" si="2"/>
        <v>8.9362514210277969E-3</v>
      </c>
      <c r="L16" s="217">
        <v>47290.283150000003</v>
      </c>
      <c r="M16" s="48"/>
      <c r="N16" s="48"/>
    </row>
    <row r="17" spans="1:14" s="187" customFormat="1">
      <c r="B17" s="24">
        <f>+B15-B16</f>
        <v>52167.535710000004</v>
      </c>
      <c r="C17" s="52">
        <f t="shared" si="0"/>
        <v>0.31879692787798869</v>
      </c>
      <c r="D17" s="24">
        <f>+D15-D16</f>
        <v>39556.913279999993</v>
      </c>
      <c r="E17" s="49" t="s">
        <v>0</v>
      </c>
      <c r="F17" s="24">
        <f>+F15-F16</f>
        <v>179830.73241999996</v>
      </c>
      <c r="G17" s="51">
        <f t="shared" si="1"/>
        <v>-3.0345745872844419E-2</v>
      </c>
      <c r="H17" s="24">
        <f>+H15-H16</f>
        <v>185458.61233999996</v>
      </c>
      <c r="I17" s="51">
        <f>+(H17-J17)/ABS(J17)</f>
        <v>0.14972220951883111</v>
      </c>
      <c r="J17" s="24">
        <f>+J15-J16</f>
        <v>161307.32345999999</v>
      </c>
      <c r="K17" s="51">
        <f t="shared" si="2"/>
        <v>9.0119055930589859E-2</v>
      </c>
      <c r="L17" s="24">
        <f>+L15-L16</f>
        <v>147972.2077900001</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0">
        <f>+'SGBELRÉSULT       '!R58</f>
        <v>7273.8762999999999</v>
      </c>
      <c r="C20" s="51">
        <f>+(B20-D20)/D20</f>
        <v>0.28096112038138987</v>
      </c>
      <c r="D20" s="20">
        <f>+'SGBELRÉSULT       '!T58</f>
        <v>5678.4520499999999</v>
      </c>
      <c r="E20" s="49" t="s">
        <v>0</v>
      </c>
      <c r="F20" s="20">
        <f>+'SGBELRÉSULT       '!U58</f>
        <v>23680.679100000001</v>
      </c>
      <c r="G20" s="51">
        <f>+(F20-H20)/ABS(H20)</f>
        <v>0.23459271821289274</v>
      </c>
      <c r="H20" s="20">
        <v>19180.964500000002</v>
      </c>
      <c r="I20" s="51">
        <f>+(H20-J20)/ABS(J20)</f>
        <v>9.0257120687855699E-2</v>
      </c>
      <c r="J20" s="20">
        <v>17593.0651</v>
      </c>
      <c r="K20" s="51">
        <f>+(J20-L20)/ABS(L20)</f>
        <v>-4.1483594756042533E-2</v>
      </c>
      <c r="L20" s="20">
        <v>18354.474689999999</v>
      </c>
      <c r="M20" s="48"/>
      <c r="N20" s="48"/>
    </row>
    <row r="21" spans="1:14">
      <c r="A21" t="s">
        <v>308</v>
      </c>
      <c r="B21" s="20">
        <f>+'SGBELRÉSULT       '!R59</f>
        <v>5225.3338100000001</v>
      </c>
      <c r="C21" s="51">
        <f>+(B21-D21)/D21</f>
        <v>0.96124586653490129</v>
      </c>
      <c r="D21" s="20">
        <f>+'SGBELRÉSULT       '!T59</f>
        <v>2664.2930900000001</v>
      </c>
      <c r="E21" s="49" t="s">
        <v>0</v>
      </c>
      <c r="F21" s="20">
        <f>+'SGBELRÉSULT       '!U59</f>
        <v>12315.04213</v>
      </c>
      <c r="G21" s="51">
        <f>+(F21-H21)/ABS(H21)</f>
        <v>-0.2962946063551779</v>
      </c>
      <c r="H21" s="20">
        <v>17500.280999999999</v>
      </c>
      <c r="I21" s="51">
        <f>+(H21-J21)/ABS(J21)</f>
        <v>1.7216291078056885</v>
      </c>
      <c r="J21" s="20">
        <v>6430.0756299999994</v>
      </c>
      <c r="K21" s="51">
        <f>+(J21-L21)/ABS(L21)</f>
        <v>-6.2606918045185436E-2</v>
      </c>
      <c r="L21" s="20">
        <v>6859.5296399999997</v>
      </c>
      <c r="M21" s="48"/>
      <c r="N21" s="48"/>
    </row>
    <row r="22" spans="1:14">
      <c r="A22" t="s">
        <v>274</v>
      </c>
      <c r="B22" s="217">
        <f>+'SGBELRÉSULT       '!R60</f>
        <v>489.48128999999994</v>
      </c>
      <c r="C22" s="51">
        <f>+(B22-D22)/D22</f>
        <v>-0.70940886243403833</v>
      </c>
      <c r="D22" s="217">
        <f>+'SGBELRÉSULT       '!T60</f>
        <v>1684.4329600000001</v>
      </c>
      <c r="E22" s="49" t="s">
        <v>0</v>
      </c>
      <c r="F22" s="217">
        <f>+'SGBELRÉSULT       '!U60</f>
        <v>7704.8146099999994</v>
      </c>
      <c r="G22" s="51">
        <f>+(F22-H22)/ABS(H22)</f>
        <v>0.64129595774142101</v>
      </c>
      <c r="H22" s="217">
        <v>4694.3481300000003</v>
      </c>
      <c r="I22" s="51">
        <f>+(H22-J22)/ABS(J22)</f>
        <v>1.3603309628448159</v>
      </c>
      <c r="J22" s="217">
        <v>1988.8516499999998</v>
      </c>
      <c r="K22" s="51">
        <f>+(J22-L22)/ABS(L22)</f>
        <v>-0.47003455384632736</v>
      </c>
      <c r="L22" s="217">
        <v>3752.7949500000004</v>
      </c>
      <c r="M22" s="48"/>
      <c r="N22" s="48"/>
    </row>
    <row r="23" spans="1:14" s="187" customFormat="1">
      <c r="B23" s="24">
        <f>SUM(B20:B22)</f>
        <v>12988.6914</v>
      </c>
      <c r="C23" s="52">
        <f>+(B23-D23)/D23</f>
        <v>0.29534862854385729</v>
      </c>
      <c r="D23" s="24">
        <f>SUM(D20:D22)</f>
        <v>10027.178099999999</v>
      </c>
      <c r="E23" s="49" t="s">
        <v>0</v>
      </c>
      <c r="F23" s="24">
        <f>SUM(F20:F22)</f>
        <v>43700.535840000004</v>
      </c>
      <c r="G23" s="51">
        <f>+(F23-H23)/ABS(H23)</f>
        <v>5.6191150531657061E-2</v>
      </c>
      <c r="H23" s="24">
        <f>SUM(H20:H22)</f>
        <v>41375.593630000003</v>
      </c>
      <c r="I23" s="51">
        <f>+(H23-J23)/ABS(J23)</f>
        <v>0.59063531257270052</v>
      </c>
      <c r="J23" s="24">
        <f>SUM(J20:J22)</f>
        <v>26011.99238</v>
      </c>
      <c r="K23" s="51">
        <f>+(J23-L23)/ABS(L23)</f>
        <v>-0.10200667569233765</v>
      </c>
      <c r="L23" s="24">
        <f>SUM(L20:L22)</f>
        <v>28966.799279999999</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65156.227110000007</v>
      </c>
      <c r="C25" s="52">
        <f>+(B25-D25)/D25</f>
        <v>0.31405507888929718</v>
      </c>
      <c r="D25" s="24">
        <f>+D17+D23</f>
        <v>49584.091379999991</v>
      </c>
      <c r="E25" s="49" t="s">
        <v>0</v>
      </c>
      <c r="F25" s="24">
        <f>+F17+F23</f>
        <v>223531.26825999995</v>
      </c>
      <c r="G25" s="51">
        <f>+(F25-H25)/ABS(H25)</f>
        <v>-1.4561021323374966E-2</v>
      </c>
      <c r="H25" s="24">
        <f>+H17+H23</f>
        <v>226834.20596999995</v>
      </c>
      <c r="I25" s="51">
        <f>+(H25-J25)/ABS(J25)</f>
        <v>0.21094936180394688</v>
      </c>
      <c r="J25" s="24">
        <f>+J17+J23</f>
        <v>187319.31584</v>
      </c>
      <c r="K25" s="51">
        <f>+(J25-L25)/ABS(L25)</f>
        <v>5.8666028152250554E-2</v>
      </c>
      <c r="L25" s="24">
        <f>+L17+L23</f>
        <v>176939.00707000011</v>
      </c>
      <c r="M25" s="49"/>
      <c r="N25" s="49"/>
    </row>
    <row r="26" spans="1:14">
      <c r="B26" s="20"/>
      <c r="C26" s="51"/>
      <c r="D26" s="20"/>
      <c r="E26" s="49" t="s">
        <v>0</v>
      </c>
      <c r="F26" s="20"/>
      <c r="G26" s="51"/>
      <c r="H26" s="20"/>
      <c r="I26" s="51"/>
      <c r="J26" s="20"/>
      <c r="K26" s="51"/>
      <c r="L26" s="20"/>
      <c r="M26" s="48"/>
      <c r="N26" s="48"/>
    </row>
    <row r="27" spans="1:14">
      <c r="A27" t="s">
        <v>310</v>
      </c>
      <c r="B27" s="20">
        <f>+'SGBELRÉSULT       '!R65</f>
        <v>2700</v>
      </c>
      <c r="C27" s="51">
        <f>+(B27-D27)/D27</f>
        <v>0.2</v>
      </c>
      <c r="D27" s="20">
        <f>+'SGBELRÉSULT       '!T65</f>
        <v>2250</v>
      </c>
      <c r="E27" s="49" t="s">
        <v>0</v>
      </c>
      <c r="F27" s="20">
        <f>+'SGBELRÉSULT       '!U65</f>
        <v>10906.3148</v>
      </c>
      <c r="G27" s="51">
        <f>+(F27-H27)/ABS(H27)</f>
        <v>-0.67832623192722707</v>
      </c>
      <c r="H27" s="20">
        <v>33904.893349999998</v>
      </c>
      <c r="I27" s="51">
        <f>+(H27-J27)/ABS(J27)</f>
        <v>0.71712205947100816</v>
      </c>
      <c r="J27" s="20">
        <v>19745.185359999999</v>
      </c>
      <c r="K27" s="51">
        <f>+(J27-L27)/ABS(L27)</f>
        <v>0.37031873049345809</v>
      </c>
      <c r="L27" s="20">
        <v>14409.191760000002</v>
      </c>
      <c r="M27" s="48"/>
      <c r="N27" s="48"/>
    </row>
    <row r="28" spans="1:14">
      <c r="B28" s="20"/>
      <c r="C28" s="51"/>
      <c r="D28" s="20"/>
      <c r="E28" s="49" t="s">
        <v>0</v>
      </c>
      <c r="F28" s="20"/>
      <c r="G28" s="51"/>
      <c r="H28" s="20"/>
      <c r="I28" s="51"/>
      <c r="J28" s="20"/>
      <c r="K28" s="51"/>
      <c r="L28" s="20"/>
      <c r="M28" s="48"/>
      <c r="N28" s="48"/>
    </row>
    <row r="29" spans="1:14">
      <c r="A29" t="s">
        <v>311</v>
      </c>
      <c r="B29" s="217"/>
      <c r="C29" s="51"/>
      <c r="D29" s="217"/>
      <c r="E29" s="49" t="s">
        <v>0</v>
      </c>
      <c r="F29" s="217"/>
      <c r="G29" s="51"/>
      <c r="H29" s="217"/>
      <c r="I29" s="51"/>
      <c r="J29" s="217"/>
      <c r="K29" s="51"/>
      <c r="L29" s="217"/>
      <c r="M29" s="48"/>
      <c r="N29" s="48"/>
    </row>
    <row r="30" spans="1:14" s="187" customFormat="1">
      <c r="A30" s="187" t="s">
        <v>312</v>
      </c>
      <c r="B30" s="24">
        <f>+B25-B27</f>
        <v>62456.227110000007</v>
      </c>
      <c r="C30" s="52">
        <f>+(B30-D30)/D30</f>
        <v>0.31947662433401125</v>
      </c>
      <c r="D30" s="24">
        <f>+D25-D27</f>
        <v>47334.091379999991</v>
      </c>
      <c r="E30" s="49" t="s">
        <v>0</v>
      </c>
      <c r="F30" s="24">
        <f>+F25-F27</f>
        <v>212624.95345999996</v>
      </c>
      <c r="G30" s="51">
        <f>+(F30-H30)/ABS(H30)</f>
        <v>0.10208734262581033</v>
      </c>
      <c r="H30" s="24">
        <f>+H25-H27</f>
        <v>192929.31261999995</v>
      </c>
      <c r="I30" s="51">
        <f>+(H30-J30)/ABS(J30)</f>
        <v>0.15130725767379774</v>
      </c>
      <c r="J30" s="24">
        <f>+J25-J27</f>
        <v>167574.13047999999</v>
      </c>
      <c r="K30" s="51">
        <f>+(J30-L30)/ABS(L30)</f>
        <v>3.1036245013745085E-2</v>
      </c>
      <c r="L30" s="24">
        <f>+L25-L27</f>
        <v>162529.81531000009</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0">
        <f>+'SGBELRÉSULT       '!R71</f>
        <v>13550.577140000001</v>
      </c>
      <c r="C33" s="51">
        <f>+(B33-D33)/D33</f>
        <v>6.6200437519493949E-2</v>
      </c>
      <c r="D33" s="20">
        <f>+'SGBELRÉSULT       '!T71</f>
        <v>12709.22114</v>
      </c>
      <c r="E33" s="49" t="s">
        <v>0</v>
      </c>
      <c r="F33" s="20">
        <f>+'SGBELRÉSULT       '!U71</f>
        <v>53135.306850000001</v>
      </c>
      <c r="G33" s="51">
        <f>+(F33-H33)/ABS(H33)</f>
        <v>0.12198009096499207</v>
      </c>
      <c r="H33" s="20">
        <v>47358.511329999994</v>
      </c>
      <c r="I33" s="51">
        <f>+(H33-J33)/ABS(J33)</f>
        <v>0.1348041239675605</v>
      </c>
      <c r="J33" s="20">
        <v>41732.762799999997</v>
      </c>
      <c r="K33" s="51">
        <f>+(J33-L33)/ABS(L33)</f>
        <v>0.12951491428408657</v>
      </c>
      <c r="L33" s="20">
        <v>36947.509300000005</v>
      </c>
      <c r="M33" s="48"/>
      <c r="N33" s="48"/>
    </row>
    <row r="34" spans="1:14">
      <c r="A34" t="s">
        <v>315</v>
      </c>
      <c r="B34" s="20">
        <f>+'SGBELRÉSULT       '!R72</f>
        <v>6274.8201499999996</v>
      </c>
      <c r="C34" s="51">
        <f>+(B34-D34)/D34</f>
        <v>0.172190566773092</v>
      </c>
      <c r="D34" s="20">
        <f>+'SGBELRÉSULT       '!T72</f>
        <v>5353.0717000000004</v>
      </c>
      <c r="E34" s="49" t="s">
        <v>0</v>
      </c>
      <c r="F34" s="20">
        <f>+'SGBELRÉSULT       '!U72</f>
        <v>22373.43245</v>
      </c>
      <c r="G34" s="51">
        <f>+(F34-H34)/ABS(H34)</f>
        <v>0.83980414734592712</v>
      </c>
      <c r="H34" s="20">
        <v>12160.76857</v>
      </c>
      <c r="I34" s="51">
        <f>+(H34-J34)/ABS(J34)</f>
        <v>0.10116742031621256</v>
      </c>
      <c r="J34" s="20">
        <v>11043.52376</v>
      </c>
      <c r="K34" s="51">
        <f>+(J34-L34)/ABS(L34)</f>
        <v>-0.59386348048835191</v>
      </c>
      <c r="L34" s="20">
        <v>27191.654109999999</v>
      </c>
      <c r="M34" s="48"/>
      <c r="N34" s="48"/>
    </row>
    <row r="35" spans="1:14">
      <c r="A35" t="s">
        <v>316</v>
      </c>
      <c r="B35" s="20">
        <f>+'SGBELRÉSULT       '!R73</f>
        <v>2505.9178499999998</v>
      </c>
      <c r="C35" s="51">
        <f>+(B35-D35)/D35</f>
        <v>-8.771442626558168E-2</v>
      </c>
      <c r="D35" s="20">
        <f>+'SGBELRÉSULT       '!T73</f>
        <v>2746.85682</v>
      </c>
      <c r="E35" s="49" t="s">
        <v>0</v>
      </c>
      <c r="F35" s="20">
        <f>+'SGBELRÉSULT       '!U73</f>
        <v>10619.607250000001</v>
      </c>
      <c r="G35" s="51">
        <f>+(F35-H35)/ABS(H35)</f>
        <v>0.36772171637593626</v>
      </c>
      <c r="H35" s="20">
        <v>7764.4502699999994</v>
      </c>
      <c r="I35" s="51">
        <f>+(H35-J35)/ABS(J35)</f>
        <v>4.2350290297656815E-2</v>
      </c>
      <c r="J35" s="20">
        <v>7448.9836500000001</v>
      </c>
      <c r="K35" s="51">
        <f>+(J35-L35)/ABS(L35)</f>
        <v>3.6627607276538882E-2</v>
      </c>
      <c r="L35" s="20">
        <v>7185.7855200000004</v>
      </c>
      <c r="M35" s="48"/>
      <c r="N35" s="48"/>
    </row>
    <row r="36" spans="1:14">
      <c r="A36" t="s">
        <v>317</v>
      </c>
      <c r="B36" s="217">
        <f>+'SGBELRÉSULT       '!R74</f>
        <v>12654.64602</v>
      </c>
      <c r="C36" s="51">
        <f>+(B36-D36)/D36</f>
        <v>0.15463665910122337</v>
      </c>
      <c r="D36" s="217">
        <f>+'SGBELRÉSULT       '!T74</f>
        <v>10959.85124</v>
      </c>
      <c r="E36" s="49" t="s">
        <v>0</v>
      </c>
      <c r="F36" s="217">
        <f>+'SGBELRÉSULT       '!U74</f>
        <v>49695.030729999999</v>
      </c>
      <c r="G36" s="51">
        <f>+(F36-H36)/ABS(H36)</f>
        <v>-2.8247452271773616E-3</v>
      </c>
      <c r="H36" s="217">
        <v>49835.804179999999</v>
      </c>
      <c r="I36" s="51">
        <f>+(H36-J36)/ABS(J36)</f>
        <v>0.33650126552586157</v>
      </c>
      <c r="J36" s="217">
        <v>37288.258130000002</v>
      </c>
      <c r="K36" s="51">
        <f>+(J36-L36)/ABS(L36)</f>
        <v>-2.2208309765099219E-2</v>
      </c>
      <c r="L36" s="217">
        <v>38135.175929999998</v>
      </c>
      <c r="M36" s="48"/>
      <c r="N36" s="48"/>
    </row>
    <row r="37" spans="1:14" s="187" customFormat="1">
      <c r="B37" s="24">
        <f>SUM(B33:B36)</f>
        <v>34985.961159999999</v>
      </c>
      <c r="C37" s="52">
        <f>+(B37-D37)/D37</f>
        <v>0.10126098299805192</v>
      </c>
      <c r="D37" s="24">
        <f>SUM(D33:D36)</f>
        <v>31769.000900000003</v>
      </c>
      <c r="E37" s="49" t="s">
        <v>0</v>
      </c>
      <c r="F37" s="24">
        <f>SUM(F33:F36)</f>
        <v>135823.37728000002</v>
      </c>
      <c r="G37" s="51">
        <f>+(F37-H37)/ABS(H37)</f>
        <v>0.15969874738491915</v>
      </c>
      <c r="H37" s="24">
        <f>SUM(H33:H36)</f>
        <v>117119.53435</v>
      </c>
      <c r="I37" s="51">
        <f>+(H37-J37)/ABS(J37)</f>
        <v>0.20105934370090514</v>
      </c>
      <c r="J37" s="24">
        <f>SUM(J33:J36)</f>
        <v>97513.52833999999</v>
      </c>
      <c r="K37" s="51">
        <f>+(J37-L37)/ABS(L37)</f>
        <v>-0.10914108252004802</v>
      </c>
      <c r="L37" s="24">
        <f>SUM(L33:L36)</f>
        <v>109460.12486000001</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27470.265950000008</v>
      </c>
      <c r="C39" s="52">
        <f>+(B39-D39)/D39</f>
        <v>0.76486387825996305</v>
      </c>
      <c r="D39" s="24">
        <f>+D30-D37</f>
        <v>15565.090479999988</v>
      </c>
      <c r="E39" s="49" t="s">
        <v>0</v>
      </c>
      <c r="F39" s="24">
        <f>+F30-F37</f>
        <v>76801.576179999945</v>
      </c>
      <c r="G39" s="51">
        <f>+(F39-H39)/ABS(H39)</f>
        <v>1.3082717462484334E-2</v>
      </c>
      <c r="H39" s="24">
        <f>+H30-H37</f>
        <v>75809.778269999952</v>
      </c>
      <c r="I39" s="51">
        <f>+(H39-J39)/ABS(J39)</f>
        <v>8.2060044509916469E-2</v>
      </c>
      <c r="J39" s="24">
        <f>+J30-J37</f>
        <v>70060.602140000003</v>
      </c>
      <c r="K39" s="51">
        <f>+(J39-L39)/ABS(L39)</f>
        <v>0.32016225355616135</v>
      </c>
      <c r="L39" s="24">
        <f>+L30-L37</f>
        <v>53069.690450000082</v>
      </c>
      <c r="M39" s="49"/>
      <c r="N39" s="49"/>
    </row>
    <row r="40" spans="1:14">
      <c r="B40" s="20"/>
      <c r="C40" s="51"/>
      <c r="D40" s="20"/>
      <c r="E40" s="49" t="s">
        <v>0</v>
      </c>
      <c r="F40" s="20"/>
      <c r="G40" s="51"/>
      <c r="H40" s="20"/>
      <c r="I40" s="51"/>
      <c r="J40" s="20"/>
      <c r="K40" s="51"/>
      <c r="L40" s="20"/>
      <c r="M40" s="48"/>
      <c r="N40" s="48"/>
    </row>
    <row r="41" spans="1:14">
      <c r="A41" t="s">
        <v>319</v>
      </c>
      <c r="B41" s="20">
        <f>+'SGBELRÉSULT       '!R79</f>
        <v>7416.97181</v>
      </c>
      <c r="C41" s="51">
        <f>+(B41-D41)/D41</f>
        <v>0.76486387892480479</v>
      </c>
      <c r="D41" s="20">
        <f>+'SGBELRÉSULT       '!T79</f>
        <v>4202.5744299999997</v>
      </c>
      <c r="E41" s="49" t="s">
        <v>0</v>
      </c>
      <c r="F41" s="20">
        <f>+'SGBELRÉSULT       '!U79</f>
        <v>20736.425569999999</v>
      </c>
      <c r="G41" s="51">
        <f>+(F41-H41)/ABS(H41)</f>
        <v>1.3082717674415417E-2</v>
      </c>
      <c r="H41" s="20">
        <v>20468.64013</v>
      </c>
      <c r="I41" s="51">
        <f>+(H41-J41)/ABS(J41)</f>
        <v>8.206003851053259E-2</v>
      </c>
      <c r="J41" s="20">
        <v>18916.362679999998</v>
      </c>
      <c r="K41" s="51">
        <f>+(J41-L41)/ABS(L41)</f>
        <v>0.32016226174816798</v>
      </c>
      <c r="L41" s="20">
        <v>14328.816410000101</v>
      </c>
      <c r="M41" s="48"/>
      <c r="N41" s="48"/>
    </row>
    <row r="42" spans="1:14" ht="16.5" thickBot="1">
      <c r="B42" s="79"/>
      <c r="C42" s="51"/>
      <c r="D42" s="79"/>
      <c r="E42" s="49" t="s">
        <v>0</v>
      </c>
      <c r="F42" s="79"/>
      <c r="G42" s="51"/>
      <c r="H42" s="79"/>
      <c r="I42" s="51"/>
      <c r="J42" s="79"/>
      <c r="K42" s="51"/>
      <c r="L42" s="79"/>
      <c r="M42" s="48"/>
      <c r="N42" s="48"/>
    </row>
    <row r="43" spans="1:14">
      <c r="A43" s="11" t="s">
        <v>326</v>
      </c>
      <c r="B43" s="13">
        <f>+B39-B41</f>
        <v>20053.294140000009</v>
      </c>
      <c r="C43" s="109">
        <f>+(B43-D43)/D43</f>
        <v>0.76486387801406286</v>
      </c>
      <c r="D43" s="13">
        <f>+D39-D41</f>
        <v>11362.516049999987</v>
      </c>
      <c r="E43" s="47" t="s">
        <v>0</v>
      </c>
      <c r="F43" s="13">
        <f>+F39-F41</f>
        <v>56065.150609999946</v>
      </c>
      <c r="G43" s="109">
        <f>+(F43-H43)/ABS(H43)</f>
        <v>1.3082717384098866E-2</v>
      </c>
      <c r="H43" s="13">
        <f>+H39-H41</f>
        <v>55341.138139999952</v>
      </c>
      <c r="I43" s="109">
        <f>+(H43-J43)/ABS(J43)</f>
        <v>8.2060046728866673E-2</v>
      </c>
      <c r="J43" s="13">
        <f>+J39-J41</f>
        <v>51144.239460000004</v>
      </c>
      <c r="K43" s="109">
        <f>+(J43-L43)/ABS(L43)</f>
        <v>0.32016225052624109</v>
      </c>
      <c r="L43" s="13">
        <f>+L39-L41</f>
        <v>38740.874039999981</v>
      </c>
      <c r="M43" s="48"/>
      <c r="N43" s="48"/>
    </row>
    <row r="44" spans="1:14">
      <c r="E44" t="s">
        <v>0</v>
      </c>
    </row>
    <row r="45" spans="1:14">
      <c r="E45" t="s">
        <v>0</v>
      </c>
    </row>
  </sheetData>
  <phoneticPr fontId="0" type="noConversion"/>
  <pageMargins left="0.18" right="0.16" top="0.68" bottom="0.62" header="0.43" footer="0.36"/>
  <pageSetup scale="60" orientation="landscape" r:id="rId1"/>
  <headerFooter alignWithMargins="0">
    <oddFooter>&amp;R&amp;P</oddFooter>
  </headerFooter>
</worksheet>
</file>

<file path=xl/worksheets/sheet114.xml><?xml version="1.0" encoding="utf-8"?>
<worksheet xmlns="http://schemas.openxmlformats.org/spreadsheetml/2006/main" xmlns:r="http://schemas.openxmlformats.org/officeDocument/2006/relationships">
  <sheetPr>
    <pageSetUpPr fitToPage="1"/>
  </sheetPr>
  <dimension ref="A1:AA79"/>
  <sheetViews>
    <sheetView workbookViewId="0">
      <selection activeCell="B10" sqref="B10"/>
    </sheetView>
  </sheetViews>
  <sheetFormatPr baseColWidth="10" defaultColWidth="9" defaultRowHeight="15.75"/>
  <cols>
    <col min="1" max="1" width="34.75" customWidth="1"/>
    <col min="2" max="2" width="14.875" customWidth="1"/>
    <col min="3" max="3" width="12.75" customWidth="1"/>
    <col min="4" max="4" width="13.875" customWidth="1"/>
    <col min="5" max="5" width="14.625" customWidth="1"/>
    <col min="6" max="6" width="14.75" customWidth="1"/>
    <col min="8" max="8" width="14.75" customWidth="1"/>
    <col min="9" max="9" width="13" customWidth="1"/>
    <col min="10" max="10" width="13.75" customWidth="1"/>
    <col min="11" max="11" width="13.25" customWidth="1"/>
    <col min="12" max="12" width="14.5" customWidth="1"/>
    <col min="13" max="13" width="8.75" customWidth="1"/>
    <col min="14" max="14" width="14.25" customWidth="1"/>
    <col min="15" max="15" width="13.75" customWidth="1"/>
    <col min="16" max="16" width="15.125" customWidth="1"/>
    <col min="17" max="17" width="11.125" customWidth="1"/>
    <col min="18" max="18" width="14.375" customWidth="1"/>
    <col min="19" max="19" width="9.375" customWidth="1"/>
    <col min="20" max="20" width="13.625" customWidth="1"/>
  </cols>
  <sheetData>
    <row r="1" spans="1:27">
      <c r="A1" s="111" t="s">
        <v>411</v>
      </c>
      <c r="B1" s="39"/>
      <c r="C1" s="39"/>
      <c r="D1" s="39"/>
      <c r="E1" s="39"/>
      <c r="F1" s="39"/>
      <c r="G1" s="39"/>
      <c r="H1" s="39"/>
      <c r="I1" s="39"/>
      <c r="J1" s="39"/>
      <c r="K1" s="39"/>
      <c r="L1" s="39"/>
      <c r="M1" s="39"/>
      <c r="N1" s="39"/>
      <c r="O1" s="39"/>
      <c r="P1" s="39"/>
      <c r="Q1" s="39"/>
      <c r="R1" s="39"/>
      <c r="S1" s="39"/>
      <c r="T1" s="39"/>
    </row>
    <row r="2" spans="1:27">
      <c r="A2" s="111" t="s">
        <v>194</v>
      </c>
      <c r="B2" s="39"/>
      <c r="C2" s="39"/>
      <c r="D2" s="39"/>
      <c r="E2" s="39"/>
      <c r="F2" s="39"/>
      <c r="G2" s="39"/>
      <c r="H2" s="39"/>
      <c r="I2" s="39"/>
      <c r="J2" s="39"/>
      <c r="K2" s="39"/>
      <c r="L2" s="39"/>
      <c r="M2" s="39"/>
      <c r="N2" s="39"/>
      <c r="O2" s="39"/>
      <c r="P2" s="39"/>
      <c r="Q2" s="39"/>
      <c r="R2" s="39"/>
      <c r="S2" s="39"/>
      <c r="T2" s="39"/>
    </row>
    <row r="4" spans="1:27" ht="16.5" thickBot="1">
      <c r="I4" s="3" t="str">
        <f>+sgbelinfin!I4</f>
        <v>Var. déc. 14</v>
      </c>
      <c r="J4" s="156" t="s">
        <v>195</v>
      </c>
      <c r="K4" s="157"/>
      <c r="L4" s="157"/>
      <c r="M4" s="157"/>
      <c r="N4" s="157"/>
      <c r="O4" s="157"/>
      <c r="P4" s="157"/>
    </row>
    <row r="5" spans="1:27" ht="16.5" thickBot="1">
      <c r="B5" s="1" t="str">
        <f>+sgbelinfin!B5</f>
        <v>Déc. 14</v>
      </c>
      <c r="C5" s="1" t="s">
        <v>196</v>
      </c>
      <c r="D5" s="1" t="str">
        <f>+sgbelinfin!D5</f>
        <v>Mars 15</v>
      </c>
      <c r="E5" s="1" t="s">
        <v>196</v>
      </c>
      <c r="F5" s="1" t="str">
        <f>+sgbelinfin!F5</f>
        <v>Juin 15</v>
      </c>
      <c r="G5" s="1" t="s">
        <v>196</v>
      </c>
      <c r="H5" s="1" t="str">
        <f>+sgbelinfin!H5</f>
        <v>Sept. 15</v>
      </c>
      <c r="I5" s="155" t="str">
        <f>+sgbelinfin!I5</f>
        <v>/sept. 14</v>
      </c>
      <c r="J5" s="155" t="str">
        <f>+sgbelinfin!J5</f>
        <v>2014</v>
      </c>
      <c r="K5" s="1" t="s">
        <v>196</v>
      </c>
      <c r="L5" s="155" t="str">
        <f>+sgbelinfin!L5</f>
        <v>2013</v>
      </c>
      <c r="M5" s="1" t="s">
        <v>196</v>
      </c>
      <c r="N5" s="155" t="str">
        <f>+sgbelinfin!N5</f>
        <v>2012</v>
      </c>
      <c r="O5" s="1" t="s">
        <v>196</v>
      </c>
      <c r="P5" s="155" t="str">
        <f>+sgbelinfin!P5</f>
        <v>2011</v>
      </c>
    </row>
    <row r="6" spans="1:27">
      <c r="B6" s="3"/>
      <c r="D6" s="3"/>
      <c r="F6" s="3"/>
      <c r="H6" s="3"/>
      <c r="J6" s="53"/>
      <c r="L6" s="53"/>
      <c r="N6" s="53"/>
      <c r="P6" s="53"/>
    </row>
    <row r="7" spans="1:27">
      <c r="A7" s="11" t="s">
        <v>197</v>
      </c>
    </row>
    <row r="8" spans="1:27">
      <c r="A8" s="11" t="s">
        <v>198</v>
      </c>
    </row>
    <row r="10" spans="1:27">
      <c r="A10" s="11" t="s">
        <v>18</v>
      </c>
    </row>
    <row r="11" spans="1:27">
      <c r="A11" t="s">
        <v>199</v>
      </c>
      <c r="B11" s="20">
        <f>+unibkvar!B23</f>
        <v>59051093.044344425</v>
      </c>
      <c r="C11" s="48">
        <v>0</v>
      </c>
      <c r="D11" s="20">
        <f>+unibkvar!D23</f>
        <v>0</v>
      </c>
      <c r="E11" s="48">
        <v>0</v>
      </c>
      <c r="F11" s="20">
        <f>+unibkvar!F23</f>
        <v>0</v>
      </c>
      <c r="G11" s="48">
        <v>0</v>
      </c>
      <c r="H11" s="20">
        <f>+unibkvar!H23</f>
        <v>0</v>
      </c>
      <c r="I11" s="51">
        <f>+(B11-J11)/ABS(J11)</f>
        <v>-4.446659230228841E-4</v>
      </c>
      <c r="J11" s="20">
        <f>+unibkvar!J23</f>
        <v>59077362.734374464</v>
      </c>
      <c r="K11" s="51">
        <f>+(-L11+J11)/ABS(L11)</f>
        <v>0.10124377479527685</v>
      </c>
      <c r="L11" s="20">
        <f>+unibkvar!L23</f>
        <v>53646035.588584416</v>
      </c>
      <c r="M11" s="51">
        <f>+(-N11+L11)/ABS(N11)</f>
        <v>3.6104881670462304E-3</v>
      </c>
      <c r="N11" s="20">
        <f>+unibkvar!N23</f>
        <v>53453044.005709201</v>
      </c>
      <c r="O11" s="51">
        <f>+(-P11+N11)/ABS(P11)</f>
        <v>0.11257503085386206</v>
      </c>
      <c r="P11" s="20">
        <f>+unibkvar!P23</f>
        <v>48044439.721684098</v>
      </c>
      <c r="Q11" s="48"/>
      <c r="R11" s="48"/>
      <c r="S11" s="48"/>
      <c r="T11" s="48"/>
      <c r="U11" s="48"/>
      <c r="V11" s="48"/>
      <c r="W11" s="48"/>
      <c r="X11" s="48"/>
      <c r="Y11" s="48"/>
      <c r="Z11" s="48"/>
      <c r="AA11" s="48"/>
    </row>
    <row r="12" spans="1:27">
      <c r="A12" t="s">
        <v>200</v>
      </c>
      <c r="B12" s="20">
        <f>+unibkvar!B17</f>
        <v>0</v>
      </c>
      <c r="C12" s="48">
        <v>0</v>
      </c>
      <c r="D12" s="20">
        <f>+unibkvar!D17</f>
        <v>0</v>
      </c>
      <c r="E12" s="48">
        <v>0</v>
      </c>
      <c r="F12" s="20">
        <f>+unibkvar!F17</f>
        <v>0</v>
      </c>
      <c r="G12" s="48">
        <v>0</v>
      </c>
      <c r="H12" s="20">
        <f>+unibkvar!H17</f>
        <v>0</v>
      </c>
      <c r="I12" s="48">
        <v>0</v>
      </c>
      <c r="J12" s="20">
        <f>+unibkvar!J17</f>
        <v>0</v>
      </c>
      <c r="K12" s="48">
        <v>0</v>
      </c>
      <c r="L12" s="20">
        <f>+unibkvar!L17</f>
        <v>0</v>
      </c>
      <c r="M12" s="51">
        <f>+(-N12+L12)/ABS(N12)</f>
        <v>-1</v>
      </c>
      <c r="N12" s="20">
        <f>+unibkvar!N17</f>
        <v>1791680.1</v>
      </c>
      <c r="O12" s="51">
        <f>+(-P12+N12)/ABS(P12)</f>
        <v>4.1190860000000002</v>
      </c>
      <c r="P12" s="20">
        <f>+unibkvar!P17</f>
        <v>350000</v>
      </c>
      <c r="Q12" s="48"/>
      <c r="R12" s="48"/>
      <c r="S12" s="48"/>
      <c r="T12" s="48"/>
      <c r="U12" s="48"/>
      <c r="V12" s="48"/>
      <c r="W12" s="48"/>
      <c r="X12" s="48"/>
      <c r="Y12" s="48"/>
      <c r="Z12" s="48"/>
      <c r="AA12" s="48"/>
    </row>
    <row r="13" spans="1:27">
      <c r="A13" t="s">
        <v>382</v>
      </c>
      <c r="B13" s="20">
        <f>+unibkvar!B20</f>
        <v>24056419.86524</v>
      </c>
      <c r="C13" s="48">
        <v>0</v>
      </c>
      <c r="D13" s="20">
        <f>+unibkvar!D20</f>
        <v>0</v>
      </c>
      <c r="E13" s="48">
        <v>0</v>
      </c>
      <c r="F13" s="20">
        <f>+unibkvar!F20</f>
        <v>0</v>
      </c>
      <c r="G13" s="48">
        <v>0</v>
      </c>
      <c r="H13" s="20">
        <f>+unibkvar!H20</f>
        <v>0</v>
      </c>
      <c r="I13" s="51">
        <f>+(B13-J13)/ABS(J13)</f>
        <v>7.0237765993658705E-2</v>
      </c>
      <c r="J13" s="20">
        <f>+unibkvar!J20</f>
        <v>22477640.604379997</v>
      </c>
      <c r="K13" s="51">
        <f>+(-L13+J13)/ABS(L13)</f>
        <v>0.12167960541039945</v>
      </c>
      <c r="L13" s="20">
        <f>+unibkvar!L20</f>
        <v>20039270.123089999</v>
      </c>
      <c r="M13" s="51">
        <f>+(-N13+L13)/ABS(N13)</f>
        <v>0.1667798077297126</v>
      </c>
      <c r="N13" s="20">
        <f>+unibkvar!N20</f>
        <v>17174851.664670002</v>
      </c>
      <c r="O13" s="51">
        <f>+(-P13+N13)/ABS(P13)</f>
        <v>0.30671525851525844</v>
      </c>
      <c r="P13" s="20">
        <f>+unibkvar!P20</f>
        <v>13143530.354259999</v>
      </c>
      <c r="Q13" s="48"/>
      <c r="R13" s="48"/>
      <c r="S13" s="48"/>
      <c r="T13" s="48"/>
      <c r="U13" s="48"/>
      <c r="V13" s="48"/>
      <c r="W13" s="48"/>
      <c r="X13" s="48"/>
      <c r="Y13" s="48"/>
      <c r="Z13" s="48"/>
      <c r="AA13" s="48"/>
    </row>
    <row r="14" spans="1:27">
      <c r="A14" t="s">
        <v>202</v>
      </c>
      <c r="B14" s="20">
        <f>+unibkvar!B30</f>
        <v>49484776.082875788</v>
      </c>
      <c r="C14" s="48">
        <v>0</v>
      </c>
      <c r="D14" s="20">
        <f>+unibkvar!D30</f>
        <v>0</v>
      </c>
      <c r="E14" s="48">
        <v>0</v>
      </c>
      <c r="F14" s="20">
        <f>+unibkvar!F30</f>
        <v>0</v>
      </c>
      <c r="G14" s="48">
        <v>0</v>
      </c>
      <c r="H14" s="20">
        <f>+unibkvar!H30</f>
        <v>0</v>
      </c>
      <c r="I14" s="51">
        <f>+(B14-J14)/ABS(J14)</f>
        <v>2.05782270067719E-2</v>
      </c>
      <c r="J14" s="20">
        <f>+unibkvar!J30</f>
        <v>48486999.598265424</v>
      </c>
      <c r="K14" s="51">
        <f>+(-L14+J14)/ABS(L14)</f>
        <v>6.0687249206702688E-2</v>
      </c>
      <c r="L14" s="20">
        <f>+unibkvar!L30</f>
        <v>45712814.625168048</v>
      </c>
      <c r="M14" s="51">
        <f>+(-N14+L14)/ABS(N14)</f>
        <v>-1.6302477149183665E-2</v>
      </c>
      <c r="N14" s="20">
        <f>+unibkvar!N30</f>
        <v>46470397.213860497</v>
      </c>
      <c r="O14" s="51">
        <f>+(-P14+N14)/ABS(P14)</f>
        <v>8.6687992829630703E-2</v>
      </c>
      <c r="P14" s="20">
        <f>+unibkvar!P30</f>
        <v>42763329.971886471</v>
      </c>
      <c r="Q14" s="48"/>
      <c r="R14" s="48"/>
      <c r="S14" s="48"/>
      <c r="T14" s="48"/>
      <c r="U14" s="48"/>
      <c r="V14" s="48"/>
      <c r="W14" s="48"/>
      <c r="X14" s="48"/>
      <c r="Y14" s="48"/>
      <c r="Z14" s="48"/>
      <c r="AA14" s="48"/>
    </row>
    <row r="15" spans="1:27">
      <c r="A15" t="s">
        <v>203</v>
      </c>
      <c r="B15" s="20">
        <f>+unibkvar!B52</f>
        <v>5797198.1322699999</v>
      </c>
      <c r="C15" s="48">
        <v>0</v>
      </c>
      <c r="D15" s="20">
        <f>+unibkvar!D52</f>
        <v>0</v>
      </c>
      <c r="E15" s="48">
        <v>0</v>
      </c>
      <c r="F15" s="20">
        <f>+unibkvar!F52</f>
        <v>0</v>
      </c>
      <c r="G15" s="48">
        <v>0</v>
      </c>
      <c r="H15" s="20">
        <f>+unibkvar!H52</f>
        <v>0</v>
      </c>
      <c r="I15" s="51">
        <f>+(B15-J15)/ABS(J15)</f>
        <v>6.2596678265968098E-2</v>
      </c>
      <c r="J15" s="20">
        <f>+unibkvar!J52</f>
        <v>5455690.0570499999</v>
      </c>
      <c r="K15" s="51">
        <f>+(-L15+J15)/ABS(L15)</f>
        <v>0.15003186705293536</v>
      </c>
      <c r="L15" s="20">
        <f>+unibkvar!L52</f>
        <v>4743946.8534299992</v>
      </c>
      <c r="M15" s="51">
        <f>+(-N15+L15)/ABS(N15)</f>
        <v>9.0205293600158859E-2</v>
      </c>
      <c r="N15" s="20">
        <f>+unibkvar!N52</f>
        <v>4351425.2602500003</v>
      </c>
      <c r="O15" s="51">
        <f>+(-P15+N15)/ABS(P15)</f>
        <v>0.15920619759329754</v>
      </c>
      <c r="P15" s="20">
        <f>+unibkvar!P52</f>
        <v>3753797.4428400001</v>
      </c>
      <c r="Q15" s="48"/>
      <c r="R15" s="48"/>
      <c r="S15" s="48"/>
      <c r="T15" s="48"/>
      <c r="U15" s="48"/>
      <c r="V15" s="48"/>
      <c r="W15" s="48"/>
      <c r="X15" s="48"/>
      <c r="Y15" s="48"/>
      <c r="Z15" s="48"/>
      <c r="AA15" s="48"/>
    </row>
    <row r="16" spans="1:27">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27" ht="16.5" thickBot="1">
      <c r="A17" s="26"/>
      <c r="B17" s="168"/>
      <c r="C17" s="168"/>
      <c r="D17" s="168"/>
      <c r="E17" s="168"/>
      <c r="F17" s="168"/>
      <c r="G17" s="168"/>
      <c r="H17" s="168"/>
      <c r="I17" s="168"/>
      <c r="J17" s="168"/>
      <c r="K17" s="168"/>
      <c r="L17" s="168"/>
      <c r="M17" s="168"/>
      <c r="N17" s="168"/>
      <c r="O17" s="168"/>
      <c r="P17" s="168"/>
      <c r="Q17" s="48"/>
      <c r="R17" s="48"/>
      <c r="S17" s="48"/>
      <c r="T17" s="48"/>
      <c r="U17" s="48"/>
      <c r="V17" s="48"/>
      <c r="W17" s="48"/>
      <c r="X17" s="48"/>
      <c r="Y17" s="48"/>
      <c r="Z17" s="48"/>
      <c r="AA17" s="48"/>
    </row>
    <row r="18" spans="1:27">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row>
    <row r="19" spans="1:27">
      <c r="B19" s="56" t="str">
        <f>+sgbelinfin!B19</f>
        <v>2015</v>
      </c>
      <c r="C19" s="48"/>
      <c r="D19" s="56" t="str">
        <f>+sgbelinfin!D19</f>
        <v>2014</v>
      </c>
      <c r="E19" s="48"/>
      <c r="F19" s="56" t="str">
        <f>+sgbelinfin!F19</f>
        <v>2015</v>
      </c>
      <c r="G19" s="48"/>
      <c r="H19" s="56" t="str">
        <f>+sgbelinfin!H19</f>
        <v>2014</v>
      </c>
      <c r="I19" s="48"/>
      <c r="J19" s="56" t="str">
        <f>+sgbelinfin!J19</f>
        <v>2015</v>
      </c>
      <c r="K19" s="48"/>
      <c r="L19" s="56" t="str">
        <f>+sgbelinfin!L19</f>
        <v>2014</v>
      </c>
      <c r="M19" s="48"/>
      <c r="N19" s="56" t="str">
        <f>+sgbelinfin!N19</f>
        <v>2015</v>
      </c>
      <c r="O19" s="48"/>
      <c r="P19" s="56" t="str">
        <f>+sgbelinfin!P19</f>
        <v>2014</v>
      </c>
      <c r="Q19" s="48"/>
      <c r="R19" s="56" t="str">
        <f>+N19</f>
        <v>2015</v>
      </c>
      <c r="S19" s="48"/>
      <c r="T19" s="56" t="str">
        <f>+P19</f>
        <v>2014</v>
      </c>
      <c r="U19" s="48"/>
      <c r="V19" s="48"/>
      <c r="W19" s="48"/>
      <c r="X19" s="48"/>
      <c r="Y19" s="48"/>
      <c r="Z19" s="48"/>
      <c r="AA19" s="48"/>
    </row>
    <row r="20" spans="1:27">
      <c r="B20" s="55" t="s">
        <v>204</v>
      </c>
      <c r="C20" s="55" t="s">
        <v>196</v>
      </c>
      <c r="D20" s="55" t="s">
        <v>204</v>
      </c>
      <c r="E20" s="48"/>
      <c r="F20" s="55" t="s">
        <v>205</v>
      </c>
      <c r="G20" s="55" t="s">
        <v>196</v>
      </c>
      <c r="H20" s="55" t="s">
        <v>205</v>
      </c>
      <c r="I20" s="48"/>
      <c r="J20" s="55" t="s">
        <v>206</v>
      </c>
      <c r="K20" s="55" t="s">
        <v>196</v>
      </c>
      <c r="L20" s="55" t="s">
        <v>206</v>
      </c>
      <c r="M20" s="48"/>
      <c r="N20" s="55" t="s">
        <v>207</v>
      </c>
      <c r="O20" s="55" t="s">
        <v>196</v>
      </c>
      <c r="P20" s="55" t="s">
        <v>207</v>
      </c>
      <c r="Q20" s="48"/>
      <c r="R20" s="55" t="s">
        <v>208</v>
      </c>
      <c r="S20" s="55" t="s">
        <v>196</v>
      </c>
      <c r="T20" s="55" t="s">
        <v>208</v>
      </c>
      <c r="U20" s="48"/>
      <c r="V20" s="48"/>
      <c r="W20" s="48"/>
      <c r="X20" s="48"/>
      <c r="Y20" s="48"/>
      <c r="Z20" s="48"/>
      <c r="AA20" s="48"/>
    </row>
    <row r="21" spans="1:27" ht="16.5" thickBot="1">
      <c r="B21" s="292" t="str">
        <f>+sgbelinfin!B21</f>
        <v>(oct. - déc. 14)</v>
      </c>
      <c r="C21" s="292"/>
      <c r="D21" s="292" t="str">
        <f>+sgbelinfin!D21</f>
        <v>(oct. - déc. 13)</v>
      </c>
      <c r="E21" s="186"/>
      <c r="F21" s="292" t="str">
        <f>+sgbelinfin!F21</f>
        <v>(janv. - mars 15)</v>
      </c>
      <c r="G21" s="292"/>
      <c r="H21" s="292" t="str">
        <f>+sgbelinfin!H21</f>
        <v>(janv. - mars 14)</v>
      </c>
      <c r="I21" s="186"/>
      <c r="J21" s="292" t="str">
        <f>+sgbelinfin!J21</f>
        <v>(avril - juin 15)</v>
      </c>
      <c r="K21" s="292"/>
      <c r="L21" s="292" t="str">
        <f>+sgbelinfin!L21</f>
        <v>(avril - juin 14)</v>
      </c>
      <c r="M21" s="186"/>
      <c r="N21" s="292" t="str">
        <f>+sgbelinfin!N21</f>
        <v>(juil. - sept. 15)</v>
      </c>
      <c r="O21" s="292"/>
      <c r="P21" s="292" t="str">
        <f>+sgbelinfin!P21</f>
        <v>(juil. - sept. 14)</v>
      </c>
      <c r="Q21" s="186"/>
      <c r="R21" s="292" t="str">
        <f>+sgbelinfin!R21</f>
        <v>(oct. - déc. 14)</v>
      </c>
      <c r="S21" s="292"/>
      <c r="T21" s="292" t="str">
        <f>+sgbelinfin!T21</f>
        <v>(oct. - déc. 13)</v>
      </c>
      <c r="U21" s="48"/>
      <c r="V21" s="48"/>
      <c r="W21" s="48"/>
      <c r="X21" s="48"/>
      <c r="Y21" s="48"/>
      <c r="Z21" s="48"/>
      <c r="AA21" s="48"/>
    </row>
    <row r="22" spans="1:27">
      <c r="A22" s="11" t="s">
        <v>22</v>
      </c>
      <c r="B22" s="48"/>
      <c r="C22" s="48"/>
      <c r="D22" s="48"/>
      <c r="E22" s="48"/>
      <c r="F22" s="48"/>
      <c r="G22" s="48"/>
      <c r="H22" s="48"/>
      <c r="I22" s="48"/>
      <c r="J22" s="48"/>
      <c r="K22" s="48"/>
      <c r="L22" s="48"/>
      <c r="M22" s="48"/>
      <c r="N22" s="48"/>
      <c r="O22" s="48"/>
      <c r="P22" s="48"/>
      <c r="Q22" s="48"/>
      <c r="R22" s="48"/>
      <c r="S22" s="52" t="s">
        <v>0</v>
      </c>
      <c r="T22" s="48"/>
      <c r="U22" s="48"/>
      <c r="V22" s="48"/>
      <c r="W22" s="48"/>
      <c r="X22" s="48"/>
      <c r="Y22" s="48"/>
      <c r="Z22" s="48"/>
      <c r="AA22" s="48"/>
    </row>
    <row r="23" spans="1:27">
      <c r="A23" t="s">
        <v>209</v>
      </c>
      <c r="B23" s="20">
        <f>+'UNIBKRÉSULT   '!B15</f>
        <v>438908.68257</v>
      </c>
      <c r="C23" s="51">
        <f>+(-D23+B23)/ABS(D23)</f>
        <v>0.33467800246275353</v>
      </c>
      <c r="D23" s="20">
        <f>+'UNIBKRÉSULT   '!D55</f>
        <v>328849.86622999993</v>
      </c>
      <c r="E23" s="48"/>
      <c r="F23" s="20">
        <f>+'UNIBKRÉSULT   '!D15</f>
        <v>0</v>
      </c>
      <c r="G23" s="48">
        <v>0</v>
      </c>
      <c r="H23" s="20">
        <f>+'UNIBKRÉSULT   '!H55</f>
        <v>331652.99705000001</v>
      </c>
      <c r="I23" s="48"/>
      <c r="J23" s="20">
        <f>+'UNIBKRÉSULT   '!F15</f>
        <v>0</v>
      </c>
      <c r="K23" s="48">
        <v>0</v>
      </c>
      <c r="L23" s="20">
        <f>+'UNIBKRÉSULT   '!L55</f>
        <v>353285.34034</v>
      </c>
      <c r="M23" s="48"/>
      <c r="N23" s="20">
        <f>+'UNIBKRÉSULT   '!H15</f>
        <v>0</v>
      </c>
      <c r="O23" s="48">
        <v>0</v>
      </c>
      <c r="P23" s="20">
        <f>+'UNIBKRÉSULT   '!P55</f>
        <v>379795.04971999995</v>
      </c>
      <c r="Q23" s="48"/>
      <c r="R23" s="20">
        <f>+'UNIBKRÉSULT   '!R55</f>
        <v>438908.68257</v>
      </c>
      <c r="S23" s="51">
        <f>+(-T23+R23)/ABS(T23)</f>
        <v>0.33467800246275353</v>
      </c>
      <c r="T23" s="20">
        <f>+'UNIBKRÉSULT   '!T55</f>
        <v>328849.86622999993</v>
      </c>
      <c r="U23" s="48"/>
      <c r="V23" s="48"/>
      <c r="W23" s="48"/>
      <c r="X23" s="48"/>
      <c r="Y23" s="48"/>
      <c r="Z23" s="48"/>
      <c r="AA23" s="48"/>
    </row>
    <row r="24" spans="1:27">
      <c r="A24" t="s">
        <v>210</v>
      </c>
      <c r="B24" s="20">
        <f>+'UNIBKRÉSULT   '!B21</f>
        <v>491798.89597000001</v>
      </c>
      <c r="C24" s="51">
        <f>+(-D24+B24)/ABS(D24)</f>
        <v>0.1764455683974627</v>
      </c>
      <c r="D24" s="20">
        <f>+'UNIBKRÉSULT   '!D61</f>
        <v>418037.95192999998</v>
      </c>
      <c r="E24" s="48"/>
      <c r="F24" s="20">
        <f>+'UNIBKRÉSULT   '!D21</f>
        <v>0</v>
      </c>
      <c r="G24" s="48">
        <v>0</v>
      </c>
      <c r="H24" s="20">
        <f>+'UNIBKRÉSULT   '!H61</f>
        <v>548409.72216000012</v>
      </c>
      <c r="I24" s="48"/>
      <c r="J24" s="20">
        <f>+'UNIBKRÉSULT   '!F21</f>
        <v>0</v>
      </c>
      <c r="K24" s="48">
        <v>0</v>
      </c>
      <c r="L24" s="20">
        <f>+'UNIBKRÉSULT   '!L61</f>
        <v>632162.73268999998</v>
      </c>
      <c r="M24" s="48"/>
      <c r="N24" s="20">
        <f>+'UNIBKRÉSULT   '!H21</f>
        <v>0</v>
      </c>
      <c r="O24" s="48">
        <v>0</v>
      </c>
      <c r="P24" s="20">
        <f>+'UNIBKRÉSULT   '!P61</f>
        <v>652079.68225000007</v>
      </c>
      <c r="Q24" s="48"/>
      <c r="R24" s="20">
        <f>+'UNIBKRÉSULT   '!R61</f>
        <v>491798.89597000001</v>
      </c>
      <c r="S24" s="51">
        <f>+(-T24+R24)/ABS(T24)</f>
        <v>0.1764455683974627</v>
      </c>
      <c r="T24" s="20">
        <f>+'UNIBKRÉSULT   '!T61</f>
        <v>418037.95192999998</v>
      </c>
      <c r="U24" s="48"/>
      <c r="V24" s="48"/>
      <c r="W24" s="48"/>
      <c r="X24" s="48"/>
      <c r="Y24" s="48"/>
      <c r="Z24" s="48"/>
      <c r="AA24" s="48"/>
    </row>
    <row r="25" spans="1:27">
      <c r="A25" t="s">
        <v>643</v>
      </c>
      <c r="B25" s="20">
        <f>+'UNIBKRÉSULT   '!B25</f>
        <v>18007.300999999999</v>
      </c>
      <c r="C25" s="51">
        <f>+(-D25+B25)/ABS(D25)</f>
        <v>0.49703880373862458</v>
      </c>
      <c r="D25" s="20">
        <f>+'UNIBKRÉSULT   '!D65</f>
        <v>12028.613389999999</v>
      </c>
      <c r="E25" s="48"/>
      <c r="F25" s="20">
        <f>+'UNIBKRÉSULT   '!D25</f>
        <v>0</v>
      </c>
      <c r="G25" s="48">
        <v>0</v>
      </c>
      <c r="H25" s="20">
        <f>+'UNIBKRÉSULT   '!H65</f>
        <v>12098.128359999999</v>
      </c>
      <c r="I25" s="48"/>
      <c r="J25" s="20">
        <f>+'UNIBKRÉSULT   '!F25</f>
        <v>0</v>
      </c>
      <c r="K25" s="48">
        <v>0</v>
      </c>
      <c r="L25" s="20">
        <f>+'UNIBKRÉSULT   '!L65</f>
        <v>12363.43194</v>
      </c>
      <c r="M25" s="48"/>
      <c r="N25" s="20">
        <f>+'UNIBKRÉSULT   '!H25</f>
        <v>0</v>
      </c>
      <c r="O25" s="48">
        <v>0</v>
      </c>
      <c r="P25" s="20">
        <f>+'UNIBKRÉSULT   '!P65</f>
        <v>18498.63178</v>
      </c>
      <c r="Q25" s="48"/>
      <c r="R25" s="20">
        <f>+'UNIBKRÉSULT   '!R65</f>
        <v>18007.300999999999</v>
      </c>
      <c r="S25" s="51">
        <f>+(-T25+R25)/ABS(T25)</f>
        <v>0.49703880373862458</v>
      </c>
      <c r="T25" s="20">
        <f>+'UNIBKRÉSULT   '!T65</f>
        <v>12028.613389999999</v>
      </c>
      <c r="U25" s="48"/>
      <c r="V25" s="48"/>
      <c r="W25" s="48"/>
      <c r="X25" s="48"/>
      <c r="Y25" s="48"/>
      <c r="Z25" s="48"/>
      <c r="AA25" s="48"/>
    </row>
    <row r="26" spans="1:27">
      <c r="A26" t="s">
        <v>212</v>
      </c>
      <c r="B26" s="20">
        <f>+'UNIBKRÉSULT   '!B35</f>
        <v>518227.96238000004</v>
      </c>
      <c r="C26" s="51">
        <f>+(-D26+B26)/ABS(D26)</f>
        <v>0.15718437314061851</v>
      </c>
      <c r="D26" s="20">
        <f>+'UNIBKRÉSULT   '!D75</f>
        <v>447835.25806999998</v>
      </c>
      <c r="E26" s="48"/>
      <c r="F26" s="20">
        <f>+'UNIBKRÉSULT   '!D35</f>
        <v>0</v>
      </c>
      <c r="G26" s="48">
        <v>0</v>
      </c>
      <c r="H26" s="20">
        <f>+'UNIBKRÉSULT   '!H75</f>
        <v>459029.25767000002</v>
      </c>
      <c r="I26" s="48"/>
      <c r="J26" s="20">
        <f>+'UNIBKRÉSULT   '!F35</f>
        <v>0</v>
      </c>
      <c r="K26" s="48">
        <v>0</v>
      </c>
      <c r="L26" s="20">
        <f>+'UNIBKRÉSULT   '!L75</f>
        <v>495661.66924000002</v>
      </c>
      <c r="M26" s="48"/>
      <c r="N26" s="20">
        <f>+'UNIBKRÉSULT   '!H35</f>
        <v>0</v>
      </c>
      <c r="O26" s="48">
        <v>0</v>
      </c>
      <c r="P26" s="20">
        <f>+'UNIBKRÉSULT   '!P75</f>
        <v>517441.10149999999</v>
      </c>
      <c r="Q26" s="48"/>
      <c r="R26" s="20">
        <f>+'UNIBKRÉSULT   '!R75</f>
        <v>518227.96238000004</v>
      </c>
      <c r="S26" s="51">
        <f>+(-T26+R26)/ABS(T26)</f>
        <v>0.15718437314061851</v>
      </c>
      <c r="T26" s="20">
        <f>+'UNIBKRÉSULT   '!T75</f>
        <v>447835.25806999998</v>
      </c>
      <c r="U26" s="48"/>
      <c r="V26" s="48"/>
      <c r="W26" s="48"/>
      <c r="X26" s="48"/>
      <c r="Y26" s="48"/>
      <c r="Z26" s="48"/>
      <c r="AA26" s="48"/>
    </row>
    <row r="27" spans="1:27">
      <c r="A27" t="s">
        <v>383</v>
      </c>
      <c r="B27" s="20">
        <f>+'UNIBKRÉSULT   '!B41</f>
        <v>341723.59331999999</v>
      </c>
      <c r="C27" s="51">
        <f>+(-D27+B27)/ABS(D27)</f>
        <v>0.34341508905300588</v>
      </c>
      <c r="D27" s="20">
        <f>+'UNIBKRÉSULT   '!D81</f>
        <v>254369.32791999995</v>
      </c>
      <c r="E27" s="48"/>
      <c r="F27" s="20">
        <f>+'UNIBKRÉSULT   '!D41</f>
        <v>0</v>
      </c>
      <c r="G27" s="48">
        <v>0</v>
      </c>
      <c r="H27" s="20">
        <f>+'UNIBKRÉSULT   '!H81</f>
        <v>395111.07451000012</v>
      </c>
      <c r="I27" s="48"/>
      <c r="J27" s="20">
        <f>+'UNIBKRÉSULT   '!F41</f>
        <v>0</v>
      </c>
      <c r="K27" s="48">
        <v>0</v>
      </c>
      <c r="L27" s="20">
        <f>+'UNIBKRÉSULT   '!L81</f>
        <v>452250.60302999994</v>
      </c>
      <c r="M27" s="48"/>
      <c r="N27" s="20">
        <f>+'UNIBKRÉSULT   '!H41</f>
        <v>0</v>
      </c>
      <c r="O27" s="48">
        <v>0</v>
      </c>
      <c r="P27" s="20">
        <f>+'UNIBKRÉSULT   '!P81</f>
        <v>460375.77357000002</v>
      </c>
      <c r="Q27" s="48"/>
      <c r="R27" s="20">
        <f>+'UNIBKRÉSULT   '!R81</f>
        <v>341723.59331999999</v>
      </c>
      <c r="S27" s="51">
        <f>+(-T27+R27)/ABS(T27)</f>
        <v>0.34341508905300588</v>
      </c>
      <c r="T27" s="20">
        <f>+'UNIBKRÉSULT   '!T81</f>
        <v>254369.32791999995</v>
      </c>
      <c r="U27" s="48"/>
      <c r="V27" s="48"/>
      <c r="W27" s="48"/>
      <c r="X27" s="48"/>
      <c r="Y27" s="48"/>
      <c r="Z27" s="48"/>
      <c r="AA27" s="48"/>
    </row>
    <row r="28" spans="1:27">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spans="1:27" ht="16.5" thickBot="1">
      <c r="B29" s="168"/>
      <c r="C29" s="168"/>
      <c r="D29" s="168"/>
      <c r="E29" s="168"/>
      <c r="F29" s="168"/>
      <c r="G29" s="168"/>
      <c r="H29" s="168"/>
      <c r="I29" s="168"/>
      <c r="J29" s="168"/>
      <c r="K29" s="168"/>
      <c r="L29" s="168"/>
      <c r="M29" s="168"/>
      <c r="N29" s="168"/>
      <c r="O29" s="168"/>
      <c r="P29" s="168"/>
      <c r="Q29" s="168"/>
      <c r="R29" s="168"/>
      <c r="S29" s="168"/>
      <c r="T29" s="168"/>
      <c r="U29" s="48"/>
      <c r="V29" s="48"/>
      <c r="W29" s="48"/>
      <c r="X29" s="48"/>
      <c r="Y29" s="48"/>
      <c r="Z29" s="48"/>
      <c r="AA29" s="48"/>
    </row>
    <row r="30" spans="1:27">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c r="B31" s="56" t="str">
        <f>+sgbelinfin!B32</f>
        <v>2015</v>
      </c>
      <c r="C31" s="56" t="str">
        <f>+sgbelinfin!C32</f>
        <v>2014</v>
      </c>
      <c r="D31" s="48"/>
      <c r="E31" s="56" t="str">
        <f>+sgbelinfin!E32</f>
        <v>2015</v>
      </c>
      <c r="F31" s="56" t="str">
        <f>+sgbelinfin!F32</f>
        <v>2014</v>
      </c>
      <c r="G31" s="48"/>
      <c r="H31" s="56" t="str">
        <f>+sgbelinfin!H32</f>
        <v>2015</v>
      </c>
      <c r="I31" s="56" t="str">
        <f>+sgbelinfin!I32</f>
        <v>2014</v>
      </c>
      <c r="J31" s="48"/>
      <c r="K31" s="56" t="str">
        <f>+sgbelinfin!K32</f>
        <v>2015</v>
      </c>
      <c r="L31" s="56" t="str">
        <f>+sgbelinfin!L32</f>
        <v>2014</v>
      </c>
      <c r="M31" s="48"/>
      <c r="N31" s="56" t="str">
        <f>+sgbelinfin!N32</f>
        <v>2015</v>
      </c>
      <c r="O31" s="56" t="str">
        <f>+sgbelinfin!O32</f>
        <v>2014</v>
      </c>
      <c r="P31" s="48"/>
      <c r="U31" s="48"/>
      <c r="V31" s="48"/>
      <c r="W31" s="48"/>
      <c r="X31" s="48"/>
      <c r="Y31" s="48"/>
      <c r="Z31" s="48"/>
      <c r="AA31" s="48"/>
    </row>
    <row r="32" spans="1:27" ht="16.5" thickBot="1">
      <c r="B32" s="55" t="s">
        <v>204</v>
      </c>
      <c r="C32" s="55" t="s">
        <v>204</v>
      </c>
      <c r="D32" s="48"/>
      <c r="E32" s="55" t="s">
        <v>205</v>
      </c>
      <c r="F32" s="55" t="s">
        <v>205</v>
      </c>
      <c r="G32" s="48"/>
      <c r="H32" s="55" t="s">
        <v>206</v>
      </c>
      <c r="I32" s="55" t="s">
        <v>206</v>
      </c>
      <c r="J32" s="48"/>
      <c r="K32" s="55" t="s">
        <v>207</v>
      </c>
      <c r="L32" s="55" t="s">
        <v>207</v>
      </c>
      <c r="M32" s="48"/>
      <c r="N32" s="55" t="s">
        <v>208</v>
      </c>
      <c r="O32" s="55" t="s">
        <v>208</v>
      </c>
      <c r="P32" s="48"/>
      <c r="Q32" s="111" t="s">
        <v>214</v>
      </c>
      <c r="R32" s="111"/>
      <c r="S32" s="111"/>
      <c r="T32" s="111"/>
      <c r="U32" s="48"/>
      <c r="V32" s="48"/>
      <c r="W32" s="48"/>
      <c r="X32" s="48"/>
      <c r="Y32" s="48"/>
      <c r="Z32" s="48"/>
      <c r="AA32" s="48"/>
    </row>
    <row r="33" spans="1:27" ht="16.5" thickBot="1">
      <c r="B33" s="292" t="str">
        <f>+sgbelinfin!B34</f>
        <v>(oct. - déc. 14)</v>
      </c>
      <c r="C33" s="292" t="str">
        <f>+sgbelinfin!C34</f>
        <v>(oct. - déc. 13)</v>
      </c>
      <c r="D33" s="186"/>
      <c r="E33" s="292" t="str">
        <f>+sgbelinfin!E34</f>
        <v>(janv. - mars 15)</v>
      </c>
      <c r="F33" s="292" t="str">
        <f>+sgbelinfin!F34</f>
        <v>(janv. - mars 14)</v>
      </c>
      <c r="G33" s="186"/>
      <c r="H33" s="292" t="str">
        <f>+sgbelinfin!H34</f>
        <v>(avril - juin 15)</v>
      </c>
      <c r="I33" s="292" t="str">
        <f>+sgbelinfin!I34</f>
        <v>(avril - juin 14)</v>
      </c>
      <c r="J33" s="186"/>
      <c r="K33" s="292" t="str">
        <f>+sgbelinfin!K34</f>
        <v>(juil. - sept. 15)</v>
      </c>
      <c r="L33" s="292" t="str">
        <f>+sgbelinfin!L34</f>
        <v>(juil. - sept. 14)</v>
      </c>
      <c r="M33" s="186"/>
      <c r="N33" s="162" t="str">
        <f>+sgbelinfin!N34</f>
        <v>(oct. - déc. 14)</v>
      </c>
      <c r="O33" s="162" t="str">
        <f>+sgbelinfin!O34</f>
        <v>(oct. - déc. 13)</v>
      </c>
      <c r="P33" s="48"/>
      <c r="Q33" s="163" t="str">
        <f>+sgbelinfin!Q34</f>
        <v>2014</v>
      </c>
      <c r="R33" s="163" t="str">
        <f>+sgbelinfin!R34</f>
        <v>2013</v>
      </c>
      <c r="S33" s="163" t="str">
        <f>+sgbelinfin!S34</f>
        <v>2012</v>
      </c>
      <c r="T33" s="163" t="str">
        <f>+sgbelinfin!T34</f>
        <v>2011</v>
      </c>
      <c r="U33" s="48"/>
      <c r="V33" s="48"/>
      <c r="W33" s="48"/>
      <c r="X33" s="48"/>
      <c r="Y33" s="48"/>
      <c r="Z33" s="48"/>
      <c r="AA33" s="48"/>
    </row>
    <row r="34" spans="1:27">
      <c r="B34" s="315"/>
      <c r="C34" s="315"/>
      <c r="D34" s="186"/>
      <c r="E34" s="315"/>
      <c r="F34" s="315"/>
      <c r="G34" s="186"/>
      <c r="H34" s="315"/>
      <c r="I34" s="315"/>
      <c r="J34" s="186"/>
      <c r="K34" s="315"/>
      <c r="L34" s="315"/>
      <c r="M34" s="186"/>
      <c r="N34" s="315"/>
      <c r="O34" s="315"/>
      <c r="P34" s="48"/>
      <c r="Q34" s="316"/>
      <c r="R34" s="316"/>
      <c r="S34" s="316"/>
      <c r="T34" s="316"/>
      <c r="U34" s="48"/>
      <c r="V34" s="48"/>
      <c r="W34" s="48"/>
      <c r="X34" s="48"/>
      <c r="Y34" s="48"/>
      <c r="Z34" s="48"/>
      <c r="AA34" s="48"/>
    </row>
    <row r="35" spans="1:27">
      <c r="A35" s="11" t="s">
        <v>215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spans="1:27">
      <c r="A36" s="164" t="s">
        <v>216</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spans="1:27">
      <c r="A37" s="11" t="s">
        <v>384</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spans="1:27">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spans="1:27">
      <c r="A39" s="11" t="s">
        <v>218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spans="1:27">
      <c r="A40" s="11"/>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row>
    <row r="41" spans="1:27">
      <c r="A41" t="s">
        <v>219</v>
      </c>
      <c r="B41" s="61"/>
      <c r="C41" s="61"/>
      <c r="D41" s="61"/>
      <c r="E41" s="61"/>
      <c r="F41" s="61"/>
      <c r="G41" s="61"/>
      <c r="H41" s="61"/>
      <c r="I41" s="61"/>
      <c r="J41" s="61"/>
      <c r="K41" s="61"/>
      <c r="L41" s="61"/>
      <c r="M41" s="61"/>
      <c r="N41" s="61"/>
      <c r="O41" s="61"/>
      <c r="P41" s="61"/>
      <c r="Q41" s="321" t="s">
        <v>0</v>
      </c>
      <c r="R41" s="321" t="s">
        <v>0</v>
      </c>
      <c r="S41" s="61"/>
      <c r="T41" s="61"/>
      <c r="U41" s="48"/>
      <c r="V41" s="48"/>
      <c r="W41" s="48"/>
      <c r="X41" s="48"/>
      <c r="Y41" s="48"/>
      <c r="Z41" s="48"/>
      <c r="AA41" s="48"/>
    </row>
    <row r="42" spans="1:27">
      <c r="A42" t="s">
        <v>220</v>
      </c>
      <c r="B42" s="62">
        <f>+unibkvar!B52/unibkvar!B23</f>
        <v>9.8172579598426624E-2</v>
      </c>
      <c r="C42" s="63">
        <v>9.4876122375988747E-2</v>
      </c>
      <c r="D42" s="63"/>
      <c r="E42" s="321">
        <v>0</v>
      </c>
      <c r="F42" s="62">
        <v>9.7799832843537882E-2</v>
      </c>
      <c r="G42" s="63"/>
      <c r="H42" s="321">
        <v>0</v>
      </c>
      <c r="I42" s="62">
        <v>9.2677361579369136E-2</v>
      </c>
      <c r="J42" s="63"/>
      <c r="K42" s="321">
        <v>0</v>
      </c>
      <c r="L42" s="63">
        <v>9.2348232970047239E-2</v>
      </c>
      <c r="M42" s="61"/>
      <c r="N42" s="63">
        <f>+B42</f>
        <v>9.8172579598426624E-2</v>
      </c>
      <c r="O42" s="63">
        <f>+C42</f>
        <v>9.4876122375988747E-2</v>
      </c>
      <c r="P42" s="63"/>
      <c r="Q42" s="63">
        <v>9.2299999999999993E-2</v>
      </c>
      <c r="R42" s="63">
        <v>8.8400000000000006E-2</v>
      </c>
      <c r="S42" s="63">
        <v>8.14E-2</v>
      </c>
      <c r="T42" s="63">
        <v>7.8131776842134404E-2</v>
      </c>
      <c r="U42" s="48"/>
      <c r="V42" s="48"/>
      <c r="W42" s="48"/>
      <c r="X42" s="48"/>
      <c r="Y42" s="48"/>
      <c r="Z42" s="48"/>
      <c r="AA42" s="48"/>
    </row>
    <row r="43" spans="1:27">
      <c r="B43" s="62"/>
      <c r="C43" s="61"/>
      <c r="D43" s="63"/>
      <c r="E43" s="61"/>
      <c r="F43" s="61"/>
      <c r="G43" s="63"/>
      <c r="H43" s="61"/>
      <c r="I43" s="63"/>
      <c r="J43" s="63"/>
      <c r="K43" s="61"/>
      <c r="L43" s="63"/>
      <c r="M43" s="61"/>
      <c r="N43" s="63"/>
      <c r="O43" s="63"/>
      <c r="P43" s="63"/>
      <c r="Q43" s="63"/>
      <c r="R43" s="63"/>
      <c r="S43" s="63"/>
      <c r="T43" s="63"/>
      <c r="U43" s="48"/>
      <c r="V43" s="48"/>
      <c r="W43" s="48"/>
      <c r="X43" s="48"/>
      <c r="Y43" s="48"/>
      <c r="Z43" s="48"/>
      <c r="AA43" s="48"/>
    </row>
    <row r="44" spans="1:27">
      <c r="A44" t="s">
        <v>221</v>
      </c>
      <c r="B44" s="62">
        <f>+unibkvar!B30/unibkvar!B23</f>
        <v>0.83799932451233694</v>
      </c>
      <c r="C44" s="63">
        <v>0.86589698759308653</v>
      </c>
      <c r="D44" s="63"/>
      <c r="E44" s="321">
        <v>0</v>
      </c>
      <c r="F44" s="62">
        <v>0.86768851587498097</v>
      </c>
      <c r="G44" s="63"/>
      <c r="H44" s="321">
        <v>0</v>
      </c>
      <c r="I44" s="62">
        <v>0.84034497951961751</v>
      </c>
      <c r="J44" s="63"/>
      <c r="K44" s="321">
        <v>0</v>
      </c>
      <c r="L44" s="63">
        <v>0.82073737475848796</v>
      </c>
      <c r="M44" s="61"/>
      <c r="N44" s="63">
        <f>+B44</f>
        <v>0.83799932451233694</v>
      </c>
      <c r="O44" s="63">
        <f>+C44</f>
        <v>0.86589698759308653</v>
      </c>
      <c r="P44" s="63"/>
      <c r="Q44" s="63">
        <v>0.82069999999999999</v>
      </c>
      <c r="R44" s="63">
        <v>0.85209999999999997</v>
      </c>
      <c r="S44" s="63">
        <v>0.86939999999999995</v>
      </c>
      <c r="T44" s="63">
        <v>0.89007864842652995</v>
      </c>
      <c r="U44" s="48"/>
      <c r="V44" s="48"/>
      <c r="W44" s="48"/>
      <c r="X44" s="48"/>
      <c r="Y44" s="48"/>
      <c r="Z44" s="48"/>
      <c r="AA44" s="48"/>
    </row>
    <row r="45" spans="1:27">
      <c r="A45" t="s">
        <v>0</v>
      </c>
      <c r="B45" s="61"/>
      <c r="C45" s="61"/>
      <c r="D45" s="63"/>
      <c r="E45" s="61"/>
      <c r="F45" s="61"/>
      <c r="G45" s="63"/>
      <c r="H45" s="61"/>
      <c r="I45" s="63"/>
      <c r="J45" s="63"/>
      <c r="K45" s="61"/>
      <c r="L45" s="61"/>
      <c r="M45" s="61"/>
      <c r="N45" s="63"/>
      <c r="O45" s="63"/>
      <c r="P45" s="63"/>
      <c r="Q45" s="63"/>
      <c r="R45" s="63"/>
      <c r="S45" s="63"/>
      <c r="T45" s="63"/>
      <c r="U45" s="48"/>
      <c r="V45" s="48"/>
      <c r="W45" s="48"/>
      <c r="X45" s="48"/>
      <c r="Y45" s="48"/>
      <c r="Z45" s="48"/>
      <c r="AA45" s="48"/>
    </row>
    <row r="46" spans="1:27">
      <c r="A46" s="11" t="s">
        <v>222</v>
      </c>
      <c r="B46" s="61"/>
      <c r="C46" s="61"/>
      <c r="D46" s="63"/>
      <c r="E46" s="61"/>
      <c r="F46" s="61"/>
      <c r="G46" s="63"/>
      <c r="H46" s="61"/>
      <c r="I46" s="63"/>
      <c r="J46" s="63"/>
      <c r="K46" s="61"/>
      <c r="L46" s="61"/>
      <c r="M46" s="61"/>
      <c r="N46" s="63"/>
      <c r="O46" s="63"/>
      <c r="P46" s="63"/>
      <c r="Q46" s="63"/>
      <c r="R46" s="63"/>
      <c r="S46" s="63"/>
      <c r="T46" s="63"/>
      <c r="U46" s="48"/>
      <c r="V46" s="48"/>
      <c r="W46" s="48"/>
      <c r="X46" s="48"/>
      <c r="Y46" s="48"/>
      <c r="Z46" s="48"/>
      <c r="AA46" s="48"/>
    </row>
    <row r="47" spans="1:27">
      <c r="A47" s="11"/>
      <c r="B47" s="61"/>
      <c r="C47" s="61"/>
      <c r="D47" s="63"/>
      <c r="E47" s="61"/>
      <c r="F47" s="61"/>
      <c r="G47" s="63"/>
      <c r="H47" s="61"/>
      <c r="I47" s="63"/>
      <c r="J47" s="63"/>
      <c r="K47" s="61"/>
      <c r="L47" s="61"/>
      <c r="M47" s="61"/>
      <c r="N47" s="63"/>
      <c r="O47" s="63"/>
      <c r="P47" s="63"/>
      <c r="Q47" s="63"/>
      <c r="R47" s="63"/>
      <c r="S47" s="63"/>
      <c r="T47" s="63"/>
      <c r="U47" s="48"/>
      <c r="V47" s="48"/>
      <c r="W47" s="48"/>
      <c r="X47" s="48"/>
      <c r="Y47" s="48"/>
      <c r="Z47" s="48"/>
      <c r="AA47" s="48"/>
    </row>
    <row r="48" spans="1:27">
      <c r="A48" t="s">
        <v>223</v>
      </c>
      <c r="B48" s="61"/>
      <c r="C48" s="63"/>
      <c r="D48" s="63"/>
      <c r="E48" s="61"/>
      <c r="F48" s="61"/>
      <c r="G48" s="63"/>
      <c r="H48" s="61"/>
      <c r="I48" s="63"/>
      <c r="J48" s="63"/>
      <c r="K48" s="61"/>
      <c r="L48" s="61"/>
      <c r="M48" s="61"/>
      <c r="N48" s="63"/>
      <c r="O48" s="63"/>
      <c r="P48" s="63"/>
      <c r="Q48" s="63"/>
      <c r="R48" s="63"/>
      <c r="S48" s="63"/>
      <c r="T48" s="63"/>
      <c r="U48" s="48"/>
      <c r="V48" s="48"/>
      <c r="W48" s="48"/>
      <c r="X48" s="48"/>
      <c r="Y48" s="48"/>
      <c r="Z48" s="48"/>
      <c r="AA48" s="48"/>
    </row>
    <row r="49" spans="1:27">
      <c r="A49" t="s">
        <v>224</v>
      </c>
      <c r="B49" s="63">
        <f>+unibkvar!B63/unibkvar!B61</f>
        <v>2.1438281630590567E-3</v>
      </c>
      <c r="C49" s="63">
        <v>2.7105435923003669E-3</v>
      </c>
      <c r="D49" s="63"/>
      <c r="E49" s="61">
        <v>0</v>
      </c>
      <c r="F49" s="63">
        <v>3.3657073790817203E-3</v>
      </c>
      <c r="G49" s="63"/>
      <c r="H49" s="61">
        <v>0</v>
      </c>
      <c r="I49" s="63">
        <v>3.3189606937650694E-3</v>
      </c>
      <c r="J49" s="63"/>
      <c r="K49" s="61">
        <v>0</v>
      </c>
      <c r="L49" s="63">
        <v>7.0708098606247496E-4</v>
      </c>
      <c r="M49" s="61"/>
      <c r="N49" s="63">
        <f>+B49</f>
        <v>2.1438281630590567E-3</v>
      </c>
      <c r="O49" s="63">
        <f>+C49</f>
        <v>2.7105435923003669E-3</v>
      </c>
      <c r="P49" s="63"/>
      <c r="Q49" s="63">
        <v>6.9999999999999999E-4</v>
      </c>
      <c r="R49" s="63">
        <v>1.8E-3</v>
      </c>
      <c r="S49" s="63">
        <v>2.5999999999999999E-3</v>
      </c>
      <c r="T49" s="63">
        <v>4.4267468235338909E-3</v>
      </c>
      <c r="U49" s="48"/>
      <c r="V49" s="48"/>
      <c r="W49" s="48"/>
      <c r="X49" s="48"/>
      <c r="Y49" s="48"/>
      <c r="Z49" s="48"/>
      <c r="AA49" s="48"/>
    </row>
    <row r="50" spans="1:27">
      <c r="B50" s="61"/>
      <c r="C50" s="63"/>
      <c r="D50" s="63"/>
      <c r="E50" s="61"/>
      <c r="F50" s="61"/>
      <c r="G50" s="63"/>
      <c r="H50" s="61"/>
      <c r="I50" s="63"/>
      <c r="J50" s="63"/>
      <c r="K50" s="61"/>
      <c r="L50" s="61"/>
      <c r="M50" s="61"/>
      <c r="N50" s="63"/>
      <c r="O50" s="63"/>
      <c r="P50" s="63"/>
      <c r="Q50" s="63"/>
      <c r="R50" s="63"/>
      <c r="S50" s="63"/>
      <c r="T50" s="63"/>
      <c r="U50" s="48"/>
      <c r="V50" s="48"/>
      <c r="W50" s="48"/>
      <c r="X50" s="48"/>
      <c r="Y50" s="48"/>
      <c r="Z50" s="48"/>
      <c r="AA50" s="48"/>
    </row>
    <row r="51" spans="1:27">
      <c r="A51" t="s">
        <v>225</v>
      </c>
      <c r="B51" s="61"/>
      <c r="C51" s="63"/>
      <c r="D51" s="63"/>
      <c r="E51" s="61"/>
      <c r="F51" s="61"/>
      <c r="G51" s="63"/>
      <c r="H51" s="61"/>
      <c r="I51" s="63"/>
      <c r="J51" s="63"/>
      <c r="K51" s="61"/>
      <c r="L51" s="61"/>
      <c r="M51" s="61"/>
      <c r="N51" s="62" t="s">
        <v>0</v>
      </c>
      <c r="O51" s="63"/>
      <c r="P51" s="63"/>
      <c r="Q51" s="62" t="s">
        <v>0</v>
      </c>
      <c r="R51" s="62" t="s">
        <v>0</v>
      </c>
      <c r="S51" s="62" t="s">
        <v>0</v>
      </c>
      <c r="T51" s="63" t="s">
        <v>0</v>
      </c>
      <c r="U51" s="48"/>
      <c r="V51" s="48"/>
      <c r="W51" s="48"/>
      <c r="X51" s="48"/>
      <c r="Y51" s="48"/>
      <c r="Z51" s="48"/>
      <c r="AA51" s="48"/>
    </row>
    <row r="52" spans="1:27">
      <c r="A52" t="s">
        <v>226</v>
      </c>
      <c r="B52" s="63">
        <f>+unibkvar!B62/unibkvar!B63</f>
        <v>2.5205575491971759</v>
      </c>
      <c r="C52" s="63">
        <v>2.0359016327263086</v>
      </c>
      <c r="D52" s="63"/>
      <c r="E52" s="61">
        <v>0</v>
      </c>
      <c r="F52" s="63">
        <v>1.8947149953163389</v>
      </c>
      <c r="G52" s="63"/>
      <c r="H52" s="61">
        <v>0</v>
      </c>
      <c r="I52" s="63">
        <v>2.192712402297941</v>
      </c>
      <c r="J52" s="63"/>
      <c r="K52" s="61">
        <v>0</v>
      </c>
      <c r="L52" s="63">
        <v>6.8760177150536164</v>
      </c>
      <c r="M52" s="61"/>
      <c r="N52" s="63">
        <f>+B52</f>
        <v>2.5205575491971759</v>
      </c>
      <c r="O52" s="63">
        <f>+C52</f>
        <v>2.0359016327263086</v>
      </c>
      <c r="P52" s="63"/>
      <c r="Q52" s="63">
        <v>6.8760000000000003</v>
      </c>
      <c r="R52" s="63">
        <v>2.6709000000000001</v>
      </c>
      <c r="S52" s="63">
        <v>1.2761</v>
      </c>
      <c r="T52" s="318">
        <v>0.90363341959414656</v>
      </c>
      <c r="U52" s="48"/>
      <c r="V52" s="48"/>
      <c r="W52" s="48"/>
      <c r="X52" s="48"/>
      <c r="Y52" s="48"/>
      <c r="Z52" s="48"/>
      <c r="AA52" s="48"/>
    </row>
    <row r="53" spans="1:27">
      <c r="B53" s="61"/>
      <c r="C53" s="63"/>
      <c r="D53" s="63"/>
      <c r="E53" s="61"/>
      <c r="F53" s="61"/>
      <c r="G53" s="63"/>
      <c r="H53" s="61"/>
      <c r="I53" s="63"/>
      <c r="J53" s="63"/>
      <c r="K53" s="61"/>
      <c r="L53" s="61"/>
      <c r="M53" s="61"/>
      <c r="N53" s="63"/>
      <c r="O53" s="63"/>
      <c r="P53" s="63"/>
      <c r="Q53" s="63"/>
      <c r="R53" s="63"/>
      <c r="S53" s="63"/>
      <c r="T53" s="63"/>
      <c r="U53" s="48"/>
      <c r="V53" s="48"/>
      <c r="W53" s="48"/>
      <c r="X53" s="48"/>
      <c r="Y53" s="48"/>
      <c r="Z53" s="48"/>
      <c r="AA53" s="48"/>
    </row>
    <row r="54" spans="1:27">
      <c r="A54" t="s">
        <v>227</v>
      </c>
      <c r="B54" s="61"/>
      <c r="C54" s="63"/>
      <c r="D54" s="63"/>
      <c r="E54" s="61"/>
      <c r="F54" s="61"/>
      <c r="G54" s="63"/>
      <c r="H54" s="61"/>
      <c r="I54" s="63"/>
      <c r="J54" s="63"/>
      <c r="K54" s="61"/>
      <c r="L54" s="61"/>
      <c r="M54" s="61"/>
      <c r="N54" s="63"/>
      <c r="O54" s="63"/>
      <c r="P54" s="63"/>
      <c r="Q54" s="63"/>
      <c r="R54" s="63"/>
      <c r="S54" s="63"/>
      <c r="T54" s="63"/>
      <c r="U54" s="48"/>
      <c r="V54" s="48"/>
      <c r="W54" s="48"/>
      <c r="X54" s="48"/>
      <c r="Y54" s="48"/>
      <c r="Z54" s="48"/>
      <c r="AA54" s="48"/>
    </row>
    <row r="55" spans="1:27">
      <c r="A55" t="s">
        <v>228</v>
      </c>
      <c r="B55" s="63">
        <f>+(unibkvar!B63-unibkvar!B62)/unibkvar!B52</f>
        <v>-1.3600623566944844E-2</v>
      </c>
      <c r="C55" s="63">
        <v>-1.1293756854838055E-2</v>
      </c>
      <c r="D55" s="63"/>
      <c r="E55" s="61">
        <v>0</v>
      </c>
      <c r="F55" s="63">
        <v>-1.1558919762307654E-2</v>
      </c>
      <c r="G55" s="63"/>
      <c r="H55" s="61">
        <v>0</v>
      </c>
      <c r="I55" s="63">
        <v>-1.5927901560554729E-2</v>
      </c>
      <c r="J55" s="63"/>
      <c r="K55" s="61">
        <v>0</v>
      </c>
      <c r="L55" s="63">
        <v>-1.7201643201620008E-2</v>
      </c>
      <c r="M55" s="61"/>
      <c r="N55" s="63">
        <f>+B55</f>
        <v>-1.3600623566944844E-2</v>
      </c>
      <c r="O55" s="63">
        <f>+C55</f>
        <v>-1.1293756854838055E-2</v>
      </c>
      <c r="P55" s="63"/>
      <c r="Q55" s="63">
        <v>-1.72E-2</v>
      </c>
      <c r="R55" s="63">
        <v>-1.3100000000000001E-2</v>
      </c>
      <c r="S55" s="63">
        <v>-2.8E-3</v>
      </c>
      <c r="T55" s="63">
        <v>1.4996608729481592E-3</v>
      </c>
      <c r="U55" s="48"/>
      <c r="V55" s="48"/>
      <c r="W55" s="48"/>
      <c r="X55" s="48"/>
      <c r="Y55" s="48"/>
      <c r="Z55" s="48"/>
      <c r="AA55" s="48"/>
    </row>
    <row r="56" spans="1:27">
      <c r="A56" t="s">
        <v>0</v>
      </c>
      <c r="B56" s="61"/>
      <c r="C56" s="63"/>
      <c r="D56" s="63"/>
      <c r="E56" s="61"/>
      <c r="F56" s="61"/>
      <c r="G56" s="63"/>
      <c r="H56" s="61"/>
      <c r="I56" s="63"/>
      <c r="J56" s="63"/>
      <c r="K56" s="61"/>
      <c r="L56" s="61"/>
      <c r="M56" s="61"/>
      <c r="N56" s="61"/>
      <c r="O56" s="63"/>
      <c r="P56" s="63"/>
      <c r="Q56" s="63"/>
      <c r="R56" s="63"/>
      <c r="S56" s="63"/>
      <c r="T56" s="63"/>
      <c r="U56" s="48"/>
      <c r="V56" s="48"/>
      <c r="W56" s="48"/>
      <c r="X56" s="48"/>
      <c r="Y56" s="48"/>
      <c r="Z56" s="48"/>
      <c r="AA56" s="48"/>
    </row>
    <row r="57" spans="1:27">
      <c r="A57" s="11" t="s">
        <v>229</v>
      </c>
      <c r="B57" s="61"/>
      <c r="C57" s="63"/>
      <c r="D57" s="63"/>
      <c r="E57" s="61"/>
      <c r="F57" s="61"/>
      <c r="G57" s="63"/>
      <c r="H57" s="61"/>
      <c r="I57" s="63"/>
      <c r="J57" s="63"/>
      <c r="K57" s="61"/>
      <c r="L57" s="61"/>
      <c r="M57" s="61"/>
      <c r="N57" s="61"/>
      <c r="O57" s="63"/>
      <c r="P57" s="63"/>
      <c r="Q57" s="63"/>
      <c r="R57" s="63"/>
      <c r="S57" s="63"/>
      <c r="T57" s="63"/>
      <c r="U57" s="48"/>
      <c r="V57" s="48"/>
      <c r="W57" s="48"/>
      <c r="X57" s="48"/>
      <c r="Y57" s="48"/>
      <c r="Z57" s="48"/>
      <c r="AA57" s="48"/>
    </row>
    <row r="58" spans="1:27">
      <c r="A58" s="11"/>
      <c r="B58" s="61"/>
      <c r="C58" s="63"/>
      <c r="D58" s="63"/>
      <c r="E58" s="61"/>
      <c r="F58" s="61"/>
      <c r="G58" s="63"/>
      <c r="H58" s="61"/>
      <c r="I58" s="63"/>
      <c r="J58" s="63"/>
      <c r="K58" s="61"/>
      <c r="L58" s="61"/>
      <c r="M58" s="61"/>
      <c r="N58" s="61"/>
      <c r="O58" s="63"/>
      <c r="P58" s="63"/>
      <c r="Q58" s="63"/>
      <c r="R58" s="63"/>
      <c r="S58" s="63"/>
      <c r="T58" s="63"/>
      <c r="U58" s="48"/>
      <c r="V58" s="48"/>
      <c r="W58" s="48"/>
      <c r="X58" s="48"/>
      <c r="Y58" s="48"/>
      <c r="Z58" s="48"/>
      <c r="AA58" s="48"/>
    </row>
    <row r="59" spans="1:27">
      <c r="A59" t="s">
        <v>230</v>
      </c>
      <c r="B59" s="63">
        <f>+('UNIBKRÉSULT   '!B41/((unibkvar!B23+unibkvar!J23)/2)*4)</f>
        <v>2.3142508115749857E-2</v>
      </c>
      <c r="C59" s="63">
        <v>1.9090549750373605E-2</v>
      </c>
      <c r="D59" s="63"/>
      <c r="E59" s="61">
        <v>0</v>
      </c>
      <c r="F59" s="63">
        <v>2.906011203983928E-2</v>
      </c>
      <c r="G59" s="63"/>
      <c r="H59" s="61">
        <v>0</v>
      </c>
      <c r="I59" s="63">
        <v>3.2768439475096084E-2</v>
      </c>
      <c r="J59" s="63"/>
      <c r="K59" s="61">
        <v>0</v>
      </c>
      <c r="L59" s="62">
        <v>3.2401786400884917E-2</v>
      </c>
      <c r="M59" s="61"/>
      <c r="N59" s="320">
        <f>+'sysratfinclédéc. 14'!G37</f>
        <v>2.3142508115749857E-2</v>
      </c>
      <c r="O59" s="320">
        <f>+'sysratfinclédéc. 14'!G38</f>
        <v>1.9099999999999999E-2</v>
      </c>
      <c r="P59" s="63"/>
      <c r="Q59" s="62">
        <v>2.7699999999999999E-2</v>
      </c>
      <c r="R59" s="62">
        <v>2.4E-2</v>
      </c>
      <c r="S59" s="62">
        <v>2.3E-2</v>
      </c>
      <c r="T59" s="62">
        <v>2.3604546026544916E-2</v>
      </c>
      <c r="U59" s="48"/>
      <c r="V59" s="48"/>
      <c r="W59" s="48"/>
      <c r="X59" s="48"/>
      <c r="Y59" s="48"/>
      <c r="Z59" s="48"/>
      <c r="AA59" s="48"/>
    </row>
    <row r="60" spans="1:27" ht="7.15" customHeight="1">
      <c r="B60" s="61"/>
      <c r="C60" s="63"/>
      <c r="D60" s="63"/>
      <c r="E60" s="61"/>
      <c r="F60" s="61"/>
      <c r="G60" s="63"/>
      <c r="H60" s="61"/>
      <c r="I60" s="63"/>
      <c r="J60" s="63"/>
      <c r="K60" s="61"/>
      <c r="L60" s="63"/>
      <c r="M60" s="61"/>
      <c r="N60" s="61"/>
      <c r="O60" s="61"/>
      <c r="P60" s="63"/>
      <c r="Q60" s="63"/>
      <c r="R60" s="63"/>
      <c r="S60" s="63"/>
      <c r="T60" s="63"/>
      <c r="U60" s="48"/>
      <c r="V60" s="48"/>
      <c r="W60" s="48"/>
      <c r="X60" s="48"/>
      <c r="Y60" s="48"/>
      <c r="Z60" s="48"/>
      <c r="AA60" s="48"/>
    </row>
    <row r="61" spans="1:27">
      <c r="A61" t="s">
        <v>390</v>
      </c>
      <c r="B61" s="63">
        <f>+('UNIBKRÉSULT   '!B41/((unibkvar!J52+unibkvar!B52)/2)*4)</f>
        <v>0.24294107437720838</v>
      </c>
      <c r="C61" s="63">
        <v>0.20833878233275999</v>
      </c>
      <c r="D61" s="63"/>
      <c r="E61" s="61">
        <v>0</v>
      </c>
      <c r="F61" s="63">
        <v>0.30152666612404816</v>
      </c>
      <c r="G61" s="63"/>
      <c r="H61" s="61">
        <v>0</v>
      </c>
      <c r="I61" s="63">
        <v>0.34396354641510785</v>
      </c>
      <c r="J61" s="321" t="s">
        <v>0</v>
      </c>
      <c r="K61" s="61">
        <v>0</v>
      </c>
      <c r="L61" s="63">
        <v>0.35026572791454141</v>
      </c>
      <c r="M61" s="61"/>
      <c r="N61" s="320">
        <f>+'sysratfinclédéc. 14'!G43</f>
        <v>0.24294107437720838</v>
      </c>
      <c r="O61" s="320">
        <f>+'sysratfinclédéc. 14'!G44</f>
        <v>0.20830000000000001</v>
      </c>
      <c r="P61" s="63"/>
      <c r="Q61" s="63">
        <v>0.30630000000000002</v>
      </c>
      <c r="R61" s="63">
        <v>0.28299999999999997</v>
      </c>
      <c r="S61" s="63">
        <v>0.2878</v>
      </c>
      <c r="T61" s="63">
        <v>0.29933224855217599</v>
      </c>
      <c r="U61" s="48"/>
      <c r="V61" s="48"/>
      <c r="W61" s="48"/>
      <c r="X61" s="48"/>
      <c r="Y61" s="48"/>
      <c r="Z61" s="48"/>
      <c r="AA61" s="48"/>
    </row>
    <row r="62" spans="1:27" ht="7.15" customHeight="1">
      <c r="B62" s="61"/>
      <c r="C62" s="63"/>
      <c r="D62" s="63"/>
      <c r="E62" s="61"/>
      <c r="F62" s="61"/>
      <c r="G62" s="63"/>
      <c r="H62" s="61"/>
      <c r="I62" s="63"/>
      <c r="J62" s="63"/>
      <c r="K62" s="61"/>
      <c r="L62" s="63"/>
      <c r="M62" s="61"/>
      <c r="N62" s="61"/>
      <c r="O62" s="61"/>
      <c r="P62" s="63"/>
      <c r="Q62" s="63"/>
      <c r="R62" s="63"/>
      <c r="S62" s="63"/>
      <c r="T62" s="63"/>
      <c r="U62" s="48"/>
      <c r="V62" s="48"/>
      <c r="W62" s="48"/>
      <c r="X62" s="48"/>
      <c r="Y62" s="48"/>
      <c r="Z62" s="48"/>
      <c r="AA62" s="48"/>
    </row>
    <row r="63" spans="1:27">
      <c r="A63" t="s">
        <v>209</v>
      </c>
      <c r="B63" s="61"/>
      <c r="C63" s="63"/>
      <c r="D63" s="63"/>
      <c r="E63" s="61"/>
      <c r="F63" s="61"/>
      <c r="G63" s="63"/>
      <c r="H63" s="61"/>
      <c r="I63" s="63"/>
      <c r="J63" s="63"/>
      <c r="K63" s="61"/>
      <c r="L63" s="63"/>
      <c r="M63" s="61"/>
      <c r="N63" s="61"/>
      <c r="O63" s="61"/>
      <c r="P63" s="63"/>
      <c r="Q63" s="63"/>
      <c r="R63" s="63"/>
      <c r="S63" s="63"/>
      <c r="T63" s="63"/>
      <c r="U63" s="48"/>
      <c r="V63" s="48"/>
      <c r="W63" s="48"/>
      <c r="X63" s="48"/>
      <c r="Y63" s="48"/>
      <c r="Z63" s="48"/>
      <c r="AA63" s="48"/>
    </row>
    <row r="64" spans="1:27">
      <c r="A64" t="s">
        <v>233</v>
      </c>
      <c r="B64" s="63">
        <f>+'UNIBKRÉSULT   '!B15/'UNIBKRÉSULT   '!B13</f>
        <v>0.87822741505292101</v>
      </c>
      <c r="C64" s="63">
        <v>0.91842699880245504</v>
      </c>
      <c r="D64" s="63"/>
      <c r="E64" s="61">
        <v>0</v>
      </c>
      <c r="F64" s="63">
        <v>0.9176759708156087</v>
      </c>
      <c r="G64" s="63"/>
      <c r="H64" s="61">
        <v>0</v>
      </c>
      <c r="I64" s="63">
        <v>0.83904192950741074</v>
      </c>
      <c r="J64" s="63"/>
      <c r="K64" s="61">
        <v>0</v>
      </c>
      <c r="L64" s="63">
        <v>0.86247269621478173</v>
      </c>
      <c r="M64" s="61"/>
      <c r="N64" s="320">
        <f>+'sysratfinclédéc. 14'!G50</f>
        <v>0.87822741505292101</v>
      </c>
      <c r="O64" s="320">
        <f>+'sysratfinclédéc. 14'!G51</f>
        <v>0.91842699880245504</v>
      </c>
      <c r="P64" s="63"/>
      <c r="Q64" s="63">
        <v>0.88149999999999995</v>
      </c>
      <c r="R64" s="63">
        <v>0.93779999999999997</v>
      </c>
      <c r="S64" s="63">
        <v>0.94120000000000004</v>
      </c>
      <c r="T64" s="63">
        <v>0.92902484119809747</v>
      </c>
      <c r="U64" s="48"/>
      <c r="V64" s="48"/>
      <c r="W64" s="48"/>
      <c r="X64" s="48"/>
      <c r="Y64" s="48"/>
      <c r="Z64" s="48"/>
      <c r="AA64" s="48"/>
    </row>
    <row r="65" spans="1:27" ht="7.15" customHeight="1">
      <c r="B65" s="61"/>
      <c r="C65" s="63"/>
      <c r="D65" s="63"/>
      <c r="E65" s="61"/>
      <c r="F65" s="61"/>
      <c r="G65" s="63"/>
      <c r="H65" s="61"/>
      <c r="I65" s="63"/>
      <c r="J65" s="63"/>
      <c r="K65" s="61"/>
      <c r="L65" s="63"/>
      <c r="M65" s="61"/>
      <c r="N65" s="61"/>
      <c r="O65" s="61"/>
      <c r="P65" s="63"/>
      <c r="Q65" s="63"/>
      <c r="R65" s="63"/>
      <c r="S65" s="63"/>
      <c r="T65" s="63"/>
      <c r="U65" s="48"/>
      <c r="V65" s="48"/>
      <c r="W65" s="48"/>
      <c r="X65" s="48"/>
      <c r="Y65" s="48"/>
      <c r="Z65" s="48"/>
      <c r="AA65" s="48"/>
    </row>
    <row r="66" spans="1:27">
      <c r="A66" t="s">
        <v>234</v>
      </c>
      <c r="B66" s="63">
        <f>+('UNIBKRÉSULT   '!B10/((unibkvar!B61+unibkvar!J61)/2)*4)</f>
        <v>8.0621000354003158E-2</v>
      </c>
      <c r="C66" s="60">
        <v>6.8357897424583133E-2</v>
      </c>
      <c r="D66" s="60"/>
      <c r="E66" s="61">
        <v>0</v>
      </c>
      <c r="F66" s="63">
        <v>6.7571278717737965E-2</v>
      </c>
      <c r="G66" s="60"/>
      <c r="H66" s="61">
        <v>0</v>
      </c>
      <c r="I66" s="63">
        <v>7.8903361976377359E-2</v>
      </c>
      <c r="J66" s="60"/>
      <c r="K66" s="61">
        <v>0</v>
      </c>
      <c r="L66" s="60">
        <v>7.8660264274875644E-2</v>
      </c>
      <c r="M66" s="17"/>
      <c r="N66" s="320">
        <f>+'sysratfinclédéc. 14'!G56</f>
        <v>8.0621000354003158E-2</v>
      </c>
      <c r="O66" s="320">
        <f>+'sysratfinclédéc. 14'!G57</f>
        <v>6.8400000000000002E-2</v>
      </c>
      <c r="P66" s="60"/>
      <c r="Q66" s="60">
        <v>7.1199999999999999E-2</v>
      </c>
      <c r="R66" s="60">
        <v>6.3799999999999996E-2</v>
      </c>
      <c r="S66" s="60">
        <v>6.6900000000000001E-2</v>
      </c>
      <c r="T66" s="60">
        <v>7.4850530545249719E-2</v>
      </c>
    </row>
    <row r="67" spans="1:27" ht="7.15" customHeight="1">
      <c r="B67" s="17"/>
      <c r="C67" s="60"/>
      <c r="D67" s="60"/>
      <c r="E67" s="54"/>
      <c r="F67" s="54"/>
      <c r="G67" s="60"/>
      <c r="H67" s="54"/>
      <c r="I67" s="60"/>
      <c r="J67" s="60"/>
      <c r="K67" s="54"/>
      <c r="L67" s="60"/>
      <c r="M67" s="17"/>
      <c r="N67" s="54"/>
      <c r="O67" s="17"/>
      <c r="P67" s="60"/>
      <c r="Q67" s="60"/>
      <c r="R67" s="60"/>
      <c r="S67" s="60"/>
      <c r="T67" s="60"/>
    </row>
    <row r="68" spans="1:27" ht="15.75" customHeight="1">
      <c r="A68" t="s">
        <v>630</v>
      </c>
      <c r="B68" s="63">
        <f>+('UNIBKRÉSULT   '!B10/((unibkvar!B61-unibkvar!B63+unibkvar!J61-unibkvar!J63)/2)*4)</f>
        <v>8.073807237387845E-2</v>
      </c>
      <c r="C68" s="984">
        <v>6.8514002079972963E-2</v>
      </c>
      <c r="D68" s="60"/>
      <c r="E68" s="54">
        <v>0</v>
      </c>
      <c r="F68" s="60">
        <v>6.7777599960537505E-2</v>
      </c>
      <c r="G68" s="60"/>
      <c r="H68" s="54">
        <v>0</v>
      </c>
      <c r="I68" s="60">
        <v>7.9167994691777072E-2</v>
      </c>
      <c r="J68" s="60"/>
      <c r="K68" s="54">
        <v>0</v>
      </c>
      <c r="L68" s="60">
        <v>7.8813570544953235E-2</v>
      </c>
      <c r="M68" s="17"/>
      <c r="N68" s="320">
        <f>+'sysratfinclédéc. 14'!G62</f>
        <v>8.073807237387845E-2</v>
      </c>
      <c r="O68" s="320">
        <f>+'sysratfinclédéc. 14'!G63</f>
        <v>6.8500000000000005E-2</v>
      </c>
      <c r="P68" s="60"/>
      <c r="Q68" s="60">
        <v>7.1300000000000002E-2</v>
      </c>
      <c r="R68" s="60">
        <v>6.3899999999999998E-2</v>
      </c>
      <c r="S68" s="60">
        <v>6.7100000000000007E-2</v>
      </c>
      <c r="T68" s="60">
        <v>7.5232755711992741E-2</v>
      </c>
    </row>
    <row r="69" spans="1:27" ht="7.15" customHeight="1">
      <c r="B69" s="17"/>
      <c r="C69" s="60"/>
      <c r="D69" s="60"/>
      <c r="E69" s="54"/>
      <c r="F69" s="54"/>
      <c r="G69" s="60"/>
      <c r="H69" s="54"/>
      <c r="I69" s="60"/>
      <c r="J69" s="60"/>
      <c r="K69" s="54"/>
      <c r="L69" s="60"/>
      <c r="M69" s="17"/>
      <c r="N69" s="54"/>
      <c r="O69" s="17"/>
      <c r="P69" s="60"/>
      <c r="Q69" s="60" t="s">
        <v>0</v>
      </c>
      <c r="R69" s="60" t="s">
        <v>0</v>
      </c>
      <c r="S69" s="60" t="s">
        <v>0</v>
      </c>
      <c r="T69" s="60"/>
    </row>
    <row r="70" spans="1:27">
      <c r="A70" t="s">
        <v>235</v>
      </c>
      <c r="B70" s="63">
        <f>+('UNIBKRÉSULT   '!B14/((unibkvar!J30+unibkvar!B30)/2)*4)</f>
        <v>4.9694201299825703E-3</v>
      </c>
      <c r="C70" s="60">
        <v>2.5519884047612218E-3</v>
      </c>
      <c r="D70" s="60"/>
      <c r="E70" s="61">
        <v>0</v>
      </c>
      <c r="F70" s="63">
        <v>2.5244811977003911E-3</v>
      </c>
      <c r="G70" s="60"/>
      <c r="H70" s="61">
        <v>0</v>
      </c>
      <c r="I70" s="63">
        <v>5.7489340485861497E-3</v>
      </c>
      <c r="J70" s="60"/>
      <c r="K70" s="61">
        <v>0</v>
      </c>
      <c r="L70" s="60">
        <v>5.1344112957051984E-3</v>
      </c>
      <c r="M70" s="17"/>
      <c r="N70" s="320">
        <f>+'sysratfinclédéc. 14'!G68</f>
        <v>4.9694201299825703E-3</v>
      </c>
      <c r="O70" s="320">
        <f>+'sysratfinclédéc. 14'!G69</f>
        <v>2.5999999999999999E-3</v>
      </c>
      <c r="P70" s="60"/>
      <c r="Q70" s="60">
        <v>4.0000000000000001E-3</v>
      </c>
      <c r="R70" s="60">
        <v>1.8E-3</v>
      </c>
      <c r="S70" s="60">
        <v>1.4E-3</v>
      </c>
      <c r="T70" s="60">
        <v>1.7024471003997115E-3</v>
      </c>
    </row>
    <row r="71" spans="1:27" ht="6" customHeight="1">
      <c r="B71" s="17"/>
      <c r="C71" s="60"/>
      <c r="D71" s="60"/>
      <c r="E71" s="54"/>
      <c r="F71" s="54"/>
      <c r="G71" s="60"/>
      <c r="H71" s="54"/>
      <c r="I71" s="60"/>
      <c r="J71" s="60"/>
      <c r="K71" s="54"/>
      <c r="L71" s="60"/>
      <c r="M71" s="17"/>
      <c r="N71" s="321" t="s">
        <v>0</v>
      </c>
      <c r="O71" s="17"/>
      <c r="P71" s="60"/>
      <c r="Q71" s="60" t="s">
        <v>0</v>
      </c>
      <c r="R71" s="60" t="s">
        <v>0</v>
      </c>
      <c r="S71" s="60" t="s">
        <v>0</v>
      </c>
      <c r="T71" s="60" t="s">
        <v>0</v>
      </c>
    </row>
    <row r="72" spans="1:27">
      <c r="A72" t="s">
        <v>212</v>
      </c>
      <c r="B72" s="17"/>
      <c r="C72" s="60"/>
      <c r="D72" s="60"/>
      <c r="E72" s="54"/>
      <c r="F72" s="54"/>
      <c r="G72" s="60"/>
      <c r="H72" s="54"/>
      <c r="I72" s="60"/>
      <c r="J72" s="60"/>
      <c r="K72" s="54"/>
      <c r="L72" s="60"/>
      <c r="M72" s="17"/>
      <c r="N72" s="54"/>
      <c r="O72" s="17"/>
      <c r="P72" s="60"/>
      <c r="Q72" s="60"/>
      <c r="R72" s="60"/>
      <c r="S72" s="60"/>
      <c r="T72" s="60"/>
    </row>
    <row r="73" spans="1:27">
      <c r="A73" t="s">
        <v>236</v>
      </c>
      <c r="B73" s="63">
        <f>+'UNIBKRÉSULT   '!B35/'UNIBKRÉSULT   '!B23</f>
        <v>0.55681072587046476</v>
      </c>
      <c r="C73" s="60">
        <v>0.59960177041482254</v>
      </c>
      <c r="D73" s="60"/>
      <c r="E73" s="61">
        <v>0</v>
      </c>
      <c r="F73" s="63">
        <v>0.52158698198470865</v>
      </c>
      <c r="G73" s="60"/>
      <c r="H73" s="61">
        <v>0</v>
      </c>
      <c r="I73" s="63">
        <v>0.50298101219678437</v>
      </c>
      <c r="J73" s="60"/>
      <c r="K73" s="61">
        <v>0</v>
      </c>
      <c r="L73" s="60">
        <v>0.50145728494788233</v>
      </c>
      <c r="M73" s="17"/>
      <c r="N73" s="320">
        <f>+'sysratfinclédéc. 14'!G76</f>
        <v>0.55681072587046476</v>
      </c>
      <c r="O73" s="320">
        <f>+'sysratfinclédéc. 14'!G77</f>
        <v>0.59960177041482254</v>
      </c>
      <c r="P73" s="60"/>
      <c r="Q73" s="60">
        <v>0.52680000000000005</v>
      </c>
      <c r="R73" s="60">
        <v>0.55459999999999998</v>
      </c>
      <c r="S73" s="60">
        <v>0.58599999999999997</v>
      </c>
      <c r="T73" s="60">
        <v>0.56627874763713992</v>
      </c>
    </row>
    <row r="74" spans="1:27">
      <c r="A74" t="s">
        <v>385</v>
      </c>
      <c r="B74" s="17"/>
      <c r="C74" s="17"/>
      <c r="D74" s="60"/>
      <c r="E74" s="54"/>
      <c r="F74" s="54"/>
      <c r="G74" s="60"/>
      <c r="H74" s="54"/>
      <c r="I74" s="54"/>
      <c r="J74" s="60"/>
      <c r="K74" s="54"/>
      <c r="L74" s="54"/>
      <c r="M74" s="17"/>
      <c r="N74" s="54"/>
      <c r="O74" s="17"/>
      <c r="P74" s="17"/>
      <c r="Q74" s="17"/>
      <c r="R74" s="17"/>
      <c r="S74" s="17"/>
      <c r="T74" s="17"/>
    </row>
    <row r="75" spans="1:27">
      <c r="B75" s="17"/>
      <c r="C75" s="17"/>
      <c r="D75" s="60"/>
      <c r="E75" s="54"/>
      <c r="F75" s="54"/>
      <c r="G75" s="60"/>
      <c r="H75" s="54"/>
      <c r="I75" s="54"/>
      <c r="J75" s="60"/>
      <c r="K75" s="54"/>
      <c r="L75" s="54"/>
      <c r="M75" s="17"/>
      <c r="N75" s="54"/>
      <c r="O75" s="17"/>
      <c r="P75" s="17"/>
      <c r="Q75" s="17"/>
      <c r="R75" s="17"/>
      <c r="S75" s="17"/>
      <c r="T75" s="17"/>
    </row>
    <row r="76" spans="1:27">
      <c r="A76" t="s">
        <v>238</v>
      </c>
      <c r="B76" s="1311">
        <f>+('UNIBKRÉSULT   '!B23/((employés!S138+employés!S136)/2)*4)</f>
        <v>3337.3646922097714</v>
      </c>
      <c r="C76" s="54">
        <v>2882.3456561890976</v>
      </c>
      <c r="D76" s="60"/>
      <c r="E76" s="54">
        <v>0</v>
      </c>
      <c r="F76" s="54">
        <v>3322.5586378857956</v>
      </c>
      <c r="G76" s="60"/>
      <c r="H76" s="54">
        <v>0</v>
      </c>
      <c r="I76" s="54">
        <v>3608.0478646407323</v>
      </c>
      <c r="J76" s="60"/>
      <c r="K76" s="54">
        <v>0</v>
      </c>
      <c r="L76" s="54">
        <v>3738.6765651086957</v>
      </c>
      <c r="M76" s="17"/>
      <c r="N76" s="663">
        <f>+'sysratfinclédéc. 14'!G82</f>
        <v>3337.3646922097714</v>
      </c>
      <c r="O76" s="663">
        <f>+'sysratfinclédéc. 14'!G83</f>
        <v>2882.35</v>
      </c>
      <c r="P76" s="17"/>
      <c r="Q76" s="54">
        <v>3397.92</v>
      </c>
      <c r="R76" s="54">
        <v>3033.68</v>
      </c>
      <c r="S76" s="54">
        <v>2693.36</v>
      </c>
      <c r="T76" s="54">
        <v>2761.2589778463202</v>
      </c>
    </row>
    <row r="77" spans="1:27" ht="16.5" thickBot="1">
      <c r="B77" s="25"/>
      <c r="C77" s="25"/>
      <c r="D77" s="25"/>
      <c r="E77" s="25"/>
      <c r="F77" s="25"/>
      <c r="G77" s="25"/>
      <c r="H77" s="25"/>
      <c r="I77" s="25"/>
      <c r="J77" s="25"/>
      <c r="K77" s="25"/>
      <c r="L77" s="25"/>
      <c r="M77" s="25"/>
      <c r="N77" s="25"/>
      <c r="O77" s="25"/>
      <c r="P77" s="25"/>
      <c r="Q77" s="25"/>
      <c r="R77" s="25"/>
      <c r="S77" s="25"/>
      <c r="T77" s="25"/>
    </row>
    <row r="79" spans="1:27">
      <c r="A79" t="s">
        <v>0</v>
      </c>
    </row>
  </sheetData>
  <phoneticPr fontId="0" type="noConversion"/>
  <pageMargins left="0.2" right="0.2" top="0.59" bottom="0.43" header="0.43" footer="0.2"/>
  <pageSetup scale="44" orientation="landscape" r:id="rId1"/>
  <headerFooter alignWithMargins="0">
    <oddFooter>&amp;R&amp;16&amp;P</oddFooter>
  </headerFooter>
</worksheet>
</file>

<file path=xl/worksheets/sheet115.xml><?xml version="1.0" encoding="utf-8"?>
<worksheet xmlns="http://schemas.openxmlformats.org/spreadsheetml/2006/main" xmlns:r="http://schemas.openxmlformats.org/officeDocument/2006/relationships">
  <sheetPr>
    <pageSetUpPr fitToPage="1"/>
  </sheetPr>
  <dimension ref="A1:U174"/>
  <sheetViews>
    <sheetView topLeftCell="A6" workbookViewId="0">
      <pane xSplit="1" ySplit="2" topLeftCell="B8"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9.25"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11.2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8" width="15.75" style="20" customWidth="1"/>
    <col min="19" max="21" width="15.75" customWidth="1"/>
  </cols>
  <sheetData>
    <row r="1" spans="1:21">
      <c r="A1" s="111" t="s">
        <v>411</v>
      </c>
      <c r="B1" s="42"/>
      <c r="C1" s="43"/>
      <c r="D1" s="42"/>
      <c r="E1" s="43"/>
      <c r="F1" s="42"/>
      <c r="G1" s="43"/>
      <c r="H1" s="42"/>
      <c r="I1" s="43"/>
      <c r="J1" s="42"/>
      <c r="K1" s="43"/>
      <c r="L1" s="42"/>
      <c r="M1" s="43"/>
      <c r="N1" s="42"/>
      <c r="O1" s="43"/>
      <c r="P1" s="42"/>
    </row>
    <row r="2" spans="1:21">
      <c r="A2" s="111" t="s">
        <v>291</v>
      </c>
      <c r="B2" s="42"/>
      <c r="C2" s="43"/>
      <c r="D2" s="42"/>
      <c r="E2" s="43"/>
      <c r="F2" s="42"/>
      <c r="G2" s="43"/>
      <c r="H2" s="42"/>
      <c r="I2" s="43"/>
      <c r="J2" s="42"/>
      <c r="K2" s="43"/>
      <c r="L2" s="42"/>
      <c r="M2" s="43"/>
      <c r="N2" s="42"/>
      <c r="O2" s="43"/>
      <c r="P2" s="42"/>
    </row>
    <row r="3" spans="1:21">
      <c r="A3" s="111" t="s">
        <v>386</v>
      </c>
      <c r="B3" s="42"/>
      <c r="C3" s="43"/>
      <c r="D3" s="42"/>
      <c r="E3" s="43"/>
      <c r="F3" s="42"/>
      <c r="G3" s="43"/>
      <c r="H3" s="42"/>
      <c r="I3" s="43"/>
      <c r="J3" s="42"/>
      <c r="K3" s="43"/>
      <c r="L3" s="42"/>
      <c r="M3" s="43"/>
      <c r="N3" s="42"/>
      <c r="O3" s="43"/>
      <c r="P3" s="42"/>
    </row>
    <row r="4" spans="1:21">
      <c r="A4" s="111" t="s">
        <v>198</v>
      </c>
      <c r="B4" s="42"/>
      <c r="C4" s="43"/>
      <c r="D4" s="42"/>
      <c r="E4" s="43"/>
      <c r="F4" s="42"/>
      <c r="G4" s="43"/>
      <c r="H4" s="42"/>
      <c r="I4" s="43"/>
      <c r="J4" s="42"/>
      <c r="K4" s="43"/>
      <c r="L4" s="42"/>
      <c r="M4" s="43"/>
      <c r="N4" s="42"/>
      <c r="O4" s="43"/>
      <c r="P4" s="42"/>
    </row>
    <row r="6" spans="1:21" s="11" customFormat="1" ht="16.5" thickBot="1">
      <c r="B6" s="346" t="s">
        <v>0</v>
      </c>
      <c r="C6" s="345"/>
      <c r="D6" s="346"/>
      <c r="E6" s="345"/>
      <c r="F6" s="346"/>
      <c r="G6" s="345"/>
      <c r="H6" s="346"/>
      <c r="I6" s="71" t="str">
        <f>+sgbelvar!I6</f>
        <v>Var. déc. 14</v>
      </c>
      <c r="J6" s="118" t="s">
        <v>195</v>
      </c>
      <c r="K6" s="207"/>
      <c r="L6" s="118"/>
      <c r="M6" s="207"/>
      <c r="N6" s="118"/>
      <c r="O6" s="207"/>
      <c r="P6" s="118"/>
      <c r="Q6" s="13"/>
      <c r="R6" s="13"/>
    </row>
    <row r="7" spans="1:21" s="11" customFormat="1" ht="16.5" thickBot="1">
      <c r="B7" s="200" t="str">
        <f>+sgbelvar!B7</f>
        <v>Déc. 14</v>
      </c>
      <c r="C7" s="201" t="s">
        <v>196</v>
      </c>
      <c r="D7" s="200" t="str">
        <f>+sgbelvar!D7</f>
        <v>Mars 15</v>
      </c>
      <c r="E7" s="201" t="s">
        <v>196</v>
      </c>
      <c r="F7" s="200" t="str">
        <f>+sgbelvar!F7</f>
        <v>Juin 15</v>
      </c>
      <c r="G7" s="201" t="s">
        <v>196</v>
      </c>
      <c r="H7" s="200" t="str">
        <f>+sgbelvar!H7</f>
        <v>Sept. 15</v>
      </c>
      <c r="I7" s="376" t="str">
        <f>+sgbelvar!I7</f>
        <v>/sept. 14</v>
      </c>
      <c r="J7" s="205" t="str">
        <f>+sgbelvar!J7</f>
        <v>2014</v>
      </c>
      <c r="K7" s="204" t="s">
        <v>196</v>
      </c>
      <c r="L7" s="205" t="str">
        <f>+sgbelvar!L7</f>
        <v>2013</v>
      </c>
      <c r="M7" s="204" t="s">
        <v>196</v>
      </c>
      <c r="N7" s="205" t="str">
        <f>+sgbelvar!N7</f>
        <v>2012</v>
      </c>
      <c r="O7" s="204" t="s">
        <v>196</v>
      </c>
      <c r="P7" s="205" t="str">
        <f>+sgbelvar!P7</f>
        <v>2011</v>
      </c>
      <c r="Q7" s="2"/>
      <c r="R7" s="2"/>
      <c r="S7" s="3"/>
      <c r="T7" s="3"/>
      <c r="U7" s="3"/>
    </row>
    <row r="8" spans="1:21">
      <c r="A8" s="86" t="s">
        <v>244</v>
      </c>
      <c r="B8" s="120"/>
      <c r="C8" s="119"/>
      <c r="D8" s="120"/>
      <c r="E8" s="119"/>
      <c r="F8" s="120"/>
      <c r="G8" s="119"/>
      <c r="H8" s="120"/>
      <c r="I8" s="119"/>
      <c r="J8" s="197"/>
      <c r="K8" s="119"/>
      <c r="L8" s="197"/>
      <c r="M8" s="119"/>
      <c r="N8" s="197"/>
      <c r="O8" s="119"/>
      <c r="P8" s="197"/>
      <c r="Q8" s="22"/>
      <c r="R8" s="22"/>
      <c r="S8" s="17"/>
      <c r="T8" s="17"/>
      <c r="U8" s="17"/>
    </row>
    <row r="9" spans="1:21">
      <c r="A9" s="10" t="s">
        <v>255</v>
      </c>
      <c r="B9"/>
    </row>
    <row r="10" spans="1:21">
      <c r="A10" s="10" t="s">
        <v>256</v>
      </c>
      <c r="B10" s="20">
        <v>1592760.338061552</v>
      </c>
      <c r="C10" s="49">
        <v>0</v>
      </c>
      <c r="D10" s="20">
        <v>0</v>
      </c>
      <c r="E10" s="49">
        <v>0</v>
      </c>
      <c r="F10" s="20">
        <v>0</v>
      </c>
      <c r="G10" s="49">
        <v>0</v>
      </c>
      <c r="H10" s="20">
        <v>0</v>
      </c>
      <c r="I10" s="52">
        <f t="shared" ref="I10:I15" si="0">+(B10-J10)/ABS(J10)</f>
        <v>1.5924212003526022</v>
      </c>
      <c r="J10" s="20">
        <v>614391.03253935603</v>
      </c>
      <c r="K10" s="52">
        <f t="shared" ref="K10:K15" si="1">+(J10-L10)/ABS(L10)</f>
        <v>0.10611185752148686</v>
      </c>
      <c r="L10" s="20">
        <v>555451.08603758109</v>
      </c>
      <c r="M10" s="52">
        <f t="shared" ref="M10:M15" si="2">+(L10-N10)/ABS(N10)</f>
        <v>4.8183670929486236E-2</v>
      </c>
      <c r="N10" s="20">
        <v>529917.70568704803</v>
      </c>
      <c r="O10" s="52">
        <f t="shared" ref="O10:O15" si="3">+(N10-P10)/ABS(P10)</f>
        <v>8.136054797624552E-2</v>
      </c>
      <c r="P10" s="20">
        <v>490047.19718948804</v>
      </c>
    </row>
    <row r="11" spans="1:21">
      <c r="A11" s="10" t="s">
        <v>257</v>
      </c>
      <c r="B11" s="24">
        <v>16594407.768534468</v>
      </c>
      <c r="C11" s="49">
        <v>0</v>
      </c>
      <c r="D11" s="24">
        <v>0</v>
      </c>
      <c r="E11" s="49">
        <v>0</v>
      </c>
      <c r="F11" s="24">
        <v>0</v>
      </c>
      <c r="G11" s="49">
        <v>0</v>
      </c>
      <c r="H11" s="24">
        <v>0</v>
      </c>
      <c r="I11" s="52">
        <f t="shared" si="0"/>
        <v>-8.4079845517877672E-2</v>
      </c>
      <c r="J11" s="24">
        <v>18117744.966445513</v>
      </c>
      <c r="K11" s="52">
        <f t="shared" si="1"/>
        <v>0.11439337694451555</v>
      </c>
      <c r="L11" s="24">
        <v>16257943.865496946</v>
      </c>
      <c r="M11" s="52">
        <f t="shared" si="2"/>
        <v>2.7862122333263454E-3</v>
      </c>
      <c r="N11" s="20">
        <v>16212771.642809624</v>
      </c>
      <c r="O11" s="52">
        <f t="shared" si="3"/>
        <v>0.1414640778249559</v>
      </c>
      <c r="P11" s="20">
        <v>14203488.27244992</v>
      </c>
    </row>
    <row r="12" spans="1:21">
      <c r="A12" s="10" t="s">
        <v>258</v>
      </c>
      <c r="B12" s="20">
        <v>1379362.4548048549</v>
      </c>
      <c r="C12" s="49">
        <v>0</v>
      </c>
      <c r="D12" s="20">
        <v>0</v>
      </c>
      <c r="E12" s="49">
        <v>0</v>
      </c>
      <c r="F12" s="20">
        <v>0</v>
      </c>
      <c r="G12" s="49">
        <v>0</v>
      </c>
      <c r="H12" s="20">
        <v>0</v>
      </c>
      <c r="I12" s="52">
        <f t="shared" si="0"/>
        <v>0.15012965035896972</v>
      </c>
      <c r="J12" s="20">
        <v>1199310.403287437</v>
      </c>
      <c r="K12" s="52">
        <f t="shared" si="1"/>
        <v>-0.45919492620166907</v>
      </c>
      <c r="L12" s="20">
        <v>2217638.9634514898</v>
      </c>
      <c r="M12" s="52">
        <f t="shared" si="2"/>
        <v>-0.39101380717218226</v>
      </c>
      <c r="N12" s="20">
        <v>3641525.8499604375</v>
      </c>
      <c r="O12" s="52">
        <f t="shared" si="3"/>
        <v>-0.24761895185988189</v>
      </c>
      <c r="P12" s="20">
        <v>4840002.0959622385</v>
      </c>
    </row>
    <row r="13" spans="1:21">
      <c r="A13" s="10" t="s">
        <v>259</v>
      </c>
      <c r="B13" s="20">
        <v>342.33565446433329</v>
      </c>
      <c r="C13" s="49">
        <v>0</v>
      </c>
      <c r="D13" s="20">
        <v>0</v>
      </c>
      <c r="E13" s="49">
        <v>0</v>
      </c>
      <c r="F13" s="20">
        <v>0</v>
      </c>
      <c r="G13" s="49">
        <v>0</v>
      </c>
      <c r="H13" s="20">
        <v>0</v>
      </c>
      <c r="I13" s="52">
        <f t="shared" si="0"/>
        <v>21.312456553269367</v>
      </c>
      <c r="J13" s="20">
        <v>15.342804305166123</v>
      </c>
      <c r="K13" s="52">
        <f t="shared" si="1"/>
        <v>-0.98792440533518222</v>
      </c>
      <c r="L13" s="20">
        <v>1270.5630431491086</v>
      </c>
      <c r="M13" s="52">
        <f t="shared" si="2"/>
        <v>-0.97850579661702131</v>
      </c>
      <c r="N13" s="20">
        <v>59111.892658244265</v>
      </c>
      <c r="O13" s="52">
        <f t="shared" si="3"/>
        <v>-0.27958427475597047</v>
      </c>
      <c r="P13" s="20">
        <v>82052.474129740905</v>
      </c>
    </row>
    <row r="14" spans="1:21">
      <c r="A14" s="10" t="s">
        <v>260</v>
      </c>
      <c r="B14" s="199">
        <v>514388.25774732098</v>
      </c>
      <c r="C14" s="49">
        <v>0</v>
      </c>
      <c r="D14" s="199">
        <v>0</v>
      </c>
      <c r="E14" s="49">
        <v>0</v>
      </c>
      <c r="F14" s="199">
        <v>0</v>
      </c>
      <c r="G14" s="49">
        <v>0</v>
      </c>
      <c r="H14" s="199">
        <v>0</v>
      </c>
      <c r="I14" s="52">
        <f t="shared" si="0"/>
        <v>-0.13418093155866465</v>
      </c>
      <c r="J14" s="199">
        <v>594105.94718516991</v>
      </c>
      <c r="K14" s="52">
        <f t="shared" si="1"/>
        <v>0.26995521384299642</v>
      </c>
      <c r="L14" s="199">
        <v>467816.45581607003</v>
      </c>
      <c r="M14" s="52">
        <f t="shared" si="2"/>
        <v>-0.4018466089439735</v>
      </c>
      <c r="N14" s="199">
        <v>782101.15132867591</v>
      </c>
      <c r="O14" s="52">
        <f t="shared" si="3"/>
        <v>0.85236532433521761</v>
      </c>
      <c r="P14" s="199">
        <v>422217.551286412</v>
      </c>
    </row>
    <row r="15" spans="1:21" ht="15.6" customHeight="1">
      <c r="A15" s="10"/>
      <c r="B15" s="20">
        <f>SUM(B10:B14)</f>
        <v>20081261.154802661</v>
      </c>
      <c r="C15" s="49">
        <v>0</v>
      </c>
      <c r="D15" s="20">
        <f>SUM(D10:D14)</f>
        <v>0</v>
      </c>
      <c r="E15" s="49">
        <v>0</v>
      </c>
      <c r="F15" s="20">
        <f>SUM(F10:F14)</f>
        <v>0</v>
      </c>
      <c r="G15" s="49">
        <v>0</v>
      </c>
      <c r="H15" s="20">
        <f>SUM(H10:H14)</f>
        <v>0</v>
      </c>
      <c r="I15" s="52">
        <f t="shared" si="0"/>
        <v>-2.1646492029870894E-2</v>
      </c>
      <c r="J15" s="20">
        <f>SUM(J10:J14)</f>
        <v>20525567.692261782</v>
      </c>
      <c r="K15" s="52">
        <f t="shared" si="1"/>
        <v>5.2586687123398076E-2</v>
      </c>
      <c r="L15" s="20">
        <f>SUM(L10:L14)</f>
        <v>19500120.933845237</v>
      </c>
      <c r="M15" s="52">
        <f t="shared" si="2"/>
        <v>-8.1284923389613142E-2</v>
      </c>
      <c r="N15" s="20">
        <f>SUM(N10:N14)</f>
        <v>21225428.242444031</v>
      </c>
      <c r="O15" s="52">
        <f t="shared" si="3"/>
        <v>5.9268991681435221E-2</v>
      </c>
      <c r="P15" s="20">
        <f>SUM(P10:P14)</f>
        <v>20037807.591017798</v>
      </c>
    </row>
    <row r="16" spans="1:21" ht="7.9" customHeight="1">
      <c r="A16" s="10"/>
      <c r="C16" s="49" t="s">
        <v>0</v>
      </c>
      <c r="E16" s="49" t="s">
        <v>0</v>
      </c>
      <c r="G16" s="49" t="s">
        <v>0</v>
      </c>
      <c r="I16" s="52" t="s">
        <v>0</v>
      </c>
      <c r="K16" s="52" t="s">
        <v>0</v>
      </c>
      <c r="M16" s="52" t="s">
        <v>0</v>
      </c>
      <c r="O16" s="52" t="s">
        <v>0</v>
      </c>
    </row>
    <row r="17" spans="1:16" ht="15.6" customHeight="1">
      <c r="A17" s="10" t="s">
        <v>261</v>
      </c>
      <c r="B17" s="20">
        <v>0</v>
      </c>
      <c r="C17" s="49">
        <v>0</v>
      </c>
      <c r="D17" s="20">
        <v>0</v>
      </c>
      <c r="E17" s="49">
        <v>0</v>
      </c>
      <c r="F17" s="20">
        <v>0</v>
      </c>
      <c r="G17" s="49">
        <v>0</v>
      </c>
      <c r="H17" s="20">
        <v>0</v>
      </c>
      <c r="I17" s="49">
        <v>0</v>
      </c>
      <c r="J17" s="20">
        <v>0</v>
      </c>
      <c r="K17" s="49">
        <v>0</v>
      </c>
      <c r="L17" s="20">
        <v>0</v>
      </c>
      <c r="M17" s="49">
        <v>0</v>
      </c>
      <c r="N17" s="20">
        <v>1791680.1</v>
      </c>
      <c r="O17" s="52">
        <f t="shared" ref="O17:O23" si="4">+(N17-P17)/ABS(P17)</f>
        <v>4.1190860000000002</v>
      </c>
      <c r="P17" s="20">
        <v>350000</v>
      </c>
    </row>
    <row r="18" spans="1:16" ht="15.6" customHeight="1">
      <c r="A18" s="10" t="s">
        <v>909</v>
      </c>
      <c r="B18" s="20">
        <v>0</v>
      </c>
      <c r="C18" s="49">
        <v>0</v>
      </c>
      <c r="D18" s="20">
        <v>0</v>
      </c>
      <c r="E18" s="49">
        <v>0</v>
      </c>
      <c r="F18" s="20">
        <v>0</v>
      </c>
      <c r="G18" s="49">
        <v>0</v>
      </c>
      <c r="H18" s="20">
        <v>0</v>
      </c>
      <c r="I18" s="49">
        <v>0</v>
      </c>
      <c r="J18" s="20">
        <v>0</v>
      </c>
      <c r="K18" s="49">
        <v>0</v>
      </c>
      <c r="L18" s="20">
        <v>0</v>
      </c>
      <c r="M18" s="49">
        <v>0</v>
      </c>
      <c r="N18" s="20">
        <v>0</v>
      </c>
      <c r="O18" s="49">
        <v>0</v>
      </c>
      <c r="P18" s="20">
        <v>0</v>
      </c>
    </row>
    <row r="19" spans="1:16">
      <c r="A19" s="10" t="s">
        <v>262</v>
      </c>
      <c r="B19" s="12">
        <v>12545779.202530257</v>
      </c>
      <c r="C19" s="49">
        <v>0</v>
      </c>
      <c r="D19" s="20">
        <v>0</v>
      </c>
      <c r="E19" s="49">
        <v>0</v>
      </c>
      <c r="F19" s="20">
        <v>0</v>
      </c>
      <c r="G19" s="49">
        <v>0</v>
      </c>
      <c r="H19" s="20">
        <v>0</v>
      </c>
      <c r="I19" s="52">
        <f>+(B19-J19)/ABS(J19)</f>
        <v>-9.3917898734523789E-2</v>
      </c>
      <c r="J19" s="20">
        <v>13846183.679170178</v>
      </c>
      <c r="K19" s="52">
        <f t="shared" ref="K19:K23" si="5">+(J19-L19)/ABS(L19)</f>
        <v>0.15066881757957754</v>
      </c>
      <c r="L19" s="20">
        <v>12033161.468905982</v>
      </c>
      <c r="M19" s="52">
        <f t="shared" ref="M19:M23" si="6">+(L19-N19)/ABS(N19)</f>
        <v>0.10829104256504982</v>
      </c>
      <c r="N19" s="20">
        <v>10857402.07829904</v>
      </c>
      <c r="O19" s="52">
        <f t="shared" si="4"/>
        <v>-0.11332559541633344</v>
      </c>
      <c r="P19" s="20">
        <v>12245083.451345455</v>
      </c>
    </row>
    <row r="20" spans="1:16">
      <c r="A20" s="10" t="s">
        <v>263</v>
      </c>
      <c r="B20" s="20">
        <v>24056419.86524</v>
      </c>
      <c r="C20" s="49">
        <v>0</v>
      </c>
      <c r="D20" s="20">
        <v>0</v>
      </c>
      <c r="E20" s="49">
        <v>0</v>
      </c>
      <c r="F20" s="20">
        <v>0</v>
      </c>
      <c r="G20" s="49">
        <v>0</v>
      </c>
      <c r="H20" s="20">
        <v>0</v>
      </c>
      <c r="I20" s="52">
        <f>+(B20-J20)/ABS(J20)</f>
        <v>7.0237765993658705E-2</v>
      </c>
      <c r="J20" s="20">
        <v>22477640.604379997</v>
      </c>
      <c r="K20" s="52">
        <f t="shared" si="5"/>
        <v>0.12167960541039945</v>
      </c>
      <c r="L20" s="20">
        <v>20039270.123089999</v>
      </c>
      <c r="M20" s="52">
        <f t="shared" si="6"/>
        <v>0.1667798077297126</v>
      </c>
      <c r="N20" s="20">
        <v>17174851.664670002</v>
      </c>
      <c r="O20" s="52">
        <f t="shared" si="4"/>
        <v>0.30671525851525844</v>
      </c>
      <c r="P20" s="20">
        <v>13143530.354259999</v>
      </c>
    </row>
    <row r="21" spans="1:16">
      <c r="A21" s="10" t="s">
        <v>264</v>
      </c>
      <c r="B21" s="20">
        <v>1437499.7739299997</v>
      </c>
      <c r="C21" s="49">
        <v>0</v>
      </c>
      <c r="D21" s="20">
        <v>0</v>
      </c>
      <c r="E21" s="49">
        <v>0</v>
      </c>
      <c r="F21" s="20">
        <v>0</v>
      </c>
      <c r="G21" s="49">
        <v>0</v>
      </c>
      <c r="H21" s="20">
        <v>0</v>
      </c>
      <c r="I21" s="52">
        <f>+(B21-J21)/ABS(J21)</f>
        <v>5.7797790239152392E-3</v>
      </c>
      <c r="J21" s="20">
        <v>1429239.0878300001</v>
      </c>
      <c r="K21" s="52">
        <f t="shared" si="5"/>
        <v>5.2731657390462677E-2</v>
      </c>
      <c r="L21" s="20">
        <v>1357648.0556999999</v>
      </c>
      <c r="M21" s="52">
        <f t="shared" si="6"/>
        <v>2.6578506049943818E-2</v>
      </c>
      <c r="N21" s="20">
        <v>1322498.0337099999</v>
      </c>
      <c r="O21" s="52">
        <f t="shared" si="4"/>
        <v>8.9197949188789344E-2</v>
      </c>
      <c r="P21" s="20">
        <v>1214194.3846799999</v>
      </c>
    </row>
    <row r="22" spans="1:16" ht="16.5" thickBot="1">
      <c r="A22" s="10" t="s">
        <v>265</v>
      </c>
      <c r="B22" s="97">
        <v>930133.04784150189</v>
      </c>
      <c r="C22" s="49">
        <v>0</v>
      </c>
      <c r="D22" s="97">
        <v>0</v>
      </c>
      <c r="E22" s="49">
        <v>0</v>
      </c>
      <c r="F22" s="97">
        <v>0</v>
      </c>
      <c r="G22" s="49">
        <v>0</v>
      </c>
      <c r="H22" s="97">
        <v>0</v>
      </c>
      <c r="I22" s="52">
        <f>+(B22-J22)/ABS(J22)</f>
        <v>0.16451254147527203</v>
      </c>
      <c r="J22" s="97">
        <v>798731.67073250702</v>
      </c>
      <c r="K22" s="52">
        <f t="shared" si="5"/>
        <v>0.11580414882435155</v>
      </c>
      <c r="L22" s="97">
        <v>715835.007043196</v>
      </c>
      <c r="M22" s="52">
        <f t="shared" si="6"/>
        <v>-0.33791557946403911</v>
      </c>
      <c r="N22" s="97">
        <v>1081183.8865861301</v>
      </c>
      <c r="O22" s="52">
        <f t="shared" si="4"/>
        <v>2.5962540000183092E-2</v>
      </c>
      <c r="P22" s="97">
        <v>1053823.940380842</v>
      </c>
    </row>
    <row r="23" spans="1:16">
      <c r="A23" s="10" t="s">
        <v>54</v>
      </c>
      <c r="B23" s="13">
        <f>SUM(B15:B22)</f>
        <v>59051093.044344425</v>
      </c>
      <c r="C23" s="49">
        <v>0</v>
      </c>
      <c r="D23" s="13">
        <f>SUM(D15:D22)</f>
        <v>0</v>
      </c>
      <c r="E23" s="49">
        <v>0</v>
      </c>
      <c r="F23" s="13">
        <f>SUM(F15:F22)</f>
        <v>0</v>
      </c>
      <c r="G23" s="49">
        <v>0</v>
      </c>
      <c r="H23" s="13">
        <f>SUM(H15:H22)</f>
        <v>0</v>
      </c>
      <c r="I23" s="52">
        <f>+(B23-J23)/ABS(J23)</f>
        <v>-4.446659230228841E-4</v>
      </c>
      <c r="J23" s="13">
        <f>SUM(J15:J22)</f>
        <v>59077362.734374464</v>
      </c>
      <c r="K23" s="52">
        <f t="shared" si="5"/>
        <v>0.10124377479527685</v>
      </c>
      <c r="L23" s="13">
        <f>SUM(L15:L22)</f>
        <v>53646035.588584416</v>
      </c>
      <c r="M23" s="52">
        <f t="shared" si="6"/>
        <v>3.6104881670462304E-3</v>
      </c>
      <c r="N23" s="13">
        <f>SUM(N15:N22)</f>
        <v>53453044.005709201</v>
      </c>
      <c r="O23" s="52">
        <f t="shared" si="4"/>
        <v>0.11257503085386206</v>
      </c>
      <c r="P23" s="13">
        <f>SUM(P15:P22)</f>
        <v>48044439.721684098</v>
      </c>
    </row>
    <row r="24" spans="1:16" ht="7.9" customHeight="1">
      <c r="A24" s="10"/>
      <c r="C24" s="49" t="s">
        <v>0</v>
      </c>
      <c r="E24" s="49" t="s">
        <v>0</v>
      </c>
      <c r="G24" s="49" t="s">
        <v>0</v>
      </c>
      <c r="I24" s="52" t="s">
        <v>0</v>
      </c>
      <c r="K24" s="52" t="s">
        <v>0</v>
      </c>
      <c r="M24" s="52" t="s">
        <v>0</v>
      </c>
      <c r="O24" s="52" t="s">
        <v>0</v>
      </c>
    </row>
    <row r="25" spans="1:16">
      <c r="A25" s="86" t="s">
        <v>266</v>
      </c>
      <c r="C25" s="49" t="s">
        <v>0</v>
      </c>
      <c r="E25" s="49" t="s">
        <v>0</v>
      </c>
      <c r="G25" s="49" t="s">
        <v>0</v>
      </c>
      <c r="I25" s="52" t="s">
        <v>0</v>
      </c>
      <c r="K25" s="52" t="s">
        <v>0</v>
      </c>
      <c r="M25" s="52" t="s">
        <v>0</v>
      </c>
      <c r="O25" s="52" t="s">
        <v>0</v>
      </c>
    </row>
    <row r="26" spans="1:16">
      <c r="A26" s="10" t="s">
        <v>267</v>
      </c>
      <c r="C26" s="49" t="s">
        <v>0</v>
      </c>
      <c r="D26" s="24" t="s">
        <v>0</v>
      </c>
      <c r="E26" s="49" t="s">
        <v>0</v>
      </c>
      <c r="F26" s="24" t="s">
        <v>0</v>
      </c>
      <c r="G26" s="49" t="s">
        <v>0</v>
      </c>
      <c r="H26" s="24" t="s">
        <v>0</v>
      </c>
      <c r="I26" s="52" t="s">
        <v>0</v>
      </c>
      <c r="J26" s="24" t="s">
        <v>0</v>
      </c>
      <c r="K26" s="52" t="s">
        <v>0</v>
      </c>
      <c r="L26" s="24" t="s">
        <v>0</v>
      </c>
      <c r="M26" s="52" t="s">
        <v>0</v>
      </c>
      <c r="O26" s="52" t="s">
        <v>0</v>
      </c>
    </row>
    <row r="27" spans="1:16">
      <c r="A27" s="10" t="s">
        <v>268</v>
      </c>
      <c r="B27" s="20">
        <v>22792767.486483052</v>
      </c>
      <c r="C27" s="49">
        <v>0</v>
      </c>
      <c r="D27" s="20">
        <v>0</v>
      </c>
      <c r="E27" s="49">
        <v>0</v>
      </c>
      <c r="F27" s="20">
        <v>0</v>
      </c>
      <c r="G27" s="49">
        <v>0</v>
      </c>
      <c r="H27" s="20">
        <v>0</v>
      </c>
      <c r="I27" s="52">
        <f>+(B27-J27)/ABS(J27)</f>
        <v>-2.0879942777445189E-3</v>
      </c>
      <c r="J27" s="20">
        <v>22840458.232573729</v>
      </c>
      <c r="K27" s="52">
        <f>+(J27-L27)/ABS(L27)</f>
        <v>4.7797181163967216E-2</v>
      </c>
      <c r="L27" s="20">
        <v>21798549.035225436</v>
      </c>
      <c r="M27" s="52">
        <f>+(L27-N27)/ABS(N27)</f>
        <v>-8.8012308101767633E-2</v>
      </c>
      <c r="N27" s="20">
        <v>23902240.379860204</v>
      </c>
      <c r="O27" s="52">
        <f>+(N27-P27)/ABS(P27)</f>
        <v>0.11806561707721898</v>
      </c>
      <c r="P27" s="20">
        <v>21378208.948365685</v>
      </c>
    </row>
    <row r="28" spans="1:16">
      <c r="A28" s="10" t="s">
        <v>269</v>
      </c>
      <c r="B28" s="20">
        <v>20288168.454900607</v>
      </c>
      <c r="C28" s="49">
        <v>0</v>
      </c>
      <c r="D28" s="20">
        <v>0</v>
      </c>
      <c r="E28" s="49">
        <v>0</v>
      </c>
      <c r="F28" s="20">
        <v>0</v>
      </c>
      <c r="G28" s="49">
        <v>0</v>
      </c>
      <c r="H28" s="20">
        <v>0</v>
      </c>
      <c r="I28" s="52">
        <f>+(B28-J28)/ABS(J28)</f>
        <v>2.5133555809830597E-2</v>
      </c>
      <c r="J28" s="20">
        <v>19790756.37503003</v>
      </c>
      <c r="K28" s="52">
        <f>+(J28-L28)/ABS(L28)</f>
        <v>3.9696623396487669E-2</v>
      </c>
      <c r="L28" s="20">
        <v>19035126.141294427</v>
      </c>
      <c r="M28" s="52">
        <f>+(L28-N28)/ABS(N28)</f>
        <v>5.1532923092108072E-2</v>
      </c>
      <c r="N28" s="20">
        <v>18102263.584215958</v>
      </c>
      <c r="O28" s="52">
        <f>+(N28-P28)/ABS(P28)</f>
        <v>5.1856955419513635E-2</v>
      </c>
      <c r="P28" s="20">
        <v>17209814.976216234</v>
      </c>
    </row>
    <row r="29" spans="1:16">
      <c r="A29" s="10" t="s">
        <v>270</v>
      </c>
      <c r="B29" s="199">
        <v>6403840.1414921256</v>
      </c>
      <c r="C29" s="49">
        <v>0</v>
      </c>
      <c r="D29" s="199">
        <v>0</v>
      </c>
      <c r="E29" s="49">
        <v>0</v>
      </c>
      <c r="F29" s="199">
        <v>0</v>
      </c>
      <c r="G29" s="49">
        <v>0</v>
      </c>
      <c r="H29" s="199">
        <v>0</v>
      </c>
      <c r="I29" s="52">
        <f>+(B29-J29)/ABS(J29)</f>
        <v>9.3592089139962101E-2</v>
      </c>
      <c r="J29" s="199">
        <v>5855784.9906616667</v>
      </c>
      <c r="K29" s="52">
        <f>+(J29-L29)/ABS(L29)</f>
        <v>0.20016758124920361</v>
      </c>
      <c r="L29" s="199">
        <v>4879139.4486481864</v>
      </c>
      <c r="M29" s="52">
        <f>+(L29-N29)/ABS(N29)</f>
        <v>9.253382822883377E-2</v>
      </c>
      <c r="N29" s="199">
        <v>4465893.2497843346</v>
      </c>
      <c r="O29" s="52">
        <f>+(N29-P29)/ABS(P29)</f>
        <v>6.9596623382224193E-2</v>
      </c>
      <c r="P29" s="199">
        <v>4175306.0473045562</v>
      </c>
    </row>
    <row r="30" spans="1:16">
      <c r="A30" s="10"/>
      <c r="B30" s="20">
        <f>SUM(B27:B29)</f>
        <v>49484776.082875788</v>
      </c>
      <c r="C30" s="49">
        <v>0</v>
      </c>
      <c r="D30" s="20">
        <f>SUM(D27:D29)</f>
        <v>0</v>
      </c>
      <c r="E30" s="49">
        <v>0</v>
      </c>
      <c r="F30" s="20">
        <f>SUM(F27:F29)</f>
        <v>0</v>
      </c>
      <c r="G30" s="49">
        <v>0</v>
      </c>
      <c r="H30" s="20">
        <f>SUM(H27:H29)</f>
        <v>0</v>
      </c>
      <c r="I30" s="52">
        <f>+(B30-J30)/ABS(J30)</f>
        <v>2.05782270067719E-2</v>
      </c>
      <c r="J30" s="20">
        <f>SUM(J27:J29)</f>
        <v>48486999.598265424</v>
      </c>
      <c r="K30" s="52">
        <f>+(J30-L30)/ABS(L30)</f>
        <v>6.0687249206702688E-2</v>
      </c>
      <c r="L30" s="20">
        <f>SUM(L27:L29)</f>
        <v>45712814.625168048</v>
      </c>
      <c r="M30" s="52">
        <f>+(L30-N30)/ABS(N30)</f>
        <v>-1.6302477149183665E-2</v>
      </c>
      <c r="N30" s="20">
        <f>SUM(N27:N29)</f>
        <v>46470397.213860497</v>
      </c>
      <c r="O30" s="52">
        <f>+(N30-P30)/ABS(P30)</f>
        <v>8.6687992829630703E-2</v>
      </c>
      <c r="P30" s="20">
        <f>SUM(P27:P29)</f>
        <v>42763329.971886471</v>
      </c>
    </row>
    <row r="31" spans="1:16" ht="7.9" customHeight="1">
      <c r="A31" s="10"/>
      <c r="C31" s="49" t="s">
        <v>0</v>
      </c>
      <c r="E31" s="49" t="s">
        <v>0</v>
      </c>
      <c r="G31" s="49" t="s">
        <v>0</v>
      </c>
      <c r="I31" s="52" t="s">
        <v>0</v>
      </c>
      <c r="K31" s="52" t="s">
        <v>0</v>
      </c>
      <c r="M31" s="52" t="s">
        <v>0</v>
      </c>
      <c r="O31" s="52" t="s">
        <v>0</v>
      </c>
    </row>
    <row r="32" spans="1:16">
      <c r="A32" s="10" t="s">
        <v>271</v>
      </c>
      <c r="C32" s="49" t="s">
        <v>0</v>
      </c>
      <c r="E32" s="49" t="s">
        <v>0</v>
      </c>
      <c r="G32" s="49" t="s">
        <v>0</v>
      </c>
      <c r="I32" s="52" t="s">
        <v>0</v>
      </c>
      <c r="K32" s="52" t="s">
        <v>0</v>
      </c>
      <c r="M32" s="52" t="s">
        <v>0</v>
      </c>
      <c r="O32" s="52" t="s">
        <v>0</v>
      </c>
    </row>
    <row r="33" spans="1:21">
      <c r="A33" s="10" t="s">
        <v>272</v>
      </c>
      <c r="B33" s="20">
        <v>0</v>
      </c>
      <c r="C33" s="49">
        <v>0</v>
      </c>
      <c r="D33" s="20">
        <v>0</v>
      </c>
      <c r="E33" s="49">
        <v>0</v>
      </c>
      <c r="F33" s="20">
        <v>0</v>
      </c>
      <c r="G33" s="49">
        <v>0</v>
      </c>
      <c r="H33" s="20">
        <v>0</v>
      </c>
      <c r="I33" s="49">
        <v>0</v>
      </c>
      <c r="J33" s="20">
        <v>0</v>
      </c>
      <c r="K33" s="49">
        <v>0</v>
      </c>
      <c r="L33" s="20">
        <v>0</v>
      </c>
      <c r="M33" s="49">
        <v>0</v>
      </c>
      <c r="N33" s="20">
        <v>0</v>
      </c>
      <c r="O33" s="49">
        <v>0</v>
      </c>
      <c r="P33" s="20">
        <v>0</v>
      </c>
    </row>
    <row r="34" spans="1:21">
      <c r="A34" s="10" t="s">
        <v>273</v>
      </c>
      <c r="B34" s="20">
        <v>0</v>
      </c>
      <c r="C34" s="49">
        <v>0</v>
      </c>
      <c r="D34" s="20">
        <v>0</v>
      </c>
      <c r="E34" s="49">
        <v>0</v>
      </c>
      <c r="F34" s="20">
        <v>0</v>
      </c>
      <c r="G34" s="49">
        <v>0</v>
      </c>
      <c r="H34" s="20">
        <v>0</v>
      </c>
      <c r="I34" s="49">
        <v>0</v>
      </c>
      <c r="J34" s="20">
        <v>0</v>
      </c>
      <c r="K34" s="49">
        <v>0</v>
      </c>
      <c r="L34" s="20">
        <v>0</v>
      </c>
      <c r="M34" s="49">
        <v>0</v>
      </c>
      <c r="N34" s="20">
        <v>0</v>
      </c>
      <c r="O34" s="49">
        <v>0</v>
      </c>
      <c r="P34" s="20">
        <v>0</v>
      </c>
    </row>
    <row r="35" spans="1:21" ht="18">
      <c r="A35" s="10" t="s">
        <v>274</v>
      </c>
      <c r="B35" s="199">
        <v>2209055.4804472663</v>
      </c>
      <c r="C35" s="49">
        <v>0</v>
      </c>
      <c r="D35" s="199">
        <v>0</v>
      </c>
      <c r="E35" s="49">
        <v>0</v>
      </c>
      <c r="F35" s="199">
        <v>0</v>
      </c>
      <c r="G35" s="49">
        <v>0</v>
      </c>
      <c r="H35" s="199">
        <v>0</v>
      </c>
      <c r="I35" s="52">
        <f>+(B35-J35)/ABS(J35)</f>
        <v>2.8550014145711186E-3</v>
      </c>
      <c r="J35" s="199">
        <v>2202766.578748968</v>
      </c>
      <c r="K35" s="52">
        <f>+(J35-L35)/ABS(L35)</f>
        <v>1.0821824264797577</v>
      </c>
      <c r="L35" s="199">
        <v>1057912.3859349231</v>
      </c>
      <c r="M35" s="52">
        <f>+(L35-N35)/ABS(N35)</f>
        <v>0.60018665738221566</v>
      </c>
      <c r="N35" s="199">
        <v>661118.11459894793</v>
      </c>
      <c r="O35" s="52">
        <f>+(N35-P35)/ABS(P35)</f>
        <v>5.4549458654925415E-2</v>
      </c>
      <c r="P35" s="199">
        <v>626919.96963537589</v>
      </c>
      <c r="Q35" s="14"/>
      <c r="R35" s="14"/>
      <c r="S35" s="15"/>
      <c r="T35" s="15"/>
      <c r="U35" s="15"/>
    </row>
    <row r="36" spans="1:21">
      <c r="A36" s="10"/>
      <c r="B36" s="20">
        <f>SUM(B33:B35)</f>
        <v>2209055.4804472663</v>
      </c>
      <c r="C36" s="49">
        <v>0</v>
      </c>
      <c r="D36" s="20">
        <f>SUM(D33:D35)</f>
        <v>0</v>
      </c>
      <c r="E36" s="49">
        <v>0</v>
      </c>
      <c r="F36" s="20">
        <f>SUM(F33:F35)</f>
        <v>0</v>
      </c>
      <c r="G36" s="49">
        <v>0</v>
      </c>
      <c r="H36" s="20">
        <f>SUM(H33:H35)</f>
        <v>0</v>
      </c>
      <c r="I36" s="52">
        <f>+(B36-J36)/ABS(J36)</f>
        <v>2.8550014145711186E-3</v>
      </c>
      <c r="J36" s="20">
        <f>SUM(J33:J35)</f>
        <v>2202766.578748968</v>
      </c>
      <c r="K36" s="52">
        <f>+(J36-L36)/ABS(L36)</f>
        <v>1.0821824264797577</v>
      </c>
      <c r="L36" s="20">
        <f>SUM(L33:L35)</f>
        <v>1057912.3859349231</v>
      </c>
      <c r="M36" s="52">
        <f>+(L36-N36)/ABS(N36)</f>
        <v>0.60018665738221566</v>
      </c>
      <c r="N36" s="20">
        <f>SUM(N33:N35)</f>
        <v>661118.11459894793</v>
      </c>
      <c r="O36" s="52">
        <f>+(N36-P36)/ABS(P36)</f>
        <v>5.4549458654925415E-2</v>
      </c>
      <c r="P36" s="20">
        <f>SUM(P33:P35)</f>
        <v>626919.96963537589</v>
      </c>
    </row>
    <row r="37" spans="1:21" ht="7.15" customHeight="1">
      <c r="A37" s="10"/>
      <c r="C37" s="49" t="s">
        <v>0</v>
      </c>
      <c r="E37" s="49" t="s">
        <v>0</v>
      </c>
      <c r="G37" s="49" t="s">
        <v>0</v>
      </c>
      <c r="I37" s="52" t="s">
        <v>0</v>
      </c>
      <c r="K37" s="52" t="s">
        <v>0</v>
      </c>
      <c r="M37" s="52" t="s">
        <v>0</v>
      </c>
      <c r="O37" s="52" t="s">
        <v>0</v>
      </c>
    </row>
    <row r="38" spans="1:21">
      <c r="A38" s="10" t="s">
        <v>275</v>
      </c>
      <c r="C38" s="49" t="s">
        <v>0</v>
      </c>
      <c r="E38" s="49" t="s">
        <v>0</v>
      </c>
      <c r="G38" s="49" t="s">
        <v>0</v>
      </c>
      <c r="I38" s="52" t="s">
        <v>0</v>
      </c>
      <c r="K38" s="52" t="s">
        <v>0</v>
      </c>
      <c r="M38" s="52" t="s">
        <v>0</v>
      </c>
      <c r="O38" s="52" t="s">
        <v>0</v>
      </c>
    </row>
    <row r="39" spans="1:21">
      <c r="A39" s="10" t="s">
        <v>272</v>
      </c>
      <c r="B39" s="20">
        <v>0</v>
      </c>
      <c r="C39" s="49">
        <v>0</v>
      </c>
      <c r="D39" s="20">
        <v>0</v>
      </c>
      <c r="E39" s="49">
        <v>0</v>
      </c>
      <c r="F39" s="20">
        <v>0</v>
      </c>
      <c r="G39" s="49">
        <v>0</v>
      </c>
      <c r="H39" s="20">
        <v>0</v>
      </c>
      <c r="I39" s="52">
        <f>+(B39-J39)/ABS(J39)</f>
        <v>-1</v>
      </c>
      <c r="J39" s="20">
        <v>600000</v>
      </c>
      <c r="K39" s="52">
        <f>+(J39-L39)/ABS(L39)</f>
        <v>-0.29411764705882354</v>
      </c>
      <c r="L39" s="20">
        <v>850000</v>
      </c>
      <c r="M39" s="52">
        <f>+(L39-N39)/ABS(N39)</f>
        <v>0.30769230769230771</v>
      </c>
      <c r="N39" s="20">
        <v>650000</v>
      </c>
      <c r="O39" s="49">
        <v>0</v>
      </c>
      <c r="P39" s="20">
        <v>0</v>
      </c>
    </row>
    <row r="40" spans="1:21">
      <c r="A40" s="10" t="s">
        <v>276</v>
      </c>
      <c r="B40" s="20">
        <v>607720.1</v>
      </c>
      <c r="C40" s="49">
        <v>0</v>
      </c>
      <c r="D40" s="20">
        <v>0</v>
      </c>
      <c r="E40" s="49">
        <v>0</v>
      </c>
      <c r="F40" s="20">
        <v>0</v>
      </c>
      <c r="G40" s="49">
        <v>0</v>
      </c>
      <c r="H40" s="20">
        <v>0</v>
      </c>
      <c r="I40" s="52">
        <f>+(B40-J40)/ABS(J40)</f>
        <v>-0.58313845683605625</v>
      </c>
      <c r="J40" s="20">
        <v>1457846.4</v>
      </c>
      <c r="K40" s="49">
        <v>0</v>
      </c>
      <c r="L40" s="20">
        <v>656143.5</v>
      </c>
      <c r="M40" s="49">
        <v>0</v>
      </c>
      <c r="N40" s="20">
        <v>0</v>
      </c>
      <c r="O40" s="49">
        <v>0</v>
      </c>
      <c r="P40" s="20">
        <v>0</v>
      </c>
    </row>
    <row r="41" spans="1:21">
      <c r="A41" s="10" t="s">
        <v>274</v>
      </c>
      <c r="B41" s="199">
        <v>448356.15104296198</v>
      </c>
      <c r="C41" s="49">
        <v>0</v>
      </c>
      <c r="D41" s="199">
        <v>0</v>
      </c>
      <c r="E41" s="49">
        <v>0</v>
      </c>
      <c r="F41" s="199">
        <v>0</v>
      </c>
      <c r="G41" s="49">
        <v>0</v>
      </c>
      <c r="H41" s="199">
        <v>0</v>
      </c>
      <c r="I41" s="52">
        <f>+(B41-J41)/ABS(J41)</f>
        <v>0.20354528080536821</v>
      </c>
      <c r="J41" s="199">
        <v>372529.52439225098</v>
      </c>
      <c r="K41" s="52">
        <f>+(J41-L41)/ABS(L41)</f>
        <v>0.30626341878803442</v>
      </c>
      <c r="L41" s="199">
        <v>285187.13686240098</v>
      </c>
      <c r="M41" s="52">
        <f>+(L41-N41)/ABS(N41)</f>
        <v>-0.66310655632362603</v>
      </c>
      <c r="N41" s="199">
        <v>846520.29362838203</v>
      </c>
      <c r="O41" s="52">
        <f>+(N41-P41)/ABS(P41)</f>
        <v>1.43989382571034</v>
      </c>
      <c r="P41" s="199">
        <v>346949.64375424403</v>
      </c>
    </row>
    <row r="42" spans="1:21">
      <c r="A42" s="10"/>
      <c r="B42" s="20">
        <f>SUM(B39:B41)</f>
        <v>1056076.2510429621</v>
      </c>
      <c r="C42" s="49">
        <v>0</v>
      </c>
      <c r="D42" s="20">
        <f>SUM(D39:D41)</f>
        <v>0</v>
      </c>
      <c r="E42" s="49">
        <v>0</v>
      </c>
      <c r="F42" s="20">
        <f>SUM(F39:F41)</f>
        <v>0</v>
      </c>
      <c r="G42" s="49">
        <v>0</v>
      </c>
      <c r="H42" s="20">
        <f>SUM(H39:H41)</f>
        <v>0</v>
      </c>
      <c r="I42" s="52">
        <f>+(B42-J42)/ABS(J42)</f>
        <v>-0.56546794245131082</v>
      </c>
      <c r="J42" s="20">
        <f>SUM(J39:J41)</f>
        <v>2430375.9243922508</v>
      </c>
      <c r="K42" s="52">
        <f>+(J42-L42)/ABS(L42)</f>
        <v>0.35674334730810359</v>
      </c>
      <c r="L42" s="20">
        <f>SUM(L39:L41)</f>
        <v>1791330.6368624009</v>
      </c>
      <c r="M42" s="52">
        <f>+(L42-N42)/ABS(N42)</f>
        <v>0.19699722381928927</v>
      </c>
      <c r="N42" s="20">
        <f>SUM(N39:N41)</f>
        <v>1496520.293628382</v>
      </c>
      <c r="O42" s="52">
        <f>+(N42-P42)/ABS(P42)</f>
        <v>3.3133645489153958</v>
      </c>
      <c r="P42" s="20">
        <f>SUM(P39:P41)</f>
        <v>346949.64375424403</v>
      </c>
    </row>
    <row r="43" spans="1:21" ht="8.4499999999999993" customHeight="1">
      <c r="A43" s="10"/>
      <c r="C43" s="49" t="s">
        <v>0</v>
      </c>
      <c r="E43" s="49" t="s">
        <v>0</v>
      </c>
      <c r="G43" s="49" t="s">
        <v>0</v>
      </c>
      <c r="I43" s="52" t="s">
        <v>0</v>
      </c>
      <c r="K43" s="52" t="s">
        <v>0</v>
      </c>
      <c r="M43" s="52" t="s">
        <v>0</v>
      </c>
      <c r="N43" s="24" t="s">
        <v>0</v>
      </c>
      <c r="O43" s="52" t="s">
        <v>0</v>
      </c>
      <c r="P43" s="24" t="s">
        <v>0</v>
      </c>
    </row>
    <row r="44" spans="1:21" ht="18">
      <c r="A44" s="10" t="s">
        <v>277</v>
      </c>
      <c r="B44" s="199">
        <v>503987.09549473604</v>
      </c>
      <c r="C44" s="49">
        <v>0</v>
      </c>
      <c r="D44" s="199">
        <v>0</v>
      </c>
      <c r="E44" s="49">
        <v>0</v>
      </c>
      <c r="F44" s="199">
        <v>0</v>
      </c>
      <c r="G44" s="49">
        <v>0</v>
      </c>
      <c r="H44" s="199">
        <v>0</v>
      </c>
      <c r="I44" s="52">
        <f>+(B44-J44)/ABS(J44)</f>
        <v>4.8980459586978565E-3</v>
      </c>
      <c r="J44" s="199">
        <v>501530.57568533707</v>
      </c>
      <c r="K44" s="52">
        <f>+(J44-L44)/ABS(L44)</f>
        <v>0.47495505089489315</v>
      </c>
      <c r="L44" s="199">
        <v>340031.091375324</v>
      </c>
      <c r="M44" s="52">
        <f>+(L44-N44)/ABS(N44)</f>
        <v>-0.28200336470328652</v>
      </c>
      <c r="N44" s="199">
        <v>473583.12652092794</v>
      </c>
      <c r="O44" s="52">
        <f>+(N44-P44)/ABS(P44)</f>
        <v>-0.14429600651105362</v>
      </c>
      <c r="P44" s="199">
        <v>553442.69762023201</v>
      </c>
      <c r="Q44" s="14"/>
      <c r="R44" s="14"/>
    </row>
    <row r="45" spans="1:21">
      <c r="A45" s="10"/>
      <c r="B45" s="20">
        <f>+B30+B36+B42+B44</f>
        <v>53253894.909860753</v>
      </c>
      <c r="C45" s="49">
        <v>0</v>
      </c>
      <c r="D45" s="20">
        <f>+D30+D36+D42+D44</f>
        <v>0</v>
      </c>
      <c r="E45" s="49">
        <v>0</v>
      </c>
      <c r="F45" s="20">
        <f>+F30+F36+F42+F44</f>
        <v>0</v>
      </c>
      <c r="G45" s="49">
        <v>0</v>
      </c>
      <c r="H45" s="20">
        <f>+H30+H36+H42+H44</f>
        <v>0</v>
      </c>
      <c r="I45" s="52">
        <f>+(B45-J45)/ABS(J45)</f>
        <v>-6.8587522333736113E-3</v>
      </c>
      <c r="J45" s="20">
        <f>+J30+J36+J42+J44</f>
        <v>53621672.677091986</v>
      </c>
      <c r="K45" s="52">
        <f>+(J45-L45)/ABS(L45)</f>
        <v>9.6510886537132468E-2</v>
      </c>
      <c r="L45" s="20">
        <f>+L30+L36+L42+L44</f>
        <v>48902088.739340693</v>
      </c>
      <c r="M45" s="52">
        <f>+(L45-N45)/ABS(N45)</f>
        <v>-4.0636136720789149E-3</v>
      </c>
      <c r="N45" s="20">
        <f>+N30+N36+N42+N44</f>
        <v>49101618.748608746</v>
      </c>
      <c r="O45" s="52">
        <f>+(N45-P45)/ABS(P45)</f>
        <v>0.10862286518636174</v>
      </c>
      <c r="P45" s="20">
        <f>+P30+P36+P42+P44</f>
        <v>44290642.282896325</v>
      </c>
    </row>
    <row r="46" spans="1:21" ht="8.4499999999999993" customHeight="1">
      <c r="A46" s="10"/>
      <c r="C46" s="49" t="s">
        <v>0</v>
      </c>
      <c r="E46" s="49" t="s">
        <v>0</v>
      </c>
      <c r="G46" s="49" t="s">
        <v>0</v>
      </c>
      <c r="I46" s="52" t="s">
        <v>0</v>
      </c>
      <c r="K46" s="52" t="s">
        <v>0</v>
      </c>
      <c r="M46" s="52" t="s">
        <v>0</v>
      </c>
      <c r="O46" s="52" t="s">
        <v>0</v>
      </c>
    </row>
    <row r="47" spans="1:21">
      <c r="A47" s="86" t="s">
        <v>278</v>
      </c>
      <c r="C47" s="49" t="s">
        <v>0</v>
      </c>
      <c r="E47" s="49" t="s">
        <v>0</v>
      </c>
      <c r="G47" s="49" t="s">
        <v>0</v>
      </c>
      <c r="I47" s="52" t="s">
        <v>0</v>
      </c>
      <c r="K47" s="52" t="s">
        <v>0</v>
      </c>
      <c r="M47" s="52" t="s">
        <v>0</v>
      </c>
      <c r="O47" s="52" t="s">
        <v>0</v>
      </c>
    </row>
    <row r="48" spans="1:21">
      <c r="A48" s="10" t="s">
        <v>279</v>
      </c>
      <c r="B48" s="20">
        <v>2092652</v>
      </c>
      <c r="C48" s="49">
        <v>0</v>
      </c>
      <c r="D48" s="20">
        <v>0</v>
      </c>
      <c r="E48" s="49">
        <v>0</v>
      </c>
      <c r="F48" s="20">
        <v>0</v>
      </c>
      <c r="G48" s="49">
        <v>0</v>
      </c>
      <c r="H48" s="20">
        <v>0</v>
      </c>
      <c r="I48" s="52">
        <f>+(B48-J48)/ABS(J48)</f>
        <v>-2.4848234628499778E-5</v>
      </c>
      <c r="J48" s="20">
        <v>2092704</v>
      </c>
      <c r="K48" s="52">
        <f t="shared" ref="K48:K53" si="7">+(J48-L48)/ABS(L48)</f>
        <v>-3.7640459098960014E-4</v>
      </c>
      <c r="L48" s="20">
        <v>2093492</v>
      </c>
      <c r="M48" s="52">
        <f>+(L48-N48)/ABS(N48)</f>
        <v>0</v>
      </c>
      <c r="N48" s="20">
        <v>2093492</v>
      </c>
      <c r="O48" s="52">
        <f t="shared" ref="O48:O53" si="8">+(N48-P48)/ABS(P48)</f>
        <v>4.6746000000000003E-2</v>
      </c>
      <c r="P48" s="20">
        <v>2000000</v>
      </c>
    </row>
    <row r="49" spans="1:21">
      <c r="A49" s="10" t="s">
        <v>280</v>
      </c>
      <c r="B49" s="20">
        <v>867190.37237999996</v>
      </c>
      <c r="C49" s="49">
        <v>0</v>
      </c>
      <c r="D49" s="20">
        <v>0</v>
      </c>
      <c r="E49" s="49">
        <v>0</v>
      </c>
      <c r="F49" s="20">
        <v>0</v>
      </c>
      <c r="G49" s="49">
        <v>0</v>
      </c>
      <c r="H49" s="20">
        <v>0</v>
      </c>
      <c r="I49" s="52">
        <f>+(B49-J49)/ABS(J49)</f>
        <v>0</v>
      </c>
      <c r="J49" s="20">
        <v>867190.37237999996</v>
      </c>
      <c r="K49" s="52">
        <f t="shared" si="7"/>
        <v>1.8627315539047622</v>
      </c>
      <c r="L49" s="20">
        <v>302924.09750999999</v>
      </c>
      <c r="M49" s="52">
        <f>+(L49-N49)/ABS(N49)</f>
        <v>1.8691762457981669</v>
      </c>
      <c r="N49" s="20">
        <v>105578.76949999999</v>
      </c>
      <c r="O49" s="52">
        <f t="shared" si="8"/>
        <v>0.62319300537214695</v>
      </c>
      <c r="P49" s="20">
        <v>65043.87904</v>
      </c>
    </row>
    <row r="50" spans="1:21">
      <c r="A50" s="10" t="s">
        <v>290</v>
      </c>
      <c r="B50" s="20">
        <v>0</v>
      </c>
      <c r="C50" s="49">
        <v>0</v>
      </c>
      <c r="D50" s="20">
        <v>0</v>
      </c>
      <c r="E50" s="49">
        <v>0</v>
      </c>
      <c r="F50" s="20">
        <v>0</v>
      </c>
      <c r="G50" s="49">
        <v>0</v>
      </c>
      <c r="H50" s="20">
        <v>0</v>
      </c>
      <c r="I50" s="49">
        <v>0</v>
      </c>
      <c r="J50" s="20">
        <v>0</v>
      </c>
      <c r="K50" s="49">
        <v>0</v>
      </c>
      <c r="L50" s="20">
        <v>0</v>
      </c>
      <c r="M50" s="49">
        <v>0</v>
      </c>
      <c r="N50" s="20">
        <v>0</v>
      </c>
      <c r="O50" s="49">
        <v>0</v>
      </c>
      <c r="P50" s="20">
        <v>0</v>
      </c>
    </row>
    <row r="51" spans="1:21" ht="18">
      <c r="A51" s="10" t="s">
        <v>282</v>
      </c>
      <c r="B51" s="199">
        <v>2837355.7598899999</v>
      </c>
      <c r="C51" s="49">
        <v>0</v>
      </c>
      <c r="D51" s="199">
        <v>0</v>
      </c>
      <c r="E51" s="49">
        <v>0</v>
      </c>
      <c r="F51" s="199">
        <v>0</v>
      </c>
      <c r="G51" s="49">
        <v>0</v>
      </c>
      <c r="H51" s="199">
        <v>0</v>
      </c>
      <c r="I51" s="52">
        <f>+(B51-J51)/ABS(J51)</f>
        <v>0.13685418134103469</v>
      </c>
      <c r="J51" s="199">
        <v>2495795.6846699999</v>
      </c>
      <c r="K51" s="52">
        <f t="shared" si="7"/>
        <v>6.3157821628579594E-2</v>
      </c>
      <c r="L51" s="199">
        <v>2347530.7559199999</v>
      </c>
      <c r="M51" s="52">
        <f>+(L51-N51)/ABS(N51)</f>
        <v>9.0680353077893683E-2</v>
      </c>
      <c r="N51" s="199">
        <v>2152354.4907499999</v>
      </c>
      <c r="O51" s="52">
        <f t="shared" si="8"/>
        <v>0.27452254543689253</v>
      </c>
      <c r="P51" s="199">
        <v>1688753.5638000001</v>
      </c>
      <c r="Q51" s="14"/>
      <c r="R51" s="14"/>
      <c r="S51" s="15"/>
      <c r="T51" s="15"/>
      <c r="U51" s="15"/>
    </row>
    <row r="52" spans="1:21" ht="16.5" thickBot="1">
      <c r="A52" s="10" t="s">
        <v>54</v>
      </c>
      <c r="B52" s="79">
        <f>SUM(B48:B51)</f>
        <v>5797198.1322699999</v>
      </c>
      <c r="C52" s="49">
        <v>0</v>
      </c>
      <c r="D52" s="79">
        <f>SUM(D48:D51)</f>
        <v>0</v>
      </c>
      <c r="E52" s="49">
        <v>0</v>
      </c>
      <c r="F52" s="79">
        <f>SUM(F48:F51)</f>
        <v>0</v>
      </c>
      <c r="G52" s="49">
        <v>0</v>
      </c>
      <c r="H52" s="79">
        <f>SUM(H48:H51)</f>
        <v>0</v>
      </c>
      <c r="I52" s="52">
        <f>+(B52-J52)/ABS(J52)</f>
        <v>6.2596678265968098E-2</v>
      </c>
      <c r="J52" s="79">
        <f>SUM(J48:J51)</f>
        <v>5455690.0570499999</v>
      </c>
      <c r="K52" s="52">
        <f t="shared" si="7"/>
        <v>0.15003186705293536</v>
      </c>
      <c r="L52" s="79">
        <f>SUM(L48:L51)</f>
        <v>4743946.8534299992</v>
      </c>
      <c r="M52" s="52">
        <f>+(L52-N52)/ABS(N52)</f>
        <v>9.0205293600158859E-2</v>
      </c>
      <c r="N52" s="79">
        <f>SUM(N48:N51)</f>
        <v>4351425.2602500003</v>
      </c>
      <c r="O52" s="52">
        <f t="shared" si="8"/>
        <v>0.15920619759329754</v>
      </c>
      <c r="P52" s="79">
        <f>SUM(P48:P51)</f>
        <v>3753797.4428400001</v>
      </c>
    </row>
    <row r="53" spans="1:21">
      <c r="A53" s="10" t="s">
        <v>0</v>
      </c>
      <c r="B53" s="13">
        <f>+B30+B36+B42+B44+B52</f>
        <v>59051093.042130753</v>
      </c>
      <c r="C53" s="49">
        <v>0</v>
      </c>
      <c r="D53" s="13">
        <f>+D30+D36+D42+D44+D52</f>
        <v>0</v>
      </c>
      <c r="E53" s="49">
        <v>0</v>
      </c>
      <c r="F53" s="13">
        <f>+F30+F36+F42+F44+F52</f>
        <v>0</v>
      </c>
      <c r="G53" s="49">
        <v>0</v>
      </c>
      <c r="H53" s="13">
        <f>+H30+H36+H42+H44+H52</f>
        <v>0</v>
      </c>
      <c r="I53" s="52">
        <f>+(B53-J53)/ABS(J53)</f>
        <v>-4.4466595656017521E-4</v>
      </c>
      <c r="J53" s="13">
        <f>+J30+J36+J42+J44+J52</f>
        <v>59077362.734141983</v>
      </c>
      <c r="K53" s="52">
        <f t="shared" si="7"/>
        <v>0.10124377470500745</v>
      </c>
      <c r="L53" s="13">
        <f>+L30+L36+L42+L44+L52</f>
        <v>53646035.592770696</v>
      </c>
      <c r="M53" s="52">
        <f>+(L53-N53)/ABS(N53)</f>
        <v>3.6104881862287115E-3</v>
      </c>
      <c r="N53" s="13">
        <f>+N30+N36+N42+N44+N52</f>
        <v>53453044.008858748</v>
      </c>
      <c r="O53" s="52">
        <f t="shared" si="8"/>
        <v>0.1125750308255786</v>
      </c>
      <c r="P53" s="13">
        <f>+P30+P36+P42+P44+P52</f>
        <v>48044439.725736327</v>
      </c>
    </row>
    <row r="54" spans="1:21">
      <c r="C54" s="48"/>
      <c r="E54" s="48"/>
      <c r="G54" s="48"/>
      <c r="I54" s="88"/>
    </row>
    <row r="55" spans="1:21">
      <c r="C55" s="48"/>
      <c r="E55" s="48"/>
      <c r="G55" s="48"/>
      <c r="I55" s="46"/>
    </row>
    <row r="56" spans="1:21">
      <c r="A56" s="166" t="s">
        <v>283</v>
      </c>
      <c r="C56" s="48"/>
      <c r="E56" s="48"/>
      <c r="G56" s="48"/>
      <c r="I56" s="46"/>
    </row>
    <row r="57" spans="1:21">
      <c r="A57" t="s">
        <v>284</v>
      </c>
      <c r="B57" s="20">
        <v>306.859376</v>
      </c>
      <c r="C57" s="48"/>
      <c r="D57" s="20">
        <v>0</v>
      </c>
      <c r="E57" s="48"/>
      <c r="F57" s="20">
        <v>0</v>
      </c>
      <c r="G57" s="48"/>
      <c r="H57" s="20">
        <v>0</v>
      </c>
      <c r="I57" s="46" t="s">
        <v>0</v>
      </c>
      <c r="J57" s="20">
        <v>743.6336419139999</v>
      </c>
      <c r="K57" s="20"/>
      <c r="L57" s="20">
        <v>474.61716518500003</v>
      </c>
      <c r="M57" s="20"/>
      <c r="N57" s="20">
        <v>2136.5071842900002</v>
      </c>
      <c r="O57" s="20"/>
      <c r="P57" s="20">
        <v>145.10341</v>
      </c>
    </row>
    <row r="58" spans="1:21">
      <c r="A58" t="s">
        <v>285</v>
      </c>
      <c r="B58" s="20">
        <v>740498.05838456901</v>
      </c>
      <c r="C58" s="48"/>
      <c r="D58" s="20">
        <v>0</v>
      </c>
      <c r="E58" s="48"/>
      <c r="F58" s="20">
        <v>0</v>
      </c>
      <c r="G58" s="48"/>
      <c r="H58" s="20">
        <v>0</v>
      </c>
      <c r="I58" s="46"/>
      <c r="J58" s="20">
        <v>733540.53257558693</v>
      </c>
      <c r="K58" s="20"/>
      <c r="L58" s="20">
        <v>571276.00476757193</v>
      </c>
      <c r="M58" s="20"/>
      <c r="N58" s="20">
        <v>596824.93758065405</v>
      </c>
      <c r="O58" s="20"/>
      <c r="P58" s="20">
        <v>694553.33932944015</v>
      </c>
    </row>
    <row r="59" spans="1:21">
      <c r="A59" t="s">
        <v>274</v>
      </c>
      <c r="B59" s="20">
        <v>1098798.0231189532</v>
      </c>
      <c r="C59" s="48"/>
      <c r="D59" s="20">
        <v>0</v>
      </c>
      <c r="E59" s="48"/>
      <c r="F59" s="20">
        <v>0</v>
      </c>
      <c r="G59" s="48"/>
      <c r="H59" s="20">
        <v>0</v>
      </c>
      <c r="I59" s="46"/>
      <c r="J59" s="20">
        <v>559775.16554171999</v>
      </c>
      <c r="K59" s="20"/>
      <c r="L59" s="20">
        <v>520711.46705514111</v>
      </c>
      <c r="M59" s="20"/>
      <c r="N59" s="20">
        <v>362692.71921780996</v>
      </c>
      <c r="O59" s="20"/>
      <c r="P59" s="20">
        <v>475139.26518574194</v>
      </c>
    </row>
    <row r="60" spans="1:21">
      <c r="B60" s="48"/>
      <c r="C60" s="48"/>
      <c r="D60" s="48"/>
      <c r="E60" s="48"/>
      <c r="F60" s="48"/>
      <c r="G60" s="48"/>
      <c r="H60" s="48"/>
      <c r="I60" s="46"/>
      <c r="J60" s="48"/>
      <c r="K60" s="20"/>
      <c r="L60" s="48"/>
      <c r="M60" s="20"/>
      <c r="N60" s="48"/>
      <c r="O60" s="20"/>
      <c r="P60" s="48"/>
    </row>
    <row r="61" spans="1:21">
      <c r="A61" t="s">
        <v>286</v>
      </c>
      <c r="B61" s="20">
        <v>24187118.400389999</v>
      </c>
      <c r="C61" s="49">
        <v>0</v>
      </c>
      <c r="D61" s="20">
        <v>0</v>
      </c>
      <c r="E61" s="49">
        <v>0</v>
      </c>
      <c r="F61" s="20">
        <v>0</v>
      </c>
      <c r="G61" s="49">
        <v>0</v>
      </c>
      <c r="H61" s="20">
        <v>0</v>
      </c>
      <c r="I61" s="52">
        <f>+(B61-J61)/ABS(J61)</f>
        <v>7.0820707544462819E-2</v>
      </c>
      <c r="J61" s="20">
        <v>22587458.600659996</v>
      </c>
      <c r="K61" s="52">
        <f>+(J61-L61)/ABS(L61)</f>
        <v>0.1216055724303331</v>
      </c>
      <c r="L61" s="20">
        <v>20138504.26199</v>
      </c>
      <c r="M61" s="52">
        <f>+(L61-N61)/ABS(N61)</f>
        <v>0.16869187162051416</v>
      </c>
      <c r="N61" s="20">
        <v>17231662.81123</v>
      </c>
      <c r="O61" s="52">
        <f>+(N61-P61)/ABS(P61)</f>
        <v>0.30579326884654401</v>
      </c>
      <c r="P61" s="20">
        <v>13196317.688519999</v>
      </c>
    </row>
    <row r="62" spans="1:21">
      <c r="A62" t="s">
        <v>225</v>
      </c>
      <c r="B62" s="20">
        <v>130698.53515</v>
      </c>
      <c r="C62" s="49">
        <v>0</v>
      </c>
      <c r="D62" s="20">
        <v>0</v>
      </c>
      <c r="E62" s="49">
        <v>0</v>
      </c>
      <c r="F62" s="20">
        <v>0</v>
      </c>
      <c r="G62" s="49">
        <v>0</v>
      </c>
      <c r="H62" s="20">
        <v>0</v>
      </c>
      <c r="I62" s="52">
        <f>+(B62-J62)/ABS(J62)</f>
        <v>0.19013767849817109</v>
      </c>
      <c r="J62" s="20">
        <v>109817.99628000001</v>
      </c>
      <c r="K62" s="52">
        <f>+(J62-L62)/ABS(L62)</f>
        <v>0.10665540606610753</v>
      </c>
      <c r="L62" s="20">
        <v>99234.138899999991</v>
      </c>
      <c r="M62" s="52">
        <f>+(L62-N62)/ABS(N62)</f>
        <v>0.74673712658123814</v>
      </c>
      <c r="N62" s="20">
        <v>56811.146560000001</v>
      </c>
      <c r="O62" s="52">
        <f>+(N62-P62)/ABS(P62)</f>
        <v>7.6226851694783757E-2</v>
      </c>
      <c r="P62" s="20">
        <v>52787.334260000003</v>
      </c>
    </row>
    <row r="63" spans="1:21">
      <c r="A63" t="s">
        <v>287</v>
      </c>
      <c r="B63" s="20">
        <v>51853.025609999997</v>
      </c>
      <c r="C63" s="49">
        <v>0</v>
      </c>
      <c r="D63" s="20">
        <v>0</v>
      </c>
      <c r="E63" s="49">
        <v>0</v>
      </c>
      <c r="F63" s="20">
        <v>0</v>
      </c>
      <c r="G63" s="49">
        <v>0</v>
      </c>
      <c r="H63" s="20">
        <v>0</v>
      </c>
      <c r="I63" s="52">
        <f>+(B63-J63)/ABS(J63)</f>
        <v>2.2466657082726442</v>
      </c>
      <c r="J63" s="20">
        <v>15971.1625</v>
      </c>
      <c r="K63" s="52">
        <f>+(J63-L63)/ABS(L63)</f>
        <v>-0.57012606824442336</v>
      </c>
      <c r="L63" s="20">
        <v>37153.131000000001</v>
      </c>
      <c r="M63" s="52">
        <f>+(L63-N63)/ABS(N63)</f>
        <v>-0.16547850816309606</v>
      </c>
      <c r="N63" s="20">
        <v>44520.280619999998</v>
      </c>
      <c r="O63" s="52">
        <f>+(N63-P63)/ABS(P63)</f>
        <v>-0.2378851104738168</v>
      </c>
      <c r="P63" s="20">
        <v>58416.757410000006</v>
      </c>
    </row>
    <row r="68" spans="2:15">
      <c r="B68"/>
      <c r="C68"/>
      <c r="D68"/>
      <c r="E68"/>
      <c r="F68"/>
      <c r="G68"/>
      <c r="H68"/>
      <c r="I68"/>
      <c r="J68"/>
      <c r="K68"/>
      <c r="L68"/>
      <c r="M68"/>
    </row>
    <row r="69" spans="2:15">
      <c r="B69"/>
      <c r="C69"/>
      <c r="D69"/>
      <c r="E69"/>
      <c r="F69"/>
      <c r="G69"/>
      <c r="H69"/>
      <c r="I69"/>
      <c r="J69"/>
      <c r="K69"/>
      <c r="L69"/>
      <c r="M69"/>
    </row>
    <row r="70" spans="2:15">
      <c r="B70"/>
      <c r="C70"/>
      <c r="D70"/>
      <c r="E70"/>
      <c r="F70"/>
      <c r="G70"/>
      <c r="H70"/>
      <c r="I70"/>
      <c r="J70"/>
      <c r="K70"/>
      <c r="L70"/>
      <c r="M70"/>
      <c r="O70" s="19" t="s">
        <v>0</v>
      </c>
    </row>
    <row r="71" spans="2:15">
      <c r="B71"/>
      <c r="C71"/>
      <c r="D71"/>
      <c r="E71"/>
      <c r="F71"/>
      <c r="G71"/>
      <c r="H71"/>
      <c r="I71"/>
      <c r="J71"/>
      <c r="K71"/>
      <c r="L71"/>
      <c r="M71"/>
    </row>
    <row r="72" spans="2:15">
      <c r="B72"/>
      <c r="C72"/>
      <c r="D72"/>
      <c r="E72"/>
      <c r="F72"/>
      <c r="G72"/>
      <c r="H72"/>
      <c r="I72"/>
      <c r="J72"/>
      <c r="K72"/>
      <c r="L72"/>
      <c r="M72"/>
    </row>
    <row r="73" spans="2:15">
      <c r="B73"/>
      <c r="C73"/>
      <c r="D73"/>
      <c r="E73"/>
      <c r="F73"/>
      <c r="G73"/>
      <c r="H73"/>
      <c r="I73"/>
      <c r="J73"/>
      <c r="K73"/>
      <c r="L73"/>
      <c r="M73"/>
    </row>
    <row r="74" spans="2:15">
      <c r="B74"/>
      <c r="C74"/>
      <c r="D74"/>
      <c r="E74"/>
      <c r="F74"/>
      <c r="G74"/>
      <c r="H74"/>
      <c r="I74"/>
      <c r="J74"/>
      <c r="K74"/>
      <c r="L74"/>
      <c r="M74"/>
    </row>
    <row r="75" spans="2:15">
      <c r="B75"/>
      <c r="C75"/>
      <c r="D75"/>
      <c r="E75"/>
      <c r="F75"/>
      <c r="G75"/>
      <c r="H75"/>
      <c r="I75"/>
      <c r="J75"/>
      <c r="K75"/>
      <c r="L75"/>
      <c r="M75"/>
    </row>
    <row r="76" spans="2:15">
      <c r="B76"/>
      <c r="C76"/>
      <c r="D76"/>
      <c r="E76"/>
      <c r="F76"/>
      <c r="G76"/>
      <c r="H76"/>
      <c r="I76"/>
      <c r="J76"/>
      <c r="K76"/>
      <c r="L76"/>
      <c r="M76"/>
    </row>
    <row r="77" spans="2:15">
      <c r="B77"/>
      <c r="C77"/>
      <c r="D77"/>
      <c r="E77"/>
      <c r="F77"/>
      <c r="G77"/>
      <c r="H77"/>
      <c r="I77"/>
      <c r="J77"/>
      <c r="K77"/>
      <c r="L77"/>
      <c r="M77"/>
    </row>
    <row r="78" spans="2:15">
      <c r="B78"/>
      <c r="C78"/>
      <c r="D78"/>
      <c r="E78"/>
      <c r="F78"/>
      <c r="G78"/>
      <c r="H78"/>
      <c r="I78"/>
      <c r="J78"/>
      <c r="K78"/>
      <c r="L78"/>
      <c r="M78"/>
    </row>
    <row r="79" spans="2:15">
      <c r="B79"/>
      <c r="C79"/>
      <c r="D79"/>
      <c r="E79"/>
      <c r="F79"/>
      <c r="G79"/>
      <c r="H79"/>
      <c r="I79"/>
      <c r="J79"/>
      <c r="K79"/>
      <c r="L79"/>
      <c r="M79"/>
    </row>
    <row r="80" spans="2:15">
      <c r="B80"/>
      <c r="C80"/>
      <c r="D80"/>
      <c r="E80"/>
      <c r="F80"/>
      <c r="G80"/>
      <c r="H80"/>
      <c r="I80"/>
      <c r="J80"/>
      <c r="K80"/>
      <c r="L80"/>
      <c r="M80"/>
    </row>
    <row r="81" spans="2:15">
      <c r="B81"/>
      <c r="C81"/>
      <c r="D81"/>
      <c r="E81"/>
      <c r="F81"/>
      <c r="G81"/>
      <c r="H81"/>
      <c r="I81"/>
      <c r="J81"/>
      <c r="K81"/>
      <c r="L81"/>
      <c r="M81"/>
      <c r="O81" s="19"/>
    </row>
    <row r="82" spans="2:15">
      <c r="B82"/>
      <c r="C82"/>
      <c r="D82"/>
      <c r="E82"/>
      <c r="F82"/>
      <c r="G82"/>
      <c r="H82"/>
      <c r="I82"/>
      <c r="J82"/>
      <c r="K82"/>
      <c r="L82"/>
      <c r="M82"/>
    </row>
    <row r="83" spans="2:15">
      <c r="B83"/>
      <c r="C83"/>
      <c r="D83"/>
      <c r="E83"/>
      <c r="F83"/>
      <c r="G83"/>
      <c r="H83"/>
      <c r="I83"/>
      <c r="J83"/>
      <c r="K83"/>
      <c r="L83"/>
      <c r="M83"/>
    </row>
    <row r="84" spans="2:15">
      <c r="B84"/>
      <c r="C84"/>
      <c r="D84"/>
      <c r="E84"/>
      <c r="F84"/>
      <c r="G84"/>
      <c r="H84"/>
      <c r="I84"/>
      <c r="J84"/>
      <c r="K84"/>
      <c r="L84"/>
      <c r="M84"/>
    </row>
    <row r="85" spans="2:15">
      <c r="B85"/>
      <c r="C85"/>
      <c r="D85"/>
      <c r="E85"/>
      <c r="F85"/>
      <c r="G85"/>
      <c r="H85"/>
      <c r="I85"/>
      <c r="J85"/>
      <c r="K85"/>
      <c r="L85"/>
      <c r="M85"/>
      <c r="O85" s="19"/>
    </row>
    <row r="86" spans="2:15">
      <c r="B86"/>
      <c r="C86"/>
      <c r="D86"/>
      <c r="E86"/>
      <c r="F86"/>
      <c r="G86"/>
      <c r="H86"/>
      <c r="I86"/>
      <c r="J86"/>
      <c r="K86"/>
      <c r="L86"/>
      <c r="M86"/>
    </row>
    <row r="87" spans="2:15">
      <c r="B87"/>
      <c r="C87"/>
      <c r="D87"/>
      <c r="E87"/>
      <c r="F87"/>
      <c r="G87"/>
      <c r="H87"/>
      <c r="I87"/>
      <c r="J87"/>
      <c r="K87"/>
      <c r="L87"/>
      <c r="M87"/>
    </row>
    <row r="88" spans="2:15">
      <c r="B88"/>
      <c r="C88"/>
      <c r="D88"/>
      <c r="E88"/>
      <c r="F88"/>
      <c r="G88"/>
      <c r="H88"/>
      <c r="I88"/>
      <c r="J88"/>
      <c r="K88"/>
      <c r="L88"/>
      <c r="M88"/>
    </row>
    <row r="89" spans="2:15">
      <c r="B89"/>
      <c r="C89"/>
      <c r="D89"/>
      <c r="E89"/>
      <c r="F89"/>
      <c r="G89"/>
      <c r="H89"/>
      <c r="I89"/>
      <c r="J89"/>
      <c r="K89"/>
      <c r="L89"/>
      <c r="M89"/>
    </row>
    <row r="90" spans="2:15">
      <c r="B90"/>
      <c r="C90"/>
      <c r="D90"/>
      <c r="E90"/>
      <c r="F90"/>
      <c r="G90"/>
      <c r="H90"/>
      <c r="I90"/>
      <c r="J90"/>
      <c r="K90"/>
      <c r="L90"/>
      <c r="M90"/>
    </row>
    <row r="91" spans="2:15">
      <c r="B91"/>
      <c r="C91"/>
      <c r="D91"/>
      <c r="E91"/>
      <c r="F91"/>
      <c r="G91"/>
      <c r="H91"/>
      <c r="I91"/>
      <c r="J91"/>
      <c r="K91"/>
      <c r="L91"/>
      <c r="M91"/>
    </row>
    <row r="92" spans="2:15">
      <c r="B92"/>
      <c r="C92"/>
      <c r="D92"/>
      <c r="E92"/>
      <c r="F92"/>
      <c r="G92"/>
      <c r="H92"/>
      <c r="I92"/>
      <c r="J92"/>
      <c r="K92"/>
      <c r="L92"/>
      <c r="M92"/>
    </row>
    <row r="93" spans="2:15">
      <c r="B93"/>
      <c r="C93"/>
      <c r="D93"/>
      <c r="E93"/>
      <c r="F93"/>
      <c r="G93"/>
      <c r="H93"/>
      <c r="I93"/>
      <c r="J93"/>
      <c r="K93"/>
      <c r="L93"/>
      <c r="M93"/>
    </row>
    <row r="94" spans="2:15">
      <c r="B94"/>
      <c r="C94"/>
      <c r="D94"/>
      <c r="E94"/>
      <c r="F94"/>
      <c r="G94"/>
      <c r="H94"/>
      <c r="I94"/>
      <c r="J94"/>
      <c r="K94"/>
      <c r="L94"/>
      <c r="M94"/>
    </row>
    <row r="95" spans="2:15">
      <c r="B95"/>
      <c r="C95"/>
      <c r="D95"/>
      <c r="E95"/>
      <c r="F95"/>
      <c r="G95"/>
      <c r="H95"/>
      <c r="I95"/>
      <c r="J95"/>
      <c r="K95"/>
      <c r="L95"/>
      <c r="M95"/>
    </row>
    <row r="96" spans="2:15">
      <c r="B96"/>
      <c r="C96"/>
      <c r="D96"/>
      <c r="E96"/>
      <c r="F96"/>
      <c r="G96"/>
      <c r="H96"/>
      <c r="I96"/>
      <c r="J96"/>
      <c r="K96"/>
      <c r="L96"/>
      <c r="M96"/>
    </row>
    <row r="97" spans="2:17">
      <c r="B97"/>
      <c r="C97"/>
      <c r="D97"/>
      <c r="E97"/>
      <c r="F97"/>
      <c r="G97"/>
      <c r="H97"/>
      <c r="I97"/>
      <c r="J97"/>
      <c r="K97"/>
      <c r="L97"/>
      <c r="M97"/>
    </row>
    <row r="98" spans="2:17">
      <c r="B98"/>
      <c r="C98"/>
      <c r="D98"/>
      <c r="E98"/>
      <c r="F98"/>
      <c r="G98"/>
      <c r="H98"/>
      <c r="I98"/>
      <c r="J98"/>
      <c r="K98"/>
      <c r="L98"/>
      <c r="M98"/>
      <c r="O98" s="19">
        <f>SUM(O99:O102)</f>
        <v>0</v>
      </c>
    </row>
    <row r="99" spans="2:17">
      <c r="B99"/>
      <c r="C99"/>
      <c r="D99"/>
      <c r="E99"/>
      <c r="F99"/>
      <c r="G99"/>
      <c r="H99"/>
      <c r="I99"/>
      <c r="J99"/>
      <c r="K99"/>
      <c r="L99"/>
      <c r="M99"/>
    </row>
    <row r="100" spans="2:17">
      <c r="B100"/>
      <c r="C100"/>
      <c r="D100"/>
      <c r="E100"/>
      <c r="F100"/>
      <c r="G100"/>
      <c r="H100"/>
      <c r="I100"/>
      <c r="J100"/>
      <c r="K100"/>
      <c r="L100"/>
      <c r="M100"/>
    </row>
    <row r="101" spans="2:17">
      <c r="B101"/>
      <c r="C101"/>
      <c r="D101"/>
      <c r="E101"/>
      <c r="F101"/>
      <c r="G101"/>
      <c r="H101"/>
      <c r="I101"/>
      <c r="J101"/>
      <c r="K101"/>
      <c r="L101"/>
      <c r="M101"/>
    </row>
    <row r="102" spans="2:17">
      <c r="B102"/>
      <c r="C102"/>
      <c r="D102"/>
      <c r="E102"/>
      <c r="F102"/>
      <c r="G102"/>
      <c r="H102"/>
      <c r="I102"/>
      <c r="J102"/>
      <c r="K102"/>
      <c r="L102"/>
      <c r="M102"/>
    </row>
    <row r="103" spans="2:17">
      <c r="B103"/>
      <c r="C103"/>
      <c r="D103"/>
      <c r="E103"/>
      <c r="F103"/>
      <c r="G103"/>
      <c r="H103"/>
      <c r="I103"/>
      <c r="J103"/>
      <c r="K103"/>
      <c r="L103"/>
      <c r="M103"/>
    </row>
    <row r="104" spans="2:17">
      <c r="B104"/>
      <c r="C104"/>
      <c r="D104"/>
      <c r="E104"/>
      <c r="F104"/>
      <c r="G104"/>
      <c r="H104"/>
      <c r="I104"/>
      <c r="J104"/>
      <c r="K104"/>
      <c r="L104"/>
      <c r="M104"/>
      <c r="N104" s="20">
        <v>0</v>
      </c>
      <c r="O104" s="19">
        <v>0</v>
      </c>
      <c r="P104" s="20">
        <v>0</v>
      </c>
      <c r="Q104" s="24" t="s">
        <v>0</v>
      </c>
    </row>
    <row r="105" spans="2:17">
      <c r="B105"/>
      <c r="C105"/>
      <c r="D105"/>
      <c r="E105"/>
      <c r="F105"/>
      <c r="G105"/>
      <c r="H105"/>
      <c r="I105"/>
      <c r="J105"/>
      <c r="K105"/>
      <c r="L105"/>
      <c r="M105"/>
    </row>
    <row r="106" spans="2:17">
      <c r="B106"/>
      <c r="C106"/>
      <c r="D106"/>
      <c r="E106"/>
      <c r="F106"/>
      <c r="G106"/>
      <c r="H106"/>
      <c r="I106"/>
      <c r="J106"/>
      <c r="K106"/>
      <c r="L106"/>
      <c r="M106"/>
    </row>
    <row r="107" spans="2:17">
      <c r="B107"/>
      <c r="C107"/>
      <c r="D107"/>
      <c r="E107"/>
      <c r="F107"/>
      <c r="G107"/>
      <c r="H107"/>
      <c r="I107"/>
      <c r="J107"/>
      <c r="K107"/>
      <c r="L107"/>
      <c r="M107"/>
    </row>
    <row r="108" spans="2:17">
      <c r="B108"/>
      <c r="C108"/>
      <c r="D108"/>
      <c r="E108"/>
      <c r="F108"/>
      <c r="G108"/>
      <c r="H108"/>
      <c r="I108"/>
      <c r="J108"/>
      <c r="K108"/>
      <c r="L108"/>
      <c r="M108"/>
      <c r="O108" s="19">
        <f>SUM(O109:O114)</f>
        <v>0</v>
      </c>
    </row>
    <row r="109" spans="2:17">
      <c r="B109"/>
      <c r="C109"/>
      <c r="D109"/>
      <c r="E109"/>
      <c r="F109"/>
      <c r="G109"/>
      <c r="H109"/>
      <c r="I109"/>
      <c r="J109"/>
      <c r="K109"/>
      <c r="L109"/>
      <c r="M109"/>
    </row>
    <row r="110" spans="2:17">
      <c r="B110"/>
      <c r="C110"/>
      <c r="D110"/>
      <c r="E110"/>
      <c r="F110"/>
      <c r="G110"/>
      <c r="H110"/>
      <c r="I110"/>
      <c r="J110"/>
      <c r="K110"/>
      <c r="L110"/>
      <c r="M110"/>
    </row>
    <row r="111" spans="2:17">
      <c r="B111"/>
      <c r="C111"/>
      <c r="D111"/>
      <c r="E111"/>
      <c r="F111"/>
      <c r="G111"/>
      <c r="H111"/>
      <c r="I111"/>
      <c r="J111"/>
      <c r="K111"/>
      <c r="L111"/>
      <c r="M111"/>
    </row>
    <row r="112" spans="2:17">
      <c r="B112"/>
      <c r="C112"/>
      <c r="D112"/>
      <c r="E112"/>
      <c r="F112"/>
      <c r="G112"/>
      <c r="H112"/>
      <c r="I112"/>
      <c r="J112"/>
      <c r="K112"/>
      <c r="L112"/>
      <c r="M112"/>
    </row>
    <row r="113" spans="2:15">
      <c r="B113"/>
      <c r="C113"/>
      <c r="D113"/>
      <c r="E113"/>
      <c r="F113"/>
      <c r="G113"/>
      <c r="H113"/>
      <c r="I113"/>
      <c r="J113"/>
      <c r="K113"/>
      <c r="L113"/>
      <c r="M113"/>
    </row>
    <row r="114" spans="2:15">
      <c r="B114"/>
      <c r="C114"/>
      <c r="D114"/>
      <c r="E114"/>
      <c r="F114"/>
      <c r="G114"/>
      <c r="H114"/>
      <c r="I114"/>
      <c r="J114"/>
      <c r="K114"/>
      <c r="L114"/>
      <c r="M114"/>
    </row>
    <row r="115" spans="2:15">
      <c r="B115"/>
      <c r="C115"/>
      <c r="D115"/>
      <c r="E115"/>
      <c r="F115"/>
      <c r="G115"/>
      <c r="H115"/>
      <c r="I115"/>
      <c r="J115"/>
      <c r="K115"/>
      <c r="L115"/>
      <c r="M115"/>
    </row>
    <row r="116" spans="2:15">
      <c r="B116"/>
      <c r="C116"/>
      <c r="D116"/>
      <c r="E116"/>
      <c r="F116"/>
      <c r="G116"/>
      <c r="H116"/>
      <c r="I116"/>
      <c r="J116"/>
      <c r="K116"/>
      <c r="L116"/>
      <c r="M116"/>
    </row>
    <row r="117" spans="2:15">
      <c r="B117"/>
      <c r="C117"/>
      <c r="D117"/>
      <c r="E117"/>
      <c r="F117"/>
      <c r="G117"/>
      <c r="H117"/>
      <c r="I117"/>
      <c r="J117"/>
      <c r="K117"/>
      <c r="L117"/>
      <c r="M117"/>
    </row>
    <row r="118" spans="2:15">
      <c r="B118"/>
      <c r="C118"/>
      <c r="D118"/>
      <c r="E118"/>
      <c r="F118"/>
      <c r="G118"/>
      <c r="H118"/>
      <c r="I118"/>
      <c r="J118"/>
      <c r="K118"/>
      <c r="L118"/>
      <c r="M118"/>
      <c r="O118" s="19" t="e">
        <f>+O70+O81+O85+O98+O104+O106+O108+O116</f>
        <v>#VALUE!</v>
      </c>
    </row>
    <row r="119" spans="2:15">
      <c r="B119"/>
      <c r="C119"/>
      <c r="D119"/>
      <c r="E119"/>
      <c r="F119"/>
      <c r="G119"/>
      <c r="H119"/>
      <c r="I119"/>
      <c r="J119"/>
      <c r="K119"/>
      <c r="L119"/>
      <c r="M119"/>
    </row>
    <row r="120" spans="2:15">
      <c r="B120"/>
      <c r="C120"/>
      <c r="D120"/>
      <c r="E120"/>
      <c r="F120"/>
      <c r="G120"/>
      <c r="H120"/>
      <c r="I120"/>
      <c r="J120"/>
      <c r="K120"/>
      <c r="L120"/>
      <c r="M120"/>
    </row>
    <row r="121" spans="2:15">
      <c r="B121"/>
      <c r="C121"/>
      <c r="D121"/>
      <c r="E121"/>
      <c r="F121"/>
      <c r="G121"/>
      <c r="H121"/>
      <c r="I121"/>
      <c r="J121"/>
      <c r="K121"/>
      <c r="L121"/>
      <c r="M121"/>
    </row>
    <row r="122" spans="2:15">
      <c r="B122"/>
      <c r="C122"/>
      <c r="D122"/>
      <c r="E122"/>
      <c r="F122"/>
      <c r="G122"/>
      <c r="H122"/>
      <c r="I122"/>
      <c r="J122"/>
      <c r="K122"/>
      <c r="L122"/>
      <c r="M122"/>
    </row>
    <row r="123" spans="2:15">
      <c r="B123"/>
      <c r="C123"/>
      <c r="D123"/>
      <c r="E123"/>
      <c r="F123"/>
      <c r="G123"/>
      <c r="H123"/>
      <c r="I123"/>
      <c r="J123"/>
      <c r="K123"/>
      <c r="L123"/>
      <c r="M123"/>
      <c r="O123" s="19"/>
    </row>
    <row r="124" spans="2:15">
      <c r="B124"/>
      <c r="C124"/>
      <c r="D124"/>
      <c r="E124"/>
      <c r="F124"/>
      <c r="G124"/>
      <c r="H124"/>
      <c r="I124"/>
      <c r="J124"/>
      <c r="K124"/>
      <c r="L124"/>
      <c r="M124"/>
    </row>
    <row r="125" spans="2:15">
      <c r="B125"/>
      <c r="C125"/>
      <c r="D125"/>
      <c r="E125"/>
      <c r="F125"/>
      <c r="G125"/>
      <c r="H125"/>
      <c r="I125"/>
      <c r="J125"/>
      <c r="K125"/>
      <c r="L125"/>
      <c r="M125"/>
    </row>
    <row r="126" spans="2:15">
      <c r="B126"/>
      <c r="C126"/>
      <c r="D126"/>
      <c r="E126"/>
      <c r="F126"/>
      <c r="G126"/>
      <c r="H126"/>
      <c r="I126"/>
      <c r="J126"/>
      <c r="K126"/>
      <c r="L126"/>
      <c r="M126"/>
    </row>
    <row r="127" spans="2:15">
      <c r="B127"/>
      <c r="C127"/>
      <c r="D127"/>
      <c r="E127"/>
      <c r="F127"/>
      <c r="G127"/>
      <c r="H127"/>
      <c r="I127"/>
      <c r="J127"/>
      <c r="K127"/>
      <c r="L127"/>
      <c r="M127"/>
      <c r="O127" s="19"/>
    </row>
    <row r="128" spans="2:15">
      <c r="B128"/>
      <c r="C128"/>
      <c r="D128"/>
      <c r="E128"/>
      <c r="F128"/>
      <c r="G128"/>
      <c r="H128"/>
      <c r="I128"/>
      <c r="J128"/>
      <c r="K128"/>
      <c r="L128"/>
      <c r="M128"/>
    </row>
    <row r="129" spans="2:15">
      <c r="B129"/>
      <c r="C129"/>
      <c r="D129"/>
      <c r="E129"/>
      <c r="F129"/>
      <c r="G129"/>
      <c r="H129"/>
      <c r="I129"/>
      <c r="J129"/>
      <c r="K129"/>
      <c r="L129"/>
      <c r="M129"/>
      <c r="O129" s="19"/>
    </row>
    <row r="130" spans="2:15">
      <c r="B130"/>
      <c r="C130"/>
      <c r="D130"/>
      <c r="E130"/>
      <c r="F130"/>
      <c r="G130"/>
      <c r="H130"/>
      <c r="I130"/>
      <c r="J130"/>
      <c r="K130"/>
      <c r="L130"/>
      <c r="M130"/>
    </row>
    <row r="131" spans="2:15">
      <c r="B131"/>
      <c r="C131"/>
      <c r="D131"/>
      <c r="E131"/>
      <c r="F131"/>
      <c r="G131"/>
      <c r="H131"/>
      <c r="I131"/>
      <c r="J131"/>
      <c r="K131"/>
      <c r="L131"/>
      <c r="M131"/>
      <c r="O131" s="19"/>
    </row>
    <row r="132" spans="2:15">
      <c r="B132"/>
      <c r="C132"/>
      <c r="D132"/>
      <c r="E132"/>
      <c r="F132"/>
      <c r="G132"/>
      <c r="H132"/>
      <c r="I132"/>
      <c r="J132"/>
      <c r="K132"/>
      <c r="L132"/>
      <c r="M132"/>
    </row>
    <row r="133" spans="2:15">
      <c r="B133"/>
      <c r="C133"/>
      <c r="D133"/>
      <c r="E133"/>
      <c r="F133"/>
      <c r="G133"/>
      <c r="H133"/>
      <c r="I133"/>
      <c r="J133"/>
      <c r="K133"/>
      <c r="L133"/>
      <c r="M133"/>
    </row>
    <row r="134" spans="2:15">
      <c r="B134"/>
      <c r="C134"/>
      <c r="D134"/>
      <c r="E134"/>
      <c r="F134"/>
      <c r="G134"/>
      <c r="H134"/>
      <c r="I134"/>
      <c r="J134"/>
      <c r="K134"/>
      <c r="L134"/>
      <c r="M134"/>
    </row>
    <row r="135" spans="2:15">
      <c r="B135"/>
      <c r="C135"/>
      <c r="D135"/>
      <c r="E135"/>
      <c r="F135"/>
      <c r="G135"/>
      <c r="H135"/>
      <c r="I135"/>
      <c r="J135"/>
      <c r="K135"/>
      <c r="L135"/>
      <c r="M135"/>
    </row>
    <row r="136" spans="2:15">
      <c r="B136"/>
      <c r="C136"/>
      <c r="D136"/>
      <c r="E136"/>
      <c r="F136"/>
      <c r="G136"/>
      <c r="H136"/>
      <c r="I136"/>
      <c r="J136"/>
      <c r="K136"/>
      <c r="L136"/>
      <c r="M136"/>
    </row>
    <row r="137" spans="2:15">
      <c r="B137"/>
      <c r="C137"/>
      <c r="D137"/>
      <c r="E137"/>
      <c r="F137"/>
      <c r="G137"/>
      <c r="H137"/>
      <c r="I137"/>
      <c r="J137"/>
      <c r="K137"/>
      <c r="L137"/>
      <c r="M137"/>
    </row>
    <row r="138" spans="2:15">
      <c r="B138"/>
      <c r="C138"/>
      <c r="D138"/>
      <c r="E138"/>
      <c r="F138"/>
      <c r="G138"/>
      <c r="H138"/>
      <c r="I138"/>
      <c r="J138"/>
      <c r="K138"/>
      <c r="L138"/>
      <c r="M138"/>
    </row>
    <row r="139" spans="2:15">
      <c r="B139"/>
      <c r="C139"/>
      <c r="D139"/>
      <c r="E139"/>
      <c r="F139"/>
      <c r="G139"/>
      <c r="H139"/>
      <c r="I139"/>
      <c r="J139"/>
      <c r="K139"/>
      <c r="L139"/>
      <c r="M139"/>
    </row>
    <row r="140" spans="2:15">
      <c r="B140"/>
      <c r="C140"/>
      <c r="D140"/>
      <c r="E140"/>
      <c r="F140"/>
      <c r="G140"/>
      <c r="H140"/>
      <c r="I140"/>
      <c r="J140"/>
      <c r="K140"/>
      <c r="L140"/>
      <c r="M140"/>
    </row>
    <row r="141" spans="2:15">
      <c r="B141"/>
      <c r="C141"/>
      <c r="D141"/>
      <c r="E141"/>
      <c r="F141"/>
      <c r="G141"/>
      <c r="H141"/>
      <c r="I141"/>
      <c r="J141"/>
      <c r="K141"/>
      <c r="L141"/>
      <c r="M141"/>
    </row>
    <row r="142" spans="2:15">
      <c r="B142"/>
      <c r="C142"/>
      <c r="D142"/>
      <c r="E142"/>
      <c r="F142"/>
      <c r="G142"/>
      <c r="H142"/>
      <c r="I142"/>
      <c r="J142"/>
      <c r="K142"/>
      <c r="L142"/>
      <c r="M142"/>
    </row>
    <row r="143" spans="2:15">
      <c r="B143"/>
      <c r="C143"/>
      <c r="D143"/>
      <c r="E143"/>
      <c r="F143"/>
      <c r="G143"/>
      <c r="H143"/>
      <c r="I143"/>
      <c r="J143"/>
      <c r="K143"/>
      <c r="L143"/>
      <c r="M143"/>
    </row>
    <row r="144" spans="2:15">
      <c r="B144"/>
      <c r="C144"/>
      <c r="D144"/>
      <c r="E144"/>
      <c r="F144"/>
      <c r="G144"/>
      <c r="H144"/>
      <c r="I144"/>
      <c r="J144"/>
      <c r="K144"/>
      <c r="L144"/>
      <c r="M144"/>
    </row>
    <row r="145" spans="2:15">
      <c r="B145"/>
      <c r="C145"/>
      <c r="D145"/>
      <c r="E145"/>
      <c r="F145"/>
      <c r="G145"/>
      <c r="H145"/>
      <c r="I145"/>
      <c r="J145"/>
      <c r="K145"/>
      <c r="L145"/>
      <c r="M145"/>
    </row>
    <row r="146" spans="2:15">
      <c r="B146"/>
      <c r="C146"/>
      <c r="D146"/>
      <c r="E146"/>
      <c r="F146"/>
      <c r="G146"/>
      <c r="H146"/>
      <c r="I146"/>
      <c r="J146"/>
      <c r="K146"/>
      <c r="L146"/>
      <c r="M146"/>
    </row>
    <row r="147" spans="2:15">
      <c r="B147"/>
      <c r="C147"/>
      <c r="D147"/>
      <c r="E147"/>
      <c r="F147"/>
      <c r="G147"/>
      <c r="H147"/>
      <c r="I147"/>
      <c r="J147"/>
      <c r="K147"/>
      <c r="L147"/>
      <c r="M147"/>
      <c r="O147" s="19"/>
    </row>
    <row r="148" spans="2:15">
      <c r="B148"/>
      <c r="C148"/>
      <c r="D148"/>
      <c r="E148"/>
      <c r="F148"/>
      <c r="G148"/>
      <c r="H148"/>
      <c r="I148"/>
      <c r="J148"/>
      <c r="K148"/>
      <c r="L148"/>
      <c r="M148"/>
    </row>
    <row r="149" spans="2:15">
      <c r="B149"/>
      <c r="C149"/>
      <c r="D149"/>
      <c r="E149"/>
      <c r="F149"/>
      <c r="G149"/>
      <c r="H149"/>
      <c r="I149"/>
      <c r="J149"/>
      <c r="K149"/>
      <c r="L149"/>
      <c r="M149"/>
    </row>
    <row r="150" spans="2:15">
      <c r="B150"/>
      <c r="C150"/>
      <c r="D150"/>
      <c r="E150"/>
      <c r="F150"/>
      <c r="G150"/>
      <c r="H150"/>
      <c r="I150"/>
      <c r="J150"/>
      <c r="K150"/>
      <c r="L150"/>
      <c r="M150"/>
    </row>
    <row r="151" spans="2:15">
      <c r="B151"/>
      <c r="C151"/>
      <c r="D151"/>
      <c r="E151"/>
      <c r="F151"/>
      <c r="G151"/>
      <c r="H151"/>
      <c r="I151"/>
      <c r="J151"/>
      <c r="K151"/>
      <c r="L151"/>
      <c r="M151"/>
    </row>
    <row r="152" spans="2:15">
      <c r="B152"/>
      <c r="C152"/>
      <c r="D152"/>
      <c r="E152"/>
      <c r="F152"/>
      <c r="G152"/>
      <c r="H152"/>
      <c r="I152"/>
      <c r="J152"/>
      <c r="K152"/>
      <c r="L152"/>
      <c r="M152"/>
    </row>
    <row r="153" spans="2:15">
      <c r="B153"/>
      <c r="C153"/>
      <c r="D153"/>
      <c r="E153"/>
      <c r="F153"/>
      <c r="G153"/>
      <c r="H153"/>
      <c r="I153"/>
      <c r="J153"/>
      <c r="K153"/>
      <c r="L153"/>
      <c r="M153"/>
    </row>
    <row r="154" spans="2:15">
      <c r="B154"/>
      <c r="C154"/>
      <c r="D154"/>
      <c r="E154"/>
      <c r="F154"/>
      <c r="G154"/>
      <c r="H154"/>
      <c r="I154"/>
      <c r="J154"/>
      <c r="K154"/>
      <c r="L154"/>
      <c r="M154"/>
    </row>
    <row r="155" spans="2:15">
      <c r="B155"/>
      <c r="C155"/>
      <c r="D155"/>
      <c r="E155"/>
      <c r="F155"/>
      <c r="G155"/>
      <c r="H155"/>
      <c r="I155"/>
      <c r="J155"/>
      <c r="K155"/>
      <c r="L155"/>
      <c r="M155"/>
    </row>
    <row r="156" spans="2:15">
      <c r="B156"/>
      <c r="C156"/>
      <c r="D156"/>
      <c r="E156"/>
      <c r="F156"/>
      <c r="G156"/>
      <c r="H156"/>
      <c r="I156"/>
      <c r="J156"/>
      <c r="K156"/>
      <c r="L156"/>
      <c r="M156"/>
      <c r="O156" s="19"/>
    </row>
    <row r="157" spans="2:15">
      <c r="B157"/>
      <c r="C157"/>
      <c r="D157"/>
      <c r="E157"/>
      <c r="F157"/>
      <c r="G157"/>
      <c r="H157"/>
      <c r="I157"/>
      <c r="J157"/>
      <c r="K157"/>
      <c r="L157"/>
      <c r="M157"/>
    </row>
    <row r="158" spans="2:15">
      <c r="B158"/>
      <c r="C158"/>
      <c r="D158"/>
      <c r="E158"/>
      <c r="F158"/>
      <c r="G158"/>
      <c r="H158"/>
      <c r="I158"/>
      <c r="J158"/>
      <c r="K158"/>
      <c r="L158"/>
      <c r="M158"/>
      <c r="O158" s="19"/>
    </row>
    <row r="159" spans="2:15">
      <c r="B159"/>
      <c r="C159"/>
      <c r="D159"/>
      <c r="E159"/>
      <c r="F159"/>
      <c r="G159"/>
      <c r="H159"/>
      <c r="I159"/>
      <c r="J159"/>
      <c r="K159"/>
      <c r="L159"/>
      <c r="M159"/>
    </row>
    <row r="160" spans="2:15">
      <c r="B160"/>
      <c r="C160"/>
      <c r="D160"/>
      <c r="E160"/>
      <c r="F160"/>
      <c r="G160"/>
      <c r="H160"/>
      <c r="I160"/>
      <c r="J160"/>
      <c r="K160"/>
      <c r="L160"/>
      <c r="M160"/>
      <c r="O160" s="19"/>
    </row>
    <row r="161" spans="2:15">
      <c r="B161"/>
      <c r="C161"/>
      <c r="D161"/>
      <c r="E161"/>
      <c r="F161"/>
      <c r="G161"/>
      <c r="H161"/>
      <c r="I161"/>
      <c r="J161"/>
      <c r="K161"/>
      <c r="L161"/>
      <c r="M161"/>
    </row>
    <row r="162" spans="2:15">
      <c r="B162"/>
      <c r="C162"/>
      <c r="D162"/>
      <c r="E162"/>
      <c r="F162"/>
      <c r="G162"/>
      <c r="H162"/>
      <c r="I162"/>
      <c r="J162"/>
      <c r="K162"/>
      <c r="L162"/>
      <c r="M162"/>
      <c r="O162" s="19"/>
    </row>
    <row r="163" spans="2:15">
      <c r="B163"/>
      <c r="C163"/>
      <c r="D163"/>
      <c r="E163"/>
      <c r="F163"/>
      <c r="G163"/>
      <c r="H163"/>
      <c r="I163"/>
      <c r="J163"/>
      <c r="K163"/>
      <c r="L163"/>
      <c r="M163"/>
    </row>
    <row r="164" spans="2:15">
      <c r="B164"/>
      <c r="C164"/>
      <c r="D164"/>
      <c r="E164"/>
      <c r="F164"/>
      <c r="G164"/>
      <c r="H164"/>
      <c r="I164"/>
      <c r="J164"/>
      <c r="K164"/>
      <c r="L164"/>
      <c r="M164"/>
    </row>
    <row r="165" spans="2:15">
      <c r="B165"/>
      <c r="C165"/>
      <c r="D165"/>
      <c r="E165"/>
      <c r="F165"/>
      <c r="G165"/>
      <c r="H165"/>
      <c r="I165"/>
      <c r="J165"/>
      <c r="K165"/>
      <c r="L165"/>
      <c r="M165"/>
    </row>
    <row r="166" spans="2:15">
      <c r="B166"/>
      <c r="C166"/>
      <c r="D166"/>
      <c r="E166"/>
      <c r="F166"/>
      <c r="G166"/>
      <c r="H166"/>
      <c r="I166"/>
      <c r="J166"/>
      <c r="K166"/>
      <c r="L166"/>
      <c r="M166"/>
    </row>
    <row r="167" spans="2:15">
      <c r="B167"/>
      <c r="C167"/>
      <c r="D167"/>
      <c r="E167"/>
      <c r="F167"/>
      <c r="G167"/>
      <c r="H167"/>
      <c r="I167"/>
      <c r="J167"/>
      <c r="K167"/>
      <c r="L167"/>
      <c r="M167"/>
    </row>
    <row r="168" spans="2:15">
      <c r="B168"/>
      <c r="C168"/>
      <c r="D168"/>
      <c r="E168"/>
      <c r="F168"/>
      <c r="G168"/>
      <c r="H168"/>
      <c r="I168"/>
      <c r="J168"/>
      <c r="K168"/>
      <c r="L168"/>
      <c r="M168"/>
    </row>
    <row r="169" spans="2:15">
      <c r="B169"/>
      <c r="C169"/>
      <c r="D169"/>
      <c r="E169"/>
      <c r="F169"/>
      <c r="G169"/>
      <c r="H169"/>
      <c r="I169"/>
      <c r="J169"/>
      <c r="K169"/>
      <c r="L169"/>
      <c r="M169"/>
    </row>
    <row r="170" spans="2:15">
      <c r="B170"/>
      <c r="C170"/>
      <c r="D170"/>
      <c r="E170"/>
      <c r="F170"/>
      <c r="G170"/>
      <c r="H170"/>
      <c r="I170"/>
      <c r="J170"/>
      <c r="K170"/>
      <c r="L170"/>
      <c r="M170"/>
      <c r="O170" s="19"/>
    </row>
    <row r="171" spans="2:15">
      <c r="B171"/>
      <c r="C171"/>
      <c r="D171"/>
      <c r="E171"/>
      <c r="F171"/>
      <c r="G171"/>
      <c r="H171"/>
      <c r="I171"/>
      <c r="J171"/>
      <c r="K171"/>
      <c r="L171"/>
      <c r="M171"/>
    </row>
    <row r="172" spans="2:15">
      <c r="B172"/>
      <c r="C172"/>
      <c r="D172"/>
      <c r="E172"/>
      <c r="F172"/>
      <c r="G172"/>
      <c r="H172"/>
      <c r="I172"/>
      <c r="J172"/>
      <c r="K172"/>
      <c r="L172"/>
      <c r="M172"/>
    </row>
    <row r="173" spans="2:15">
      <c r="B173"/>
      <c r="C173"/>
      <c r="D173"/>
      <c r="E173"/>
      <c r="F173"/>
      <c r="G173"/>
      <c r="H173"/>
      <c r="I173"/>
      <c r="J173"/>
      <c r="K173"/>
      <c r="L173"/>
      <c r="M173"/>
    </row>
    <row r="174" spans="2:15">
      <c r="B174"/>
      <c r="C174"/>
      <c r="D174"/>
      <c r="E174"/>
      <c r="F174"/>
      <c r="G174"/>
      <c r="H174"/>
      <c r="I174"/>
      <c r="J174"/>
      <c r="K174"/>
      <c r="L174"/>
      <c r="M174"/>
      <c r="O174" s="19">
        <f>+O123+O127+O129+O131+O147+O156+O158+O160+O162+O170</f>
        <v>0</v>
      </c>
    </row>
  </sheetData>
  <phoneticPr fontId="0" type="noConversion"/>
  <pageMargins left="0.25" right="0.27" top="0.5" bottom="0.59" header="0.32" footer="0.28999999999999998"/>
  <pageSetup scale="53" orientation="landscape" r:id="rId1"/>
  <headerFooter alignWithMargins="0">
    <oddFooter>&amp;R&amp;P</oddFooter>
  </headerFooter>
</worksheet>
</file>

<file path=xl/worksheets/sheet116.xml><?xml version="1.0" encoding="utf-8"?>
<worksheet xmlns="http://schemas.openxmlformats.org/spreadsheetml/2006/main" xmlns:r="http://schemas.openxmlformats.org/officeDocument/2006/relationships">
  <sheetPr>
    <pageSetUpPr fitToPage="1"/>
  </sheetPr>
  <dimension ref="A1:U157"/>
  <sheetViews>
    <sheetView workbookViewId="0">
      <selection activeCell="E1" sqref="E1"/>
    </sheetView>
  </sheetViews>
  <sheetFormatPr baseColWidth="10" defaultColWidth="9" defaultRowHeight="15.75"/>
  <cols>
    <col min="1" max="1" width="33.25" customWidth="1"/>
    <col min="2" max="2" width="17" style="20" customWidth="1"/>
    <col min="3" max="3" width="9.75" style="21" customWidth="1"/>
    <col min="4" max="4" width="15.75" style="20" customWidth="1"/>
    <col min="5" max="5" width="9.75" style="21" customWidth="1"/>
    <col min="6" max="6" width="15.75" style="20" customWidth="1"/>
    <col min="7" max="7" width="9.75" style="21" customWidth="1"/>
    <col min="8" max="8" width="15.75" style="20" customWidth="1"/>
    <col min="9" max="9" width="9.75" style="21" customWidth="1"/>
    <col min="10" max="10" width="15.75" style="20" customWidth="1"/>
    <col min="11" max="11" width="9.75" style="21" customWidth="1"/>
    <col min="12" max="12" width="15.75" style="20" customWidth="1"/>
    <col min="13" max="13" width="9.75" style="21" customWidth="1"/>
    <col min="14" max="14" width="15.75" style="20" customWidth="1"/>
    <col min="15" max="15" width="9.75" style="21" customWidth="1"/>
    <col min="16" max="16" width="15.75" style="20" customWidth="1"/>
    <col min="17" max="17" width="9.75" style="21" customWidth="1"/>
    <col min="18" max="18" width="15.75" style="20" customWidth="1"/>
    <col min="19" max="21" width="15.75" customWidth="1"/>
  </cols>
  <sheetData>
    <row r="1" spans="1:21">
      <c r="A1" s="111" t="s">
        <v>411</v>
      </c>
      <c r="B1" s="42"/>
      <c r="C1" s="43"/>
      <c r="D1" s="42"/>
      <c r="E1" s="43"/>
      <c r="F1" s="42"/>
      <c r="G1" s="43"/>
      <c r="H1" s="42"/>
      <c r="I1" s="43"/>
      <c r="J1" s="42"/>
      <c r="K1" s="43"/>
      <c r="L1" s="42"/>
      <c r="M1" s="43"/>
      <c r="N1" s="42"/>
      <c r="O1" s="43"/>
      <c r="P1" s="42"/>
      <c r="Q1" s="43"/>
    </row>
    <row r="2" spans="1:21">
      <c r="A2" s="111" t="s">
        <v>291</v>
      </c>
      <c r="B2" s="42"/>
      <c r="C2" s="43"/>
      <c r="D2" s="42"/>
      <c r="E2" s="43"/>
      <c r="F2" s="42"/>
      <c r="G2" s="43"/>
      <c r="H2" s="42"/>
      <c r="I2" s="43"/>
      <c r="J2" s="42"/>
      <c r="K2" s="43"/>
      <c r="L2" s="42"/>
      <c r="M2" s="43"/>
      <c r="N2" s="42"/>
      <c r="O2" s="43"/>
      <c r="P2" s="42"/>
      <c r="Q2" s="43"/>
    </row>
    <row r="3" spans="1:21">
      <c r="A3" s="111" t="s">
        <v>387</v>
      </c>
      <c r="B3" s="42"/>
      <c r="C3" s="43"/>
      <c r="D3" s="42"/>
      <c r="E3" s="43"/>
      <c r="F3" s="42"/>
      <c r="G3" s="43"/>
      <c r="H3" s="42"/>
      <c r="I3" s="43"/>
      <c r="J3" s="42"/>
      <c r="K3" s="43"/>
      <c r="L3" s="42"/>
      <c r="M3" s="43"/>
      <c r="N3" s="42"/>
      <c r="O3" s="43"/>
      <c r="P3" s="42"/>
      <c r="Q3" s="43"/>
    </row>
    <row r="4" spans="1:21">
      <c r="A4" s="111" t="s">
        <v>198</v>
      </c>
      <c r="B4" s="42"/>
      <c r="C4" s="43"/>
      <c r="D4" s="42"/>
      <c r="E4" s="43"/>
      <c r="F4" s="42"/>
      <c r="G4" s="43"/>
      <c r="H4" s="42"/>
      <c r="I4" s="43"/>
      <c r="J4" s="42"/>
      <c r="K4" s="43"/>
      <c r="L4" s="42"/>
      <c r="M4" s="43"/>
      <c r="N4" s="42"/>
      <c r="O4" s="43"/>
      <c r="P4" s="42"/>
      <c r="Q4" s="43"/>
    </row>
    <row r="6" spans="1:21" s="11" customFormat="1" ht="16.5" thickBot="1">
      <c r="B6" s="346" t="s">
        <v>0</v>
      </c>
      <c r="C6" s="345"/>
      <c r="D6" s="346"/>
      <c r="E6" s="345"/>
      <c r="F6" s="346"/>
      <c r="G6" s="345"/>
      <c r="H6" s="346"/>
      <c r="I6" s="19"/>
      <c r="J6" s="118" t="s">
        <v>195</v>
      </c>
      <c r="K6" s="207"/>
      <c r="L6" s="118"/>
      <c r="M6" s="207"/>
      <c r="N6" s="118"/>
      <c r="O6" s="207"/>
      <c r="P6" s="118"/>
      <c r="Q6" s="207"/>
      <c r="R6" s="13"/>
    </row>
    <row r="7" spans="1:21" s="11" customFormat="1" ht="16.5" thickBot="1">
      <c r="B7" s="200" t="str">
        <f>+'sgbelcomp  '!B7</f>
        <v>Déc. 14</v>
      </c>
      <c r="C7" s="201" t="s">
        <v>289</v>
      </c>
      <c r="D7" s="200" t="str">
        <f>+'sgbelcomp  '!D7</f>
        <v>Mars 15</v>
      </c>
      <c r="E7" s="201" t="s">
        <v>289</v>
      </c>
      <c r="F7" s="200" t="str">
        <f>+'sgbelcomp  '!F7</f>
        <v>Juin 15</v>
      </c>
      <c r="G7" s="201" t="s">
        <v>289</v>
      </c>
      <c r="H7" s="200" t="str">
        <f>+'sgbelcomp  '!H7</f>
        <v>Sept. 15</v>
      </c>
      <c r="I7" s="201" t="s">
        <v>289</v>
      </c>
      <c r="J7" s="205" t="str">
        <f>+'sgbelcomp  '!J7</f>
        <v>2014</v>
      </c>
      <c r="K7" s="204" t="s">
        <v>289</v>
      </c>
      <c r="L7" s="205" t="str">
        <f>+'sgbelcomp  '!L7</f>
        <v>2013</v>
      </c>
      <c r="M7" s="204" t="s">
        <v>289</v>
      </c>
      <c r="N7" s="205" t="str">
        <f>+'sgbelcomp  '!N7</f>
        <v>2012</v>
      </c>
      <c r="O7" s="204" t="s">
        <v>289</v>
      </c>
      <c r="P7" s="205" t="str">
        <f>+'sgbelcomp  '!P7</f>
        <v>2011</v>
      </c>
      <c r="Q7" s="204" t="s">
        <v>289</v>
      </c>
      <c r="R7" s="2"/>
      <c r="S7" s="3"/>
      <c r="T7" s="3"/>
      <c r="U7" s="3"/>
    </row>
    <row r="8" spans="1:21">
      <c r="A8" s="86" t="s">
        <v>244</v>
      </c>
      <c r="B8" s="120"/>
      <c r="C8" s="119"/>
      <c r="D8" s="120"/>
      <c r="E8" s="119"/>
      <c r="F8" s="120"/>
      <c r="G8" s="119"/>
      <c r="H8" s="120"/>
      <c r="I8" s="119"/>
      <c r="J8" s="197"/>
      <c r="K8" s="119"/>
      <c r="L8" s="197"/>
      <c r="M8" s="119"/>
      <c r="N8" s="197"/>
      <c r="O8" s="119"/>
      <c r="P8" s="197"/>
      <c r="Q8" s="119"/>
      <c r="R8" s="22"/>
      <c r="S8" s="17"/>
      <c r="T8" s="17"/>
      <c r="U8" s="17"/>
    </row>
    <row r="9" spans="1:21">
      <c r="A9" s="10" t="s">
        <v>255</v>
      </c>
      <c r="B9"/>
    </row>
    <row r="10" spans="1:21">
      <c r="A10" s="10" t="s">
        <v>256</v>
      </c>
      <c r="B10" s="20">
        <f>+unibkvar!B10</f>
        <v>1592760.338061552</v>
      </c>
      <c r="C10" s="52">
        <f t="shared" ref="C10:C15" si="0">+B10/$B$23</f>
        <v>2.6972580115756171E-2</v>
      </c>
      <c r="D10" s="20">
        <f>+unibkvar!D10</f>
        <v>0</v>
      </c>
      <c r="E10" s="49">
        <v>0</v>
      </c>
      <c r="F10" s="20">
        <f>+unibkvar!F10</f>
        <v>0</v>
      </c>
      <c r="G10" s="49">
        <v>0</v>
      </c>
      <c r="H10" s="20">
        <f>+unibkvar!H10</f>
        <v>0</v>
      </c>
      <c r="I10" s="49">
        <v>0</v>
      </c>
      <c r="J10" s="20">
        <f>+unibkvar!J10</f>
        <v>614391.03253935603</v>
      </c>
      <c r="K10" s="52">
        <f t="shared" ref="K10:K15" si="1">+J10/$J$23</f>
        <v>1.0399770810721541E-2</v>
      </c>
      <c r="L10" s="20">
        <f>+unibkvar!L10</f>
        <v>555451.08603758109</v>
      </c>
      <c r="M10" s="52">
        <f t="shared" ref="M10:M15" si="2">+L10/$L$23</f>
        <v>1.035400062545867E-2</v>
      </c>
      <c r="N10" s="20">
        <f>+unibkvar!N10</f>
        <v>529917.70568704803</v>
      </c>
      <c r="O10" s="52">
        <f t="shared" ref="O10:O15" si="3">+N10/$N$23</f>
        <v>9.9137049263358819E-3</v>
      </c>
      <c r="P10" s="20">
        <f>+unibkvar!P10</f>
        <v>490047.19718948804</v>
      </c>
      <c r="Q10" s="52">
        <f t="shared" ref="Q10:Q15" si="4">+P10/$P$23</f>
        <v>1.0199873284573094E-2</v>
      </c>
    </row>
    <row r="11" spans="1:21">
      <c r="A11" s="10" t="s">
        <v>257</v>
      </c>
      <c r="B11" s="20">
        <f>+unibkvar!B11</f>
        <v>16594407.768534468</v>
      </c>
      <c r="C11" s="52">
        <f t="shared" si="0"/>
        <v>0.28101779176336156</v>
      </c>
      <c r="D11" s="20">
        <f>+unibkvar!D11</f>
        <v>0</v>
      </c>
      <c r="E11" s="49">
        <v>0</v>
      </c>
      <c r="F11" s="20">
        <f>+unibkvar!F11</f>
        <v>0</v>
      </c>
      <c r="G11" s="49">
        <v>0</v>
      </c>
      <c r="H11" s="20">
        <f>+unibkvar!H11</f>
        <v>0</v>
      </c>
      <c r="I11" s="49">
        <v>0</v>
      </c>
      <c r="J11" s="20">
        <f>+unibkvar!J11</f>
        <v>18117744.966445513</v>
      </c>
      <c r="K11" s="52">
        <f t="shared" si="1"/>
        <v>0.30667829652293555</v>
      </c>
      <c r="L11" s="20">
        <f>+unibkvar!L11</f>
        <v>16257943.865496946</v>
      </c>
      <c r="M11" s="52">
        <f t="shared" si="2"/>
        <v>0.30305955858845512</v>
      </c>
      <c r="N11" s="20">
        <f>+unibkvar!N11</f>
        <v>16212771.642809624</v>
      </c>
      <c r="O11" s="52">
        <f t="shared" si="3"/>
        <v>0.30330866921401095</v>
      </c>
      <c r="P11" s="20">
        <f>+unibkvar!P11</f>
        <v>14203488.27244992</v>
      </c>
      <c r="Q11" s="52">
        <f t="shared" si="4"/>
        <v>0.2956323011513734</v>
      </c>
    </row>
    <row r="12" spans="1:21">
      <c r="A12" s="10" t="s">
        <v>258</v>
      </c>
      <c r="B12" s="20">
        <f>+unibkvar!B12</f>
        <v>1379362.4548048549</v>
      </c>
      <c r="C12" s="52">
        <f t="shared" si="0"/>
        <v>2.3358796318452946E-2</v>
      </c>
      <c r="D12" s="20">
        <f>+unibkvar!D12</f>
        <v>0</v>
      </c>
      <c r="E12" s="49">
        <v>0</v>
      </c>
      <c r="F12" s="20">
        <f>+unibkvar!F12</f>
        <v>0</v>
      </c>
      <c r="G12" s="49">
        <v>0</v>
      </c>
      <c r="H12" s="20">
        <f>+unibkvar!H12</f>
        <v>0</v>
      </c>
      <c r="I12" s="49">
        <v>0</v>
      </c>
      <c r="J12" s="20">
        <f>+unibkvar!J12</f>
        <v>1199310.403287437</v>
      </c>
      <c r="K12" s="52">
        <f t="shared" si="1"/>
        <v>2.0300676058946893E-2</v>
      </c>
      <c r="L12" s="20">
        <f>+unibkvar!L12</f>
        <v>2217638.9634514898</v>
      </c>
      <c r="M12" s="52">
        <f t="shared" si="2"/>
        <v>4.1338356863100452E-2</v>
      </c>
      <c r="N12" s="20">
        <f>+unibkvar!N12</f>
        <v>3641525.8499604375</v>
      </c>
      <c r="O12" s="52">
        <f t="shared" si="3"/>
        <v>6.8125696444368902E-2</v>
      </c>
      <c r="P12" s="20">
        <f>+unibkvar!P12</f>
        <v>4840002.0959622385</v>
      </c>
      <c r="Q12" s="52">
        <f t="shared" si="4"/>
        <v>0.10074010903238362</v>
      </c>
    </row>
    <row r="13" spans="1:21">
      <c r="A13" s="10" t="s">
        <v>259</v>
      </c>
      <c r="B13" s="20">
        <f>+unibkvar!B13</f>
        <v>342.33565446433329</v>
      </c>
      <c r="C13" s="52">
        <f t="shared" si="0"/>
        <v>5.7972788786018959E-6</v>
      </c>
      <c r="D13" s="20">
        <f>+unibkvar!D13</f>
        <v>0</v>
      </c>
      <c r="E13" s="49">
        <v>0</v>
      </c>
      <c r="F13" s="20">
        <f>+unibkvar!F13</f>
        <v>0</v>
      </c>
      <c r="G13" s="49">
        <v>0</v>
      </c>
      <c r="H13" s="20">
        <f>+unibkvar!H13</f>
        <v>0</v>
      </c>
      <c r="I13" s="49">
        <v>0</v>
      </c>
      <c r="J13" s="20">
        <f>+unibkvar!J13</f>
        <v>15.342804305166123</v>
      </c>
      <c r="K13" s="52">
        <f t="shared" si="1"/>
        <v>2.5970699427039308E-7</v>
      </c>
      <c r="L13" s="20">
        <f>+unibkvar!L13</f>
        <v>1270.5630431491086</v>
      </c>
      <c r="M13" s="52">
        <f t="shared" si="2"/>
        <v>2.368419267535731E-5</v>
      </c>
      <c r="N13" s="20">
        <f>+unibkvar!N13</f>
        <v>59111.892658244265</v>
      </c>
      <c r="O13" s="52">
        <f t="shared" si="3"/>
        <v>1.1058657885214293E-3</v>
      </c>
      <c r="P13" s="20">
        <f>+unibkvar!P13</f>
        <v>82052.474129740905</v>
      </c>
      <c r="Q13" s="52">
        <f t="shared" si="4"/>
        <v>1.7078453740965954E-3</v>
      </c>
    </row>
    <row r="14" spans="1:21">
      <c r="A14" s="10" t="s">
        <v>260</v>
      </c>
      <c r="B14" s="199">
        <f>+unibkvar!B14</f>
        <v>514388.25774732098</v>
      </c>
      <c r="C14" s="213">
        <f t="shared" si="0"/>
        <v>8.7109015469204118E-3</v>
      </c>
      <c r="D14" s="199">
        <f>+unibkvar!D14</f>
        <v>0</v>
      </c>
      <c r="E14" s="1524">
        <v>0</v>
      </c>
      <c r="F14" s="199">
        <f>+unibkvar!F14</f>
        <v>0</v>
      </c>
      <c r="G14" s="1524">
        <v>0</v>
      </c>
      <c r="H14" s="217">
        <f>+unibkvar!H14</f>
        <v>0</v>
      </c>
      <c r="I14" s="1524">
        <v>0</v>
      </c>
      <c r="J14" s="199">
        <f>+unibkvar!J14</f>
        <v>594105.94718516991</v>
      </c>
      <c r="K14" s="213">
        <f t="shared" si="1"/>
        <v>1.0056406035868734E-2</v>
      </c>
      <c r="L14" s="199">
        <f>+unibkvar!L14</f>
        <v>467816.45581607003</v>
      </c>
      <c r="M14" s="213">
        <f t="shared" si="2"/>
        <v>8.7204292112802242E-3</v>
      </c>
      <c r="N14" s="199">
        <f>+unibkvar!N14</f>
        <v>782101.15132867591</v>
      </c>
      <c r="O14" s="213">
        <f t="shared" si="3"/>
        <v>1.4631554963364508E-2</v>
      </c>
      <c r="P14" s="199">
        <f>+unibkvar!P14</f>
        <v>422217.551286412</v>
      </c>
      <c r="Q14" s="213">
        <f t="shared" si="4"/>
        <v>8.7880627546552646E-3</v>
      </c>
    </row>
    <row r="15" spans="1:21" ht="15.6" customHeight="1">
      <c r="A15" s="10"/>
      <c r="B15" s="20">
        <f>SUM(B10:B14)</f>
        <v>20081261.154802661</v>
      </c>
      <c r="C15" s="52">
        <f t="shared" si="0"/>
        <v>0.34006586702336966</v>
      </c>
      <c r="D15" s="20">
        <f>SUM(D10:D14)</f>
        <v>0</v>
      </c>
      <c r="E15" s="49">
        <v>0</v>
      </c>
      <c r="F15" s="20">
        <f>SUM(F10:F14)</f>
        <v>0</v>
      </c>
      <c r="G15" s="49">
        <v>0</v>
      </c>
      <c r="H15" s="20">
        <f>SUM(H10:H14)</f>
        <v>0</v>
      </c>
      <c r="I15" s="49">
        <v>0</v>
      </c>
      <c r="J15" s="20">
        <f>SUM(J10:J14)</f>
        <v>20525567.692261782</v>
      </c>
      <c r="K15" s="52">
        <f t="shared" si="1"/>
        <v>0.347435409135467</v>
      </c>
      <c r="L15" s="20">
        <f>SUM(L10:L14)</f>
        <v>19500120.933845237</v>
      </c>
      <c r="M15" s="52">
        <f t="shared" si="2"/>
        <v>0.36349602948096982</v>
      </c>
      <c r="N15" s="20">
        <f>SUM(N10:N14)</f>
        <v>21225428.242444031</v>
      </c>
      <c r="O15" s="52">
        <f t="shared" si="3"/>
        <v>0.3970854913366017</v>
      </c>
      <c r="P15" s="20">
        <f>SUM(P10:P14)</f>
        <v>20037807.591017798</v>
      </c>
      <c r="Q15" s="52">
        <f t="shared" si="4"/>
        <v>0.41706819159708192</v>
      </c>
    </row>
    <row r="16" spans="1:21" ht="7.9" customHeight="1">
      <c r="A16" s="10"/>
      <c r="C16" s="52" t="s">
        <v>0</v>
      </c>
      <c r="E16" s="49" t="s">
        <v>0</v>
      </c>
      <c r="G16" s="49" t="s">
        <v>0</v>
      </c>
      <c r="I16" s="49" t="s">
        <v>0</v>
      </c>
      <c r="K16" s="52" t="s">
        <v>0</v>
      </c>
      <c r="M16" s="52" t="s">
        <v>0</v>
      </c>
      <c r="O16" s="52" t="s">
        <v>0</v>
      </c>
      <c r="Q16" s="52" t="s">
        <v>0</v>
      </c>
    </row>
    <row r="17" spans="1:17" ht="15.6" customHeight="1">
      <c r="A17" s="10" t="s">
        <v>261</v>
      </c>
      <c r="B17" s="20">
        <f>+unibkvar!B17</f>
        <v>0</v>
      </c>
      <c r="C17" s="52">
        <f t="shared" ref="C17:C23" si="5">+B17/$B$23</f>
        <v>0</v>
      </c>
      <c r="D17" s="20">
        <f>+unibkvar!D17</f>
        <v>0</v>
      </c>
      <c r="E17" s="49">
        <v>0</v>
      </c>
      <c r="F17" s="20">
        <f>+unibkvar!F17</f>
        <v>0</v>
      </c>
      <c r="G17" s="49">
        <v>0</v>
      </c>
      <c r="H17" s="20">
        <f>+unibkvar!H17</f>
        <v>0</v>
      </c>
      <c r="I17" s="49">
        <v>0</v>
      </c>
      <c r="J17" s="20">
        <f>+unibkvar!J17</f>
        <v>0</v>
      </c>
      <c r="K17" s="52">
        <f t="shared" ref="K17:K23" si="6">+J17/$J$23</f>
        <v>0</v>
      </c>
      <c r="L17" s="20">
        <f>+unibkvar!L17</f>
        <v>0</v>
      </c>
      <c r="M17" s="52">
        <f t="shared" ref="M17:M23" si="7">+L17/$L$23</f>
        <v>0</v>
      </c>
      <c r="N17" s="20">
        <f>+unibkvar!N17</f>
        <v>1791680.1</v>
      </c>
      <c r="O17" s="52">
        <f t="shared" ref="O17:O23" si="8">+N17/$N$23</f>
        <v>3.3518766486126304E-2</v>
      </c>
      <c r="P17" s="20">
        <f>+unibkvar!P17</f>
        <v>350000</v>
      </c>
      <c r="Q17" s="52">
        <f t="shared" ref="Q17:Q23" si="9">+P17/$P$23</f>
        <v>7.2849220852092287E-3</v>
      </c>
    </row>
    <row r="18" spans="1:17" ht="15.6" customHeight="1">
      <c r="A18" s="10" t="s">
        <v>909</v>
      </c>
      <c r="B18" s="20">
        <f>+unibkvar!B18</f>
        <v>0</v>
      </c>
      <c r="C18" s="52">
        <v>0</v>
      </c>
      <c r="D18" s="20">
        <f>+unibkvar!D18</f>
        <v>0</v>
      </c>
      <c r="E18" s="49">
        <v>0</v>
      </c>
      <c r="F18" s="20">
        <f>+unibkvar!F18</f>
        <v>0</v>
      </c>
      <c r="G18" s="49">
        <v>0</v>
      </c>
      <c r="H18" s="20">
        <f>+unibkvar!H18</f>
        <v>0</v>
      </c>
      <c r="I18" s="49">
        <v>0</v>
      </c>
      <c r="J18" s="20">
        <f>+unibkvar!J18</f>
        <v>0</v>
      </c>
      <c r="K18" s="52">
        <v>0</v>
      </c>
      <c r="L18" s="20">
        <f>+unibkvar!L18</f>
        <v>0</v>
      </c>
      <c r="M18" s="52">
        <v>0</v>
      </c>
      <c r="N18" s="20">
        <f>+unibkvar!N18</f>
        <v>0</v>
      </c>
      <c r="O18" s="52">
        <v>0</v>
      </c>
      <c r="P18" s="20">
        <f>+unibkvar!P18</f>
        <v>0</v>
      </c>
      <c r="Q18" s="52">
        <v>0</v>
      </c>
    </row>
    <row r="19" spans="1:17">
      <c r="A19" s="10" t="s">
        <v>262</v>
      </c>
      <c r="B19" s="20">
        <f>+unibkvar!B19</f>
        <v>12545779.202530257</v>
      </c>
      <c r="C19" s="52">
        <f t="shared" si="5"/>
        <v>0.21245634171596117</v>
      </c>
      <c r="D19" s="20">
        <f>+unibkvar!D19</f>
        <v>0</v>
      </c>
      <c r="E19" s="49">
        <v>0</v>
      </c>
      <c r="F19" s="20">
        <f>+unibkvar!F19</f>
        <v>0</v>
      </c>
      <c r="G19" s="49">
        <v>0</v>
      </c>
      <c r="H19" s="20">
        <f>+unibkvar!H19</f>
        <v>0</v>
      </c>
      <c r="I19" s="49">
        <v>0</v>
      </c>
      <c r="J19" s="20">
        <f>+unibkvar!J19</f>
        <v>13846183.679170178</v>
      </c>
      <c r="K19" s="52">
        <f t="shared" si="6"/>
        <v>0.23437376074869548</v>
      </c>
      <c r="L19" s="20">
        <f>+unibkvar!L19</f>
        <v>12033161.468905982</v>
      </c>
      <c r="M19" s="52">
        <f t="shared" si="7"/>
        <v>0.22430663024550826</v>
      </c>
      <c r="N19" s="20">
        <f>+unibkvar!N19</f>
        <v>10857402.07829904</v>
      </c>
      <c r="O19" s="52">
        <f t="shared" si="8"/>
        <v>0.20312037004177694</v>
      </c>
      <c r="P19" s="20">
        <f>+unibkvar!P19</f>
        <v>12245083.451345455</v>
      </c>
      <c r="Q19" s="52">
        <f t="shared" si="9"/>
        <v>0.25486993962839011</v>
      </c>
    </row>
    <row r="20" spans="1:17">
      <c r="A20" s="10" t="s">
        <v>263</v>
      </c>
      <c r="B20" s="20">
        <f>+unibkvar!B20</f>
        <v>24056419.86524</v>
      </c>
      <c r="C20" s="52">
        <f t="shared" si="5"/>
        <v>0.40738314271633935</v>
      </c>
      <c r="D20" s="20">
        <f>+unibkvar!D20</f>
        <v>0</v>
      </c>
      <c r="E20" s="49">
        <v>0</v>
      </c>
      <c r="F20" s="20">
        <f>+unibkvar!F20</f>
        <v>0</v>
      </c>
      <c r="G20" s="49">
        <v>0</v>
      </c>
      <c r="H20" s="20">
        <f>+unibkvar!H20</f>
        <v>0</v>
      </c>
      <c r="I20" s="49">
        <v>0</v>
      </c>
      <c r="J20" s="20">
        <f>+unibkvar!J20</f>
        <v>22477640.604379997</v>
      </c>
      <c r="K20" s="52">
        <f t="shared" si="6"/>
        <v>0.38047806408428703</v>
      </c>
      <c r="L20" s="20">
        <f>+unibkvar!L20</f>
        <v>20039270.123089999</v>
      </c>
      <c r="M20" s="52">
        <f t="shared" si="7"/>
        <v>0.37354615123422552</v>
      </c>
      <c r="N20" s="20">
        <f>+unibkvar!N20</f>
        <v>17174851.664670002</v>
      </c>
      <c r="O20" s="52">
        <f t="shared" si="8"/>
        <v>0.32130727041168305</v>
      </c>
      <c r="P20" s="20">
        <f>+unibkvar!P20</f>
        <v>13143530.354259999</v>
      </c>
      <c r="Q20" s="52">
        <f t="shared" si="9"/>
        <v>0.27357027015819013</v>
      </c>
    </row>
    <row r="21" spans="1:17">
      <c r="A21" s="10" t="s">
        <v>264</v>
      </c>
      <c r="B21" s="20">
        <f>+unibkvar!B21</f>
        <v>1437499.7739299997</v>
      </c>
      <c r="C21" s="52">
        <f t="shared" si="5"/>
        <v>2.4343322025394333E-2</v>
      </c>
      <c r="D21" s="20">
        <f>+unibkvar!D21</f>
        <v>0</v>
      </c>
      <c r="E21" s="49">
        <v>0</v>
      </c>
      <c r="F21" s="20">
        <f>+unibkvar!F21</f>
        <v>0</v>
      </c>
      <c r="G21" s="49">
        <v>0</v>
      </c>
      <c r="H21" s="20">
        <f>+unibkvar!H21</f>
        <v>0</v>
      </c>
      <c r="I21" s="49">
        <v>0</v>
      </c>
      <c r="J21" s="20">
        <f>+unibkvar!J21</f>
        <v>1429239.0878300001</v>
      </c>
      <c r="K21" s="52">
        <f t="shared" si="6"/>
        <v>2.419266909824988E-2</v>
      </c>
      <c r="L21" s="20">
        <f>+unibkvar!L21</f>
        <v>1357648.0556999999</v>
      </c>
      <c r="M21" s="52">
        <f t="shared" si="7"/>
        <v>2.5307518827894525E-2</v>
      </c>
      <c r="N21" s="20">
        <f>+unibkvar!N21</f>
        <v>1322498.0337099999</v>
      </c>
      <c r="O21" s="52">
        <f t="shared" si="8"/>
        <v>2.4741304416054336E-2</v>
      </c>
      <c r="P21" s="20">
        <f>+unibkvar!P21</f>
        <v>1214194.3846799999</v>
      </c>
      <c r="Q21" s="52">
        <f t="shared" si="9"/>
        <v>2.5272318539121031E-2</v>
      </c>
    </row>
    <row r="22" spans="1:17" ht="16.5" thickBot="1">
      <c r="A22" s="10" t="s">
        <v>265</v>
      </c>
      <c r="B22" s="97">
        <f>+unibkvar!B22</f>
        <v>930133.04784150189</v>
      </c>
      <c r="C22" s="208">
        <f t="shared" si="5"/>
        <v>1.5751326518935363E-2</v>
      </c>
      <c r="D22" s="97">
        <f>+unibkvar!D22</f>
        <v>0</v>
      </c>
      <c r="E22" s="209">
        <v>0</v>
      </c>
      <c r="F22" s="97">
        <f>+unibkvar!F22</f>
        <v>0</v>
      </c>
      <c r="G22" s="209">
        <v>0</v>
      </c>
      <c r="H22" s="79">
        <f>+unibkvar!H22</f>
        <v>0</v>
      </c>
      <c r="I22" s="209">
        <v>0</v>
      </c>
      <c r="J22" s="97">
        <f>+unibkvar!J22</f>
        <v>798731.67073250702</v>
      </c>
      <c r="K22" s="208">
        <f t="shared" si="6"/>
        <v>1.3520096933300663E-2</v>
      </c>
      <c r="L22" s="97">
        <f>+unibkvar!L22</f>
        <v>715835.007043196</v>
      </c>
      <c r="M22" s="208">
        <f t="shared" si="7"/>
        <v>1.3343670211401825E-2</v>
      </c>
      <c r="N22" s="97">
        <f>+unibkvar!N22</f>
        <v>1081183.8865861301</v>
      </c>
      <c r="O22" s="208">
        <f t="shared" si="8"/>
        <v>2.022679730775765E-2</v>
      </c>
      <c r="P22" s="97">
        <f>+unibkvar!P22</f>
        <v>1053823.940380842</v>
      </c>
      <c r="Q22" s="208">
        <f t="shared" si="9"/>
        <v>2.1934357992007453E-2</v>
      </c>
    </row>
    <row r="23" spans="1:17">
      <c r="A23" s="10" t="s">
        <v>54</v>
      </c>
      <c r="B23" s="13">
        <f>SUM(B15:B22)</f>
        <v>59051093.044344425</v>
      </c>
      <c r="C23" s="109">
        <f t="shared" si="5"/>
        <v>1</v>
      </c>
      <c r="D23" s="13">
        <f>SUM(D15:D22)</f>
        <v>0</v>
      </c>
      <c r="E23" s="47">
        <v>0</v>
      </c>
      <c r="F23" s="13">
        <f>SUM(F15:F22)</f>
        <v>0</v>
      </c>
      <c r="G23" s="47">
        <v>0</v>
      </c>
      <c r="H23" s="13">
        <f>SUM(H15:H22)</f>
        <v>0</v>
      </c>
      <c r="I23" s="47">
        <v>0</v>
      </c>
      <c r="J23" s="13">
        <f>SUM(J15:J22)</f>
        <v>59077362.734374464</v>
      </c>
      <c r="K23" s="52">
        <f t="shared" si="6"/>
        <v>1</v>
      </c>
      <c r="L23" s="13">
        <f>SUM(L15:L22)</f>
        <v>53646035.588584416</v>
      </c>
      <c r="M23" s="52">
        <f t="shared" si="7"/>
        <v>1</v>
      </c>
      <c r="N23" s="13">
        <f>SUM(N15:N22)</f>
        <v>53453044.005709201</v>
      </c>
      <c r="O23" s="52">
        <f t="shared" si="8"/>
        <v>1</v>
      </c>
      <c r="P23" s="13">
        <f>SUM(P15:P22)</f>
        <v>48044439.721684098</v>
      </c>
      <c r="Q23" s="52">
        <f t="shared" si="9"/>
        <v>1</v>
      </c>
    </row>
    <row r="24" spans="1:17" ht="7.9" customHeight="1">
      <c r="A24" s="10"/>
      <c r="C24" s="52" t="s">
        <v>0</v>
      </c>
      <c r="E24" s="49" t="s">
        <v>0</v>
      </c>
      <c r="G24" s="49" t="s">
        <v>0</v>
      </c>
      <c r="I24" s="49" t="s">
        <v>0</v>
      </c>
      <c r="K24" s="52" t="s">
        <v>0</v>
      </c>
      <c r="M24" s="52" t="s">
        <v>0</v>
      </c>
      <c r="O24" s="52" t="s">
        <v>0</v>
      </c>
      <c r="Q24" s="52" t="s">
        <v>0</v>
      </c>
    </row>
    <row r="25" spans="1:17">
      <c r="A25" s="86" t="s">
        <v>266</v>
      </c>
      <c r="C25" s="52" t="s">
        <v>0</v>
      </c>
      <c r="E25" s="49" t="s">
        <v>0</v>
      </c>
      <c r="G25" s="49" t="s">
        <v>0</v>
      </c>
      <c r="I25" s="49" t="s">
        <v>0</v>
      </c>
      <c r="K25" s="52" t="s">
        <v>0</v>
      </c>
      <c r="M25" s="52" t="s">
        <v>0</v>
      </c>
      <c r="O25" s="52" t="s">
        <v>0</v>
      </c>
      <c r="Q25" s="52" t="s">
        <v>0</v>
      </c>
    </row>
    <row r="26" spans="1:17">
      <c r="A26" s="10" t="s">
        <v>267</v>
      </c>
      <c r="C26" s="52" t="s">
        <v>0</v>
      </c>
      <c r="E26" s="49" t="s">
        <v>0</v>
      </c>
      <c r="G26" s="49" t="s">
        <v>0</v>
      </c>
      <c r="I26" s="49" t="s">
        <v>0</v>
      </c>
      <c r="K26" s="52" t="s">
        <v>0</v>
      </c>
      <c r="M26" s="52" t="s">
        <v>0</v>
      </c>
      <c r="O26" s="52" t="s">
        <v>0</v>
      </c>
      <c r="Q26" s="52" t="s">
        <v>0</v>
      </c>
    </row>
    <row r="27" spans="1:17">
      <c r="A27" s="10" t="s">
        <v>268</v>
      </c>
      <c r="B27" s="20">
        <f>+unibkvar!B27</f>
        <v>22792767.486483052</v>
      </c>
      <c r="C27" s="52">
        <f>+B27/$B$23</f>
        <v>0.38598383724018148</v>
      </c>
      <c r="D27" s="20">
        <f>+unibkvar!D27</f>
        <v>0</v>
      </c>
      <c r="E27" s="49">
        <v>0</v>
      </c>
      <c r="F27" s="20">
        <f>+unibkvar!F27</f>
        <v>0</v>
      </c>
      <c r="G27" s="49">
        <v>0</v>
      </c>
      <c r="H27" s="20">
        <f>+unibkvar!H27</f>
        <v>0</v>
      </c>
      <c r="I27" s="49">
        <v>0</v>
      </c>
      <c r="J27" s="20">
        <f>+unibkvar!J27</f>
        <v>22840458.232573729</v>
      </c>
      <c r="K27" s="52">
        <f>+J27/$J$23</f>
        <v>0.38661946260651026</v>
      </c>
      <c r="L27" s="20">
        <f>+unibkvar!L27</f>
        <v>21798549.035225436</v>
      </c>
      <c r="M27" s="52">
        <f>+L27/$L$23</f>
        <v>0.4063403529461187</v>
      </c>
      <c r="N27" s="20">
        <f>+unibkvar!N27</f>
        <v>23902240.379860204</v>
      </c>
      <c r="O27" s="52">
        <f>+N27/$N$23</f>
        <v>0.44716331547567728</v>
      </c>
      <c r="P27" s="20">
        <f>+unibkvar!P27</f>
        <v>21378208.948365685</v>
      </c>
      <c r="Q27" s="52">
        <f>+P27/$P$23</f>
        <v>0.44496739002904778</v>
      </c>
    </row>
    <row r="28" spans="1:17">
      <c r="A28" s="10" t="s">
        <v>269</v>
      </c>
      <c r="B28" s="20">
        <f>+unibkvar!B28</f>
        <v>20288168.454900607</v>
      </c>
      <c r="C28" s="52">
        <f>+B28/$B$23</f>
        <v>0.34356973612097585</v>
      </c>
      <c r="D28" s="20">
        <f>+unibkvar!D28</f>
        <v>0</v>
      </c>
      <c r="E28" s="49">
        <v>0</v>
      </c>
      <c r="F28" s="20">
        <f>+unibkvar!F28</f>
        <v>0</v>
      </c>
      <c r="G28" s="49">
        <v>0</v>
      </c>
      <c r="H28" s="20">
        <f>+unibkvar!H28</f>
        <v>0</v>
      </c>
      <c r="I28" s="49">
        <v>0</v>
      </c>
      <c r="J28" s="20">
        <f>+unibkvar!J28</f>
        <v>19790756.37503003</v>
      </c>
      <c r="K28" s="52">
        <f>+J28/$J$23</f>
        <v>0.33499728930036815</v>
      </c>
      <c r="L28" s="20">
        <f>+unibkvar!L28</f>
        <v>19035126.141294427</v>
      </c>
      <c r="M28" s="52">
        <f>+L28/$L$23</f>
        <v>0.35482819806623322</v>
      </c>
      <c r="N28" s="20">
        <f>+unibkvar!N28</f>
        <v>18102263.584215958</v>
      </c>
      <c r="O28" s="52">
        <f>+N28/$N$23</f>
        <v>0.3386573004576221</v>
      </c>
      <c r="P28" s="20">
        <f>+unibkvar!P28</f>
        <v>17209814.976216234</v>
      </c>
      <c r="Q28" s="52">
        <f>+P28/$P$23</f>
        <v>0.35820617486457762</v>
      </c>
    </row>
    <row r="29" spans="1:17">
      <c r="A29" s="10" t="s">
        <v>270</v>
      </c>
      <c r="B29" s="199">
        <f>+unibkvar!B29</f>
        <v>6403840.1414921256</v>
      </c>
      <c r="C29" s="213">
        <f>+B29/$B$23</f>
        <v>0.10844575115117956</v>
      </c>
      <c r="D29" s="199">
        <f>+unibkvar!D29</f>
        <v>0</v>
      </c>
      <c r="E29" s="1524">
        <v>0</v>
      </c>
      <c r="F29" s="199">
        <f>+unibkvar!F29</f>
        <v>0</v>
      </c>
      <c r="G29" s="1524">
        <v>0</v>
      </c>
      <c r="H29" s="217">
        <f>+unibkvar!H29</f>
        <v>0</v>
      </c>
      <c r="I29" s="1524">
        <v>0</v>
      </c>
      <c r="J29" s="199">
        <f>+unibkvar!J29</f>
        <v>5855784.9906616667</v>
      </c>
      <c r="K29" s="213">
        <f>+J29/$J$23</f>
        <v>9.9120622851609594E-2</v>
      </c>
      <c r="L29" s="199">
        <f>+unibkvar!L29</f>
        <v>4879139.4486481864</v>
      </c>
      <c r="M29" s="213">
        <f>+L29/$L$23</f>
        <v>9.0950606044157362E-2</v>
      </c>
      <c r="N29" s="199">
        <f>+unibkvar!N29</f>
        <v>4465893.2497843346</v>
      </c>
      <c r="O29" s="213">
        <f>+N29/$N$23</f>
        <v>8.3547968742572309E-2</v>
      </c>
      <c r="P29" s="199">
        <f>+unibkvar!P29</f>
        <v>4175306.0473045562</v>
      </c>
      <c r="Q29" s="213">
        <f>+P29/$P$23</f>
        <v>8.6905083532904603E-2</v>
      </c>
    </row>
    <row r="30" spans="1:17">
      <c r="A30" s="10"/>
      <c r="B30" s="20">
        <f>SUM(B27:B29)</f>
        <v>49484776.082875788</v>
      </c>
      <c r="C30" s="52">
        <f>+B30/$B$23</f>
        <v>0.83799932451233694</v>
      </c>
      <c r="D30" s="20">
        <f>SUM(D27:D29)</f>
        <v>0</v>
      </c>
      <c r="E30" s="49">
        <v>0</v>
      </c>
      <c r="F30" s="20">
        <f>SUM(F27:F29)</f>
        <v>0</v>
      </c>
      <c r="G30" s="49">
        <v>0</v>
      </c>
      <c r="H30" s="20">
        <f>SUM(H27:H29)</f>
        <v>0</v>
      </c>
      <c r="I30" s="49">
        <v>0</v>
      </c>
      <c r="J30" s="20">
        <f>SUM(J27:J29)</f>
        <v>48486999.598265424</v>
      </c>
      <c r="K30" s="52">
        <f>+J30/$J$23</f>
        <v>0.82073737475848796</v>
      </c>
      <c r="L30" s="20">
        <f>SUM(L27:L29)</f>
        <v>45712814.625168048</v>
      </c>
      <c r="M30" s="52">
        <f>+L30/$L$23</f>
        <v>0.8521191570565092</v>
      </c>
      <c r="N30" s="20">
        <f>SUM(N27:N29)</f>
        <v>46470397.213860497</v>
      </c>
      <c r="O30" s="52">
        <f>+N30/$N$23</f>
        <v>0.86936858467587175</v>
      </c>
      <c r="P30" s="20">
        <f>SUM(P27:P29)</f>
        <v>42763329.971886471</v>
      </c>
      <c r="Q30" s="52">
        <f>+P30/$P$23</f>
        <v>0.89007864842652995</v>
      </c>
    </row>
    <row r="31" spans="1:17" ht="7.9" customHeight="1">
      <c r="A31" s="10"/>
      <c r="C31" s="52" t="s">
        <v>0</v>
      </c>
      <c r="E31" s="49" t="s">
        <v>0</v>
      </c>
      <c r="G31" s="49" t="s">
        <v>0</v>
      </c>
      <c r="I31" s="49" t="s">
        <v>0</v>
      </c>
      <c r="K31" s="52" t="s">
        <v>0</v>
      </c>
      <c r="M31" s="52" t="s">
        <v>0</v>
      </c>
      <c r="O31" s="52" t="s">
        <v>0</v>
      </c>
      <c r="Q31" s="52" t="s">
        <v>0</v>
      </c>
    </row>
    <row r="32" spans="1:17">
      <c r="A32" s="10" t="s">
        <v>271</v>
      </c>
      <c r="C32" s="52" t="s">
        <v>0</v>
      </c>
      <c r="E32" s="49" t="s">
        <v>0</v>
      </c>
      <c r="G32" s="49" t="s">
        <v>0</v>
      </c>
      <c r="I32" s="49" t="s">
        <v>0</v>
      </c>
      <c r="K32" s="52" t="s">
        <v>0</v>
      </c>
      <c r="M32" s="52" t="s">
        <v>0</v>
      </c>
      <c r="O32" s="52" t="s">
        <v>0</v>
      </c>
      <c r="Q32" s="52" t="s">
        <v>0</v>
      </c>
    </row>
    <row r="33" spans="1:21">
      <c r="A33" s="10" t="s">
        <v>272</v>
      </c>
      <c r="B33" s="20">
        <f>+unibkvar!B33</f>
        <v>0</v>
      </c>
      <c r="C33" s="52">
        <f>+B33/$B$23</f>
        <v>0</v>
      </c>
      <c r="D33" s="20">
        <f>+unibkvar!D33</f>
        <v>0</v>
      </c>
      <c r="E33" s="49">
        <v>0</v>
      </c>
      <c r="F33" s="20">
        <f>+unibkvar!F33</f>
        <v>0</v>
      </c>
      <c r="G33" s="49">
        <v>0</v>
      </c>
      <c r="H33" s="20">
        <f>+unibkvar!H33</f>
        <v>0</v>
      </c>
      <c r="I33" s="49">
        <v>0</v>
      </c>
      <c r="J33" s="20">
        <f>+unibkvar!J33</f>
        <v>0</v>
      </c>
      <c r="K33" s="52">
        <f>+J33/$J$23</f>
        <v>0</v>
      </c>
      <c r="L33" s="20">
        <f>+unibkvar!L33</f>
        <v>0</v>
      </c>
      <c r="M33" s="52">
        <f>+L33/$L$23</f>
        <v>0</v>
      </c>
      <c r="N33" s="20">
        <f>+unibkvar!N33</f>
        <v>0</v>
      </c>
      <c r="O33" s="52">
        <f>+N33/$N$23</f>
        <v>0</v>
      </c>
      <c r="P33" s="20">
        <f>+unibkvar!P33</f>
        <v>0</v>
      </c>
      <c r="Q33" s="52">
        <f>+P33/$P$23</f>
        <v>0</v>
      </c>
    </row>
    <row r="34" spans="1:21">
      <c r="A34" s="10" t="s">
        <v>273</v>
      </c>
      <c r="B34" s="20">
        <f>+unibkvar!B34</f>
        <v>0</v>
      </c>
      <c r="C34" s="52">
        <f>+B34/$B$23</f>
        <v>0</v>
      </c>
      <c r="D34" s="20">
        <f>+unibkvar!D34</f>
        <v>0</v>
      </c>
      <c r="E34" s="49">
        <v>0</v>
      </c>
      <c r="F34" s="20">
        <f>+unibkvar!F34</f>
        <v>0</v>
      </c>
      <c r="G34" s="49">
        <v>0</v>
      </c>
      <c r="H34" s="20">
        <f>+unibkvar!H34</f>
        <v>0</v>
      </c>
      <c r="I34" s="49">
        <v>0</v>
      </c>
      <c r="J34" s="20">
        <f>+unibkvar!J34</f>
        <v>0</v>
      </c>
      <c r="K34" s="52">
        <f>+J34/$J$23</f>
        <v>0</v>
      </c>
      <c r="L34" s="20">
        <f>+unibkvar!L34</f>
        <v>0</v>
      </c>
      <c r="M34" s="52">
        <f>+L34/$L$23</f>
        <v>0</v>
      </c>
      <c r="N34" s="20">
        <f>+unibkvar!N34</f>
        <v>0</v>
      </c>
      <c r="O34" s="52">
        <f>+N34/$N$23</f>
        <v>0</v>
      </c>
      <c r="P34" s="20">
        <f>+unibkvar!P34</f>
        <v>0</v>
      </c>
      <c r="Q34" s="52">
        <f>+P34/$P$23</f>
        <v>0</v>
      </c>
    </row>
    <row r="35" spans="1:21" ht="18">
      <c r="A35" s="10" t="s">
        <v>274</v>
      </c>
      <c r="B35" s="199">
        <f>+unibkvar!B35</f>
        <v>2209055.4804472663</v>
      </c>
      <c r="C35" s="213">
        <f>+B35/$B$23</f>
        <v>3.7409222531890746E-2</v>
      </c>
      <c r="D35" s="199">
        <f>+unibkvar!D35</f>
        <v>0</v>
      </c>
      <c r="E35" s="1524">
        <v>0</v>
      </c>
      <c r="F35" s="199">
        <f>+unibkvar!F35</f>
        <v>0</v>
      </c>
      <c r="G35" s="1524">
        <v>0</v>
      </c>
      <c r="H35" s="217">
        <f>+unibkvar!H35</f>
        <v>0</v>
      </c>
      <c r="I35" s="1524">
        <v>0</v>
      </c>
      <c r="J35" s="199">
        <f>+unibkvar!J35</f>
        <v>2202766.578748968</v>
      </c>
      <c r="K35" s="213">
        <f>+J35/$J$23</f>
        <v>3.728613595452996E-2</v>
      </c>
      <c r="L35" s="199">
        <f>+unibkvar!L35</f>
        <v>1057912.3859349231</v>
      </c>
      <c r="M35" s="213">
        <f>+L35/$L$23</f>
        <v>1.9720234204222187E-2</v>
      </c>
      <c r="N35" s="199">
        <f>+unibkvar!N35</f>
        <v>661118.11459894793</v>
      </c>
      <c r="O35" s="213">
        <f>+N35/$N$23</f>
        <v>1.236820328751222E-2</v>
      </c>
      <c r="P35" s="199">
        <f>+unibkvar!P35</f>
        <v>626919.96963537589</v>
      </c>
      <c r="Q35" s="213">
        <f>+P35/$P$23</f>
        <v>1.3048751807015568E-2</v>
      </c>
      <c r="R35" s="14"/>
      <c r="S35" s="15"/>
      <c r="T35" s="15"/>
      <c r="U35" s="15"/>
    </row>
    <row r="36" spans="1:21">
      <c r="A36" s="10"/>
      <c r="B36" s="20">
        <f>SUM(B33:B35)</f>
        <v>2209055.4804472663</v>
      </c>
      <c r="C36" s="52">
        <f>+B36/$B$23</f>
        <v>3.7409222531890746E-2</v>
      </c>
      <c r="D36" s="20">
        <f>SUM(D33:D35)</f>
        <v>0</v>
      </c>
      <c r="E36" s="49">
        <v>0</v>
      </c>
      <c r="F36" s="20">
        <f>SUM(F33:F35)</f>
        <v>0</v>
      </c>
      <c r="G36" s="49">
        <v>0</v>
      </c>
      <c r="H36" s="20">
        <f>SUM(H33:H35)</f>
        <v>0</v>
      </c>
      <c r="I36" s="49">
        <v>0</v>
      </c>
      <c r="J36" s="20">
        <f>SUM(J33:J35)</f>
        <v>2202766.578748968</v>
      </c>
      <c r="K36" s="52">
        <f>+J36/$J$23</f>
        <v>3.728613595452996E-2</v>
      </c>
      <c r="L36" s="20">
        <f>SUM(L33:L35)</f>
        <v>1057912.3859349231</v>
      </c>
      <c r="M36" s="52">
        <f>+L36/$L$23</f>
        <v>1.9720234204222187E-2</v>
      </c>
      <c r="N36" s="20">
        <f>SUM(N33:N35)</f>
        <v>661118.11459894793</v>
      </c>
      <c r="O36" s="52">
        <f>+N36/$N$23</f>
        <v>1.236820328751222E-2</v>
      </c>
      <c r="P36" s="20">
        <f>SUM(P33:P35)</f>
        <v>626919.96963537589</v>
      </c>
      <c r="Q36" s="52">
        <f>+P36/$P$23</f>
        <v>1.3048751807015568E-2</v>
      </c>
    </row>
    <row r="37" spans="1:21" ht="7.15" customHeight="1">
      <c r="A37" s="10"/>
      <c r="C37" s="52" t="s">
        <v>0</v>
      </c>
      <c r="E37" s="49" t="s">
        <v>0</v>
      </c>
      <c r="G37" s="49" t="s">
        <v>0</v>
      </c>
      <c r="I37" s="49" t="s">
        <v>0</v>
      </c>
      <c r="K37" s="52" t="s">
        <v>0</v>
      </c>
      <c r="M37" s="52" t="s">
        <v>0</v>
      </c>
      <c r="O37" s="52" t="s">
        <v>0</v>
      </c>
      <c r="Q37" s="52" t="s">
        <v>0</v>
      </c>
    </row>
    <row r="38" spans="1:21">
      <c r="A38" s="10" t="s">
        <v>275</v>
      </c>
      <c r="C38" s="52" t="s">
        <v>0</v>
      </c>
      <c r="E38" s="49" t="s">
        <v>0</v>
      </c>
      <c r="G38" s="49" t="s">
        <v>0</v>
      </c>
      <c r="I38" s="49" t="s">
        <v>0</v>
      </c>
      <c r="K38" s="52" t="s">
        <v>0</v>
      </c>
      <c r="M38" s="52" t="s">
        <v>0</v>
      </c>
      <c r="O38" s="52" t="s">
        <v>0</v>
      </c>
      <c r="Q38" s="52" t="s">
        <v>0</v>
      </c>
    </row>
    <row r="39" spans="1:21">
      <c r="A39" s="10" t="s">
        <v>272</v>
      </c>
      <c r="B39" s="20">
        <f>+unibkvar!B39</f>
        <v>0</v>
      </c>
      <c r="C39" s="52">
        <f>+B39/$B$23</f>
        <v>0</v>
      </c>
      <c r="D39" s="20">
        <f>+unibkvar!D39</f>
        <v>0</v>
      </c>
      <c r="E39" s="49">
        <v>0</v>
      </c>
      <c r="F39" s="20">
        <f>+unibkvar!F39</f>
        <v>0</v>
      </c>
      <c r="G39" s="49">
        <v>0</v>
      </c>
      <c r="H39" s="20">
        <f>+unibkvar!H39</f>
        <v>0</v>
      </c>
      <c r="I39" s="49">
        <v>0</v>
      </c>
      <c r="J39" s="20">
        <f>+unibkvar!J39</f>
        <v>600000</v>
      </c>
      <c r="K39" s="52">
        <f>+J39/$J$23</f>
        <v>1.0156174416548336E-2</v>
      </c>
      <c r="L39" s="20">
        <f>+unibkvar!L39</f>
        <v>850000</v>
      </c>
      <c r="M39" s="52">
        <f>+L39/$L$23</f>
        <v>1.5844600456941787E-2</v>
      </c>
      <c r="N39" s="20">
        <f>+unibkvar!N39</f>
        <v>650000</v>
      </c>
      <c r="O39" s="52">
        <f>+N39/$N$23</f>
        <v>1.2160205505425939E-2</v>
      </c>
      <c r="P39" s="20">
        <f>+unibkvar!P39</f>
        <v>0</v>
      </c>
      <c r="Q39" s="52">
        <f>+P39/$P$23</f>
        <v>0</v>
      </c>
    </row>
    <row r="40" spans="1:21">
      <c r="A40" s="10" t="s">
        <v>276</v>
      </c>
      <c r="B40" s="20">
        <f>+unibkvar!B40</f>
        <v>607720.1</v>
      </c>
      <c r="C40" s="52">
        <f>+B40/$B$23</f>
        <v>1.0291428467609101E-2</v>
      </c>
      <c r="D40" s="20">
        <f>+unibkvar!D40</f>
        <v>0</v>
      </c>
      <c r="E40" s="49">
        <v>0</v>
      </c>
      <c r="F40" s="20">
        <f>+unibkvar!F40</f>
        <v>0</v>
      </c>
      <c r="G40" s="49">
        <v>0</v>
      </c>
      <c r="H40" s="20">
        <f>+unibkvar!H40</f>
        <v>0</v>
      </c>
      <c r="I40" s="49">
        <v>0</v>
      </c>
      <c r="J40" s="20">
        <f>+unibkvar!J40</f>
        <v>1457846.4</v>
      </c>
      <c r="K40" s="52">
        <f>+J40/$J$23</f>
        <v>2.4676903851561821E-2</v>
      </c>
      <c r="L40" s="20">
        <f>+unibkvar!L40</f>
        <v>656143.5</v>
      </c>
      <c r="M40" s="52">
        <f>+L40/$L$23</f>
        <v>1.2230978352846334E-2</v>
      </c>
      <c r="N40" s="20">
        <f>+unibkvar!N40</f>
        <v>0</v>
      </c>
      <c r="O40" s="52">
        <f>+N40/$N$23</f>
        <v>0</v>
      </c>
      <c r="P40" s="20">
        <f>+unibkvar!P40</f>
        <v>0</v>
      </c>
      <c r="Q40" s="52">
        <f>+P40/$P$23</f>
        <v>0</v>
      </c>
    </row>
    <row r="41" spans="1:21">
      <c r="A41" s="10" t="s">
        <v>274</v>
      </c>
      <c r="B41" s="199">
        <f>+unibkvar!B41</f>
        <v>448356.15104296198</v>
      </c>
      <c r="C41" s="213">
        <f>+B41/$B$23</f>
        <v>7.5926816580053633E-3</v>
      </c>
      <c r="D41" s="199">
        <f>+unibkvar!D41</f>
        <v>0</v>
      </c>
      <c r="E41" s="1524">
        <v>0</v>
      </c>
      <c r="F41" s="199">
        <f>+unibkvar!F41</f>
        <v>0</v>
      </c>
      <c r="G41" s="1524">
        <v>0</v>
      </c>
      <c r="H41" s="217">
        <f>+unibkvar!H41</f>
        <v>0</v>
      </c>
      <c r="I41" s="1524">
        <v>0</v>
      </c>
      <c r="J41" s="199">
        <f>+unibkvar!J41</f>
        <v>372529.52439225098</v>
      </c>
      <c r="K41" s="213">
        <f>+J41/$J$23</f>
        <v>6.3057913750691648E-3</v>
      </c>
      <c r="L41" s="199">
        <f>+unibkvar!L41</f>
        <v>285187.13686240098</v>
      </c>
      <c r="M41" s="213">
        <f>+L41/$L$23</f>
        <v>5.3160896929928449E-3</v>
      </c>
      <c r="N41" s="199">
        <f>+unibkvar!N41</f>
        <v>846520.29362838203</v>
      </c>
      <c r="O41" s="213">
        <f>+N41/$N$23</f>
        <v>1.5836708823130204E-2</v>
      </c>
      <c r="P41" s="199">
        <f>+unibkvar!P41</f>
        <v>346949.64375424403</v>
      </c>
      <c r="Q41" s="213">
        <f>+P41/$P$23</f>
        <v>7.2214317778307611E-3</v>
      </c>
    </row>
    <row r="42" spans="1:21">
      <c r="A42" s="10"/>
      <c r="B42" s="20">
        <f>SUM(B39:B41)</f>
        <v>1056076.2510429621</v>
      </c>
      <c r="C42" s="52">
        <f>+B42/$B$23</f>
        <v>1.7884110125614465E-2</v>
      </c>
      <c r="D42" s="20">
        <f>SUM(D39:D41)</f>
        <v>0</v>
      </c>
      <c r="E42" s="49">
        <v>0</v>
      </c>
      <c r="F42" s="20">
        <f>SUM(F39:F41)</f>
        <v>0</v>
      </c>
      <c r="G42" s="49">
        <v>0</v>
      </c>
      <c r="H42" s="20">
        <f>SUM(H39:H41)</f>
        <v>0</v>
      </c>
      <c r="I42" s="49">
        <v>0</v>
      </c>
      <c r="J42" s="20">
        <f>SUM(J39:J41)</f>
        <v>2430375.9243922508</v>
      </c>
      <c r="K42" s="52">
        <f>+J42/$J$23</f>
        <v>4.1138869643179317E-2</v>
      </c>
      <c r="L42" s="20">
        <f>SUM(L39:L41)</f>
        <v>1791330.6368624009</v>
      </c>
      <c r="M42" s="52">
        <f>+L42/$L$23</f>
        <v>3.3391668502780962E-2</v>
      </c>
      <c r="N42" s="20">
        <f>SUM(N39:N41)</f>
        <v>1496520.293628382</v>
      </c>
      <c r="O42" s="52">
        <f>+N42/$N$23</f>
        <v>2.7996914328556145E-2</v>
      </c>
      <c r="P42" s="20">
        <f>SUM(P39:P41)</f>
        <v>346949.64375424403</v>
      </c>
      <c r="Q42" s="52">
        <f>+P42/$P$23</f>
        <v>7.2214317778307611E-3</v>
      </c>
    </row>
    <row r="43" spans="1:21" ht="8.4499999999999993" customHeight="1">
      <c r="A43" s="10"/>
      <c r="C43" s="52" t="s">
        <v>0</v>
      </c>
      <c r="E43" s="49" t="s">
        <v>0</v>
      </c>
      <c r="G43" s="49" t="s">
        <v>0</v>
      </c>
      <c r="I43" s="49" t="s">
        <v>0</v>
      </c>
      <c r="K43" s="52" t="s">
        <v>0</v>
      </c>
      <c r="M43" s="52" t="s">
        <v>0</v>
      </c>
      <c r="O43" s="52" t="s">
        <v>0</v>
      </c>
      <c r="Q43" s="52" t="s">
        <v>0</v>
      </c>
    </row>
    <row r="44" spans="1:21" ht="18">
      <c r="A44" s="10" t="s">
        <v>277</v>
      </c>
      <c r="B44" s="199">
        <f>+unibkvar!B44</f>
        <v>503987.09549473604</v>
      </c>
      <c r="C44" s="213">
        <f>+B44/$B$23</f>
        <v>8.5347631942437868E-3</v>
      </c>
      <c r="D44" s="199">
        <f>+unibkvar!D44</f>
        <v>0</v>
      </c>
      <c r="E44" s="1524">
        <v>0</v>
      </c>
      <c r="F44" s="199">
        <f>+unibkvar!F44</f>
        <v>0</v>
      </c>
      <c r="G44" s="1524">
        <v>0</v>
      </c>
      <c r="H44" s="217">
        <f>+unibkvar!H44</f>
        <v>0</v>
      </c>
      <c r="I44" s="1524">
        <v>0</v>
      </c>
      <c r="J44" s="199">
        <f>+unibkvar!J44</f>
        <v>501530.57568533707</v>
      </c>
      <c r="K44" s="213">
        <f>+J44/$J$23</f>
        <v>8.4893866698202997E-3</v>
      </c>
      <c r="L44" s="199">
        <f>+unibkvar!L44</f>
        <v>340031.091375324</v>
      </c>
      <c r="M44" s="213">
        <f>+L44/$L$23</f>
        <v>6.3384197479763212E-3</v>
      </c>
      <c r="N44" s="199">
        <f>+unibkvar!N44</f>
        <v>473583.12652092794</v>
      </c>
      <c r="O44" s="213">
        <f>+N44/$N$23</f>
        <v>8.8597971421486409E-3</v>
      </c>
      <c r="P44" s="199">
        <f>+unibkvar!P44</f>
        <v>553442.69762023201</v>
      </c>
      <c r="Q44" s="213">
        <f>+P44/$P$23</f>
        <v>1.1519391230832574E-2</v>
      </c>
      <c r="R44" s="14"/>
    </row>
    <row r="45" spans="1:21">
      <c r="A45" s="10"/>
      <c r="B45" s="20">
        <f>+B30+B36+B42+B44</f>
        <v>53253894.909860753</v>
      </c>
      <c r="C45" s="52">
        <f>+B45/$B$23</f>
        <v>0.90182742036408592</v>
      </c>
      <c r="D45" s="20">
        <f t="shared" ref="D45:J45" si="10">+D30+D36+D42+D44</f>
        <v>0</v>
      </c>
      <c r="E45" s="49">
        <v>0</v>
      </c>
      <c r="F45" s="20">
        <f t="shared" si="10"/>
        <v>0</v>
      </c>
      <c r="G45" s="49">
        <v>0</v>
      </c>
      <c r="H45" s="20">
        <f t="shared" si="10"/>
        <v>0</v>
      </c>
      <c r="I45" s="49">
        <v>0</v>
      </c>
      <c r="J45" s="20">
        <f t="shared" si="10"/>
        <v>53621672.677091986</v>
      </c>
      <c r="K45" s="52">
        <f>+J45/$J$23</f>
        <v>0.90765176702601758</v>
      </c>
      <c r="L45" s="20">
        <f>+L30+L36+L42+L44</f>
        <v>48902088.739340693</v>
      </c>
      <c r="M45" s="52">
        <f>+L45/$L$23</f>
        <v>0.9115694795114887</v>
      </c>
      <c r="N45" s="20">
        <f>+N30+N36+N42+N44</f>
        <v>49101618.748608746</v>
      </c>
      <c r="O45" s="52">
        <f>+N45/$N$23</f>
        <v>0.91859349943408852</v>
      </c>
      <c r="P45" s="20">
        <f>+P30+P36+P42+P44</f>
        <v>44290642.282896325</v>
      </c>
      <c r="Q45" s="52">
        <f>+P45/$P$23</f>
        <v>0.92186822324220885</v>
      </c>
    </row>
    <row r="46" spans="1:21" ht="8.4499999999999993" customHeight="1">
      <c r="A46" s="10"/>
      <c r="C46" s="52" t="s">
        <v>0</v>
      </c>
      <c r="E46" s="49" t="s">
        <v>0</v>
      </c>
      <c r="G46" s="49" t="s">
        <v>0</v>
      </c>
      <c r="I46" s="49" t="s">
        <v>0</v>
      </c>
      <c r="K46" s="52" t="s">
        <v>0</v>
      </c>
      <c r="M46" s="52" t="s">
        <v>0</v>
      </c>
      <c r="O46" s="52" t="s">
        <v>0</v>
      </c>
      <c r="Q46" s="52" t="s">
        <v>0</v>
      </c>
    </row>
    <row r="47" spans="1:21">
      <c r="A47" s="86" t="s">
        <v>278</v>
      </c>
      <c r="C47" s="52" t="s">
        <v>0</v>
      </c>
      <c r="E47" s="49" t="s">
        <v>0</v>
      </c>
      <c r="G47" s="49" t="s">
        <v>0</v>
      </c>
      <c r="I47" s="49" t="s">
        <v>0</v>
      </c>
      <c r="K47" s="52" t="s">
        <v>0</v>
      </c>
      <c r="M47" s="52" t="s">
        <v>0</v>
      </c>
      <c r="O47" s="52" t="s">
        <v>0</v>
      </c>
      <c r="Q47" s="52" t="s">
        <v>0</v>
      </c>
    </row>
    <row r="48" spans="1:21">
      <c r="A48" s="10" t="s">
        <v>279</v>
      </c>
      <c r="B48" s="20">
        <f>+unibkvar!B48</f>
        <v>2092652</v>
      </c>
      <c r="C48" s="52">
        <f t="shared" ref="C48:C53" si="11">+B48/$B$23</f>
        <v>3.5437989241427298E-2</v>
      </c>
      <c r="D48" s="20">
        <f>+unibkvar!D48</f>
        <v>0</v>
      </c>
      <c r="E48" s="49">
        <v>0</v>
      </c>
      <c r="F48" s="20">
        <f>+unibkvar!F48</f>
        <v>0</v>
      </c>
      <c r="G48" s="49">
        <v>0</v>
      </c>
      <c r="H48" s="20">
        <f>+unibkvar!H48</f>
        <v>0</v>
      </c>
      <c r="I48" s="49">
        <v>0</v>
      </c>
      <c r="J48" s="20">
        <f>+unibkvar!J48</f>
        <v>2092704</v>
      </c>
      <c r="K48" s="52">
        <f t="shared" ref="K48:K53" si="12">+J48/$J$23</f>
        <v>3.5423111377013948E-2</v>
      </c>
      <c r="L48" s="20">
        <f>+unibkvar!L48</f>
        <v>2093492</v>
      </c>
      <c r="M48" s="52">
        <f t="shared" ref="M48:M53" si="13">+L48/$L$23</f>
        <v>3.9024169764475265E-2</v>
      </c>
      <c r="N48" s="20">
        <f>+unibkvar!N48</f>
        <v>2093492</v>
      </c>
      <c r="O48" s="52">
        <f t="shared" ref="O48:O53" si="14">+N48/$N$23</f>
        <v>3.9165066067638706E-2</v>
      </c>
      <c r="P48" s="20">
        <f>+unibkvar!P48</f>
        <v>2000000</v>
      </c>
      <c r="Q48" s="52">
        <f t="shared" ref="Q48:Q53" si="15">+P48/$P$23</f>
        <v>4.1628126201195589E-2</v>
      </c>
    </row>
    <row r="49" spans="1:21">
      <c r="A49" s="10" t="s">
        <v>280</v>
      </c>
      <c r="B49" s="20">
        <f>+unibkvar!B49</f>
        <v>867190.37237999996</v>
      </c>
      <c r="C49" s="52">
        <f t="shared" si="11"/>
        <v>1.4685424564940453E-2</v>
      </c>
      <c r="D49" s="20">
        <f>+unibkvar!D49</f>
        <v>0</v>
      </c>
      <c r="E49" s="49">
        <v>0</v>
      </c>
      <c r="F49" s="20">
        <f>+unibkvar!F49</f>
        <v>0</v>
      </c>
      <c r="G49" s="49">
        <v>0</v>
      </c>
      <c r="H49" s="20">
        <f>+unibkvar!H49</f>
        <v>0</v>
      </c>
      <c r="I49" s="49">
        <v>0</v>
      </c>
      <c r="J49" s="20">
        <f>+unibkvar!J49</f>
        <v>867190.37237999996</v>
      </c>
      <c r="K49" s="52">
        <f t="shared" si="12"/>
        <v>1.4678894457071301E-2</v>
      </c>
      <c r="L49" s="20">
        <f>+unibkvar!L49</f>
        <v>302924.09750999999</v>
      </c>
      <c r="M49" s="52">
        <f t="shared" si="13"/>
        <v>5.6467191692066172E-3</v>
      </c>
      <c r="N49" s="20">
        <f>+unibkvar!N49</f>
        <v>105578.76949999999</v>
      </c>
      <c r="O49" s="52">
        <f t="shared" si="14"/>
        <v>1.9751685140461479E-3</v>
      </c>
      <c r="P49" s="20">
        <f>+unibkvar!P49</f>
        <v>65043.87904</v>
      </c>
      <c r="Q49" s="52">
        <f t="shared" si="15"/>
        <v>1.3538274026462104E-3</v>
      </c>
    </row>
    <row r="50" spans="1:21">
      <c r="A50" s="10" t="s">
        <v>290</v>
      </c>
      <c r="B50" s="20">
        <f>+unibkvar!B50</f>
        <v>0</v>
      </c>
      <c r="C50" s="52">
        <f t="shared" si="11"/>
        <v>0</v>
      </c>
      <c r="D50" s="20">
        <f>+unibkvar!D50</f>
        <v>0</v>
      </c>
      <c r="E50" s="49">
        <v>0</v>
      </c>
      <c r="F50" s="20">
        <f>+unibkvar!F50</f>
        <v>0</v>
      </c>
      <c r="G50" s="49">
        <v>0</v>
      </c>
      <c r="H50" s="20">
        <f>+unibkvar!H50</f>
        <v>0</v>
      </c>
      <c r="I50" s="49">
        <v>0</v>
      </c>
      <c r="J50" s="20">
        <f>+unibkvar!J50</f>
        <v>0</v>
      </c>
      <c r="K50" s="272">
        <f t="shared" si="12"/>
        <v>0</v>
      </c>
      <c r="L50" s="20">
        <f>+unibkvar!L50</f>
        <v>0</v>
      </c>
      <c r="M50" s="52">
        <f t="shared" si="13"/>
        <v>0</v>
      </c>
      <c r="N50" s="20">
        <f>+unibkvar!N50</f>
        <v>0</v>
      </c>
      <c r="O50" s="52">
        <f t="shared" si="14"/>
        <v>0</v>
      </c>
      <c r="P50" s="20">
        <f>+unibkvar!P50</f>
        <v>0</v>
      </c>
      <c r="Q50" s="52">
        <f t="shared" si="15"/>
        <v>0</v>
      </c>
    </row>
    <row r="51" spans="1:21" ht="18">
      <c r="A51" s="10" t="s">
        <v>282</v>
      </c>
      <c r="B51" s="199">
        <f>+unibkvar!B51</f>
        <v>2837355.7598899999</v>
      </c>
      <c r="C51" s="213">
        <f t="shared" si="11"/>
        <v>4.8049165792058875E-2</v>
      </c>
      <c r="D51" s="199">
        <f>+unibkvar!D51</f>
        <v>0</v>
      </c>
      <c r="E51" s="49">
        <v>0</v>
      </c>
      <c r="F51" s="199">
        <f>+unibkvar!F51</f>
        <v>0</v>
      </c>
      <c r="G51" s="49">
        <v>0</v>
      </c>
      <c r="H51" s="217">
        <f>+unibkvar!H51</f>
        <v>0</v>
      </c>
      <c r="I51" s="49">
        <v>0</v>
      </c>
      <c r="J51" s="199">
        <f>+unibkvar!J51</f>
        <v>2495795.6846699999</v>
      </c>
      <c r="K51" s="213">
        <f t="shared" si="12"/>
        <v>4.2246227135961989E-2</v>
      </c>
      <c r="L51" s="199">
        <f>+unibkvar!L51</f>
        <v>2347530.7559199999</v>
      </c>
      <c r="M51" s="213">
        <f t="shared" si="13"/>
        <v>4.3759631632864622E-2</v>
      </c>
      <c r="N51" s="199">
        <f>+unibkvar!N51</f>
        <v>2152354.4907499999</v>
      </c>
      <c r="O51" s="213">
        <f t="shared" si="14"/>
        <v>4.0266266043148292E-2</v>
      </c>
      <c r="P51" s="199">
        <f>+unibkvar!P51</f>
        <v>1688753.5638000001</v>
      </c>
      <c r="Q51" s="213">
        <f t="shared" si="15"/>
        <v>3.5149823238292605E-2</v>
      </c>
      <c r="R51" s="14"/>
      <c r="S51" s="15"/>
      <c r="T51" s="15"/>
      <c r="U51" s="15"/>
    </row>
    <row r="52" spans="1:21" ht="16.5" thickBot="1">
      <c r="A52" s="10" t="s">
        <v>54</v>
      </c>
      <c r="B52" s="79">
        <f>SUM(B48:B51)</f>
        <v>5797198.1322699999</v>
      </c>
      <c r="C52" s="208">
        <f t="shared" si="11"/>
        <v>9.8172579598426624E-2</v>
      </c>
      <c r="D52" s="79">
        <f>SUM(D48:D51)</f>
        <v>0</v>
      </c>
      <c r="E52" s="1525">
        <v>0</v>
      </c>
      <c r="F52" s="79">
        <f>SUM(F48:F51)</f>
        <v>0</v>
      </c>
      <c r="G52" s="1525">
        <v>0</v>
      </c>
      <c r="H52" s="79">
        <f>SUM(H48:H51)</f>
        <v>0</v>
      </c>
      <c r="I52" s="1525">
        <v>0</v>
      </c>
      <c r="J52" s="79">
        <f>SUM(J48:J51)</f>
        <v>5455690.0570499999</v>
      </c>
      <c r="K52" s="208">
        <f t="shared" si="12"/>
        <v>9.2348232970047239E-2</v>
      </c>
      <c r="L52" s="79">
        <f>SUM(L48:L51)</f>
        <v>4743946.8534299992</v>
      </c>
      <c r="M52" s="208">
        <f t="shared" si="13"/>
        <v>8.8430520566546489E-2</v>
      </c>
      <c r="N52" s="79">
        <f>SUM(N48:N51)</f>
        <v>4351425.2602500003</v>
      </c>
      <c r="O52" s="208">
        <f t="shared" si="14"/>
        <v>8.140650062483315E-2</v>
      </c>
      <c r="P52" s="79">
        <f>SUM(P48:P51)</f>
        <v>3753797.4428400001</v>
      </c>
      <c r="Q52" s="208">
        <f t="shared" si="15"/>
        <v>7.8131776842134404E-2</v>
      </c>
    </row>
    <row r="53" spans="1:21">
      <c r="A53" s="10" t="s">
        <v>0</v>
      </c>
      <c r="B53" s="13">
        <f>+B30+B36+B42+B44+B52</f>
        <v>59051093.042130753</v>
      </c>
      <c r="C53" s="109">
        <f t="shared" si="11"/>
        <v>0.99999999996251265</v>
      </c>
      <c r="D53" s="13">
        <f>+D30+D36+D42+D44+D52</f>
        <v>0</v>
      </c>
      <c r="E53" s="47">
        <v>0</v>
      </c>
      <c r="F53" s="13">
        <f>+F30+F36+F42+F44+F52</f>
        <v>0</v>
      </c>
      <c r="G53" s="47">
        <v>0</v>
      </c>
      <c r="H53" s="13">
        <f>+H30+H36+H42+H44+H52</f>
        <v>0</v>
      </c>
      <c r="I53" s="47">
        <v>0</v>
      </c>
      <c r="J53" s="13">
        <f>+J30+J36+J42+J44+J52</f>
        <v>59077362.734141983</v>
      </c>
      <c r="K53" s="52">
        <f t="shared" si="12"/>
        <v>0.99999999999606481</v>
      </c>
      <c r="L53" s="13">
        <f>+L30+L36+L42+L44+L52</f>
        <v>53646035.592770696</v>
      </c>
      <c r="M53" s="52">
        <f t="shared" si="13"/>
        <v>1.0000000000780351</v>
      </c>
      <c r="N53" s="13">
        <f>+N30+N36+N42+N44+N52</f>
        <v>53453044.008858748</v>
      </c>
      <c r="O53" s="52">
        <f t="shared" si="14"/>
        <v>1.0000000000589218</v>
      </c>
      <c r="P53" s="13">
        <f>+P30+P36+P42+P44+P52</f>
        <v>48044439.725736327</v>
      </c>
      <c r="Q53" s="52">
        <f t="shared" si="15"/>
        <v>1.0000000000843434</v>
      </c>
    </row>
    <row r="56" spans="1:21">
      <c r="B56"/>
      <c r="C56"/>
      <c r="D56"/>
      <c r="E56"/>
      <c r="F56"/>
      <c r="G56"/>
      <c r="H56"/>
      <c r="I56"/>
      <c r="J56"/>
      <c r="K56"/>
      <c r="L56"/>
      <c r="M56"/>
      <c r="N56"/>
      <c r="O56"/>
      <c r="P56"/>
      <c r="Q56"/>
      <c r="R56"/>
    </row>
    <row r="57" spans="1:21">
      <c r="B57"/>
      <c r="C57"/>
      <c r="D57"/>
      <c r="E57"/>
      <c r="F57"/>
      <c r="G57"/>
      <c r="H57"/>
      <c r="I57"/>
      <c r="J57"/>
      <c r="K57"/>
      <c r="L57"/>
      <c r="M57"/>
      <c r="N57"/>
      <c r="O57"/>
      <c r="P57"/>
      <c r="Q57"/>
      <c r="R57"/>
    </row>
    <row r="58" spans="1:21">
      <c r="B58"/>
      <c r="C58"/>
      <c r="D58"/>
      <c r="E58"/>
      <c r="F58"/>
      <c r="G58"/>
      <c r="H58"/>
      <c r="I58"/>
      <c r="J58"/>
      <c r="K58"/>
      <c r="L58"/>
      <c r="M58"/>
      <c r="N58"/>
      <c r="O58"/>
      <c r="P58"/>
      <c r="Q58"/>
      <c r="R58"/>
    </row>
    <row r="59" spans="1:21">
      <c r="B59"/>
      <c r="C59"/>
      <c r="D59"/>
      <c r="E59"/>
      <c r="F59"/>
      <c r="G59"/>
      <c r="H59"/>
      <c r="I59"/>
      <c r="J59"/>
      <c r="K59"/>
      <c r="L59"/>
      <c r="M59"/>
      <c r="N59"/>
      <c r="O59"/>
      <c r="P59"/>
      <c r="Q59"/>
      <c r="R59"/>
    </row>
    <row r="60" spans="1:21">
      <c r="B60"/>
      <c r="C60"/>
      <c r="D60"/>
      <c r="E60"/>
      <c r="F60"/>
      <c r="G60"/>
      <c r="H60"/>
      <c r="I60"/>
      <c r="J60"/>
      <c r="K60"/>
      <c r="L60"/>
      <c r="M60"/>
      <c r="N60"/>
      <c r="O60"/>
      <c r="P60"/>
      <c r="Q60"/>
      <c r="R60"/>
    </row>
    <row r="61" spans="1:21">
      <c r="B61"/>
      <c r="C61"/>
      <c r="D61"/>
      <c r="E61"/>
      <c r="F61"/>
      <c r="G61"/>
      <c r="H61"/>
      <c r="I61"/>
      <c r="J61"/>
      <c r="K61"/>
      <c r="L61"/>
      <c r="M61"/>
      <c r="N61"/>
      <c r="O61"/>
      <c r="P61"/>
      <c r="Q61"/>
      <c r="R61"/>
    </row>
    <row r="62" spans="1:21">
      <c r="B62"/>
      <c r="C62"/>
      <c r="D62"/>
      <c r="E62"/>
      <c r="F62"/>
      <c r="G62"/>
      <c r="H62"/>
      <c r="I62"/>
      <c r="J62"/>
      <c r="K62"/>
      <c r="L62"/>
      <c r="M62"/>
      <c r="N62"/>
      <c r="O62"/>
      <c r="P62"/>
      <c r="Q62"/>
      <c r="R62"/>
    </row>
    <row r="63" spans="1:21">
      <c r="B63"/>
      <c r="C63"/>
      <c r="D63"/>
      <c r="E63"/>
      <c r="F63"/>
      <c r="G63"/>
      <c r="H63"/>
      <c r="I63"/>
      <c r="J63"/>
      <c r="K63"/>
      <c r="L63"/>
      <c r="M63"/>
      <c r="N63"/>
      <c r="O63"/>
      <c r="P63"/>
      <c r="Q63"/>
      <c r="R63"/>
    </row>
    <row r="64" spans="1:21">
      <c r="B64"/>
      <c r="C64"/>
      <c r="D64"/>
      <c r="E64"/>
      <c r="F64"/>
      <c r="G64"/>
      <c r="H64"/>
      <c r="I64"/>
      <c r="J64"/>
      <c r="K64"/>
      <c r="L64"/>
      <c r="M64"/>
      <c r="N64"/>
      <c r="O64"/>
      <c r="P64"/>
      <c r="Q64"/>
      <c r="R64"/>
    </row>
    <row r="65" spans="2:18">
      <c r="B65"/>
      <c r="C65"/>
      <c r="D65"/>
      <c r="E65"/>
      <c r="F65"/>
      <c r="G65"/>
      <c r="H65"/>
      <c r="I65"/>
      <c r="J65"/>
      <c r="K65"/>
      <c r="L65"/>
      <c r="M65"/>
      <c r="N65"/>
      <c r="O65"/>
      <c r="P65"/>
      <c r="Q65"/>
      <c r="R65"/>
    </row>
    <row r="66" spans="2:18">
      <c r="B66"/>
      <c r="C66"/>
      <c r="D66"/>
      <c r="E66"/>
      <c r="F66"/>
      <c r="G66"/>
      <c r="H66"/>
      <c r="I66"/>
      <c r="J66"/>
      <c r="K66"/>
      <c r="L66"/>
      <c r="M66"/>
      <c r="N66"/>
      <c r="O66"/>
      <c r="P66"/>
      <c r="Q66"/>
      <c r="R66"/>
    </row>
    <row r="67" spans="2:18">
      <c r="B67"/>
      <c r="C67"/>
      <c r="D67"/>
      <c r="E67"/>
      <c r="F67"/>
      <c r="G67"/>
      <c r="H67"/>
      <c r="I67"/>
      <c r="J67"/>
      <c r="K67"/>
      <c r="L67"/>
      <c r="M67"/>
      <c r="N67"/>
      <c r="O67"/>
      <c r="P67"/>
      <c r="Q67"/>
      <c r="R67"/>
    </row>
    <row r="68" spans="2:18">
      <c r="B68"/>
      <c r="C68"/>
      <c r="D68"/>
      <c r="E68"/>
      <c r="F68"/>
      <c r="G68"/>
      <c r="H68"/>
      <c r="I68"/>
      <c r="J68"/>
      <c r="K68"/>
      <c r="L68"/>
      <c r="M68"/>
      <c r="N68"/>
      <c r="O68"/>
      <c r="P68"/>
      <c r="Q68"/>
      <c r="R68"/>
    </row>
    <row r="69" spans="2:18">
      <c r="B69"/>
      <c r="C69"/>
      <c r="D69"/>
      <c r="E69"/>
      <c r="F69"/>
      <c r="G69"/>
      <c r="H69"/>
      <c r="I69"/>
      <c r="J69"/>
      <c r="K69"/>
      <c r="L69"/>
      <c r="M69"/>
      <c r="N69"/>
      <c r="O69"/>
      <c r="P69"/>
      <c r="Q69"/>
      <c r="R69"/>
    </row>
    <row r="70" spans="2:18">
      <c r="B70"/>
      <c r="C70"/>
      <c r="D70"/>
      <c r="E70"/>
      <c r="F70"/>
      <c r="G70"/>
      <c r="H70"/>
      <c r="I70"/>
      <c r="J70"/>
      <c r="K70"/>
      <c r="L70"/>
      <c r="M70"/>
      <c r="N70"/>
      <c r="O70"/>
      <c r="P70"/>
      <c r="Q70"/>
      <c r="R70"/>
    </row>
    <row r="71" spans="2:18">
      <c r="B71"/>
      <c r="C71"/>
      <c r="D71"/>
      <c r="E71"/>
      <c r="F71"/>
      <c r="G71"/>
      <c r="H71"/>
      <c r="I71"/>
      <c r="J71"/>
      <c r="K71"/>
      <c r="L71"/>
      <c r="M71"/>
      <c r="N71"/>
      <c r="O71"/>
      <c r="P71"/>
      <c r="Q71"/>
      <c r="R71"/>
    </row>
    <row r="72" spans="2:18">
      <c r="B72"/>
      <c r="C72"/>
      <c r="D72"/>
      <c r="E72"/>
      <c r="F72"/>
      <c r="G72"/>
      <c r="H72"/>
      <c r="I72"/>
      <c r="J72"/>
      <c r="K72"/>
      <c r="L72"/>
      <c r="M72"/>
      <c r="N72"/>
      <c r="O72"/>
      <c r="P72"/>
      <c r="Q72"/>
      <c r="R72"/>
    </row>
    <row r="73" spans="2:18">
      <c r="B73"/>
      <c r="C73"/>
      <c r="D73"/>
      <c r="E73"/>
      <c r="F73"/>
      <c r="G73"/>
      <c r="H73"/>
      <c r="I73"/>
      <c r="J73"/>
      <c r="K73"/>
      <c r="L73"/>
      <c r="M73"/>
      <c r="N73"/>
      <c r="O73"/>
      <c r="P73"/>
      <c r="Q73"/>
      <c r="R73"/>
    </row>
    <row r="74" spans="2:18">
      <c r="B74"/>
      <c r="C74"/>
      <c r="D74"/>
      <c r="E74"/>
      <c r="F74"/>
      <c r="G74"/>
      <c r="H74"/>
      <c r="I74"/>
      <c r="J74"/>
      <c r="K74"/>
      <c r="L74"/>
      <c r="M74"/>
      <c r="N74"/>
      <c r="O74"/>
      <c r="P74"/>
      <c r="Q74"/>
      <c r="R74"/>
    </row>
    <row r="75" spans="2:18">
      <c r="B75"/>
      <c r="C75"/>
      <c r="D75"/>
      <c r="E75"/>
      <c r="F75"/>
      <c r="G75"/>
      <c r="H75"/>
      <c r="I75"/>
      <c r="J75"/>
      <c r="K75"/>
      <c r="L75"/>
      <c r="M75"/>
      <c r="N75"/>
      <c r="O75"/>
      <c r="P75"/>
      <c r="Q75"/>
      <c r="R75"/>
    </row>
    <row r="76" spans="2:18">
      <c r="B76"/>
      <c r="C76"/>
      <c r="D76"/>
      <c r="E76"/>
      <c r="F76"/>
      <c r="G76"/>
      <c r="H76"/>
      <c r="I76"/>
      <c r="J76"/>
      <c r="K76"/>
      <c r="L76"/>
      <c r="M76"/>
      <c r="N76"/>
      <c r="O76"/>
      <c r="P76"/>
      <c r="Q76"/>
      <c r="R76"/>
    </row>
    <row r="77" spans="2:18">
      <c r="B77"/>
      <c r="C77"/>
      <c r="D77"/>
      <c r="E77"/>
      <c r="F77"/>
      <c r="G77"/>
      <c r="H77"/>
      <c r="I77"/>
      <c r="J77"/>
      <c r="K77"/>
      <c r="L77"/>
      <c r="M77"/>
      <c r="N77"/>
      <c r="O77"/>
      <c r="P77"/>
      <c r="Q77"/>
      <c r="R77"/>
    </row>
    <row r="78" spans="2:18">
      <c r="B78"/>
      <c r="C78"/>
      <c r="D78"/>
      <c r="E78"/>
      <c r="F78"/>
      <c r="G78"/>
      <c r="H78"/>
      <c r="I78"/>
      <c r="J78"/>
      <c r="K78"/>
      <c r="L78"/>
      <c r="M78"/>
      <c r="N78"/>
      <c r="O78"/>
      <c r="P78"/>
      <c r="Q78"/>
      <c r="R78"/>
    </row>
    <row r="79" spans="2:18">
      <c r="B79"/>
      <c r="C79"/>
      <c r="D79"/>
      <c r="E79"/>
      <c r="F79"/>
      <c r="G79"/>
      <c r="H79"/>
      <c r="I79"/>
      <c r="J79"/>
      <c r="K79"/>
      <c r="L79"/>
      <c r="M79"/>
      <c r="N79"/>
      <c r="O79"/>
      <c r="P79"/>
      <c r="Q79"/>
      <c r="R79"/>
    </row>
    <row r="80" spans="2:18">
      <c r="B80"/>
      <c r="C80"/>
      <c r="D80"/>
      <c r="E80"/>
      <c r="F80"/>
      <c r="G80"/>
      <c r="H80"/>
      <c r="I80"/>
      <c r="J80"/>
      <c r="K80"/>
      <c r="L80"/>
      <c r="M80"/>
      <c r="N80"/>
      <c r="O80"/>
      <c r="P80"/>
      <c r="Q80"/>
      <c r="R80"/>
    </row>
    <row r="81" spans="2:18">
      <c r="B81"/>
      <c r="C81"/>
      <c r="D81"/>
      <c r="E81"/>
      <c r="F81"/>
      <c r="G81"/>
      <c r="H81"/>
      <c r="I81"/>
      <c r="J81"/>
      <c r="K81"/>
      <c r="L81"/>
      <c r="M81"/>
      <c r="N81"/>
      <c r="O81"/>
      <c r="P81"/>
      <c r="Q81"/>
      <c r="R81"/>
    </row>
    <row r="82" spans="2:18">
      <c r="B82"/>
      <c r="C82"/>
      <c r="D82"/>
      <c r="E82"/>
      <c r="F82"/>
      <c r="G82"/>
      <c r="H82"/>
      <c r="I82"/>
      <c r="J82"/>
      <c r="K82"/>
      <c r="L82"/>
      <c r="M82"/>
      <c r="N82"/>
      <c r="O82"/>
      <c r="P82"/>
      <c r="Q82"/>
      <c r="R82"/>
    </row>
    <row r="83" spans="2:18">
      <c r="B83"/>
      <c r="C83"/>
      <c r="D83"/>
      <c r="E83"/>
      <c r="F83"/>
      <c r="G83"/>
      <c r="H83"/>
      <c r="I83"/>
      <c r="J83"/>
      <c r="K83"/>
      <c r="L83"/>
      <c r="M83"/>
      <c r="N83"/>
      <c r="O83"/>
      <c r="P83"/>
      <c r="Q83"/>
      <c r="R83"/>
    </row>
    <row r="84" spans="2:18">
      <c r="B84"/>
      <c r="C84"/>
      <c r="D84"/>
      <c r="E84"/>
      <c r="F84"/>
      <c r="G84"/>
      <c r="H84"/>
      <c r="I84"/>
      <c r="J84"/>
      <c r="K84"/>
      <c r="L84"/>
      <c r="M84"/>
      <c r="N84"/>
      <c r="O84"/>
      <c r="P84"/>
      <c r="Q84"/>
      <c r="R84"/>
    </row>
    <row r="85" spans="2:18">
      <c r="B85"/>
      <c r="C85"/>
      <c r="D85"/>
      <c r="E85"/>
      <c r="F85"/>
      <c r="G85"/>
      <c r="H85"/>
      <c r="I85"/>
      <c r="J85"/>
      <c r="K85"/>
      <c r="L85"/>
      <c r="M85"/>
      <c r="N85"/>
      <c r="O85"/>
      <c r="P85"/>
      <c r="Q85"/>
      <c r="R85"/>
    </row>
    <row r="86" spans="2:18">
      <c r="B86"/>
      <c r="C86"/>
      <c r="D86"/>
      <c r="E86"/>
      <c r="F86"/>
      <c r="G86"/>
      <c r="H86"/>
      <c r="I86"/>
      <c r="J86"/>
      <c r="K86"/>
      <c r="L86"/>
      <c r="M86"/>
      <c r="N86"/>
      <c r="O86"/>
      <c r="P86"/>
      <c r="Q86"/>
      <c r="R86"/>
    </row>
    <row r="87" spans="2:18">
      <c r="B87"/>
      <c r="C87"/>
      <c r="D87"/>
      <c r="E87"/>
      <c r="F87"/>
      <c r="G87"/>
      <c r="H87"/>
      <c r="I87"/>
      <c r="J87"/>
      <c r="K87"/>
      <c r="L87"/>
      <c r="M87"/>
      <c r="N87"/>
      <c r="O87"/>
      <c r="P87"/>
      <c r="Q87"/>
      <c r="R87"/>
    </row>
    <row r="88" spans="2:18">
      <c r="B88"/>
      <c r="C88"/>
      <c r="D88"/>
      <c r="E88"/>
      <c r="F88"/>
      <c r="G88"/>
      <c r="H88"/>
      <c r="I88"/>
      <c r="J88"/>
      <c r="K88"/>
      <c r="L88"/>
      <c r="M88"/>
      <c r="N88"/>
      <c r="O88"/>
      <c r="P88"/>
      <c r="Q88"/>
      <c r="R88"/>
    </row>
    <row r="89" spans="2:18">
      <c r="B89"/>
      <c r="C89"/>
      <c r="D89"/>
      <c r="E89"/>
      <c r="F89"/>
      <c r="G89"/>
      <c r="H89"/>
      <c r="I89"/>
      <c r="J89"/>
      <c r="K89"/>
      <c r="L89"/>
      <c r="M89"/>
      <c r="N89"/>
      <c r="O89"/>
      <c r="P89"/>
      <c r="Q89"/>
      <c r="R89"/>
    </row>
    <row r="90" spans="2:18">
      <c r="B90"/>
      <c r="C90"/>
      <c r="D90"/>
      <c r="E90"/>
      <c r="F90"/>
      <c r="G90"/>
      <c r="H90"/>
      <c r="I90"/>
      <c r="J90"/>
      <c r="K90"/>
      <c r="L90"/>
      <c r="M90"/>
      <c r="N90"/>
      <c r="O90"/>
      <c r="P90"/>
      <c r="Q90"/>
      <c r="R90"/>
    </row>
    <row r="91" spans="2:18">
      <c r="B91"/>
      <c r="C91"/>
      <c r="D91"/>
      <c r="E91"/>
      <c r="F91"/>
      <c r="G91"/>
      <c r="H91"/>
      <c r="I91"/>
      <c r="J91"/>
      <c r="K91"/>
      <c r="L91"/>
      <c r="M91"/>
      <c r="N91"/>
      <c r="O91"/>
      <c r="P91"/>
      <c r="Q91"/>
      <c r="R91"/>
    </row>
    <row r="92" spans="2:18">
      <c r="B92"/>
      <c r="C92"/>
      <c r="D92"/>
      <c r="E92"/>
      <c r="F92"/>
      <c r="G92"/>
      <c r="H92"/>
      <c r="I92"/>
      <c r="J92"/>
      <c r="K92"/>
      <c r="L92"/>
      <c r="M92"/>
      <c r="N92"/>
      <c r="O92"/>
      <c r="P92"/>
      <c r="Q92"/>
      <c r="R92"/>
    </row>
    <row r="93" spans="2:18">
      <c r="B93"/>
      <c r="C93"/>
      <c r="D93"/>
      <c r="E93"/>
      <c r="F93"/>
      <c r="G93"/>
      <c r="H93"/>
      <c r="I93"/>
      <c r="J93"/>
      <c r="K93"/>
      <c r="L93"/>
      <c r="M93"/>
      <c r="N93"/>
      <c r="O93"/>
      <c r="P93"/>
      <c r="Q93"/>
      <c r="R93"/>
    </row>
    <row r="94" spans="2:18">
      <c r="B94"/>
      <c r="C94"/>
      <c r="D94"/>
      <c r="E94"/>
      <c r="F94"/>
      <c r="G94"/>
      <c r="H94"/>
      <c r="I94"/>
      <c r="J94"/>
      <c r="K94"/>
      <c r="L94"/>
      <c r="M94"/>
      <c r="N94"/>
      <c r="O94"/>
      <c r="P94"/>
      <c r="Q94"/>
      <c r="R94"/>
    </row>
    <row r="95" spans="2:18">
      <c r="B95"/>
      <c r="C95"/>
      <c r="D95"/>
      <c r="E95"/>
      <c r="F95"/>
      <c r="G95"/>
      <c r="H95"/>
      <c r="I95"/>
      <c r="J95"/>
      <c r="K95"/>
      <c r="L95"/>
      <c r="M95"/>
      <c r="N95"/>
      <c r="O95"/>
      <c r="P95"/>
      <c r="Q95"/>
      <c r="R95"/>
    </row>
    <row r="96" spans="2:18">
      <c r="B96"/>
      <c r="C96"/>
      <c r="D96"/>
      <c r="E96"/>
      <c r="F96"/>
      <c r="G96"/>
      <c r="H96"/>
      <c r="I96"/>
      <c r="J96"/>
      <c r="K96"/>
      <c r="L96"/>
      <c r="M96"/>
      <c r="N96"/>
      <c r="O96"/>
      <c r="P96"/>
      <c r="Q96"/>
      <c r="R96"/>
    </row>
    <row r="97" spans="2:18">
      <c r="B97"/>
      <c r="C97"/>
      <c r="D97"/>
      <c r="E97"/>
      <c r="F97"/>
      <c r="G97"/>
      <c r="H97"/>
      <c r="I97"/>
      <c r="J97"/>
      <c r="K97"/>
      <c r="L97"/>
      <c r="M97"/>
      <c r="N97"/>
      <c r="O97"/>
      <c r="P97"/>
      <c r="Q97"/>
      <c r="R97"/>
    </row>
    <row r="98" spans="2:18">
      <c r="B98"/>
      <c r="C98"/>
      <c r="D98"/>
      <c r="E98"/>
      <c r="F98"/>
      <c r="G98"/>
      <c r="H98"/>
      <c r="I98"/>
      <c r="J98"/>
      <c r="K98"/>
      <c r="L98"/>
      <c r="M98"/>
      <c r="N98"/>
      <c r="O98"/>
      <c r="P98"/>
      <c r="Q98"/>
      <c r="R98"/>
    </row>
    <row r="99" spans="2:18">
      <c r="B99"/>
      <c r="C99"/>
      <c r="D99"/>
      <c r="E99"/>
      <c r="F99"/>
      <c r="G99"/>
      <c r="H99"/>
      <c r="I99"/>
      <c r="J99"/>
      <c r="K99"/>
      <c r="L99"/>
      <c r="M99"/>
      <c r="N99"/>
      <c r="O99"/>
      <c r="P99"/>
      <c r="Q99"/>
      <c r="R99"/>
    </row>
    <row r="100" spans="2:18">
      <c r="B100"/>
      <c r="C100"/>
      <c r="D100"/>
      <c r="E100"/>
      <c r="F100"/>
      <c r="G100"/>
      <c r="H100"/>
      <c r="I100"/>
      <c r="J100"/>
      <c r="K100"/>
      <c r="L100"/>
      <c r="M100"/>
      <c r="N100"/>
      <c r="O100"/>
      <c r="P100"/>
      <c r="Q100"/>
      <c r="R100"/>
    </row>
    <row r="101" spans="2:18">
      <c r="B101"/>
      <c r="C101"/>
      <c r="D101"/>
      <c r="E101"/>
      <c r="F101"/>
      <c r="G101"/>
      <c r="H101"/>
      <c r="I101"/>
      <c r="J101"/>
      <c r="K101"/>
      <c r="L101"/>
      <c r="M101"/>
      <c r="N101"/>
      <c r="O101"/>
      <c r="P101"/>
      <c r="Q101"/>
      <c r="R101"/>
    </row>
    <row r="102" spans="2:18">
      <c r="B102"/>
      <c r="C102"/>
      <c r="D102"/>
      <c r="E102"/>
      <c r="F102"/>
      <c r="G102"/>
      <c r="H102"/>
      <c r="I102"/>
      <c r="J102"/>
      <c r="K102"/>
      <c r="L102"/>
      <c r="M102"/>
      <c r="N102"/>
      <c r="O102"/>
      <c r="P102"/>
      <c r="Q102"/>
      <c r="R102"/>
    </row>
    <row r="103" spans="2:18">
      <c r="B103"/>
      <c r="C103"/>
      <c r="D103"/>
      <c r="E103"/>
      <c r="F103"/>
      <c r="G103"/>
      <c r="H103"/>
      <c r="I103"/>
      <c r="J103"/>
      <c r="K103"/>
      <c r="L103"/>
      <c r="M103"/>
      <c r="N103"/>
      <c r="O103"/>
      <c r="P103"/>
      <c r="Q103"/>
      <c r="R103"/>
    </row>
    <row r="104" spans="2:18">
      <c r="B104"/>
      <c r="C104"/>
      <c r="D104"/>
      <c r="E104"/>
      <c r="F104"/>
      <c r="G104"/>
      <c r="H104"/>
      <c r="I104"/>
      <c r="J104"/>
      <c r="K104"/>
      <c r="L104"/>
      <c r="M104"/>
      <c r="N104"/>
      <c r="O104"/>
      <c r="P104"/>
      <c r="Q104"/>
      <c r="R104"/>
    </row>
    <row r="105" spans="2:18">
      <c r="B105"/>
      <c r="C105"/>
      <c r="D105"/>
      <c r="E105"/>
      <c r="F105"/>
      <c r="G105"/>
      <c r="H105"/>
      <c r="I105"/>
      <c r="J105"/>
      <c r="K105"/>
      <c r="L105"/>
      <c r="M105"/>
      <c r="N105"/>
      <c r="O105"/>
      <c r="P105"/>
      <c r="Q105"/>
      <c r="R105"/>
    </row>
    <row r="106" spans="2:18">
      <c r="B106"/>
      <c r="C106"/>
      <c r="D106"/>
      <c r="E106"/>
      <c r="F106"/>
      <c r="G106"/>
      <c r="H106"/>
      <c r="I106"/>
      <c r="J106"/>
      <c r="K106"/>
      <c r="L106"/>
      <c r="M106"/>
      <c r="N106"/>
      <c r="O106"/>
      <c r="P106"/>
      <c r="Q106"/>
      <c r="R106"/>
    </row>
    <row r="107" spans="2:18">
      <c r="B107"/>
      <c r="C107"/>
      <c r="D107"/>
      <c r="E107"/>
      <c r="F107"/>
      <c r="G107"/>
      <c r="H107"/>
      <c r="I107"/>
      <c r="J107"/>
      <c r="K107"/>
      <c r="L107"/>
      <c r="M107"/>
      <c r="N107"/>
      <c r="O107"/>
      <c r="P107"/>
      <c r="Q107"/>
      <c r="R107"/>
    </row>
    <row r="108" spans="2:18">
      <c r="B108"/>
      <c r="C108"/>
      <c r="D108"/>
      <c r="E108"/>
      <c r="F108"/>
      <c r="G108"/>
      <c r="H108"/>
      <c r="I108"/>
      <c r="J108"/>
      <c r="K108"/>
      <c r="L108"/>
      <c r="M108"/>
      <c r="N108"/>
      <c r="O108"/>
      <c r="P108"/>
      <c r="Q108"/>
      <c r="R108"/>
    </row>
    <row r="109" spans="2:18">
      <c r="B109"/>
      <c r="C109"/>
      <c r="D109"/>
      <c r="E109"/>
      <c r="F109"/>
      <c r="G109"/>
      <c r="H109"/>
      <c r="I109"/>
      <c r="J109"/>
      <c r="K109"/>
      <c r="L109"/>
      <c r="M109"/>
      <c r="N109"/>
      <c r="O109"/>
      <c r="P109"/>
      <c r="Q109"/>
      <c r="R109"/>
    </row>
    <row r="110" spans="2:18">
      <c r="B110"/>
      <c r="C110"/>
      <c r="D110"/>
      <c r="E110"/>
      <c r="F110"/>
      <c r="G110"/>
      <c r="H110"/>
      <c r="I110"/>
      <c r="J110"/>
      <c r="K110"/>
      <c r="L110"/>
      <c r="M110"/>
      <c r="N110"/>
      <c r="O110"/>
      <c r="P110"/>
      <c r="Q110"/>
      <c r="R110"/>
    </row>
    <row r="111" spans="2:18">
      <c r="B111"/>
      <c r="C111"/>
      <c r="D111"/>
      <c r="E111"/>
      <c r="F111"/>
      <c r="G111"/>
      <c r="H111"/>
      <c r="I111"/>
      <c r="J111"/>
      <c r="K111"/>
      <c r="L111"/>
      <c r="M111"/>
      <c r="N111"/>
      <c r="O111"/>
      <c r="P111"/>
      <c r="Q111"/>
      <c r="R111"/>
    </row>
    <row r="112" spans="2:18">
      <c r="B112"/>
      <c r="C112"/>
      <c r="D112"/>
      <c r="E112"/>
      <c r="F112"/>
      <c r="G112"/>
      <c r="H112"/>
      <c r="I112"/>
      <c r="J112"/>
      <c r="K112"/>
      <c r="L112"/>
      <c r="M112"/>
      <c r="N112"/>
      <c r="O112"/>
      <c r="P112"/>
      <c r="Q112"/>
      <c r="R112"/>
    </row>
    <row r="113" spans="2:18">
      <c r="B113"/>
      <c r="C113"/>
      <c r="D113"/>
      <c r="E113"/>
      <c r="F113"/>
      <c r="G113"/>
      <c r="H113"/>
      <c r="I113"/>
      <c r="J113"/>
      <c r="K113"/>
      <c r="L113"/>
      <c r="M113"/>
      <c r="N113"/>
      <c r="O113"/>
      <c r="P113"/>
      <c r="Q113"/>
      <c r="R113"/>
    </row>
    <row r="114" spans="2:18">
      <c r="B114"/>
      <c r="C114"/>
      <c r="D114"/>
      <c r="E114"/>
      <c r="F114"/>
      <c r="G114"/>
      <c r="H114"/>
      <c r="I114"/>
      <c r="J114"/>
      <c r="K114"/>
      <c r="L114"/>
      <c r="M114"/>
      <c r="N114"/>
      <c r="O114"/>
      <c r="P114"/>
      <c r="Q114"/>
      <c r="R114"/>
    </row>
    <row r="115" spans="2:18">
      <c r="B115"/>
      <c r="C115"/>
      <c r="D115"/>
      <c r="E115"/>
      <c r="F115"/>
      <c r="G115"/>
      <c r="H115"/>
      <c r="I115"/>
      <c r="J115"/>
      <c r="K115"/>
      <c r="L115"/>
      <c r="M115"/>
      <c r="N115"/>
      <c r="O115"/>
      <c r="P115"/>
      <c r="Q115"/>
      <c r="R115"/>
    </row>
    <row r="116" spans="2:18">
      <c r="B116"/>
      <c r="C116"/>
      <c r="D116"/>
      <c r="E116"/>
      <c r="F116"/>
      <c r="G116"/>
      <c r="H116"/>
      <c r="I116"/>
      <c r="J116"/>
      <c r="K116"/>
      <c r="L116"/>
      <c r="M116"/>
      <c r="N116"/>
      <c r="O116"/>
      <c r="P116"/>
      <c r="Q116"/>
      <c r="R116"/>
    </row>
    <row r="117" spans="2:18">
      <c r="B117"/>
      <c r="C117"/>
      <c r="D117"/>
      <c r="E117"/>
      <c r="F117"/>
      <c r="G117"/>
      <c r="H117"/>
      <c r="I117"/>
      <c r="J117"/>
      <c r="K117"/>
      <c r="L117"/>
      <c r="M117"/>
      <c r="N117"/>
      <c r="O117"/>
      <c r="P117"/>
      <c r="Q117"/>
      <c r="R117"/>
    </row>
    <row r="118" spans="2:18">
      <c r="B118"/>
      <c r="C118"/>
      <c r="D118"/>
      <c r="E118"/>
      <c r="F118"/>
      <c r="G118"/>
      <c r="H118"/>
      <c r="I118"/>
      <c r="J118"/>
      <c r="K118"/>
      <c r="L118"/>
      <c r="M118"/>
      <c r="N118"/>
      <c r="O118"/>
      <c r="P118"/>
      <c r="Q118"/>
      <c r="R118"/>
    </row>
    <row r="119" spans="2:18">
      <c r="B119"/>
      <c r="C119"/>
      <c r="D119"/>
      <c r="E119"/>
      <c r="F119"/>
      <c r="G119"/>
      <c r="H119"/>
      <c r="I119"/>
      <c r="J119"/>
      <c r="K119"/>
      <c r="L119"/>
      <c r="M119"/>
      <c r="N119"/>
      <c r="O119"/>
      <c r="P119"/>
      <c r="Q119"/>
      <c r="R119"/>
    </row>
    <row r="120" spans="2:18">
      <c r="B120"/>
      <c r="C120"/>
      <c r="D120"/>
      <c r="E120"/>
      <c r="F120"/>
      <c r="G120"/>
      <c r="H120"/>
      <c r="I120"/>
      <c r="J120"/>
      <c r="K120"/>
      <c r="L120"/>
      <c r="M120"/>
      <c r="N120"/>
      <c r="O120"/>
      <c r="P120"/>
      <c r="Q120"/>
      <c r="R120"/>
    </row>
    <row r="121" spans="2:18">
      <c r="B121"/>
      <c r="C121"/>
      <c r="D121"/>
      <c r="E121"/>
      <c r="F121"/>
      <c r="G121"/>
      <c r="H121"/>
      <c r="I121"/>
      <c r="J121"/>
      <c r="K121"/>
      <c r="L121"/>
      <c r="M121"/>
      <c r="N121"/>
      <c r="O121"/>
      <c r="P121"/>
      <c r="Q121"/>
      <c r="R121"/>
    </row>
    <row r="122" spans="2:18">
      <c r="B122"/>
      <c r="C122"/>
      <c r="D122"/>
      <c r="E122"/>
      <c r="F122"/>
      <c r="G122"/>
      <c r="H122"/>
      <c r="I122"/>
      <c r="J122"/>
      <c r="K122"/>
      <c r="L122"/>
      <c r="M122"/>
      <c r="N122"/>
      <c r="O122"/>
      <c r="P122"/>
      <c r="Q122"/>
      <c r="R122"/>
    </row>
    <row r="123" spans="2:18">
      <c r="B123"/>
      <c r="C123"/>
      <c r="D123"/>
      <c r="E123"/>
      <c r="F123"/>
      <c r="G123"/>
      <c r="H123"/>
      <c r="I123"/>
      <c r="J123"/>
      <c r="K123"/>
      <c r="L123"/>
      <c r="M123"/>
      <c r="N123"/>
      <c r="O123"/>
      <c r="P123"/>
      <c r="Q123"/>
      <c r="R123"/>
    </row>
    <row r="124" spans="2:18">
      <c r="B124"/>
      <c r="C124"/>
      <c r="D124"/>
      <c r="E124"/>
      <c r="F124"/>
      <c r="G124"/>
      <c r="H124"/>
      <c r="I124"/>
      <c r="J124"/>
      <c r="K124"/>
      <c r="L124"/>
      <c r="M124"/>
      <c r="N124"/>
      <c r="O124"/>
      <c r="P124"/>
      <c r="Q124"/>
      <c r="R124"/>
    </row>
    <row r="125" spans="2:18">
      <c r="B125"/>
      <c r="C125"/>
      <c r="D125"/>
      <c r="E125"/>
      <c r="F125"/>
      <c r="G125"/>
      <c r="H125"/>
      <c r="I125"/>
      <c r="J125"/>
      <c r="K125"/>
      <c r="L125"/>
      <c r="M125"/>
      <c r="N125"/>
      <c r="O125"/>
      <c r="P125"/>
      <c r="Q125"/>
      <c r="R125"/>
    </row>
    <row r="126" spans="2:18">
      <c r="B126"/>
      <c r="C126"/>
      <c r="D126"/>
      <c r="E126"/>
      <c r="F126"/>
      <c r="G126"/>
      <c r="H126"/>
      <c r="I126"/>
      <c r="J126"/>
      <c r="K126"/>
      <c r="L126"/>
      <c r="M126"/>
      <c r="N126"/>
      <c r="O126"/>
      <c r="P126"/>
      <c r="Q126"/>
      <c r="R126"/>
    </row>
    <row r="127" spans="2:18">
      <c r="B127"/>
      <c r="C127"/>
      <c r="D127"/>
      <c r="E127"/>
      <c r="F127"/>
      <c r="G127"/>
      <c r="H127"/>
      <c r="I127"/>
      <c r="J127"/>
      <c r="K127"/>
      <c r="L127"/>
      <c r="M127"/>
      <c r="N127"/>
      <c r="O127"/>
      <c r="P127"/>
      <c r="Q127"/>
      <c r="R127"/>
    </row>
    <row r="128" spans="2:18">
      <c r="B128"/>
      <c r="C128"/>
      <c r="D128"/>
      <c r="E128"/>
      <c r="F128"/>
      <c r="G128"/>
      <c r="H128"/>
      <c r="I128"/>
      <c r="J128"/>
      <c r="K128"/>
      <c r="L128"/>
      <c r="M128"/>
      <c r="N128"/>
      <c r="O128"/>
      <c r="P128"/>
      <c r="Q128"/>
      <c r="R128"/>
    </row>
    <row r="129" spans="2:18">
      <c r="B129"/>
      <c r="C129"/>
      <c r="D129"/>
      <c r="E129"/>
      <c r="F129"/>
      <c r="G129"/>
      <c r="H129"/>
      <c r="I129"/>
      <c r="J129"/>
      <c r="K129"/>
      <c r="L129"/>
      <c r="M129"/>
      <c r="N129"/>
      <c r="O129"/>
      <c r="P129"/>
      <c r="Q129"/>
      <c r="R129"/>
    </row>
    <row r="130" spans="2:18">
      <c r="B130"/>
      <c r="C130"/>
      <c r="D130"/>
      <c r="E130"/>
      <c r="F130"/>
      <c r="G130"/>
      <c r="H130"/>
      <c r="I130"/>
      <c r="J130"/>
      <c r="K130"/>
      <c r="L130"/>
      <c r="M130"/>
      <c r="N130"/>
      <c r="O130"/>
      <c r="P130"/>
      <c r="Q130"/>
      <c r="R130"/>
    </row>
    <row r="131" spans="2:18">
      <c r="B131"/>
      <c r="C131"/>
      <c r="D131"/>
      <c r="E131"/>
      <c r="F131"/>
      <c r="G131"/>
      <c r="H131"/>
      <c r="I131"/>
      <c r="J131"/>
      <c r="K131"/>
      <c r="L131"/>
      <c r="M131"/>
      <c r="N131"/>
      <c r="O131"/>
      <c r="P131"/>
      <c r="Q131"/>
      <c r="R131"/>
    </row>
    <row r="132" spans="2:18">
      <c r="B132"/>
      <c r="C132"/>
      <c r="D132"/>
      <c r="E132"/>
      <c r="F132"/>
      <c r="G132"/>
      <c r="H132"/>
      <c r="I132"/>
      <c r="J132"/>
      <c r="K132"/>
      <c r="L132"/>
      <c r="M132"/>
      <c r="N132"/>
      <c r="O132"/>
      <c r="P132"/>
      <c r="Q132"/>
      <c r="R132"/>
    </row>
    <row r="133" spans="2:18">
      <c r="B133"/>
      <c r="C133"/>
      <c r="D133"/>
      <c r="E133"/>
      <c r="F133"/>
      <c r="G133"/>
      <c r="H133"/>
      <c r="I133"/>
      <c r="J133"/>
      <c r="K133"/>
      <c r="L133"/>
      <c r="M133"/>
      <c r="N133"/>
      <c r="O133"/>
      <c r="P133"/>
      <c r="Q133"/>
      <c r="R133"/>
    </row>
    <row r="134" spans="2:18">
      <c r="B134"/>
      <c r="C134"/>
      <c r="D134"/>
      <c r="E134"/>
      <c r="F134"/>
      <c r="G134"/>
      <c r="H134"/>
      <c r="I134"/>
      <c r="J134"/>
      <c r="K134"/>
      <c r="L134"/>
      <c r="M134"/>
      <c r="N134"/>
      <c r="O134"/>
      <c r="P134"/>
      <c r="Q134"/>
      <c r="R134"/>
    </row>
    <row r="135" spans="2:18">
      <c r="B135"/>
      <c r="C135"/>
      <c r="D135"/>
      <c r="E135"/>
      <c r="F135"/>
      <c r="G135"/>
      <c r="H135"/>
      <c r="I135"/>
      <c r="J135"/>
      <c r="K135"/>
      <c r="L135"/>
      <c r="M135"/>
      <c r="N135"/>
      <c r="O135"/>
      <c r="P135"/>
      <c r="Q135"/>
      <c r="R135"/>
    </row>
    <row r="136" spans="2:18">
      <c r="B136"/>
      <c r="C136"/>
      <c r="D136"/>
      <c r="E136"/>
      <c r="F136"/>
      <c r="G136"/>
      <c r="H136"/>
      <c r="I136"/>
      <c r="J136"/>
      <c r="K136"/>
      <c r="L136"/>
      <c r="M136"/>
      <c r="N136"/>
      <c r="O136"/>
      <c r="P136"/>
      <c r="Q136"/>
      <c r="R136"/>
    </row>
    <row r="137" spans="2:18">
      <c r="B137"/>
      <c r="C137"/>
      <c r="D137"/>
      <c r="E137"/>
      <c r="F137"/>
      <c r="G137"/>
      <c r="H137"/>
      <c r="I137"/>
      <c r="J137"/>
      <c r="K137"/>
      <c r="L137"/>
      <c r="M137"/>
      <c r="N137"/>
      <c r="O137"/>
      <c r="P137"/>
      <c r="Q137"/>
      <c r="R137"/>
    </row>
    <row r="138" spans="2:18">
      <c r="B138"/>
      <c r="C138"/>
      <c r="D138"/>
      <c r="E138"/>
      <c r="F138"/>
      <c r="G138"/>
      <c r="H138"/>
      <c r="I138"/>
      <c r="J138"/>
      <c r="K138"/>
      <c r="L138"/>
      <c r="M138"/>
      <c r="N138"/>
      <c r="O138"/>
      <c r="P138"/>
      <c r="Q138"/>
      <c r="R138"/>
    </row>
    <row r="139" spans="2:18">
      <c r="B139"/>
      <c r="C139"/>
      <c r="D139"/>
      <c r="E139"/>
      <c r="F139"/>
      <c r="G139"/>
      <c r="H139"/>
      <c r="I139"/>
      <c r="J139"/>
      <c r="K139"/>
      <c r="L139"/>
      <c r="M139"/>
      <c r="N139"/>
      <c r="O139"/>
      <c r="P139"/>
      <c r="Q139"/>
      <c r="R139"/>
    </row>
    <row r="140" spans="2:18">
      <c r="B140"/>
      <c r="C140"/>
      <c r="D140"/>
      <c r="E140"/>
      <c r="F140"/>
      <c r="G140"/>
      <c r="H140"/>
      <c r="I140"/>
      <c r="J140"/>
      <c r="K140"/>
      <c r="L140"/>
      <c r="M140"/>
      <c r="N140"/>
      <c r="O140"/>
      <c r="P140"/>
      <c r="Q140"/>
      <c r="R140"/>
    </row>
    <row r="141" spans="2:18">
      <c r="B141"/>
      <c r="C141"/>
      <c r="D141"/>
      <c r="E141"/>
      <c r="F141"/>
      <c r="G141"/>
      <c r="H141"/>
      <c r="I141"/>
      <c r="J141"/>
      <c r="K141"/>
      <c r="L141"/>
      <c r="M141"/>
      <c r="N141"/>
      <c r="O141"/>
      <c r="P141"/>
      <c r="Q141"/>
      <c r="R141"/>
    </row>
    <row r="142" spans="2:18">
      <c r="B142"/>
      <c r="C142"/>
      <c r="D142"/>
      <c r="E142"/>
      <c r="F142"/>
      <c r="G142"/>
      <c r="H142"/>
      <c r="I142"/>
      <c r="J142"/>
      <c r="K142"/>
      <c r="L142"/>
      <c r="M142"/>
      <c r="N142"/>
      <c r="O142"/>
      <c r="P142"/>
      <c r="Q142"/>
      <c r="R142"/>
    </row>
    <row r="143" spans="2:18">
      <c r="B143"/>
      <c r="C143"/>
      <c r="D143"/>
      <c r="E143"/>
      <c r="F143"/>
      <c r="G143"/>
      <c r="H143"/>
      <c r="I143"/>
      <c r="J143"/>
      <c r="K143"/>
      <c r="L143"/>
      <c r="M143"/>
      <c r="N143"/>
      <c r="O143"/>
      <c r="P143"/>
      <c r="Q143"/>
      <c r="R143"/>
    </row>
    <row r="144" spans="2:18">
      <c r="B144"/>
      <c r="C144"/>
      <c r="D144"/>
      <c r="E144"/>
      <c r="F144"/>
      <c r="G144"/>
      <c r="H144"/>
      <c r="I144"/>
      <c r="J144"/>
      <c r="K144"/>
      <c r="L144"/>
      <c r="M144"/>
      <c r="N144"/>
      <c r="O144"/>
      <c r="P144"/>
      <c r="Q144"/>
      <c r="R144"/>
    </row>
    <row r="145" spans="2:18">
      <c r="B145"/>
      <c r="C145"/>
      <c r="D145"/>
      <c r="E145"/>
      <c r="F145"/>
      <c r="G145"/>
      <c r="H145"/>
      <c r="I145"/>
      <c r="J145"/>
      <c r="K145"/>
      <c r="L145"/>
      <c r="M145"/>
      <c r="N145"/>
      <c r="O145"/>
      <c r="P145"/>
      <c r="Q145"/>
      <c r="R145"/>
    </row>
    <row r="146" spans="2:18">
      <c r="B146"/>
      <c r="C146"/>
      <c r="D146"/>
      <c r="E146"/>
      <c r="F146"/>
      <c r="G146"/>
      <c r="H146"/>
      <c r="I146"/>
      <c r="J146"/>
      <c r="K146"/>
      <c r="L146"/>
      <c r="M146"/>
      <c r="N146"/>
      <c r="O146"/>
      <c r="P146"/>
      <c r="Q146"/>
      <c r="R146"/>
    </row>
    <row r="147" spans="2:18">
      <c r="B147"/>
      <c r="C147"/>
      <c r="D147"/>
      <c r="E147"/>
      <c r="F147"/>
      <c r="G147"/>
      <c r="H147"/>
      <c r="I147"/>
      <c r="J147"/>
      <c r="K147"/>
      <c r="L147"/>
      <c r="M147"/>
      <c r="N147"/>
      <c r="O147"/>
      <c r="P147"/>
      <c r="Q147"/>
      <c r="R147"/>
    </row>
    <row r="148" spans="2:18">
      <c r="B148"/>
      <c r="C148"/>
      <c r="D148"/>
      <c r="E148"/>
      <c r="F148"/>
      <c r="G148"/>
      <c r="H148"/>
      <c r="I148"/>
      <c r="J148"/>
      <c r="K148"/>
      <c r="L148"/>
      <c r="M148"/>
      <c r="N148"/>
      <c r="O148"/>
      <c r="P148"/>
      <c r="Q148"/>
      <c r="R148"/>
    </row>
    <row r="149" spans="2:18">
      <c r="B149"/>
      <c r="C149"/>
      <c r="D149"/>
      <c r="E149"/>
      <c r="F149"/>
      <c r="G149"/>
      <c r="H149"/>
      <c r="I149"/>
      <c r="J149"/>
      <c r="K149"/>
      <c r="L149"/>
      <c r="M149"/>
      <c r="N149"/>
      <c r="O149"/>
      <c r="P149"/>
      <c r="Q149"/>
      <c r="R149"/>
    </row>
    <row r="150" spans="2:18">
      <c r="B150"/>
      <c r="C150"/>
      <c r="D150"/>
      <c r="E150"/>
      <c r="F150"/>
      <c r="G150"/>
      <c r="H150"/>
      <c r="I150"/>
      <c r="J150"/>
      <c r="K150"/>
      <c r="L150"/>
      <c r="M150"/>
      <c r="N150"/>
      <c r="O150"/>
      <c r="P150"/>
      <c r="Q150"/>
      <c r="R150"/>
    </row>
    <row r="151" spans="2:18">
      <c r="B151"/>
      <c r="C151"/>
      <c r="D151"/>
      <c r="E151"/>
      <c r="F151"/>
      <c r="G151"/>
      <c r="H151"/>
      <c r="I151"/>
      <c r="J151"/>
      <c r="K151"/>
      <c r="L151"/>
      <c r="M151"/>
      <c r="N151"/>
      <c r="O151"/>
      <c r="P151"/>
      <c r="Q151"/>
      <c r="R151"/>
    </row>
    <row r="152" spans="2:18">
      <c r="B152"/>
      <c r="C152"/>
      <c r="D152"/>
      <c r="E152"/>
      <c r="F152"/>
      <c r="G152"/>
      <c r="H152"/>
      <c r="I152"/>
      <c r="J152"/>
      <c r="K152"/>
      <c r="L152"/>
      <c r="M152"/>
      <c r="N152"/>
      <c r="O152"/>
      <c r="P152"/>
      <c r="Q152"/>
      <c r="R152"/>
    </row>
    <row r="153" spans="2:18">
      <c r="B153"/>
      <c r="C153"/>
      <c r="D153"/>
      <c r="E153"/>
      <c r="F153"/>
      <c r="G153"/>
      <c r="H153"/>
      <c r="I153"/>
      <c r="J153"/>
      <c r="K153"/>
      <c r="L153"/>
      <c r="M153"/>
      <c r="N153"/>
      <c r="O153"/>
      <c r="P153"/>
      <c r="Q153"/>
      <c r="R153"/>
    </row>
    <row r="154" spans="2:18">
      <c r="B154"/>
      <c r="C154"/>
      <c r="D154"/>
      <c r="E154"/>
      <c r="F154"/>
      <c r="G154"/>
      <c r="H154"/>
      <c r="I154"/>
      <c r="J154"/>
      <c r="K154"/>
      <c r="L154"/>
      <c r="M154"/>
      <c r="N154"/>
      <c r="O154"/>
      <c r="P154"/>
      <c r="Q154"/>
      <c r="R154"/>
    </row>
    <row r="155" spans="2:18">
      <c r="B155"/>
      <c r="C155"/>
      <c r="D155"/>
      <c r="E155"/>
      <c r="F155"/>
      <c r="G155"/>
      <c r="H155"/>
      <c r="I155"/>
      <c r="J155"/>
      <c r="K155"/>
      <c r="L155"/>
      <c r="M155"/>
      <c r="N155"/>
      <c r="O155"/>
      <c r="P155"/>
      <c r="Q155"/>
      <c r="R155"/>
    </row>
    <row r="156" spans="2:18">
      <c r="B156"/>
      <c r="C156"/>
      <c r="D156"/>
      <c r="E156"/>
      <c r="F156"/>
      <c r="G156"/>
      <c r="H156"/>
      <c r="I156"/>
      <c r="J156"/>
      <c r="K156"/>
      <c r="L156"/>
      <c r="M156"/>
      <c r="N156"/>
      <c r="O156"/>
      <c r="P156"/>
      <c r="Q156"/>
      <c r="R156"/>
    </row>
    <row r="157" spans="2:18">
      <c r="B157"/>
      <c r="C157"/>
      <c r="D157"/>
      <c r="E157"/>
      <c r="F157"/>
      <c r="G157"/>
      <c r="H157"/>
      <c r="I157"/>
      <c r="J157"/>
      <c r="K157"/>
      <c r="L157"/>
      <c r="M157"/>
      <c r="N157"/>
      <c r="O157"/>
      <c r="P157"/>
      <c r="Q157"/>
      <c r="R157"/>
    </row>
  </sheetData>
  <phoneticPr fontId="0" type="noConversion"/>
  <pageMargins left="0.2" right="0.23" top="0.54" bottom="0.59" header="0.38" footer="0.3"/>
  <pageSetup scale="52" orientation="landscape" r:id="rId1"/>
  <headerFooter alignWithMargins="0">
    <oddFooter>&amp;R&amp;P</oddFooter>
  </headerFooter>
</worksheet>
</file>

<file path=xl/worksheets/sheet117.xml><?xml version="1.0" encoding="utf-8"?>
<worksheet xmlns="http://schemas.openxmlformats.org/spreadsheetml/2006/main" xmlns:r="http://schemas.openxmlformats.org/officeDocument/2006/relationships">
  <sheetPr>
    <pageSetUpPr fitToPage="1"/>
  </sheetPr>
  <dimension ref="A1:O172"/>
  <sheetViews>
    <sheetView topLeftCell="A7" workbookViewId="0">
      <pane xSplit="1" ySplit="2" topLeftCell="B9" activePane="bottomRight" state="frozen"/>
      <selection activeCell="A39" sqref="A39:K39"/>
      <selection pane="topRight" activeCell="A39" sqref="A39:K39"/>
      <selection pane="bottomLeft" activeCell="A39" sqref="A39:K39"/>
      <selection pane="bottomRight" activeCell="B9" sqref="B9"/>
    </sheetView>
  </sheetViews>
  <sheetFormatPr baseColWidth="10" defaultColWidth="9" defaultRowHeight="15.75"/>
  <cols>
    <col min="1" max="1" width="33.25" customWidth="1"/>
    <col min="2" max="2" width="17.875" style="20" customWidth="1"/>
    <col min="3" max="3" width="15.75" style="21" customWidth="1"/>
    <col min="4" max="4" width="15.75" style="20" customWidth="1"/>
    <col min="5" max="5" width="14.5" style="21" customWidth="1"/>
    <col min="6" max="6" width="13.25" style="20" customWidth="1"/>
    <col min="7" max="7" width="8.25" style="21" customWidth="1"/>
    <col min="8" max="8" width="18.375" style="20" customWidth="1"/>
    <col min="9" max="9" width="15.75" style="20" customWidth="1"/>
    <col min="10" max="10" width="15.75" style="21" customWidth="1"/>
    <col min="11" max="11" width="14.5" style="20" customWidth="1"/>
    <col min="12" max="12" width="15.75" style="20" customWidth="1"/>
    <col min="13" max="15" width="15.75" customWidth="1"/>
  </cols>
  <sheetData>
    <row r="1" spans="1:15">
      <c r="A1" s="111" t="s">
        <v>411</v>
      </c>
      <c r="B1" s="42"/>
      <c r="C1" s="43"/>
      <c r="D1" s="42"/>
      <c r="E1" s="43"/>
      <c r="F1" s="42"/>
      <c r="G1" s="43"/>
      <c r="H1" s="42"/>
      <c r="I1" s="42"/>
      <c r="J1" s="43"/>
      <c r="K1" s="42"/>
    </row>
    <row r="2" spans="1:15">
      <c r="A2" s="111" t="s">
        <v>291</v>
      </c>
      <c r="B2" s="42"/>
      <c r="C2" s="43"/>
      <c r="D2" s="42"/>
      <c r="E2" s="43"/>
      <c r="F2" s="42"/>
      <c r="G2" s="43"/>
      <c r="H2" s="42"/>
      <c r="I2" s="42"/>
      <c r="J2" s="43"/>
      <c r="K2" s="42"/>
    </row>
    <row r="3" spans="1:15">
      <c r="A3" s="111" t="s">
        <v>292</v>
      </c>
      <c r="B3" s="42"/>
      <c r="C3" s="43"/>
      <c r="D3" s="42"/>
      <c r="E3" s="43"/>
      <c r="F3" s="42"/>
      <c r="G3" s="43"/>
      <c r="H3" s="42"/>
      <c r="I3" s="42"/>
      <c r="J3" s="43"/>
      <c r="K3" s="42"/>
    </row>
    <row r="4" spans="1:15">
      <c r="A4" s="111" t="s">
        <v>198</v>
      </c>
      <c r="B4" s="42"/>
      <c r="C4" s="43"/>
      <c r="D4" s="42"/>
      <c r="E4" s="43"/>
      <c r="F4" s="42"/>
      <c r="G4" s="43"/>
      <c r="H4" s="42"/>
      <c r="I4" s="42"/>
      <c r="J4" s="43"/>
      <c r="K4" s="42"/>
    </row>
    <row r="5" spans="1:15">
      <c r="A5" s="39"/>
      <c r="B5" s="42"/>
      <c r="C5" s="43"/>
      <c r="D5" s="42"/>
      <c r="E5" s="43"/>
      <c r="F5" s="42"/>
      <c r="G5" s="43"/>
      <c r="H5" s="42"/>
      <c r="I5" s="42"/>
      <c r="J5" s="43"/>
    </row>
    <row r="6" spans="1:15">
      <c r="B6" s="215" t="s">
        <v>0</v>
      </c>
      <c r="C6" s="193"/>
      <c r="D6" s="194"/>
    </row>
    <row r="7" spans="1:15" ht="16.5" thickBot="1">
      <c r="B7" s="367" t="str">
        <f>+'sgbelgdes&amp;$'!B7</f>
        <v>Décembre 14</v>
      </c>
      <c r="C7" s="43"/>
      <c r="D7" s="42"/>
      <c r="E7" s="43"/>
      <c r="H7" s="332" t="str">
        <f>+'sgbelgdes&amp;$'!H7</f>
        <v>Septembre 14</v>
      </c>
      <c r="I7" s="193"/>
      <c r="J7" s="194"/>
      <c r="K7" s="42"/>
    </row>
    <row r="8" spans="1:15" ht="16.5" thickTop="1">
      <c r="A8" s="86" t="s">
        <v>244</v>
      </c>
      <c r="B8" s="348" t="s">
        <v>297</v>
      </c>
      <c r="C8" s="349" t="s">
        <v>294</v>
      </c>
      <c r="D8" s="354" t="s">
        <v>295</v>
      </c>
      <c r="E8" s="353" t="s">
        <v>296</v>
      </c>
      <c r="F8" s="120" t="s">
        <v>0</v>
      </c>
      <c r="G8" s="119" t="s">
        <v>0</v>
      </c>
      <c r="H8" s="348" t="s">
        <v>297</v>
      </c>
      <c r="I8" s="350" t="s">
        <v>294</v>
      </c>
      <c r="J8" s="352" t="s">
        <v>295</v>
      </c>
      <c r="K8" s="353" t="s">
        <v>296</v>
      </c>
      <c r="L8" s="22"/>
      <c r="M8" s="17"/>
      <c r="N8" s="17"/>
      <c r="O8" s="17"/>
    </row>
    <row r="9" spans="1:15">
      <c r="A9" s="10" t="s">
        <v>255</v>
      </c>
      <c r="B9" s="121"/>
      <c r="C9" s="122"/>
      <c r="D9" s="322"/>
      <c r="E9" s="328" t="s">
        <v>0</v>
      </c>
      <c r="H9" s="128"/>
      <c r="I9" s="81"/>
      <c r="J9" s="326" t="s">
        <v>0</v>
      </c>
      <c r="K9" s="328" t="s">
        <v>0</v>
      </c>
    </row>
    <row r="10" spans="1:15">
      <c r="A10" s="10" t="s">
        <v>256</v>
      </c>
      <c r="B10" s="124">
        <v>592464.98694155214</v>
      </c>
      <c r="C10" s="91">
        <v>1000295.35112</v>
      </c>
      <c r="D10" s="323">
        <f t="shared" ref="D10:D15" si="0">SUM(B10:C10)</f>
        <v>1592760.338061552</v>
      </c>
      <c r="E10" s="329">
        <f t="shared" ref="E10:E15" si="1">+B10/D10</f>
        <v>0.37197371932465612</v>
      </c>
      <c r="F10" s="87" t="s">
        <v>0</v>
      </c>
      <c r="G10" s="98" t="s">
        <v>0</v>
      </c>
      <c r="H10" s="124">
        <v>265373.62753935595</v>
      </c>
      <c r="I10" s="91">
        <v>349017.40500000003</v>
      </c>
      <c r="J10" s="323">
        <f t="shared" ref="J10:J15" si="2">SUM(H10:I10)</f>
        <v>614391.03253935603</v>
      </c>
      <c r="K10" s="329">
        <f t="shared" ref="K10:K15" si="3">+H10/J10</f>
        <v>0.43192952612366931</v>
      </c>
    </row>
    <row r="11" spans="1:15">
      <c r="A11" s="10" t="s">
        <v>257</v>
      </c>
      <c r="B11" s="124">
        <v>11751539.529294468</v>
      </c>
      <c r="C11" s="91">
        <v>4842868.23924</v>
      </c>
      <c r="D11" s="323">
        <f t="shared" si="0"/>
        <v>16594407.768534468</v>
      </c>
      <c r="E11" s="329">
        <f t="shared" si="1"/>
        <v>0.70816263485926756</v>
      </c>
      <c r="F11" s="87" t="s">
        <v>0</v>
      </c>
      <c r="G11" s="98" t="s">
        <v>0</v>
      </c>
      <c r="H11" s="124">
        <v>12642989.161595512</v>
      </c>
      <c r="I11" s="91">
        <v>5474755.80485</v>
      </c>
      <c r="J11" s="323">
        <f t="shared" si="2"/>
        <v>18117744.966445513</v>
      </c>
      <c r="K11" s="329">
        <f t="shared" si="3"/>
        <v>0.69782355282131547</v>
      </c>
    </row>
    <row r="12" spans="1:15">
      <c r="A12" s="10" t="s">
        <v>258</v>
      </c>
      <c r="B12" s="124">
        <v>1379362.4548048549</v>
      </c>
      <c r="C12" s="91">
        <v>0</v>
      </c>
      <c r="D12" s="323">
        <f t="shared" si="0"/>
        <v>1379362.4548048549</v>
      </c>
      <c r="E12" s="329">
        <f t="shared" si="1"/>
        <v>1</v>
      </c>
      <c r="F12" s="87" t="s">
        <v>0</v>
      </c>
      <c r="G12" s="98" t="s">
        <v>0</v>
      </c>
      <c r="H12" s="124">
        <v>1199310.403287437</v>
      </c>
      <c r="I12" s="91">
        <v>0</v>
      </c>
      <c r="J12" s="323">
        <f t="shared" si="2"/>
        <v>1199310.403287437</v>
      </c>
      <c r="K12" s="329">
        <f t="shared" si="3"/>
        <v>1</v>
      </c>
    </row>
    <row r="13" spans="1:15">
      <c r="A13" s="10" t="s">
        <v>259</v>
      </c>
      <c r="B13" s="124">
        <v>241.98105446413805</v>
      </c>
      <c r="C13" s="91">
        <v>100.35460000019521</v>
      </c>
      <c r="D13" s="323">
        <f t="shared" si="0"/>
        <v>342.33565446433329</v>
      </c>
      <c r="E13" s="329">
        <f t="shared" si="1"/>
        <v>0.70685320476704594</v>
      </c>
      <c r="F13" s="87" t="s">
        <v>0</v>
      </c>
      <c r="G13" s="98" t="s">
        <v>0</v>
      </c>
      <c r="H13" s="124">
        <v>11.823134305797634</v>
      </c>
      <c r="I13" s="91">
        <v>3.5196699993684888</v>
      </c>
      <c r="J13" s="323">
        <f t="shared" si="2"/>
        <v>15.342804305166123</v>
      </c>
      <c r="K13" s="329">
        <f t="shared" si="3"/>
        <v>0.77059799959884978</v>
      </c>
    </row>
    <row r="14" spans="1:15">
      <c r="A14" s="10" t="s">
        <v>260</v>
      </c>
      <c r="B14" s="685">
        <v>159802.13806732101</v>
      </c>
      <c r="C14" s="224">
        <v>354586.11968</v>
      </c>
      <c r="D14" s="512">
        <f t="shared" si="0"/>
        <v>514388.25774732104</v>
      </c>
      <c r="E14" s="329">
        <f t="shared" si="1"/>
        <v>0.31066443617346212</v>
      </c>
      <c r="F14" s="87" t="s">
        <v>0</v>
      </c>
      <c r="G14" s="98" t="s">
        <v>0</v>
      </c>
      <c r="H14" s="685">
        <v>255511.36727517002</v>
      </c>
      <c r="I14" s="224">
        <v>338594.57990999997</v>
      </c>
      <c r="J14" s="684">
        <f t="shared" si="2"/>
        <v>594105.94718517002</v>
      </c>
      <c r="K14" s="329">
        <f t="shared" si="3"/>
        <v>0.43007710743473276</v>
      </c>
    </row>
    <row r="15" spans="1:15" ht="15.6" customHeight="1">
      <c r="A15" s="10"/>
      <c r="B15" s="124">
        <f>SUM(B10:B14)</f>
        <v>13883411.090162661</v>
      </c>
      <c r="C15" s="91">
        <f>SUM(C10:C14)</f>
        <v>6197850.0646400005</v>
      </c>
      <c r="D15" s="323">
        <f t="shared" si="0"/>
        <v>20081261.154802661</v>
      </c>
      <c r="E15" s="329">
        <f t="shared" si="1"/>
        <v>0.69136151276247337</v>
      </c>
      <c r="F15" s="87" t="s">
        <v>0</v>
      </c>
      <c r="G15" s="98" t="s">
        <v>0</v>
      </c>
      <c r="H15" s="124">
        <f>SUM(H10:H14)</f>
        <v>14363196.382831778</v>
      </c>
      <c r="I15" s="91">
        <f>SUM(I10:I14)</f>
        <v>6162371.3094299994</v>
      </c>
      <c r="J15" s="323">
        <f t="shared" si="2"/>
        <v>20525567.692261778</v>
      </c>
      <c r="K15" s="329">
        <f t="shared" si="3"/>
        <v>0.69977096849052134</v>
      </c>
    </row>
    <row r="16" spans="1:15" ht="7.9" customHeight="1">
      <c r="A16" s="10"/>
      <c r="B16" s="124"/>
      <c r="C16" s="92" t="s">
        <v>0</v>
      </c>
      <c r="D16" s="323"/>
      <c r="E16" s="329" t="s">
        <v>0</v>
      </c>
      <c r="F16" s="87"/>
      <c r="G16" s="98" t="s">
        <v>0</v>
      </c>
      <c r="H16" s="124"/>
      <c r="I16" s="92" t="s">
        <v>0</v>
      </c>
      <c r="J16" s="327" t="s">
        <v>0</v>
      </c>
      <c r="K16" s="329" t="s">
        <v>0</v>
      </c>
    </row>
    <row r="17" spans="1:11" ht="15.6" customHeight="1">
      <c r="A17" s="10" t="s">
        <v>261</v>
      </c>
      <c r="B17" s="124">
        <v>0</v>
      </c>
      <c r="C17" s="91">
        <v>0</v>
      </c>
      <c r="D17" s="323">
        <f t="shared" ref="D17:D23" si="4">SUM(B17:C17)</f>
        <v>0</v>
      </c>
      <c r="E17" s="129">
        <v>0</v>
      </c>
      <c r="F17"/>
      <c r="G17"/>
      <c r="H17" s="124">
        <v>0</v>
      </c>
      <c r="I17" s="91">
        <v>0</v>
      </c>
      <c r="J17" s="323">
        <f t="shared" ref="J17:J23" si="5">SUM(H17:I17)</f>
        <v>0</v>
      </c>
      <c r="K17" s="129">
        <v>0</v>
      </c>
    </row>
    <row r="18" spans="1:11" ht="15.6" customHeight="1">
      <c r="A18" s="10" t="s">
        <v>909</v>
      </c>
      <c r="B18" s="124">
        <v>0</v>
      </c>
      <c r="C18" s="91">
        <v>0</v>
      </c>
      <c r="D18" s="323">
        <f t="shared" si="4"/>
        <v>0</v>
      </c>
      <c r="E18" s="129">
        <v>0</v>
      </c>
      <c r="F18"/>
      <c r="G18"/>
      <c r="H18" s="124">
        <v>0</v>
      </c>
      <c r="I18" s="91">
        <v>0</v>
      </c>
      <c r="J18" s="323">
        <f t="shared" si="5"/>
        <v>0</v>
      </c>
      <c r="K18" s="129">
        <v>0</v>
      </c>
    </row>
    <row r="19" spans="1:11">
      <c r="A19" s="10" t="s">
        <v>262</v>
      </c>
      <c r="B19" s="124">
        <v>3282932.8366202563</v>
      </c>
      <c r="C19" s="91">
        <v>9262846.3659100011</v>
      </c>
      <c r="D19" s="323">
        <f t="shared" si="4"/>
        <v>12545779.202530257</v>
      </c>
      <c r="E19" s="329">
        <f>+B19/D19</f>
        <v>0.26167628041454355</v>
      </c>
      <c r="F19"/>
      <c r="G19"/>
      <c r="H19" s="124">
        <v>4754563.2230201783</v>
      </c>
      <c r="I19" s="91">
        <v>9091620.4561499991</v>
      </c>
      <c r="J19" s="323">
        <f t="shared" si="5"/>
        <v>13846183.679170176</v>
      </c>
      <c r="K19" s="329">
        <f>+H19/J19</f>
        <v>0.34338438180426673</v>
      </c>
    </row>
    <row r="20" spans="1:11">
      <c r="A20" s="10" t="s">
        <v>298</v>
      </c>
      <c r="B20" s="124">
        <v>16298999.21273</v>
      </c>
      <c r="C20" s="91">
        <v>7757420.6525100004</v>
      </c>
      <c r="D20" s="323">
        <f t="shared" si="4"/>
        <v>24056419.86524</v>
      </c>
      <c r="E20" s="329">
        <f>+B20/D20</f>
        <v>0.67753220570784178</v>
      </c>
      <c r="F20"/>
      <c r="G20"/>
      <c r="H20" s="124">
        <v>14836462.88005</v>
      </c>
      <c r="I20" s="91">
        <v>7641177.7243299987</v>
      </c>
      <c r="J20" s="323">
        <f t="shared" si="5"/>
        <v>22477640.604379997</v>
      </c>
      <c r="K20" s="329">
        <f>+H20/J20</f>
        <v>0.66005427976986897</v>
      </c>
    </row>
    <row r="21" spans="1:11">
      <c r="A21" s="10" t="s">
        <v>264</v>
      </c>
      <c r="B21" s="124">
        <v>0</v>
      </c>
      <c r="C21" s="91">
        <v>1437499.7739299997</v>
      </c>
      <c r="D21" s="323">
        <f t="shared" si="4"/>
        <v>1437499.7739299997</v>
      </c>
      <c r="E21" s="129">
        <v>0</v>
      </c>
      <c r="F21"/>
      <c r="G21"/>
      <c r="H21" s="124">
        <v>0</v>
      </c>
      <c r="I21" s="91">
        <v>1429239.0878300001</v>
      </c>
      <c r="J21" s="323">
        <f t="shared" si="5"/>
        <v>1429239.0878300001</v>
      </c>
      <c r="K21" s="129">
        <v>0</v>
      </c>
    </row>
    <row r="22" spans="1:11">
      <c r="A22" s="10" t="s">
        <v>265</v>
      </c>
      <c r="B22" s="685">
        <v>181236.09054150202</v>
      </c>
      <c r="C22" s="224">
        <v>748896.95729999989</v>
      </c>
      <c r="D22" s="684">
        <f t="shared" si="4"/>
        <v>930133.04784150189</v>
      </c>
      <c r="E22" s="329">
        <f>+B22/D22</f>
        <v>0.19484964109391081</v>
      </c>
      <c r="F22"/>
      <c r="G22"/>
      <c r="H22" s="685">
        <v>189731.44337250697</v>
      </c>
      <c r="I22" s="224">
        <v>609000.22736000002</v>
      </c>
      <c r="J22" s="684">
        <f t="shared" si="5"/>
        <v>798731.67073250702</v>
      </c>
      <c r="K22" s="329">
        <f>+H22/J22</f>
        <v>0.23754090431709887</v>
      </c>
    </row>
    <row r="23" spans="1:11">
      <c r="A23" s="10" t="s">
        <v>54</v>
      </c>
      <c r="B23" s="125">
        <f>SUM(B15:B22)</f>
        <v>33646579.230054423</v>
      </c>
      <c r="C23" s="94">
        <f>SUM(C15:C22)</f>
        <v>25404513.814290002</v>
      </c>
      <c r="D23" s="324">
        <f t="shared" si="4"/>
        <v>59051093.044344425</v>
      </c>
      <c r="E23" s="369">
        <f>+B23/D23</f>
        <v>0.56978757708663441</v>
      </c>
      <c r="F23"/>
      <c r="G23"/>
      <c r="H23" s="125">
        <f>SUM(H15:H22)</f>
        <v>34143953.929274462</v>
      </c>
      <c r="I23" s="94">
        <f>SUM(I15:I22)</f>
        <v>24933408.805099998</v>
      </c>
      <c r="J23" s="324">
        <f t="shared" si="5"/>
        <v>59077362.734374464</v>
      </c>
      <c r="K23" s="369">
        <f>+H23/J23</f>
        <v>0.57795325229383721</v>
      </c>
    </row>
    <row r="24" spans="1:11" ht="7.9" customHeight="1">
      <c r="A24" s="10"/>
      <c r="B24" s="124"/>
      <c r="C24" s="91" t="s">
        <v>0</v>
      </c>
      <c r="D24" s="323"/>
      <c r="E24" s="329" t="s">
        <v>0</v>
      </c>
      <c r="F24"/>
      <c r="G24"/>
      <c r="H24" s="124"/>
      <c r="I24" s="91" t="s">
        <v>0</v>
      </c>
      <c r="J24" s="327" t="s">
        <v>0</v>
      </c>
      <c r="K24" s="329" t="s">
        <v>0</v>
      </c>
    </row>
    <row r="25" spans="1:11">
      <c r="A25" s="86" t="s">
        <v>266</v>
      </c>
      <c r="B25" s="124"/>
      <c r="C25" s="91" t="s">
        <v>0</v>
      </c>
      <c r="D25" s="323"/>
      <c r="E25" s="329" t="s">
        <v>0</v>
      </c>
      <c r="F25"/>
      <c r="G25"/>
      <c r="H25" s="124"/>
      <c r="I25" s="91" t="s">
        <v>0</v>
      </c>
      <c r="J25" s="327" t="s">
        <v>0</v>
      </c>
      <c r="K25" s="329" t="s">
        <v>0</v>
      </c>
    </row>
    <row r="26" spans="1:11">
      <c r="A26" s="10" t="s">
        <v>267</v>
      </c>
      <c r="B26" s="124"/>
      <c r="C26" s="91" t="s">
        <v>0</v>
      </c>
      <c r="D26" s="323"/>
      <c r="E26" s="329" t="s">
        <v>0</v>
      </c>
      <c r="F26"/>
      <c r="G26"/>
      <c r="H26" s="124"/>
      <c r="I26" s="91" t="s">
        <v>0</v>
      </c>
      <c r="J26" s="327" t="s">
        <v>0</v>
      </c>
      <c r="K26" s="329" t="s">
        <v>0</v>
      </c>
    </row>
    <row r="27" spans="1:11">
      <c r="A27" s="10" t="s">
        <v>268</v>
      </c>
      <c r="B27" s="124">
        <v>13631663.334553052</v>
      </c>
      <c r="C27" s="91">
        <v>9161104.1519299988</v>
      </c>
      <c r="D27" s="323">
        <f>SUM(B27:C27)</f>
        <v>22792767.486483052</v>
      </c>
      <c r="E27" s="329">
        <f>+B27/D27</f>
        <v>0.59806968779184577</v>
      </c>
      <c r="F27"/>
      <c r="G27"/>
      <c r="H27" s="124">
        <v>14644616.230663728</v>
      </c>
      <c r="I27" s="91">
        <v>8195842.0019100001</v>
      </c>
      <c r="J27" s="720">
        <f>SUM(H27:I27)</f>
        <v>22840458.232573729</v>
      </c>
      <c r="K27" s="329">
        <f>+H27/J27</f>
        <v>0.64116998361173116</v>
      </c>
    </row>
    <row r="28" spans="1:11">
      <c r="A28" s="10" t="s">
        <v>269</v>
      </c>
      <c r="B28" s="124">
        <v>12605529.589360606</v>
      </c>
      <c r="C28" s="91">
        <v>7682638.8655399997</v>
      </c>
      <c r="D28" s="323">
        <f>SUM(B28:C28)</f>
        <v>20288168.454900607</v>
      </c>
      <c r="E28" s="329">
        <f>+B28/D28</f>
        <v>0.62132417804899187</v>
      </c>
      <c r="F28"/>
      <c r="G28"/>
      <c r="H28" s="124">
        <v>12290227.32337003</v>
      </c>
      <c r="I28" s="91">
        <v>7500529.0516600003</v>
      </c>
      <c r="J28" s="720">
        <f>SUM(H28:I28)</f>
        <v>19790756.37503003</v>
      </c>
      <c r="K28" s="329">
        <f>+H28/J28</f>
        <v>0.62100846933150033</v>
      </c>
    </row>
    <row r="29" spans="1:11">
      <c r="A29" s="10" t="s">
        <v>270</v>
      </c>
      <c r="B29" s="685">
        <v>4443129.3614721252</v>
      </c>
      <c r="C29" s="224">
        <v>1960710.7800199999</v>
      </c>
      <c r="D29" s="684">
        <f>SUM(B29:C29)</f>
        <v>6403840.1414921246</v>
      </c>
      <c r="E29" s="329">
        <f>+B29/D29</f>
        <v>0.69382265379860897</v>
      </c>
      <c r="F29"/>
      <c r="G29"/>
      <c r="H29" s="685">
        <v>3972601.4498216668</v>
      </c>
      <c r="I29" s="224">
        <v>1883183.54091</v>
      </c>
      <c r="J29" s="1009">
        <f>SUM(H29:I29)</f>
        <v>5855784.9907316668</v>
      </c>
      <c r="K29" s="329">
        <f>+H29/J29</f>
        <v>0.67840630352879461</v>
      </c>
    </row>
    <row r="30" spans="1:11">
      <c r="A30" s="10"/>
      <c r="B30" s="124">
        <f>SUM(B27:B29)</f>
        <v>30680322.285385784</v>
      </c>
      <c r="C30" s="91">
        <f>SUM(C27:C29)</f>
        <v>18804453.797489997</v>
      </c>
      <c r="D30" s="323">
        <f>SUM(B30:C30)</f>
        <v>49484776.082875781</v>
      </c>
      <c r="E30" s="329">
        <f>+B30/D30</f>
        <v>0.61999517253555314</v>
      </c>
      <c r="F30"/>
      <c r="G30"/>
      <c r="H30" s="124">
        <f>SUM(H27:H29)</f>
        <v>30907445.003855422</v>
      </c>
      <c r="I30" s="91">
        <f>SUM(I27:I29)</f>
        <v>17579554.59448</v>
      </c>
      <c r="J30" s="720">
        <f>SUM(H30:I30)</f>
        <v>48486999.598335423</v>
      </c>
      <c r="K30" s="329">
        <f>+H30/J30</f>
        <v>0.63743777218412345</v>
      </c>
    </row>
    <row r="31" spans="1:11" ht="7.9" customHeight="1">
      <c r="A31" s="10"/>
      <c r="B31" s="124"/>
      <c r="C31" s="91" t="s">
        <v>0</v>
      </c>
      <c r="D31" s="323"/>
      <c r="E31" s="329" t="s">
        <v>0</v>
      </c>
      <c r="F31"/>
      <c r="G31"/>
      <c r="H31" s="124"/>
      <c r="I31" s="91" t="s">
        <v>0</v>
      </c>
      <c r="J31" s="720"/>
      <c r="K31" s="329" t="s">
        <v>0</v>
      </c>
    </row>
    <row r="32" spans="1:11">
      <c r="A32" s="10" t="s">
        <v>271</v>
      </c>
      <c r="B32" s="124"/>
      <c r="C32" s="91" t="s">
        <v>0</v>
      </c>
      <c r="D32" s="323"/>
      <c r="E32" s="329" t="s">
        <v>0</v>
      </c>
      <c r="F32"/>
      <c r="G32"/>
      <c r="H32" s="124"/>
      <c r="I32" s="91" t="s">
        <v>0</v>
      </c>
      <c r="J32" s="720"/>
      <c r="K32" s="329" t="s">
        <v>0</v>
      </c>
    </row>
    <row r="33" spans="1:15">
      <c r="A33" s="10" t="s">
        <v>272</v>
      </c>
      <c r="B33" s="124">
        <v>0</v>
      </c>
      <c r="C33" s="91">
        <v>0</v>
      </c>
      <c r="D33" s="323">
        <f>SUM(B33:C33)</f>
        <v>0</v>
      </c>
      <c r="E33" s="129">
        <v>0</v>
      </c>
      <c r="F33"/>
      <c r="G33"/>
      <c r="H33" s="124">
        <v>0</v>
      </c>
      <c r="I33" s="91">
        <v>0</v>
      </c>
      <c r="J33" s="720">
        <f>SUM(H33:I33)</f>
        <v>0</v>
      </c>
      <c r="K33" s="129">
        <v>0</v>
      </c>
    </row>
    <row r="34" spans="1:15">
      <c r="A34" s="10" t="s">
        <v>273</v>
      </c>
      <c r="B34" s="124">
        <v>0</v>
      </c>
      <c r="C34" s="91">
        <v>0</v>
      </c>
      <c r="D34" s="323">
        <f>SUM(B34:C34)</f>
        <v>0</v>
      </c>
      <c r="E34" s="129">
        <v>0</v>
      </c>
      <c r="F34"/>
      <c r="G34"/>
      <c r="H34" s="124">
        <v>0</v>
      </c>
      <c r="I34" s="91">
        <v>0</v>
      </c>
      <c r="J34" s="720">
        <f>SUM(H34:I34)</f>
        <v>0</v>
      </c>
      <c r="K34" s="129">
        <v>0</v>
      </c>
    </row>
    <row r="35" spans="1:15" ht="18">
      <c r="A35" s="10" t="s">
        <v>274</v>
      </c>
      <c r="B35" s="685">
        <v>1246608.260137266</v>
      </c>
      <c r="C35" s="224">
        <v>962447.22031</v>
      </c>
      <c r="D35" s="684">
        <f>SUM(B35:C35)</f>
        <v>2209055.4804472663</v>
      </c>
      <c r="E35" s="329">
        <f>+B35/D35</f>
        <v>0.56431731623366288</v>
      </c>
      <c r="F35"/>
      <c r="G35"/>
      <c r="H35" s="685">
        <v>1168237.4957289679</v>
      </c>
      <c r="I35" s="224">
        <v>1034529.0830199999</v>
      </c>
      <c r="J35" s="1009">
        <f>SUM(H35:I35)</f>
        <v>2202766.578748968</v>
      </c>
      <c r="K35" s="329">
        <f>+H35/J35</f>
        <v>0.53035010926688975</v>
      </c>
      <c r="L35" s="14"/>
      <c r="M35" s="15"/>
      <c r="N35" s="15"/>
      <c r="O35" s="15"/>
    </row>
    <row r="36" spans="1:15">
      <c r="A36" s="10"/>
      <c r="B36" s="124">
        <f>SUM(B33:B35)</f>
        <v>1246608.260137266</v>
      </c>
      <c r="C36" s="91">
        <f>SUM(C33:C35)</f>
        <v>962447.22031</v>
      </c>
      <c r="D36" s="323">
        <f>SUM(B36:C36)</f>
        <v>2209055.4804472663</v>
      </c>
      <c r="E36" s="329">
        <f>+B36/D36</f>
        <v>0.56431731623366288</v>
      </c>
      <c r="F36"/>
      <c r="G36"/>
      <c r="H36" s="124">
        <f>SUM(H33:H35)</f>
        <v>1168237.4957289679</v>
      </c>
      <c r="I36" s="91">
        <f>SUM(I33:I35)</f>
        <v>1034529.0830199999</v>
      </c>
      <c r="J36" s="720">
        <f>SUM(H36:I36)</f>
        <v>2202766.578748968</v>
      </c>
      <c r="K36" s="329">
        <f>+H36/J36</f>
        <v>0.53035010926688975</v>
      </c>
    </row>
    <row r="37" spans="1:15" ht="7.15" customHeight="1">
      <c r="A37" s="10"/>
      <c r="B37" s="124"/>
      <c r="C37" s="91" t="s">
        <v>0</v>
      </c>
      <c r="D37" s="323"/>
      <c r="E37" s="329" t="s">
        <v>54</v>
      </c>
      <c r="F37"/>
      <c r="G37"/>
      <c r="H37" s="124"/>
      <c r="I37" s="91" t="s">
        <v>0</v>
      </c>
      <c r="J37" s="720"/>
      <c r="K37" s="329" t="s">
        <v>54</v>
      </c>
    </row>
    <row r="38" spans="1:15">
      <c r="A38" s="10" t="s">
        <v>275</v>
      </c>
      <c r="B38" s="124"/>
      <c r="C38" s="91" t="s">
        <v>0</v>
      </c>
      <c r="D38" s="323"/>
      <c r="E38" s="329" t="s">
        <v>0</v>
      </c>
      <c r="F38"/>
      <c r="G38"/>
      <c r="H38" s="124"/>
      <c r="I38" s="91" t="s">
        <v>0</v>
      </c>
      <c r="J38" s="720"/>
      <c r="K38" s="329" t="s">
        <v>0</v>
      </c>
    </row>
    <row r="39" spans="1:15">
      <c r="A39" s="10" t="s">
        <v>272</v>
      </c>
      <c r="B39" s="124">
        <v>0</v>
      </c>
      <c r="C39" s="91">
        <v>0</v>
      </c>
      <c r="D39" s="323">
        <f>SUM(B39:C39)</f>
        <v>0</v>
      </c>
      <c r="E39" s="129">
        <v>0</v>
      </c>
      <c r="F39"/>
      <c r="G39"/>
      <c r="H39" s="124">
        <v>0</v>
      </c>
      <c r="I39" s="91">
        <v>600000</v>
      </c>
      <c r="J39" s="720">
        <f>SUM(H39:I39)</f>
        <v>600000</v>
      </c>
      <c r="K39" s="129">
        <v>0</v>
      </c>
    </row>
    <row r="40" spans="1:15">
      <c r="A40" s="10" t="s">
        <v>276</v>
      </c>
      <c r="B40" s="124">
        <v>607720.1</v>
      </c>
      <c r="C40" s="91">
        <v>0</v>
      </c>
      <c r="D40" s="323">
        <f>SUM(B40:C40)</f>
        <v>607720.1</v>
      </c>
      <c r="E40" s="129">
        <v>0</v>
      </c>
      <c r="F40"/>
      <c r="G40"/>
      <c r="H40" s="124">
        <v>1457846.4</v>
      </c>
      <c r="I40" s="91">
        <v>0</v>
      </c>
      <c r="J40" s="720">
        <f>SUM(H40:I40)</f>
        <v>1457846.4</v>
      </c>
      <c r="K40" s="129">
        <v>0</v>
      </c>
    </row>
    <row r="41" spans="1:15">
      <c r="A41" s="10" t="s">
        <v>274</v>
      </c>
      <c r="B41" s="685">
        <v>272092.793512962</v>
      </c>
      <c r="C41" s="1388">
        <v>176263.35753000001</v>
      </c>
      <c r="D41" s="684">
        <f>SUM(B41:C41)</f>
        <v>448356.15104296198</v>
      </c>
      <c r="E41" s="329">
        <f>+B41/D41</f>
        <v>0.60686753796066417</v>
      </c>
      <c r="F41"/>
      <c r="G41"/>
      <c r="H41" s="685">
        <v>253556.73830225097</v>
      </c>
      <c r="I41" s="1388">
        <v>118972.78608999999</v>
      </c>
      <c r="J41" s="1009">
        <f>SUM(H41:I41)</f>
        <v>372529.52439225098</v>
      </c>
      <c r="K41" s="329">
        <f>+H41/J41</f>
        <v>0.68063528311187249</v>
      </c>
    </row>
    <row r="42" spans="1:15">
      <c r="A42" s="10"/>
      <c r="B42" s="124">
        <f>SUM(B39:B41)</f>
        <v>879812.89351296192</v>
      </c>
      <c r="C42" s="91">
        <f>SUM(C39:C41)</f>
        <v>176263.35753000001</v>
      </c>
      <c r="D42" s="323">
        <f>SUM(B42:C42)</f>
        <v>1056076.2510429618</v>
      </c>
      <c r="E42" s="329">
        <f>+B42/D42</f>
        <v>0.83309599344183205</v>
      </c>
      <c r="F42"/>
      <c r="G42"/>
      <c r="H42" s="124">
        <f>SUM(H39:H41)</f>
        <v>1711403.1383022508</v>
      </c>
      <c r="I42" s="91">
        <f>SUM(I39:I41)</f>
        <v>718972.78608999995</v>
      </c>
      <c r="J42" s="720">
        <f>SUM(H42:I42)</f>
        <v>2430375.9243922508</v>
      </c>
      <c r="K42" s="329">
        <f>+H42/J42</f>
        <v>0.70417219045247526</v>
      </c>
    </row>
    <row r="43" spans="1:15" ht="8.4499999999999993" customHeight="1">
      <c r="A43" s="10"/>
      <c r="B43" s="124"/>
      <c r="C43" s="91" t="s">
        <v>0</v>
      </c>
      <c r="D43" s="323"/>
      <c r="E43" s="329" t="s">
        <v>0</v>
      </c>
      <c r="F43"/>
      <c r="G43"/>
      <c r="H43" s="124"/>
      <c r="I43" s="91" t="s">
        <v>0</v>
      </c>
      <c r="J43" s="720"/>
      <c r="K43" s="329" t="s">
        <v>0</v>
      </c>
    </row>
    <row r="44" spans="1:15" ht="18">
      <c r="A44" s="10" t="s">
        <v>277</v>
      </c>
      <c r="B44" s="685">
        <v>167813.44137473602</v>
      </c>
      <c r="C44" s="224">
        <v>336173.65411999996</v>
      </c>
      <c r="D44" s="684">
        <f>SUM(B44:C44)</f>
        <v>503987.09549473599</v>
      </c>
      <c r="E44" s="329">
        <f>+B44/D44</f>
        <v>0.33297170279727684</v>
      </c>
      <c r="F44"/>
      <c r="G44"/>
      <c r="H44" s="685">
        <v>173712.628315337</v>
      </c>
      <c r="I44" s="224">
        <v>327817.94737000001</v>
      </c>
      <c r="J44" s="1009">
        <f>SUM(H44:I44)</f>
        <v>501530.57568533701</v>
      </c>
      <c r="K44" s="329">
        <f>+H44/J44</f>
        <v>0.34636498099434965</v>
      </c>
      <c r="L44" s="14"/>
    </row>
    <row r="45" spans="1:15">
      <c r="A45" s="10"/>
      <c r="B45" s="124">
        <f>+B30+B36+B42+B44</f>
        <v>32974556.880410749</v>
      </c>
      <c r="C45" s="91">
        <f>+C30+C36+C42+C44</f>
        <v>20279338.029449996</v>
      </c>
      <c r="D45" s="323">
        <f>SUM(B45:C45)</f>
        <v>53253894.909860745</v>
      </c>
      <c r="E45" s="329">
        <f>+B45/D45</f>
        <v>0.6191952144763222</v>
      </c>
      <c r="F45"/>
      <c r="G45"/>
      <c r="H45" s="124">
        <f>+H30+H36+H42+H44</f>
        <v>33960798.26620198</v>
      </c>
      <c r="I45" s="91">
        <f>+I30+I36+I42+I44</f>
        <v>19660874.410960004</v>
      </c>
      <c r="J45" s="323">
        <f>SUM(H45:I45)</f>
        <v>53621672.677161984</v>
      </c>
      <c r="K45" s="329">
        <f>+H45/J45</f>
        <v>0.63334089689198059</v>
      </c>
    </row>
    <row r="46" spans="1:15" ht="8.4499999999999993" customHeight="1">
      <c r="A46" s="10"/>
      <c r="B46" s="124"/>
      <c r="C46" s="92" t="s">
        <v>0</v>
      </c>
      <c r="D46" s="323"/>
      <c r="E46" s="329" t="s">
        <v>0</v>
      </c>
      <c r="F46"/>
      <c r="G46"/>
      <c r="H46" s="124"/>
      <c r="I46" s="92" t="s">
        <v>0</v>
      </c>
      <c r="J46" s="327" t="s">
        <v>0</v>
      </c>
      <c r="K46" s="329" t="s">
        <v>0</v>
      </c>
    </row>
    <row r="47" spans="1:15">
      <c r="A47" s="86" t="s">
        <v>278</v>
      </c>
      <c r="B47" s="124"/>
      <c r="C47" s="92" t="s">
        <v>0</v>
      </c>
      <c r="D47" s="323"/>
      <c r="E47" s="329" t="s">
        <v>0</v>
      </c>
      <c r="F47"/>
      <c r="G47"/>
      <c r="H47" s="124"/>
      <c r="I47" s="92" t="s">
        <v>0</v>
      </c>
      <c r="J47" s="327" t="s">
        <v>0</v>
      </c>
      <c r="K47" s="329" t="s">
        <v>0</v>
      </c>
    </row>
    <row r="48" spans="1:15">
      <c r="A48" s="10" t="s">
        <v>279</v>
      </c>
      <c r="B48" s="124">
        <v>0</v>
      </c>
      <c r="C48" s="91">
        <f>+unibkvar!B48</f>
        <v>2092652</v>
      </c>
      <c r="D48" s="323">
        <f>SUM(B48:C48)</f>
        <v>2092652</v>
      </c>
      <c r="E48" s="129">
        <f>+B48/D48</f>
        <v>0</v>
      </c>
      <c r="F48"/>
      <c r="G48"/>
      <c r="H48" s="124">
        <v>0</v>
      </c>
      <c r="I48" s="91">
        <v>2092704</v>
      </c>
      <c r="J48" s="323">
        <f>SUM(H48:I48)</f>
        <v>2092704</v>
      </c>
      <c r="K48" s="129">
        <f>+H48/J48</f>
        <v>0</v>
      </c>
    </row>
    <row r="49" spans="1:15">
      <c r="A49" s="10" t="s">
        <v>280</v>
      </c>
      <c r="B49" s="124">
        <v>0</v>
      </c>
      <c r="C49" s="91">
        <f>+unibkvar!B49</f>
        <v>867190.37237999996</v>
      </c>
      <c r="D49" s="323">
        <f>SUM(B49:C49)</f>
        <v>867190.37237999996</v>
      </c>
      <c r="E49" s="129">
        <v>0</v>
      </c>
      <c r="F49"/>
      <c r="G49"/>
      <c r="H49" s="124">
        <v>0</v>
      </c>
      <c r="I49" s="91">
        <v>867190.37237999996</v>
      </c>
      <c r="J49" s="323">
        <f>SUM(H49:I49)</f>
        <v>867190.37237999996</v>
      </c>
      <c r="K49" s="129">
        <v>0</v>
      </c>
    </row>
    <row r="50" spans="1:15">
      <c r="A50" s="10" t="s">
        <v>290</v>
      </c>
      <c r="B50" s="124">
        <v>0</v>
      </c>
      <c r="C50" s="91">
        <f>+unibkvar!B50</f>
        <v>0</v>
      </c>
      <c r="D50" s="323">
        <f>SUM(B50:C50)</f>
        <v>0</v>
      </c>
      <c r="E50" s="129">
        <v>0</v>
      </c>
      <c r="F50"/>
      <c r="G50"/>
      <c r="H50" s="124">
        <v>0</v>
      </c>
      <c r="I50" s="91">
        <v>0</v>
      </c>
      <c r="J50" s="323">
        <f>SUM(H50:I50)</f>
        <v>0</v>
      </c>
      <c r="K50" s="129">
        <v>0</v>
      </c>
    </row>
    <row r="51" spans="1:15" ht="18">
      <c r="A51" s="10" t="s">
        <v>282</v>
      </c>
      <c r="B51" s="685">
        <v>0</v>
      </c>
      <c r="C51" s="199">
        <f>+unibkvar!B51</f>
        <v>2837355.7598899999</v>
      </c>
      <c r="D51" s="512">
        <f>SUM(B51:C51)</f>
        <v>2837355.7598899999</v>
      </c>
      <c r="E51" s="129">
        <v>0</v>
      </c>
      <c r="F51"/>
      <c r="G51"/>
      <c r="H51" s="685">
        <v>0</v>
      </c>
      <c r="I51" s="199">
        <v>2495795.6846699999</v>
      </c>
      <c r="J51" s="684">
        <f>SUM(H51:I51)</f>
        <v>2495795.6846699999</v>
      </c>
      <c r="K51" s="129">
        <v>0</v>
      </c>
      <c r="L51" s="14"/>
      <c r="M51" s="15"/>
      <c r="N51" s="15"/>
      <c r="O51" s="15"/>
    </row>
    <row r="52" spans="1:15">
      <c r="A52" s="10" t="s">
        <v>54</v>
      </c>
      <c r="B52" s="124">
        <f>SUM(B48:B51)</f>
        <v>0</v>
      </c>
      <c r="C52" s="91">
        <f>SUM(C48:C51)</f>
        <v>5797198.1322699999</v>
      </c>
      <c r="D52" s="323">
        <f>SUM(B52:C52)</f>
        <v>5797198.1322699999</v>
      </c>
      <c r="E52" s="129">
        <v>0</v>
      </c>
      <c r="F52"/>
      <c r="G52"/>
      <c r="H52" s="124">
        <f>SUM(H48:H51)</f>
        <v>0</v>
      </c>
      <c r="I52" s="91">
        <f>SUM(I48:I51)</f>
        <v>5455690.0570499999</v>
      </c>
      <c r="J52" s="323">
        <f>SUM(H52:I52)</f>
        <v>5455690.0570499999</v>
      </c>
      <c r="K52" s="129">
        <v>0</v>
      </c>
    </row>
    <row r="53" spans="1:15">
      <c r="A53" s="10" t="s">
        <v>0</v>
      </c>
      <c r="B53" s="124"/>
      <c r="C53" s="92" t="s">
        <v>0</v>
      </c>
      <c r="D53" s="323"/>
      <c r="E53" s="329" t="s">
        <v>0</v>
      </c>
      <c r="F53"/>
      <c r="G53"/>
      <c r="H53" s="124"/>
      <c r="I53" s="92" t="s">
        <v>0</v>
      </c>
      <c r="J53" s="327" t="s">
        <v>0</v>
      </c>
      <c r="K53" s="329" t="s">
        <v>0</v>
      </c>
    </row>
    <row r="54" spans="1:15" ht="16.5" thickBot="1">
      <c r="A54" s="10" t="s">
        <v>0</v>
      </c>
      <c r="B54" s="126">
        <f>+B30+B36+B42+B44+B52</f>
        <v>32974556.880410749</v>
      </c>
      <c r="C54" s="127">
        <f>+C30+C36+C42+C44+C52</f>
        <v>26076536.161719996</v>
      </c>
      <c r="D54" s="325">
        <f>SUM(B54:C54)</f>
        <v>59051093.042130746</v>
      </c>
      <c r="E54" s="368">
        <f>+B54/D54</f>
        <v>0.55840722299390189</v>
      </c>
      <c r="F54"/>
      <c r="G54"/>
      <c r="H54" s="126">
        <f>+H30+H36+H42+H44+H52</f>
        <v>33960798.26620198</v>
      </c>
      <c r="I54" s="127">
        <f>+I30+I36+I42+I44+I52</f>
        <v>25116564.468010005</v>
      </c>
      <c r="J54" s="325">
        <f>SUM(H54:I54)</f>
        <v>59077362.734211981</v>
      </c>
      <c r="K54" s="368">
        <f>+H54/J54</f>
        <v>0.57485298419618047</v>
      </c>
    </row>
    <row r="55" spans="1:15" ht="16.5" thickTop="1">
      <c r="A55" s="10"/>
      <c r="B55" s="94"/>
      <c r="C55" s="94"/>
      <c r="D55" s="339"/>
      <c r="E55" s="237"/>
      <c r="F55"/>
      <c r="G55"/>
      <c r="H55" s="94"/>
      <c r="I55" s="94"/>
      <c r="J55" s="339"/>
      <c r="K55" s="230"/>
    </row>
    <row r="56" spans="1:15">
      <c r="A56" s="10"/>
      <c r="B56" s="90" t="str">
        <f>+'sgbelgdes&amp;$'!B56</f>
        <v xml:space="preserve">* converties au taux de 46,7477 Gdes </v>
      </c>
      <c r="C56"/>
      <c r="D56" s="90"/>
      <c r="E56" s="98" t="s">
        <v>0</v>
      </c>
      <c r="F56"/>
      <c r="G56"/>
      <c r="H56" s="90" t="str">
        <f>+'sgbelgdes&amp;$'!H56</f>
        <v xml:space="preserve">* converties au taux de 45,5577 Gdes </v>
      </c>
      <c r="I56"/>
      <c r="J56"/>
    </row>
    <row r="57" spans="1:15">
      <c r="C57" s="48"/>
      <c r="E57" s="112" t="s">
        <v>0</v>
      </c>
      <c r="F57"/>
      <c r="G57"/>
      <c r="H57"/>
      <c r="J57" s="48"/>
    </row>
    <row r="58" spans="1:15">
      <c r="B58"/>
      <c r="C58"/>
      <c r="D58"/>
      <c r="E58" s="112" t="s">
        <v>0</v>
      </c>
      <c r="F58"/>
      <c r="G58"/>
      <c r="H58"/>
      <c r="J58" s="48"/>
    </row>
    <row r="59" spans="1:15">
      <c r="B59"/>
      <c r="C59"/>
      <c r="D59"/>
      <c r="E59" s="112" t="s">
        <v>0</v>
      </c>
      <c r="F59"/>
      <c r="G59"/>
      <c r="H59"/>
      <c r="I59"/>
      <c r="J59"/>
    </row>
    <row r="60" spans="1:15">
      <c r="B60"/>
      <c r="C60"/>
      <c r="D60"/>
      <c r="E60" s="112" t="s">
        <v>0</v>
      </c>
      <c r="F60"/>
      <c r="G60"/>
      <c r="H60"/>
      <c r="I60"/>
      <c r="J60"/>
    </row>
    <row r="61" spans="1:15">
      <c r="B61"/>
      <c r="C61"/>
      <c r="D61"/>
      <c r="E61" s="112" t="s">
        <v>0</v>
      </c>
      <c r="F61"/>
      <c r="G61"/>
      <c r="H61"/>
      <c r="I61"/>
      <c r="J61"/>
    </row>
    <row r="62" spans="1:15">
      <c r="B62"/>
      <c r="C62"/>
      <c r="D62"/>
      <c r="E62" s="112" t="s">
        <v>0</v>
      </c>
      <c r="F62"/>
      <c r="G62"/>
      <c r="H62"/>
      <c r="I62"/>
      <c r="J62"/>
    </row>
    <row r="63" spans="1:15">
      <c r="B63"/>
      <c r="C63"/>
      <c r="D63"/>
      <c r="E63" s="112" t="s">
        <v>0</v>
      </c>
      <c r="F63"/>
      <c r="G63"/>
      <c r="H63"/>
      <c r="I63"/>
      <c r="J63"/>
    </row>
    <row r="64" spans="1:15">
      <c r="B64"/>
      <c r="C64"/>
      <c r="D64"/>
      <c r="E64" s="112" t="s">
        <v>0</v>
      </c>
      <c r="F64"/>
      <c r="G64"/>
      <c r="H64"/>
      <c r="I64"/>
      <c r="J64"/>
    </row>
    <row r="65" spans="2:12">
      <c r="B65"/>
      <c r="C65"/>
      <c r="D65"/>
      <c r="E65" s="112" t="s">
        <v>0</v>
      </c>
      <c r="F65"/>
      <c r="G65"/>
      <c r="H65"/>
      <c r="I65"/>
      <c r="J65"/>
    </row>
    <row r="70" spans="2:12">
      <c r="B70"/>
      <c r="C70"/>
      <c r="D70"/>
      <c r="E70"/>
      <c r="F70"/>
      <c r="G70"/>
      <c r="H70"/>
      <c r="I70"/>
      <c r="J70"/>
      <c r="K70"/>
      <c r="L70"/>
    </row>
    <row r="71" spans="2:12">
      <c r="B71"/>
      <c r="C71"/>
      <c r="D71"/>
      <c r="E71"/>
      <c r="F71"/>
      <c r="G71"/>
      <c r="H71"/>
      <c r="I71"/>
      <c r="J71"/>
      <c r="K71"/>
      <c r="L71"/>
    </row>
    <row r="72" spans="2:12">
      <c r="B72"/>
      <c r="C72"/>
      <c r="D72"/>
      <c r="E72"/>
      <c r="F72"/>
      <c r="G72"/>
      <c r="H72"/>
      <c r="I72"/>
      <c r="J72"/>
      <c r="K72"/>
      <c r="L72"/>
    </row>
    <row r="73" spans="2:12">
      <c r="B73"/>
      <c r="C73"/>
      <c r="D73"/>
      <c r="E73"/>
      <c r="F73"/>
      <c r="G73"/>
      <c r="H73"/>
      <c r="I73"/>
      <c r="J73"/>
      <c r="K73"/>
      <c r="L73"/>
    </row>
    <row r="74" spans="2:12">
      <c r="B74"/>
      <c r="C74"/>
      <c r="D74"/>
      <c r="E74"/>
      <c r="F74"/>
      <c r="G74"/>
      <c r="H74"/>
      <c r="I74"/>
      <c r="J74"/>
      <c r="K74"/>
      <c r="L74"/>
    </row>
    <row r="75" spans="2:12">
      <c r="B75"/>
      <c r="C75"/>
      <c r="D75"/>
      <c r="E75"/>
      <c r="F75"/>
      <c r="G75"/>
      <c r="H75"/>
      <c r="I75"/>
      <c r="J75"/>
      <c r="K75"/>
      <c r="L75"/>
    </row>
    <row r="76" spans="2:12">
      <c r="B76"/>
      <c r="C76"/>
      <c r="D76"/>
      <c r="E76"/>
      <c r="F76"/>
      <c r="G76"/>
      <c r="H76"/>
      <c r="I76"/>
      <c r="J76"/>
      <c r="K76"/>
      <c r="L76"/>
    </row>
    <row r="77" spans="2:12">
      <c r="B77"/>
      <c r="C77"/>
      <c r="D77"/>
      <c r="E77"/>
      <c r="F77"/>
      <c r="G77"/>
      <c r="H77"/>
      <c r="I77"/>
      <c r="J77"/>
      <c r="K77"/>
      <c r="L77"/>
    </row>
    <row r="78" spans="2:12">
      <c r="B78"/>
      <c r="C78"/>
      <c r="D78"/>
      <c r="E78"/>
      <c r="F78"/>
      <c r="G78"/>
      <c r="H78"/>
      <c r="I78"/>
      <c r="J78"/>
      <c r="K78"/>
      <c r="L78"/>
    </row>
    <row r="79" spans="2:12">
      <c r="B79"/>
      <c r="C79"/>
      <c r="D79"/>
      <c r="E79"/>
      <c r="F79"/>
      <c r="G79"/>
      <c r="H79"/>
      <c r="I79"/>
      <c r="J79"/>
      <c r="K79"/>
      <c r="L79"/>
    </row>
    <row r="80" spans="2:12">
      <c r="B80"/>
      <c r="C80"/>
      <c r="D80"/>
      <c r="E80"/>
      <c r="F80"/>
      <c r="G80"/>
      <c r="H80"/>
      <c r="I80"/>
      <c r="J80"/>
      <c r="K80"/>
      <c r="L80"/>
    </row>
    <row r="81" spans="2:12">
      <c r="B81"/>
      <c r="C81"/>
      <c r="D81"/>
      <c r="E81"/>
      <c r="F81"/>
      <c r="G81"/>
      <c r="H81"/>
      <c r="I81"/>
      <c r="J81"/>
      <c r="K81"/>
      <c r="L81"/>
    </row>
    <row r="82" spans="2:12">
      <c r="B82"/>
      <c r="C82"/>
      <c r="D82"/>
      <c r="E82"/>
      <c r="F82"/>
      <c r="G82"/>
      <c r="H82"/>
      <c r="I82"/>
      <c r="J82"/>
      <c r="K82"/>
      <c r="L82"/>
    </row>
    <row r="83" spans="2:12">
      <c r="B83"/>
      <c r="C83"/>
      <c r="D83"/>
      <c r="E83"/>
      <c r="F83"/>
      <c r="G83"/>
      <c r="H83"/>
      <c r="I83"/>
      <c r="J83"/>
      <c r="K83"/>
      <c r="L83"/>
    </row>
    <row r="84" spans="2:12">
      <c r="B84"/>
      <c r="C84"/>
      <c r="D84"/>
      <c r="E84"/>
      <c r="F84"/>
      <c r="G84"/>
      <c r="H84"/>
      <c r="I84"/>
      <c r="J84"/>
      <c r="K84"/>
      <c r="L84"/>
    </row>
    <row r="85" spans="2:12">
      <c r="B85"/>
      <c r="C85"/>
      <c r="D85"/>
      <c r="E85"/>
      <c r="F85"/>
      <c r="G85"/>
      <c r="H85"/>
      <c r="I85"/>
      <c r="J85"/>
      <c r="K85"/>
      <c r="L85"/>
    </row>
    <row r="86" spans="2:12">
      <c r="B86"/>
      <c r="C86"/>
      <c r="D86"/>
      <c r="E86"/>
      <c r="F86"/>
      <c r="G86"/>
      <c r="H86"/>
      <c r="I86"/>
      <c r="J86"/>
      <c r="K86"/>
      <c r="L86"/>
    </row>
    <row r="87" spans="2:12">
      <c r="B87"/>
      <c r="C87"/>
      <c r="D87"/>
      <c r="E87"/>
      <c r="F87"/>
      <c r="G87"/>
      <c r="H87"/>
      <c r="I87"/>
      <c r="J87"/>
      <c r="K87"/>
      <c r="L87"/>
    </row>
    <row r="88" spans="2:12">
      <c r="B88"/>
      <c r="C88"/>
      <c r="D88"/>
      <c r="E88"/>
      <c r="F88"/>
      <c r="G88"/>
      <c r="H88"/>
      <c r="I88"/>
      <c r="J88"/>
      <c r="K88"/>
      <c r="L88"/>
    </row>
    <row r="89" spans="2:12">
      <c r="B89"/>
      <c r="C89"/>
      <c r="D89"/>
      <c r="E89"/>
      <c r="F89"/>
      <c r="G89"/>
      <c r="H89"/>
      <c r="I89"/>
      <c r="J89"/>
      <c r="K89"/>
      <c r="L89"/>
    </row>
    <row r="90" spans="2:12">
      <c r="B90"/>
      <c r="C90"/>
      <c r="D90"/>
      <c r="E90"/>
      <c r="F90"/>
      <c r="G90"/>
      <c r="H90"/>
      <c r="I90"/>
      <c r="J90"/>
      <c r="K90"/>
      <c r="L90"/>
    </row>
    <row r="91" spans="2:12">
      <c r="B91"/>
      <c r="C91"/>
      <c r="D91"/>
      <c r="E91"/>
      <c r="F91"/>
      <c r="G91"/>
      <c r="H91"/>
      <c r="I91"/>
      <c r="J91"/>
      <c r="K91"/>
      <c r="L91"/>
    </row>
    <row r="92" spans="2:12">
      <c r="B92"/>
      <c r="C92"/>
      <c r="D92"/>
      <c r="E92"/>
      <c r="F92"/>
      <c r="G92"/>
      <c r="H92"/>
      <c r="I92"/>
      <c r="J92"/>
      <c r="K92"/>
      <c r="L92"/>
    </row>
    <row r="93" spans="2:12">
      <c r="B93"/>
      <c r="C93"/>
      <c r="D93"/>
      <c r="E93"/>
      <c r="F93"/>
      <c r="G93"/>
      <c r="H93"/>
      <c r="I93"/>
      <c r="J93"/>
      <c r="K93"/>
      <c r="L93"/>
    </row>
    <row r="94" spans="2:12">
      <c r="B94"/>
      <c r="C94"/>
      <c r="D94"/>
      <c r="E94"/>
      <c r="F94"/>
      <c r="G94"/>
      <c r="H94"/>
      <c r="I94"/>
      <c r="J94"/>
      <c r="K94"/>
      <c r="L94"/>
    </row>
    <row r="95" spans="2:12">
      <c r="B95"/>
      <c r="C95"/>
      <c r="D95"/>
      <c r="E95"/>
      <c r="F95"/>
      <c r="G95"/>
      <c r="H95"/>
      <c r="I95"/>
      <c r="J95"/>
      <c r="K95"/>
      <c r="L95"/>
    </row>
    <row r="96" spans="2:12">
      <c r="B96"/>
      <c r="C96"/>
      <c r="D96"/>
      <c r="E96"/>
      <c r="F96"/>
      <c r="G96"/>
      <c r="H96"/>
      <c r="I96"/>
      <c r="J96"/>
      <c r="K96"/>
      <c r="L96"/>
    </row>
    <row r="97" spans="2:12">
      <c r="B97"/>
      <c r="C97"/>
      <c r="D97"/>
      <c r="E97"/>
      <c r="F97"/>
      <c r="G97"/>
      <c r="H97"/>
      <c r="I97"/>
      <c r="J97"/>
      <c r="K97"/>
      <c r="L97"/>
    </row>
    <row r="98" spans="2:12">
      <c r="B98"/>
      <c r="C98"/>
      <c r="D98"/>
      <c r="E98"/>
      <c r="F98"/>
      <c r="G98"/>
      <c r="H98"/>
      <c r="I98"/>
      <c r="J98"/>
      <c r="K98"/>
      <c r="L98"/>
    </row>
    <row r="99" spans="2:12">
      <c r="B99"/>
      <c r="C99"/>
      <c r="D99"/>
      <c r="E99"/>
      <c r="F99"/>
      <c r="G99"/>
      <c r="H99"/>
      <c r="I99"/>
      <c r="J99"/>
      <c r="K99"/>
      <c r="L99"/>
    </row>
    <row r="100" spans="2:12">
      <c r="B100"/>
      <c r="C100"/>
      <c r="D100"/>
      <c r="E100"/>
      <c r="F100"/>
      <c r="G100"/>
      <c r="H100"/>
      <c r="I100"/>
      <c r="J100"/>
      <c r="K100"/>
      <c r="L100"/>
    </row>
    <row r="101" spans="2:12">
      <c r="B101"/>
      <c r="C101"/>
      <c r="D101"/>
      <c r="E101"/>
      <c r="F101"/>
      <c r="G101"/>
      <c r="H101"/>
      <c r="I101"/>
      <c r="J101"/>
      <c r="K101"/>
      <c r="L101"/>
    </row>
    <row r="102" spans="2:12">
      <c r="B102"/>
      <c r="C102"/>
      <c r="D102"/>
      <c r="E102"/>
      <c r="F102"/>
      <c r="G102"/>
      <c r="H102"/>
      <c r="I102"/>
      <c r="J102"/>
      <c r="K102"/>
      <c r="L102"/>
    </row>
    <row r="103" spans="2:12">
      <c r="B103"/>
      <c r="C103"/>
      <c r="D103"/>
      <c r="E103"/>
      <c r="F103"/>
      <c r="G103"/>
      <c r="H103"/>
      <c r="I103"/>
      <c r="J103"/>
      <c r="K103"/>
      <c r="L103"/>
    </row>
    <row r="104" spans="2:12">
      <c r="B104"/>
      <c r="C104"/>
      <c r="D104"/>
      <c r="E104"/>
      <c r="F104"/>
      <c r="G104"/>
      <c r="H104"/>
      <c r="I104"/>
      <c r="J104"/>
      <c r="K104"/>
      <c r="L104"/>
    </row>
    <row r="105" spans="2:12">
      <c r="B105"/>
      <c r="C105"/>
      <c r="D105"/>
      <c r="E105"/>
      <c r="F105"/>
      <c r="G105"/>
      <c r="H105"/>
      <c r="I105"/>
      <c r="J105"/>
      <c r="K105"/>
      <c r="L105"/>
    </row>
    <row r="106" spans="2:12">
      <c r="B106"/>
      <c r="C106"/>
      <c r="D106"/>
      <c r="E106"/>
      <c r="F106"/>
      <c r="G106"/>
      <c r="H106"/>
      <c r="I106"/>
      <c r="J106"/>
      <c r="K106"/>
      <c r="L106"/>
    </row>
    <row r="107" spans="2:12">
      <c r="B107"/>
      <c r="C107"/>
      <c r="D107"/>
      <c r="E107"/>
      <c r="F107"/>
      <c r="G107"/>
      <c r="H107"/>
      <c r="I107"/>
      <c r="J107"/>
      <c r="K107"/>
      <c r="L107"/>
    </row>
    <row r="108" spans="2:12">
      <c r="B108"/>
      <c r="C108"/>
      <c r="D108"/>
      <c r="E108"/>
      <c r="F108"/>
      <c r="G108"/>
      <c r="H108"/>
      <c r="I108"/>
      <c r="J108"/>
      <c r="K108"/>
      <c r="L108"/>
    </row>
    <row r="109" spans="2:12">
      <c r="B109"/>
      <c r="C109"/>
      <c r="D109"/>
      <c r="E109"/>
      <c r="F109"/>
      <c r="G109"/>
      <c r="H109"/>
      <c r="I109"/>
      <c r="J109"/>
      <c r="K109"/>
      <c r="L109"/>
    </row>
    <row r="110" spans="2:12">
      <c r="B110"/>
      <c r="C110"/>
      <c r="D110"/>
      <c r="E110"/>
      <c r="F110"/>
      <c r="G110"/>
      <c r="H110"/>
      <c r="I110"/>
      <c r="J110"/>
      <c r="K110"/>
      <c r="L110"/>
    </row>
    <row r="111" spans="2:12">
      <c r="B111"/>
      <c r="C111"/>
      <c r="D111"/>
      <c r="E111"/>
      <c r="F111"/>
      <c r="G111"/>
      <c r="H111"/>
      <c r="I111"/>
      <c r="J111"/>
      <c r="K111"/>
      <c r="L111"/>
    </row>
    <row r="112" spans="2:12">
      <c r="B112"/>
      <c r="C112"/>
      <c r="D112"/>
      <c r="E112"/>
      <c r="F112"/>
      <c r="G112"/>
      <c r="H112"/>
      <c r="I112"/>
      <c r="J112"/>
      <c r="K112"/>
      <c r="L112"/>
    </row>
    <row r="113" spans="2:12">
      <c r="B113"/>
      <c r="C113"/>
      <c r="D113"/>
      <c r="E113"/>
      <c r="F113"/>
      <c r="G113"/>
      <c r="H113"/>
      <c r="I113"/>
      <c r="J113"/>
      <c r="K113"/>
      <c r="L113"/>
    </row>
    <row r="114" spans="2:12">
      <c r="B114"/>
      <c r="C114"/>
      <c r="D114"/>
      <c r="E114"/>
      <c r="F114"/>
      <c r="G114"/>
      <c r="H114"/>
      <c r="I114"/>
      <c r="J114"/>
      <c r="K114"/>
      <c r="L114"/>
    </row>
    <row r="115" spans="2:12">
      <c r="B115"/>
      <c r="C115"/>
      <c r="D115"/>
      <c r="E115"/>
      <c r="F115"/>
      <c r="G115"/>
      <c r="H115"/>
      <c r="I115"/>
      <c r="J115"/>
      <c r="K115"/>
      <c r="L115"/>
    </row>
    <row r="116" spans="2:12">
      <c r="B116"/>
      <c r="C116"/>
      <c r="D116"/>
      <c r="E116"/>
      <c r="F116"/>
      <c r="G116"/>
      <c r="H116"/>
      <c r="I116"/>
      <c r="J116"/>
      <c r="K116"/>
      <c r="L116"/>
    </row>
    <row r="117" spans="2:12">
      <c r="B117"/>
      <c r="C117"/>
      <c r="D117"/>
      <c r="E117"/>
      <c r="F117"/>
      <c r="G117"/>
      <c r="H117"/>
      <c r="I117"/>
      <c r="J117"/>
      <c r="K117"/>
      <c r="L117"/>
    </row>
    <row r="118" spans="2:12">
      <c r="B118"/>
      <c r="C118"/>
      <c r="D118"/>
      <c r="E118"/>
      <c r="F118"/>
      <c r="G118"/>
      <c r="H118"/>
      <c r="I118"/>
      <c r="J118"/>
      <c r="K118"/>
      <c r="L118"/>
    </row>
    <row r="119" spans="2:12">
      <c r="B119"/>
      <c r="C119"/>
      <c r="D119"/>
      <c r="E119"/>
      <c r="F119"/>
      <c r="G119"/>
      <c r="H119"/>
      <c r="I119"/>
      <c r="J119"/>
      <c r="K119"/>
      <c r="L119"/>
    </row>
    <row r="120" spans="2:12">
      <c r="B120"/>
      <c r="C120"/>
      <c r="D120"/>
      <c r="E120"/>
      <c r="F120"/>
      <c r="G120"/>
      <c r="H120"/>
      <c r="I120"/>
      <c r="J120"/>
      <c r="K120"/>
      <c r="L120"/>
    </row>
    <row r="121" spans="2:12">
      <c r="B121"/>
      <c r="C121"/>
      <c r="D121"/>
      <c r="E121"/>
      <c r="F121"/>
      <c r="G121"/>
      <c r="H121"/>
      <c r="I121"/>
      <c r="J121"/>
      <c r="K121"/>
      <c r="L121"/>
    </row>
    <row r="122" spans="2:12">
      <c r="B122"/>
      <c r="C122"/>
      <c r="D122"/>
      <c r="E122"/>
      <c r="F122"/>
      <c r="G122"/>
      <c r="H122"/>
      <c r="I122"/>
      <c r="J122"/>
      <c r="K122"/>
      <c r="L122"/>
    </row>
    <row r="123" spans="2:12">
      <c r="B123"/>
      <c r="C123"/>
      <c r="D123"/>
      <c r="E123"/>
      <c r="F123"/>
      <c r="G123"/>
      <c r="H123"/>
      <c r="I123"/>
      <c r="J123"/>
      <c r="K123"/>
      <c r="L123"/>
    </row>
    <row r="124" spans="2:12">
      <c r="B124"/>
      <c r="C124"/>
      <c r="D124"/>
      <c r="E124"/>
      <c r="F124"/>
      <c r="G124"/>
      <c r="H124"/>
      <c r="I124"/>
      <c r="J124"/>
      <c r="K124"/>
      <c r="L124"/>
    </row>
    <row r="125" spans="2:12">
      <c r="B125"/>
      <c r="C125"/>
      <c r="D125"/>
      <c r="E125"/>
      <c r="F125"/>
      <c r="G125"/>
      <c r="H125"/>
      <c r="I125"/>
      <c r="J125"/>
      <c r="K125"/>
      <c r="L125"/>
    </row>
    <row r="126" spans="2:12">
      <c r="B126"/>
      <c r="C126"/>
      <c r="D126"/>
      <c r="E126"/>
      <c r="F126"/>
      <c r="G126"/>
      <c r="H126"/>
      <c r="I126"/>
      <c r="J126"/>
      <c r="K126"/>
      <c r="L126"/>
    </row>
    <row r="127" spans="2:12">
      <c r="B127"/>
      <c r="C127"/>
      <c r="D127"/>
      <c r="E127"/>
      <c r="F127"/>
      <c r="G127"/>
      <c r="H127"/>
      <c r="I127"/>
      <c r="J127"/>
      <c r="K127"/>
      <c r="L127"/>
    </row>
    <row r="128" spans="2:12">
      <c r="B128"/>
      <c r="C128"/>
      <c r="D128"/>
      <c r="E128"/>
      <c r="F128"/>
      <c r="G128"/>
      <c r="H128"/>
      <c r="I128"/>
      <c r="J128"/>
      <c r="K128"/>
      <c r="L128"/>
    </row>
    <row r="129" spans="2:12">
      <c r="B129"/>
      <c r="C129"/>
      <c r="D129"/>
      <c r="E129"/>
      <c r="F129"/>
      <c r="G129"/>
      <c r="H129"/>
      <c r="I129"/>
      <c r="J129"/>
      <c r="K129"/>
      <c r="L129"/>
    </row>
    <row r="130" spans="2:12">
      <c r="B130"/>
      <c r="C130"/>
      <c r="D130"/>
      <c r="E130"/>
      <c r="F130"/>
      <c r="G130"/>
      <c r="H130"/>
      <c r="I130"/>
      <c r="J130"/>
      <c r="K130"/>
      <c r="L130"/>
    </row>
    <row r="131" spans="2:12">
      <c r="B131"/>
      <c r="C131"/>
      <c r="D131"/>
      <c r="E131"/>
      <c r="F131"/>
      <c r="G131"/>
      <c r="H131"/>
      <c r="I131"/>
      <c r="J131"/>
      <c r="K131"/>
      <c r="L131"/>
    </row>
    <row r="132" spans="2:12">
      <c r="B132"/>
      <c r="C132"/>
      <c r="D132"/>
      <c r="E132"/>
      <c r="F132"/>
      <c r="G132"/>
      <c r="H132"/>
      <c r="I132"/>
      <c r="J132"/>
      <c r="K132"/>
      <c r="L132"/>
    </row>
    <row r="133" spans="2:12">
      <c r="B133"/>
      <c r="C133"/>
      <c r="D133"/>
      <c r="E133"/>
      <c r="F133"/>
      <c r="G133"/>
      <c r="H133"/>
      <c r="I133"/>
      <c r="J133"/>
      <c r="K133"/>
      <c r="L133"/>
    </row>
    <row r="134" spans="2:12">
      <c r="B134"/>
      <c r="C134"/>
      <c r="D134"/>
      <c r="E134"/>
      <c r="F134"/>
      <c r="G134"/>
      <c r="H134"/>
      <c r="I134"/>
      <c r="J134"/>
      <c r="K134"/>
      <c r="L134"/>
    </row>
    <row r="135" spans="2:12">
      <c r="B135"/>
      <c r="C135"/>
      <c r="D135"/>
      <c r="E135"/>
      <c r="F135"/>
      <c r="G135"/>
      <c r="H135"/>
      <c r="I135"/>
      <c r="J135"/>
      <c r="K135"/>
      <c r="L135"/>
    </row>
    <row r="136" spans="2:12">
      <c r="B136"/>
      <c r="C136"/>
      <c r="D136"/>
      <c r="E136"/>
      <c r="F136"/>
      <c r="G136"/>
      <c r="H136"/>
      <c r="I136"/>
      <c r="J136"/>
      <c r="K136"/>
      <c r="L136"/>
    </row>
    <row r="137" spans="2:12">
      <c r="B137"/>
      <c r="C137"/>
      <c r="D137"/>
      <c r="E137"/>
      <c r="F137"/>
      <c r="G137"/>
      <c r="H137"/>
      <c r="I137"/>
      <c r="J137"/>
      <c r="K137"/>
      <c r="L137"/>
    </row>
    <row r="138" spans="2:12">
      <c r="B138"/>
      <c r="C138"/>
      <c r="D138"/>
      <c r="E138"/>
      <c r="F138"/>
      <c r="G138"/>
      <c r="H138"/>
      <c r="I138"/>
      <c r="J138"/>
      <c r="K138"/>
      <c r="L138"/>
    </row>
    <row r="139" spans="2:12">
      <c r="B139"/>
      <c r="C139"/>
      <c r="D139"/>
      <c r="E139"/>
      <c r="F139"/>
      <c r="G139"/>
      <c r="H139"/>
      <c r="I139"/>
      <c r="J139"/>
      <c r="K139"/>
      <c r="L139"/>
    </row>
    <row r="140" spans="2:12">
      <c r="B140"/>
      <c r="C140"/>
      <c r="D140"/>
      <c r="E140"/>
      <c r="F140"/>
      <c r="G140"/>
      <c r="H140"/>
      <c r="I140"/>
      <c r="J140"/>
      <c r="K140"/>
      <c r="L140"/>
    </row>
    <row r="141" spans="2:12">
      <c r="B141"/>
      <c r="C141"/>
      <c r="D141"/>
      <c r="E141"/>
      <c r="F141"/>
      <c r="G141"/>
      <c r="H141"/>
      <c r="I141"/>
      <c r="J141"/>
      <c r="K141"/>
      <c r="L141"/>
    </row>
    <row r="142" spans="2:12">
      <c r="B142"/>
      <c r="C142"/>
      <c r="D142"/>
      <c r="E142"/>
      <c r="F142"/>
      <c r="G142"/>
      <c r="H142"/>
      <c r="I142"/>
      <c r="J142"/>
      <c r="K142"/>
      <c r="L142"/>
    </row>
    <row r="143" spans="2:12">
      <c r="B143"/>
      <c r="C143"/>
      <c r="D143"/>
      <c r="E143"/>
      <c r="F143"/>
      <c r="G143"/>
      <c r="H143"/>
      <c r="I143"/>
      <c r="J143"/>
      <c r="K143"/>
      <c r="L143"/>
    </row>
    <row r="144" spans="2:12">
      <c r="B144"/>
      <c r="C144"/>
      <c r="D144"/>
      <c r="E144"/>
      <c r="F144"/>
      <c r="G144"/>
      <c r="H144"/>
      <c r="I144"/>
      <c r="J144"/>
      <c r="K144"/>
      <c r="L144"/>
    </row>
    <row r="145" spans="2:12">
      <c r="B145"/>
      <c r="C145"/>
      <c r="D145"/>
      <c r="E145"/>
      <c r="F145"/>
      <c r="G145"/>
      <c r="H145"/>
      <c r="I145"/>
      <c r="J145"/>
      <c r="K145"/>
      <c r="L145"/>
    </row>
    <row r="146" spans="2:12">
      <c r="B146"/>
      <c r="C146"/>
      <c r="D146"/>
      <c r="E146"/>
      <c r="F146"/>
      <c r="G146"/>
      <c r="H146"/>
      <c r="I146"/>
      <c r="J146"/>
      <c r="K146"/>
      <c r="L146"/>
    </row>
    <row r="147" spans="2:12">
      <c r="B147"/>
      <c r="C147"/>
      <c r="D147"/>
      <c r="E147"/>
      <c r="F147"/>
      <c r="G147"/>
      <c r="H147"/>
      <c r="I147"/>
      <c r="J147"/>
      <c r="K147"/>
      <c r="L147"/>
    </row>
    <row r="148" spans="2:12">
      <c r="B148"/>
      <c r="C148"/>
      <c r="D148"/>
      <c r="E148"/>
      <c r="F148"/>
      <c r="G148"/>
      <c r="H148"/>
      <c r="I148"/>
      <c r="J148"/>
      <c r="K148"/>
      <c r="L148"/>
    </row>
    <row r="149" spans="2:12">
      <c r="B149"/>
      <c r="C149"/>
      <c r="D149"/>
      <c r="E149"/>
      <c r="F149"/>
      <c r="G149"/>
      <c r="H149"/>
      <c r="I149"/>
      <c r="J149"/>
      <c r="K149"/>
      <c r="L149"/>
    </row>
    <row r="150" spans="2:12">
      <c r="B150"/>
      <c r="C150"/>
      <c r="D150"/>
      <c r="E150"/>
      <c r="F150"/>
      <c r="G150"/>
      <c r="H150"/>
      <c r="I150"/>
      <c r="J150"/>
      <c r="K150"/>
      <c r="L150"/>
    </row>
    <row r="151" spans="2:12">
      <c r="B151"/>
      <c r="C151"/>
      <c r="D151"/>
      <c r="E151"/>
      <c r="F151"/>
      <c r="G151"/>
      <c r="H151"/>
      <c r="I151"/>
      <c r="J151"/>
      <c r="K151"/>
      <c r="L151"/>
    </row>
    <row r="152" spans="2:12">
      <c r="B152"/>
      <c r="C152"/>
      <c r="D152"/>
      <c r="E152"/>
      <c r="F152"/>
      <c r="G152"/>
      <c r="H152"/>
      <c r="I152"/>
      <c r="J152"/>
      <c r="K152"/>
      <c r="L152"/>
    </row>
    <row r="153" spans="2:12">
      <c r="B153"/>
      <c r="C153"/>
      <c r="D153"/>
      <c r="E153"/>
      <c r="F153"/>
      <c r="G153"/>
      <c r="H153"/>
      <c r="I153"/>
      <c r="J153"/>
      <c r="K153"/>
      <c r="L153"/>
    </row>
    <row r="154" spans="2:12">
      <c r="B154"/>
      <c r="C154"/>
      <c r="D154"/>
      <c r="E154"/>
      <c r="F154"/>
      <c r="G154"/>
      <c r="H154"/>
      <c r="I154"/>
      <c r="J154"/>
      <c r="K154"/>
      <c r="L154"/>
    </row>
    <row r="155" spans="2:12">
      <c r="B155"/>
      <c r="C155"/>
      <c r="D155"/>
      <c r="E155"/>
      <c r="F155"/>
      <c r="G155"/>
      <c r="H155"/>
      <c r="I155"/>
      <c r="J155"/>
      <c r="K155"/>
      <c r="L155"/>
    </row>
    <row r="156" spans="2:12">
      <c r="B156"/>
      <c r="C156"/>
      <c r="D156"/>
      <c r="E156"/>
      <c r="F156"/>
      <c r="G156"/>
      <c r="H156"/>
      <c r="I156"/>
      <c r="J156"/>
      <c r="K156"/>
      <c r="L156"/>
    </row>
    <row r="157" spans="2:12">
      <c r="B157"/>
      <c r="C157"/>
      <c r="D157"/>
      <c r="E157"/>
      <c r="F157"/>
      <c r="G157"/>
      <c r="H157"/>
      <c r="I157"/>
      <c r="J157"/>
      <c r="K157"/>
      <c r="L157"/>
    </row>
    <row r="158" spans="2:12">
      <c r="B158"/>
      <c r="C158"/>
      <c r="D158"/>
      <c r="E158"/>
      <c r="F158"/>
      <c r="G158"/>
      <c r="H158"/>
      <c r="I158"/>
      <c r="J158"/>
      <c r="K158"/>
      <c r="L158"/>
    </row>
    <row r="159" spans="2:12">
      <c r="B159"/>
      <c r="C159"/>
      <c r="D159"/>
      <c r="E159"/>
      <c r="F159"/>
      <c r="G159"/>
      <c r="H159"/>
      <c r="I159"/>
      <c r="J159"/>
      <c r="K159"/>
      <c r="L159"/>
    </row>
    <row r="160" spans="2:12">
      <c r="B160"/>
      <c r="C160"/>
      <c r="D160"/>
      <c r="E160"/>
      <c r="F160"/>
      <c r="G160"/>
      <c r="H160"/>
      <c r="I160"/>
      <c r="J160"/>
      <c r="K160"/>
      <c r="L160"/>
    </row>
    <row r="161" spans="2:12">
      <c r="B161"/>
      <c r="C161"/>
      <c r="D161"/>
      <c r="E161"/>
      <c r="F161"/>
      <c r="G161"/>
      <c r="H161"/>
      <c r="I161"/>
      <c r="J161"/>
      <c r="K161"/>
      <c r="L161"/>
    </row>
    <row r="162" spans="2:12">
      <c r="B162"/>
      <c r="C162"/>
      <c r="D162"/>
      <c r="E162"/>
      <c r="F162"/>
      <c r="G162"/>
      <c r="H162"/>
      <c r="I162"/>
      <c r="J162"/>
      <c r="K162"/>
      <c r="L162"/>
    </row>
    <row r="163" spans="2:12">
      <c r="B163"/>
      <c r="C163"/>
      <c r="D163"/>
      <c r="E163"/>
      <c r="F163"/>
      <c r="G163"/>
      <c r="H163"/>
      <c r="I163"/>
      <c r="J163"/>
      <c r="K163"/>
      <c r="L163"/>
    </row>
    <row r="164" spans="2:12">
      <c r="B164"/>
      <c r="C164"/>
      <c r="D164"/>
      <c r="E164"/>
      <c r="F164"/>
      <c r="G164"/>
      <c r="H164"/>
      <c r="I164"/>
      <c r="J164"/>
      <c r="K164"/>
      <c r="L164"/>
    </row>
    <row r="165" spans="2:12">
      <c r="B165"/>
      <c r="C165"/>
      <c r="D165"/>
      <c r="E165"/>
      <c r="F165"/>
      <c r="G165"/>
      <c r="H165"/>
      <c r="I165"/>
      <c r="J165"/>
      <c r="K165"/>
      <c r="L165"/>
    </row>
    <row r="166" spans="2:12">
      <c r="B166"/>
      <c r="C166"/>
      <c r="D166"/>
      <c r="E166"/>
      <c r="F166"/>
      <c r="G166"/>
      <c r="H166"/>
      <c r="I166"/>
      <c r="J166"/>
      <c r="K166"/>
      <c r="L166"/>
    </row>
    <row r="167" spans="2:12">
      <c r="B167"/>
      <c r="C167"/>
      <c r="D167"/>
      <c r="E167"/>
      <c r="F167"/>
      <c r="G167"/>
      <c r="H167"/>
      <c r="I167"/>
      <c r="J167"/>
      <c r="K167"/>
      <c r="L167"/>
    </row>
    <row r="168" spans="2:12">
      <c r="B168"/>
      <c r="C168"/>
      <c r="D168"/>
      <c r="E168"/>
      <c r="F168"/>
      <c r="G168"/>
      <c r="H168"/>
      <c r="I168"/>
      <c r="J168"/>
      <c r="K168"/>
      <c r="L168"/>
    </row>
    <row r="169" spans="2:12">
      <c r="B169"/>
      <c r="C169"/>
      <c r="D169"/>
      <c r="E169"/>
      <c r="F169"/>
      <c r="G169"/>
      <c r="H169"/>
      <c r="I169"/>
      <c r="J169"/>
      <c r="K169"/>
      <c r="L169"/>
    </row>
    <row r="170" spans="2:12">
      <c r="B170"/>
      <c r="C170"/>
      <c r="D170"/>
      <c r="E170"/>
      <c r="F170"/>
      <c r="G170"/>
      <c r="H170"/>
      <c r="I170"/>
      <c r="J170"/>
      <c r="K170"/>
      <c r="L170"/>
    </row>
    <row r="171" spans="2:12">
      <c r="B171"/>
      <c r="C171"/>
      <c r="D171"/>
      <c r="E171"/>
      <c r="F171"/>
      <c r="G171"/>
      <c r="H171"/>
      <c r="I171"/>
      <c r="J171"/>
      <c r="K171"/>
      <c r="L171"/>
    </row>
    <row r="172" spans="2:12">
      <c r="B172"/>
      <c r="C172"/>
      <c r="D172"/>
      <c r="E172"/>
      <c r="F172"/>
      <c r="G172"/>
      <c r="H172"/>
      <c r="I172"/>
      <c r="J172"/>
      <c r="K172"/>
      <c r="L172"/>
    </row>
  </sheetData>
  <phoneticPr fontId="0" type="noConversion"/>
  <pageMargins left="0.68" right="0.28999999999999998" top="0.48" bottom="0.62" header="0.36" footer="0.38"/>
  <pageSetup scale="65" orientation="landscape" r:id="rId1"/>
  <headerFooter alignWithMargins="0">
    <oddFooter>&amp;R&amp;P</oddFooter>
  </headerFooter>
</worksheet>
</file>

<file path=xl/worksheets/sheet118.xml><?xml version="1.0" encoding="utf-8"?>
<worksheet xmlns="http://schemas.openxmlformats.org/spreadsheetml/2006/main" xmlns:r="http://schemas.openxmlformats.org/officeDocument/2006/relationships">
  <sheetPr>
    <pageSetUpPr fitToPage="1"/>
  </sheetPr>
  <dimension ref="A1:V120"/>
  <sheetViews>
    <sheetView workbookViewId="0">
      <selection activeCell="B9" sqref="B9"/>
    </sheetView>
  </sheetViews>
  <sheetFormatPr baseColWidth="10" defaultColWidth="9" defaultRowHeight="15.75"/>
  <cols>
    <col min="1" max="1" width="50" customWidth="1"/>
    <col min="2" max="2" width="15.75" style="33" customWidth="1"/>
    <col min="3" max="3" width="9" style="33" customWidth="1"/>
    <col min="4" max="4" width="15.75" style="33" customWidth="1"/>
    <col min="5" max="5" width="9" style="33"/>
    <col min="6" max="6" width="15.75" style="33" customWidth="1"/>
    <col min="7" max="7" width="9" style="33"/>
    <col min="8" max="8" width="15.75" style="33" customWidth="1"/>
    <col min="9" max="9" width="6.375" style="33" customWidth="1"/>
    <col min="10" max="10" width="15.75" style="33" customWidth="1"/>
    <col min="11" max="11" width="8.75" style="33" customWidth="1"/>
    <col min="12" max="12" width="15.75" style="33" customWidth="1"/>
    <col min="13" max="13" width="11.375" style="33" customWidth="1"/>
    <col min="14" max="14" width="15.75" style="33" customWidth="1"/>
    <col min="15" max="15" width="9" style="33"/>
    <col min="16" max="16" width="15.75" style="33" customWidth="1"/>
    <col min="17" max="17" width="9" style="33"/>
    <col min="18" max="18" width="15.75" style="33" customWidth="1"/>
    <col min="19" max="19" width="9" style="33"/>
    <col min="20" max="20" width="17.125" style="33" customWidth="1"/>
    <col min="21" max="21" width="11.875" style="33" customWidth="1"/>
  </cols>
  <sheetData>
    <row r="1" spans="1:22">
      <c r="A1" s="111" t="s">
        <v>411</v>
      </c>
      <c r="B1" s="45"/>
      <c r="C1" s="45"/>
      <c r="D1" s="45"/>
      <c r="E1" s="45"/>
      <c r="F1" s="45"/>
      <c r="G1" s="45"/>
      <c r="H1" s="45"/>
      <c r="I1" s="45"/>
      <c r="J1" s="45"/>
      <c r="K1" s="45"/>
      <c r="L1" s="45"/>
      <c r="M1" s="45"/>
      <c r="N1" s="45"/>
      <c r="O1" s="45"/>
      <c r="P1" s="45"/>
      <c r="Q1" s="45"/>
      <c r="R1" s="45"/>
      <c r="S1" s="45"/>
      <c r="T1" s="45"/>
    </row>
    <row r="2" spans="1:22">
      <c r="A2" s="111" t="s">
        <v>331</v>
      </c>
      <c r="B2" s="45"/>
      <c r="C2" s="45"/>
      <c r="D2" s="45"/>
      <c r="E2" s="45"/>
      <c r="F2" s="45"/>
      <c r="G2" s="45"/>
      <c r="H2" s="45"/>
      <c r="I2" s="45"/>
      <c r="J2" s="45"/>
      <c r="K2" s="45"/>
      <c r="L2" s="45"/>
      <c r="M2" s="45"/>
      <c r="N2" s="45"/>
      <c r="O2" s="45"/>
      <c r="P2" s="45"/>
      <c r="Q2" s="45"/>
      <c r="R2" s="45"/>
      <c r="S2" s="45"/>
      <c r="T2" s="45"/>
    </row>
    <row r="3" spans="1:22">
      <c r="A3" s="111" t="s">
        <v>388</v>
      </c>
      <c r="B3" s="45"/>
      <c r="C3" s="45"/>
      <c r="D3" s="45"/>
      <c r="E3" s="45"/>
      <c r="F3" s="45"/>
      <c r="G3" s="45"/>
      <c r="H3" s="45"/>
      <c r="I3" s="45"/>
      <c r="J3" s="45"/>
      <c r="K3" s="45"/>
      <c r="L3" s="45"/>
      <c r="M3" s="45"/>
      <c r="N3" s="45"/>
      <c r="O3" s="45"/>
      <c r="P3" s="45"/>
      <c r="Q3" s="45"/>
      <c r="R3" s="45"/>
      <c r="S3" s="45"/>
      <c r="T3" s="45"/>
    </row>
    <row r="4" spans="1:22">
      <c r="A4" s="111" t="s">
        <v>198</v>
      </c>
      <c r="B4" s="45"/>
      <c r="C4" s="45"/>
      <c r="D4" s="45"/>
      <c r="E4" s="45"/>
      <c r="F4" s="45"/>
      <c r="G4" s="45"/>
      <c r="H4" s="45"/>
      <c r="I4" s="45"/>
      <c r="J4" s="45"/>
      <c r="K4" s="45"/>
      <c r="L4" s="45"/>
      <c r="M4" s="45"/>
      <c r="N4" s="45"/>
      <c r="O4" s="45"/>
      <c r="P4" s="45"/>
      <c r="Q4" s="45"/>
      <c r="R4" s="45"/>
      <c r="S4" s="45"/>
      <c r="T4" s="45"/>
    </row>
    <row r="6" spans="1:22" s="11" customFormat="1" ht="16.5" thickBot="1">
      <c r="B6" s="1022">
        <f>+'SGBELRÉSULT       '!B6</f>
        <v>2015</v>
      </c>
      <c r="C6" s="345"/>
      <c r="D6" s="346"/>
      <c r="E6" s="345"/>
      <c r="F6" s="346"/>
      <c r="G6" s="345"/>
      <c r="H6" s="346"/>
      <c r="I6" s="347"/>
      <c r="J6" s="1022" t="str">
        <f>+'SGBELRÉSULT       '!J6</f>
        <v>2014</v>
      </c>
      <c r="K6" s="345"/>
      <c r="L6" s="346"/>
      <c r="M6" s="345"/>
      <c r="N6" s="346"/>
      <c r="O6" s="345"/>
      <c r="P6" s="346"/>
      <c r="Q6" s="137"/>
      <c r="R6" s="137"/>
      <c r="S6" s="137"/>
      <c r="T6" s="137"/>
      <c r="U6" s="137"/>
    </row>
    <row r="7" spans="1:22" ht="16.5" thickBot="1">
      <c r="B7" s="214" t="s">
        <v>204</v>
      </c>
      <c r="C7" s="214" t="s">
        <v>196</v>
      </c>
      <c r="D7" s="214" t="s">
        <v>205</v>
      </c>
      <c r="E7" s="214" t="s">
        <v>196</v>
      </c>
      <c r="F7" s="214" t="s">
        <v>206</v>
      </c>
      <c r="G7" s="214" t="s">
        <v>196</v>
      </c>
      <c r="H7" s="214" t="s">
        <v>207</v>
      </c>
      <c r="I7" s="28"/>
      <c r="J7" s="214" t="s">
        <v>204</v>
      </c>
      <c r="K7" s="214" t="s">
        <v>196</v>
      </c>
      <c r="L7" s="214" t="s">
        <v>205</v>
      </c>
      <c r="M7" s="214" t="s">
        <v>196</v>
      </c>
      <c r="N7" s="214" t="s">
        <v>206</v>
      </c>
      <c r="O7" s="214" t="s">
        <v>196</v>
      </c>
      <c r="P7" s="214" t="s">
        <v>207</v>
      </c>
      <c r="Q7" s="34"/>
      <c r="R7" s="34"/>
      <c r="S7" s="34"/>
      <c r="T7" s="34"/>
      <c r="U7" s="34"/>
      <c r="V7" s="17"/>
    </row>
    <row r="8" spans="1:22">
      <c r="A8" t="s">
        <v>300</v>
      </c>
      <c r="B8" s="35" t="s">
        <v>0</v>
      </c>
    </row>
    <row r="9" spans="1:22">
      <c r="A9" t="s">
        <v>301</v>
      </c>
      <c r="B9" s="24" t="s">
        <v>0</v>
      </c>
      <c r="C9" s="49" t="s">
        <v>0</v>
      </c>
      <c r="D9" s="35" t="s">
        <v>0</v>
      </c>
      <c r="E9" s="49" t="s">
        <v>0</v>
      </c>
      <c r="F9" s="35" t="s">
        <v>0</v>
      </c>
      <c r="G9" s="49" t="s">
        <v>0</v>
      </c>
      <c r="H9" s="35" t="s">
        <v>0</v>
      </c>
      <c r="I9" s="35" t="s">
        <v>0</v>
      </c>
      <c r="J9" s="24" t="s">
        <v>0</v>
      </c>
      <c r="K9" s="52" t="s">
        <v>0</v>
      </c>
      <c r="L9" s="24" t="s">
        <v>0</v>
      </c>
      <c r="M9" s="52" t="s">
        <v>0</v>
      </c>
      <c r="N9" s="24" t="s">
        <v>0</v>
      </c>
      <c r="O9" s="52" t="s">
        <v>0</v>
      </c>
      <c r="P9" s="24" t="s">
        <v>0</v>
      </c>
    </row>
    <row r="10" spans="1:22">
      <c r="A10" t="s">
        <v>391</v>
      </c>
      <c r="B10" s="20">
        <f>+B50</f>
        <v>471376.64861999999</v>
      </c>
      <c r="C10" s="48">
        <v>0</v>
      </c>
      <c r="D10" s="20">
        <f>+F50</f>
        <v>0</v>
      </c>
      <c r="E10" s="48">
        <v>0</v>
      </c>
      <c r="F10" s="20">
        <f>+J50</f>
        <v>0</v>
      </c>
      <c r="G10" s="48">
        <v>0</v>
      </c>
      <c r="H10" s="20">
        <f>+N50</f>
        <v>0</v>
      </c>
      <c r="J10" s="20">
        <f>+D50</f>
        <v>344731.78703999997</v>
      </c>
      <c r="K10" s="51">
        <f t="shared" ref="K10:K15" si="0">+(-J10+L10)/ABS(J10)</f>
        <v>8.5108796470213573E-3</v>
      </c>
      <c r="L10" s="20">
        <f>+H50</f>
        <v>347665.75779</v>
      </c>
      <c r="M10" s="51">
        <f t="shared" ref="M10:M15" si="1">+(-L10+N10)/ABS(L10)</f>
        <v>0.1719792579806369</v>
      </c>
      <c r="N10" s="20">
        <f>+L50</f>
        <v>407457.05684000003</v>
      </c>
      <c r="O10" s="51">
        <f t="shared" ref="O10:O15" si="2">+(-N10+P10)/ABS(N10)</f>
        <v>3.6299896152756833E-2</v>
      </c>
      <c r="P10" s="20">
        <f>+P50</f>
        <v>422247.70568999997</v>
      </c>
    </row>
    <row r="11" spans="1:22">
      <c r="A11" t="s">
        <v>392</v>
      </c>
      <c r="B11" s="20">
        <f>+B51</f>
        <v>1902</v>
      </c>
      <c r="C11" s="48">
        <v>0</v>
      </c>
      <c r="D11" s="20">
        <f>+F51</f>
        <v>0</v>
      </c>
      <c r="E11" s="48">
        <v>0</v>
      </c>
      <c r="F11" s="20">
        <f>+J51</f>
        <v>0</v>
      </c>
      <c r="G11" s="48">
        <v>0</v>
      </c>
      <c r="H11" s="20">
        <f>+N51</f>
        <v>0</v>
      </c>
      <c r="J11" s="20">
        <f>+D51</f>
        <v>0</v>
      </c>
      <c r="K11" s="48">
        <v>0</v>
      </c>
      <c r="L11" s="20">
        <f>+H51</f>
        <v>973.00792999999999</v>
      </c>
      <c r="M11" s="51">
        <f t="shared" si="1"/>
        <v>-0.9429685326408388</v>
      </c>
      <c r="N11" s="20">
        <f>+L51</f>
        <v>55.492069999999998</v>
      </c>
      <c r="O11" s="48">
        <v>0</v>
      </c>
      <c r="P11" s="20">
        <f>+P51</f>
        <v>0</v>
      </c>
    </row>
    <row r="12" spans="1:22">
      <c r="A12" t="s">
        <v>304</v>
      </c>
      <c r="B12" s="217">
        <f>+B52</f>
        <v>26487.898229999999</v>
      </c>
      <c r="C12" s="48">
        <v>0</v>
      </c>
      <c r="D12" s="217">
        <f>+F52</f>
        <v>0</v>
      </c>
      <c r="E12" s="48">
        <v>0</v>
      </c>
      <c r="F12" s="217">
        <f>+J52</f>
        <v>0</v>
      </c>
      <c r="G12" s="48">
        <v>0</v>
      </c>
      <c r="H12" s="217">
        <f>+N52</f>
        <v>0</v>
      </c>
      <c r="J12" s="199">
        <f>+D52</f>
        <v>13325.921040000001</v>
      </c>
      <c r="K12" s="51">
        <f t="shared" si="0"/>
        <v>-4.1974275423141839E-2</v>
      </c>
      <c r="L12" s="199">
        <f>+H52</f>
        <v>12766.57516</v>
      </c>
      <c r="M12" s="51">
        <f t="shared" si="1"/>
        <v>6.1011197618641336E-2</v>
      </c>
      <c r="N12" s="199">
        <f>+L52</f>
        <v>13545.479199999998</v>
      </c>
      <c r="O12" s="51">
        <f t="shared" si="2"/>
        <v>0.3368534868814389</v>
      </c>
      <c r="P12" s="199">
        <f>+P52</f>
        <v>18108.321100000001</v>
      </c>
    </row>
    <row r="13" spans="1:22">
      <c r="B13" s="20">
        <f>SUM(B10:B12)</f>
        <v>499766.54684999998</v>
      </c>
      <c r="C13" s="48">
        <v>0</v>
      </c>
      <c r="D13" s="20">
        <f>SUM(D10:D12)</f>
        <v>0</v>
      </c>
      <c r="E13" s="48">
        <v>0</v>
      </c>
      <c r="F13" s="20">
        <f>SUM(F10:F12)</f>
        <v>0</v>
      </c>
      <c r="G13" s="48">
        <v>0</v>
      </c>
      <c r="H13" s="20">
        <f>SUM(H10:H12)</f>
        <v>0</v>
      </c>
      <c r="J13" s="20">
        <f>SUM(J10:J12)</f>
        <v>358057.70807999995</v>
      </c>
      <c r="K13" s="51">
        <f t="shared" si="0"/>
        <v>9.3494225217241409E-3</v>
      </c>
      <c r="L13" s="20">
        <f>SUM(L10:L12)</f>
        <v>361405.34088000003</v>
      </c>
      <c r="M13" s="51">
        <f t="shared" si="1"/>
        <v>0.16505756966609655</v>
      </c>
      <c r="N13" s="20">
        <f>SUM(N10:N12)</f>
        <v>421058.02811000001</v>
      </c>
      <c r="O13" s="51">
        <f t="shared" si="2"/>
        <v>4.5832159445154723E-2</v>
      </c>
      <c r="P13" s="20">
        <f>SUM(P10:P12)</f>
        <v>440356.02678999997</v>
      </c>
    </row>
    <row r="14" spans="1:22">
      <c r="A14" t="s">
        <v>305</v>
      </c>
      <c r="B14" s="217">
        <f>+B54</f>
        <v>60857.864279999994</v>
      </c>
      <c r="C14" s="48">
        <v>0</v>
      </c>
      <c r="D14" s="217">
        <f>+F54</f>
        <v>0</v>
      </c>
      <c r="E14" s="48">
        <v>0</v>
      </c>
      <c r="F14" s="217">
        <f>+J54</f>
        <v>0</v>
      </c>
      <c r="G14" s="48">
        <v>0</v>
      </c>
      <c r="H14" s="217">
        <f>+N54</f>
        <v>0</v>
      </c>
      <c r="J14" s="217">
        <f>+D54</f>
        <v>29207.841850000001</v>
      </c>
      <c r="K14" s="51">
        <f t="shared" si="0"/>
        <v>1.8642321565432638E-2</v>
      </c>
      <c r="L14" s="217">
        <f>+H54</f>
        <v>29752.343830000002</v>
      </c>
      <c r="M14" s="51">
        <f t="shared" si="1"/>
        <v>1.2778940764210711</v>
      </c>
      <c r="N14" s="217">
        <f>+L54</f>
        <v>67772.687770000004</v>
      </c>
      <c r="O14" s="51">
        <f t="shared" si="2"/>
        <v>-0.1064102802662093</v>
      </c>
      <c r="P14" s="217">
        <f>+P54</f>
        <v>60560.977070000008</v>
      </c>
    </row>
    <row r="15" spans="1:22">
      <c r="B15" s="20">
        <f>+B13-B14</f>
        <v>438908.68257</v>
      </c>
      <c r="C15" s="48">
        <v>0</v>
      </c>
      <c r="D15" s="20">
        <f>+D13-D14</f>
        <v>0</v>
      </c>
      <c r="E15" s="48">
        <v>0</v>
      </c>
      <c r="F15" s="20">
        <f>+F13-F14</f>
        <v>0</v>
      </c>
      <c r="G15" s="48">
        <v>0</v>
      </c>
      <c r="H15" s="20">
        <f>+H13-H14</f>
        <v>0</v>
      </c>
      <c r="J15" s="20">
        <f>+J13-J14</f>
        <v>328849.86622999993</v>
      </c>
      <c r="K15" s="51">
        <f t="shared" si="0"/>
        <v>8.5240442763006904E-3</v>
      </c>
      <c r="L15" s="20">
        <f>+L13-L14</f>
        <v>331652.99705000001</v>
      </c>
      <c r="M15" s="51">
        <f t="shared" si="1"/>
        <v>6.5225833875816583E-2</v>
      </c>
      <c r="N15" s="20">
        <f>+N13-N14</f>
        <v>353285.34034</v>
      </c>
      <c r="O15" s="51">
        <f t="shared" si="2"/>
        <v>7.5037671686255497E-2</v>
      </c>
      <c r="P15" s="20">
        <f>+P13-P14</f>
        <v>379795.04971999995</v>
      </c>
    </row>
    <row r="16" spans="1:22" ht="9" customHeight="1">
      <c r="B16" s="20"/>
      <c r="C16" s="49" t="s">
        <v>0</v>
      </c>
      <c r="E16" s="49" t="s">
        <v>0</v>
      </c>
      <c r="G16" s="49" t="s">
        <v>0</v>
      </c>
      <c r="H16" s="20"/>
      <c r="J16" s="20"/>
      <c r="K16" s="51"/>
      <c r="L16" s="20"/>
      <c r="M16" s="51"/>
      <c r="N16" s="20"/>
      <c r="O16" s="51"/>
      <c r="P16" s="20"/>
    </row>
    <row r="17" spans="1:16">
      <c r="A17" t="s">
        <v>306</v>
      </c>
      <c r="B17" s="20"/>
      <c r="C17" s="49" t="s">
        <v>0</v>
      </c>
      <c r="E17" s="49" t="s">
        <v>0</v>
      </c>
      <c r="G17" s="49" t="s">
        <v>0</v>
      </c>
      <c r="H17" s="20"/>
      <c r="J17" s="20"/>
      <c r="K17" s="51"/>
      <c r="L17" s="20"/>
      <c r="M17" s="51"/>
      <c r="N17" s="20"/>
      <c r="O17" s="52" t="s">
        <v>0</v>
      </c>
      <c r="P17" s="20"/>
    </row>
    <row r="18" spans="1:16">
      <c r="A18" t="s">
        <v>307</v>
      </c>
      <c r="B18" s="20">
        <f>+B58</f>
        <v>212621.04478</v>
      </c>
      <c r="C18" s="48">
        <v>0</v>
      </c>
      <c r="D18" s="20">
        <f>+F58</f>
        <v>0</v>
      </c>
      <c r="E18" s="48">
        <v>0</v>
      </c>
      <c r="F18" s="20">
        <f>+J58</f>
        <v>0</v>
      </c>
      <c r="G18" s="48">
        <v>0</v>
      </c>
      <c r="H18" s="20">
        <f>+N58</f>
        <v>0</v>
      </c>
      <c r="J18" s="20">
        <f>+D58</f>
        <v>173822.44110999999</v>
      </c>
      <c r="K18" s="51">
        <f>+(-J18+L18)/ABS(J18)</f>
        <v>0.46892546163483179</v>
      </c>
      <c r="L18" s="20">
        <f>+H58</f>
        <v>255332.20955000009</v>
      </c>
      <c r="M18" s="51">
        <f>+(-L18+N18)/ABS(L18)</f>
        <v>-1.8998344190689243E-2</v>
      </c>
      <c r="N18" s="20">
        <f>+L58</f>
        <v>250481.32034999999</v>
      </c>
      <c r="O18" s="51">
        <f>+(-N18+P18)/ABS(N18)</f>
        <v>0.23688318864293306</v>
      </c>
      <c r="P18" s="20">
        <f>+P58</f>
        <v>309816.13420999999</v>
      </c>
    </row>
    <row r="19" spans="1:16">
      <c r="A19" t="s">
        <v>308</v>
      </c>
      <c r="B19" s="20">
        <f>+B59</f>
        <v>73268.277910000004</v>
      </c>
      <c r="C19" s="48">
        <v>0</v>
      </c>
      <c r="D19" s="20">
        <f>+F59</f>
        <v>0</v>
      </c>
      <c r="E19" s="48">
        <v>0</v>
      </c>
      <c r="F19" s="20">
        <f>+J59</f>
        <v>0</v>
      </c>
      <c r="G19" s="48">
        <v>0</v>
      </c>
      <c r="H19" s="20">
        <f>+N59</f>
        <v>0</v>
      </c>
      <c r="J19" s="20">
        <f>+D59</f>
        <v>80667.806080000009</v>
      </c>
      <c r="K19" s="51">
        <f>+(-J19+L19)/ABS(J19)</f>
        <v>-0.11094018524719505</v>
      </c>
      <c r="L19" s="20">
        <f>+H59</f>
        <v>71718.504730000001</v>
      </c>
      <c r="M19" s="51">
        <f>+(-L19+N19)/ABS(L19)</f>
        <v>8.6346814442292696E-2</v>
      </c>
      <c r="N19" s="20">
        <f>+L59</f>
        <v>77911.169150000002</v>
      </c>
      <c r="O19" s="51">
        <f>+(-N19+P19)/ABS(N19)</f>
        <v>-2.6314850648085843E-2</v>
      </c>
      <c r="P19" s="20">
        <f>+P59</f>
        <v>75860.948369999998</v>
      </c>
    </row>
    <row r="20" spans="1:16">
      <c r="A20" t="s">
        <v>274</v>
      </c>
      <c r="B20" s="217">
        <f>+B60</f>
        <v>205909.57328000001</v>
      </c>
      <c r="C20" s="48">
        <v>0</v>
      </c>
      <c r="D20" s="217">
        <f>+F60</f>
        <v>0</v>
      </c>
      <c r="E20" s="48">
        <v>0</v>
      </c>
      <c r="F20" s="217">
        <f>+J60</f>
        <v>0</v>
      </c>
      <c r="G20" s="48">
        <v>0</v>
      </c>
      <c r="H20" s="217">
        <f>+N60</f>
        <v>0</v>
      </c>
      <c r="J20" s="217">
        <f>+D60</f>
        <v>163547.70473999999</v>
      </c>
      <c r="K20" s="51">
        <f>+(-J20+L20)/ABS(J20)</f>
        <v>0.35348281549964605</v>
      </c>
      <c r="L20" s="217">
        <f>+H60</f>
        <v>221359.00787999999</v>
      </c>
      <c r="M20" s="51">
        <f>+(-L20+N20)/ABS(L20)</f>
        <v>0.37229673235017197</v>
      </c>
      <c r="N20" s="217">
        <f>+L60</f>
        <v>303770.24318999995</v>
      </c>
      <c r="O20" s="51">
        <f>+(-N20+P20)/ABS(N20)</f>
        <v>-0.12301285052673012</v>
      </c>
      <c r="P20" s="217">
        <f>+P60</f>
        <v>266402.59967000003</v>
      </c>
    </row>
    <row r="21" spans="1:16">
      <c r="B21" s="20">
        <f>SUM(B18:B20)</f>
        <v>491798.89597000001</v>
      </c>
      <c r="C21" s="48">
        <v>0</v>
      </c>
      <c r="D21" s="20">
        <f>SUM(D18:D20)</f>
        <v>0</v>
      </c>
      <c r="E21" s="48">
        <v>0</v>
      </c>
      <c r="F21" s="20">
        <f>SUM(F18:F20)</f>
        <v>0</v>
      </c>
      <c r="G21" s="48">
        <v>0</v>
      </c>
      <c r="H21" s="20">
        <f>SUM(H18:H20)</f>
        <v>0</v>
      </c>
      <c r="J21" s="20">
        <f>SUM(J18:J20)</f>
        <v>418037.95192999998</v>
      </c>
      <c r="K21" s="51">
        <f>+(-J21+L21)/ABS(J21)</f>
        <v>0.31186587157481521</v>
      </c>
      <c r="L21" s="20">
        <f>SUM(L18:L20)</f>
        <v>548409.72216000012</v>
      </c>
      <c r="M21" s="51">
        <f>+(-L21+N21)/ABS(L21)</f>
        <v>0.15271977710410589</v>
      </c>
      <c r="N21" s="20">
        <f>SUM(N18:N20)</f>
        <v>632162.73268999998</v>
      </c>
      <c r="O21" s="51">
        <f>+(-N21+P21)/ABS(N21)</f>
        <v>3.1506048253190796E-2</v>
      </c>
      <c r="P21" s="20">
        <f>SUM(P18:P20)</f>
        <v>652079.68225000007</v>
      </c>
    </row>
    <row r="22" spans="1:16">
      <c r="B22" s="217"/>
      <c r="C22" s="49" t="s">
        <v>0</v>
      </c>
      <c r="D22" s="217"/>
      <c r="E22" s="49" t="s">
        <v>0</v>
      </c>
      <c r="F22" s="334"/>
      <c r="G22" s="49" t="s">
        <v>0</v>
      </c>
      <c r="H22" s="217"/>
      <c r="J22" s="217"/>
      <c r="K22" s="51"/>
      <c r="L22" s="217"/>
      <c r="M22" s="51"/>
      <c r="N22" s="217"/>
      <c r="O22" s="51"/>
      <c r="P22" s="217"/>
    </row>
    <row r="23" spans="1:16">
      <c r="A23" t="s">
        <v>309</v>
      </c>
      <c r="B23" s="20">
        <f>+B15+B21</f>
        <v>930707.57854000002</v>
      </c>
      <c r="C23" s="48">
        <v>0</v>
      </c>
      <c r="D23" s="20">
        <f>+D15+D21</f>
        <v>0</v>
      </c>
      <c r="E23" s="48">
        <v>0</v>
      </c>
      <c r="F23" s="20">
        <f>+F15+F21</f>
        <v>0</v>
      </c>
      <c r="G23" s="48">
        <v>0</v>
      </c>
      <c r="H23" s="20">
        <f>+H15+H21</f>
        <v>0</v>
      </c>
      <c r="J23" s="20">
        <f>+J15+J21</f>
        <v>746887.81815999991</v>
      </c>
      <c r="K23" s="51">
        <f>+(-J23+L23)/ABS(J23)</f>
        <v>0.17830643078110989</v>
      </c>
      <c r="L23" s="20">
        <f>+L15+L21</f>
        <v>880062.71921000013</v>
      </c>
      <c r="M23" s="51">
        <f>+(-L23+N23)/ABS(L23)</f>
        <v>0.11974754925944414</v>
      </c>
      <c r="N23" s="20">
        <f>+N15+N21</f>
        <v>985448.07302999997</v>
      </c>
      <c r="O23" s="51">
        <f>+(-N23+P23)/ABS(N23)</f>
        <v>4.7112232709786574E-2</v>
      </c>
      <c r="P23" s="20">
        <f>+P15+P21</f>
        <v>1031874.7319700001</v>
      </c>
    </row>
    <row r="24" spans="1:16">
      <c r="B24" s="20"/>
      <c r="C24" s="49" t="s">
        <v>0</v>
      </c>
      <c r="E24" s="49" t="s">
        <v>0</v>
      </c>
      <c r="G24" s="49" t="s">
        <v>0</v>
      </c>
      <c r="H24" s="20"/>
      <c r="J24" s="20"/>
      <c r="K24" s="51"/>
      <c r="L24" s="20"/>
      <c r="M24" s="51"/>
      <c r="N24" s="20"/>
      <c r="O24" s="51"/>
      <c r="P24" s="20"/>
    </row>
    <row r="25" spans="1:16">
      <c r="A25" t="s">
        <v>412</v>
      </c>
      <c r="B25" s="20">
        <f>+B65</f>
        <v>18007.300999999999</v>
      </c>
      <c r="C25" s="48">
        <v>0</v>
      </c>
      <c r="D25" s="20">
        <f>+F65</f>
        <v>0</v>
      </c>
      <c r="E25" s="48">
        <v>0</v>
      </c>
      <c r="F25" s="20">
        <f>+J65</f>
        <v>0</v>
      </c>
      <c r="G25" s="48">
        <v>0</v>
      </c>
      <c r="H25" s="20">
        <f>+N65</f>
        <v>0</v>
      </c>
      <c r="J25" s="20">
        <f>+D65</f>
        <v>12028.613389999999</v>
      </c>
      <c r="K25" s="51">
        <f>+(-J25+L25)/ABS(J25)</f>
        <v>5.7791341151417772E-3</v>
      </c>
      <c r="L25" s="20">
        <f>+H65</f>
        <v>12098.128359999999</v>
      </c>
      <c r="M25" s="51">
        <f>+(-L25+N25)/ABS(L25)</f>
        <v>2.1929307749550247E-2</v>
      </c>
      <c r="N25" s="20">
        <f>+L65</f>
        <v>12363.43194</v>
      </c>
      <c r="O25" s="51">
        <f>+(-N25+P25)/ABS(N25)</f>
        <v>0.4962376037474267</v>
      </c>
      <c r="P25" s="20">
        <f>+P65</f>
        <v>18498.63178</v>
      </c>
    </row>
    <row r="26" spans="1:16">
      <c r="B26" s="20"/>
      <c r="C26" s="49" t="s">
        <v>0</v>
      </c>
      <c r="E26" s="49" t="s">
        <v>0</v>
      </c>
      <c r="G26" s="49" t="s">
        <v>0</v>
      </c>
      <c r="H26" s="139"/>
      <c r="J26" s="20"/>
      <c r="K26" s="51"/>
      <c r="L26" s="20"/>
      <c r="M26" s="51"/>
      <c r="N26" s="20"/>
      <c r="O26" s="51"/>
      <c r="P26" s="20"/>
    </row>
    <row r="27" spans="1:16">
      <c r="A27" t="s">
        <v>311</v>
      </c>
      <c r="B27" s="217"/>
      <c r="C27" s="49" t="s">
        <v>0</v>
      </c>
      <c r="D27" s="334"/>
      <c r="E27" s="49" t="s">
        <v>0</v>
      </c>
      <c r="F27" s="334"/>
      <c r="G27" s="49" t="s">
        <v>0</v>
      </c>
      <c r="H27" s="217"/>
      <c r="J27" s="217"/>
      <c r="K27" s="51"/>
      <c r="L27" s="217"/>
      <c r="M27" s="51"/>
      <c r="N27" s="217"/>
      <c r="O27" s="51"/>
      <c r="P27" s="217"/>
    </row>
    <row r="28" spans="1:16">
      <c r="A28" t="s">
        <v>312</v>
      </c>
      <c r="B28" s="20">
        <f>+B23-B25</f>
        <v>912700.27754000004</v>
      </c>
      <c r="C28" s="48">
        <v>0</v>
      </c>
      <c r="D28" s="20">
        <f>+D23-D25</f>
        <v>0</v>
      </c>
      <c r="E28" s="48">
        <v>0</v>
      </c>
      <c r="F28" s="20">
        <f>+F23-F25</f>
        <v>0</v>
      </c>
      <c r="G28" s="48">
        <v>0</v>
      </c>
      <c r="H28" s="20">
        <f>+H23-H25</f>
        <v>0</v>
      </c>
      <c r="J28" s="20">
        <f>+J23-J25</f>
        <v>734859.20476999995</v>
      </c>
      <c r="K28" s="51">
        <f>+(-J28+L28)/ABS(J28)</f>
        <v>0.18113046038752445</v>
      </c>
      <c r="L28" s="20">
        <f>+L23-L25</f>
        <v>867964.59085000015</v>
      </c>
      <c r="M28" s="51">
        <f>+(-L28+N28)/ABS(L28)</f>
        <v>0.12111098925942983</v>
      </c>
      <c r="N28" s="20">
        <f>+N23-N25</f>
        <v>973084.64108999993</v>
      </c>
      <c r="O28" s="51">
        <f>+(-N28+P28)/ABS(N28)</f>
        <v>4.140591414007691E-2</v>
      </c>
      <c r="P28" s="20">
        <f>+P23-P25</f>
        <v>1013376.10019</v>
      </c>
    </row>
    <row r="29" spans="1:16">
      <c r="B29" s="20"/>
      <c r="C29" s="49" t="s">
        <v>0</v>
      </c>
      <c r="E29" s="49" t="s">
        <v>0</v>
      </c>
      <c r="G29" s="49" t="s">
        <v>0</v>
      </c>
      <c r="H29" s="20"/>
      <c r="J29" s="20"/>
      <c r="K29" s="51"/>
      <c r="L29" s="20"/>
      <c r="M29" s="51"/>
      <c r="N29" s="20"/>
      <c r="O29" s="51"/>
      <c r="P29" s="20"/>
    </row>
    <row r="30" spans="1:16">
      <c r="A30" t="s">
        <v>313</v>
      </c>
      <c r="B30" s="20"/>
      <c r="C30" s="49" t="s">
        <v>0</v>
      </c>
      <c r="E30" s="49" t="s">
        <v>0</v>
      </c>
      <c r="G30" s="49" t="s">
        <v>0</v>
      </c>
      <c r="H30" s="20"/>
      <c r="J30" s="20"/>
      <c r="K30" s="51"/>
      <c r="L30" s="20"/>
      <c r="M30" s="51"/>
      <c r="N30" s="20"/>
      <c r="O30" s="51"/>
      <c r="P30" s="20"/>
    </row>
    <row r="31" spans="1:16">
      <c r="A31" t="s">
        <v>314</v>
      </c>
      <c r="B31" s="20">
        <f>+B71</f>
        <v>214622.43433000002</v>
      </c>
      <c r="C31" s="48">
        <v>0</v>
      </c>
      <c r="D31" s="20">
        <f>+F71</f>
        <v>0</v>
      </c>
      <c r="E31" s="48">
        <v>0</v>
      </c>
      <c r="F31" s="20">
        <f>+J71</f>
        <v>0</v>
      </c>
      <c r="G31" s="48">
        <v>0</v>
      </c>
      <c r="H31" s="20">
        <f>+N71</f>
        <v>0</v>
      </c>
      <c r="J31" s="20">
        <f>+D71</f>
        <v>183418.09772999998</v>
      </c>
      <c r="K31" s="51">
        <f>+(-J31+L31)/ABS(J31)</f>
        <v>1.3775324961222543E-2</v>
      </c>
      <c r="L31" s="20">
        <f>+H71</f>
        <v>185944.74163</v>
      </c>
      <c r="M31" s="51">
        <f>+(-L31+N31)/ABS(L31)</f>
        <v>0.13366997819953358</v>
      </c>
      <c r="N31" s="20">
        <f>+L71</f>
        <v>210799.97119000001</v>
      </c>
      <c r="O31" s="51">
        <f>+(-N31+P31)/ABS(N31)</f>
        <v>7.941571360515505E-2</v>
      </c>
      <c r="P31" s="20">
        <f>+P71</f>
        <v>227540.80132999999</v>
      </c>
    </row>
    <row r="32" spans="1:16">
      <c r="A32" t="s">
        <v>315</v>
      </c>
      <c r="B32" s="20">
        <f>+B72</f>
        <v>23162.942890000002</v>
      </c>
      <c r="C32" s="48">
        <v>0</v>
      </c>
      <c r="D32" s="20">
        <f>+F72</f>
        <v>0</v>
      </c>
      <c r="E32" s="48">
        <v>0</v>
      </c>
      <c r="F32" s="20">
        <f>+J72</f>
        <v>0</v>
      </c>
      <c r="G32" s="48">
        <v>0</v>
      </c>
      <c r="H32" s="20">
        <f>+N72</f>
        <v>0</v>
      </c>
      <c r="J32" s="20">
        <f>+D72</f>
        <v>20593.86666</v>
      </c>
      <c r="K32" s="51">
        <f>+(-J32+L32)/ABS(J32)</f>
        <v>4.146671987823778E-2</v>
      </c>
      <c r="L32" s="20">
        <f>+H72</f>
        <v>21447.82676</v>
      </c>
      <c r="M32" s="51">
        <f>+(-L32+N32)/ABS(L32)</f>
        <v>2.9243655640195019E-2</v>
      </c>
      <c r="N32" s="20">
        <f>+L72</f>
        <v>22075.03962</v>
      </c>
      <c r="O32" s="51">
        <f>+(-N32+P32)/ABS(N32)</f>
        <v>3.0967091872426751E-2</v>
      </c>
      <c r="P32" s="20">
        <f>+P72</f>
        <v>22758.6394</v>
      </c>
    </row>
    <row r="33" spans="1:22">
      <c r="A33" t="s">
        <v>316</v>
      </c>
      <c r="B33" s="20">
        <f>+B73</f>
        <v>47770.355230000001</v>
      </c>
      <c r="C33" s="48">
        <v>0</v>
      </c>
      <c r="D33" s="20">
        <f>+F73</f>
        <v>0</v>
      </c>
      <c r="E33" s="48">
        <v>0</v>
      </c>
      <c r="F33" s="20">
        <f>+J73</f>
        <v>0</v>
      </c>
      <c r="G33" s="48">
        <v>0</v>
      </c>
      <c r="H33" s="20">
        <f>+N73</f>
        <v>0</v>
      </c>
      <c r="J33" s="20">
        <f>+D73</f>
        <v>42312.188980000006</v>
      </c>
      <c r="K33" s="51">
        <f>+(-J33+L33)/ABS(J33)</f>
        <v>2.3793519415312294E-2</v>
      </c>
      <c r="L33" s="20">
        <f>+H73</f>
        <v>43318.944869999999</v>
      </c>
      <c r="M33" s="51">
        <f>+(-L33+N33)/ABS(L33)</f>
        <v>5.833050268382494E-2</v>
      </c>
      <c r="N33" s="20">
        <f>+L73</f>
        <v>45845.760699999999</v>
      </c>
      <c r="O33" s="51">
        <f>+(-N33+P33)/ABS(N33)</f>
        <v>2.5347299123340696E-2</v>
      </c>
      <c r="P33" s="20">
        <f>+P73</f>
        <v>47007.826909999996</v>
      </c>
    </row>
    <row r="34" spans="1:22">
      <c r="A34" t="s">
        <v>317</v>
      </c>
      <c r="B34" s="217">
        <f>+B74</f>
        <v>232672.22993</v>
      </c>
      <c r="C34" s="48">
        <v>0</v>
      </c>
      <c r="D34" s="217">
        <f>+F74</f>
        <v>0</v>
      </c>
      <c r="E34" s="48">
        <v>0</v>
      </c>
      <c r="F34" s="217">
        <f>+J74</f>
        <v>0</v>
      </c>
      <c r="G34" s="48">
        <v>0</v>
      </c>
      <c r="H34" s="217">
        <f>+N74</f>
        <v>0</v>
      </c>
      <c r="J34" s="217">
        <f>+D74</f>
        <v>201511.10470000003</v>
      </c>
      <c r="K34" s="51">
        <f>+(-J34+L34)/ABS(J34)</f>
        <v>3.3777988166624286E-2</v>
      </c>
      <c r="L34" s="217">
        <f>+H74</f>
        <v>208317.74441000001</v>
      </c>
      <c r="M34" s="51">
        <f>+(-L34+N34)/ABS(L34)</f>
        <v>4.139423333534361E-2</v>
      </c>
      <c r="N34" s="217">
        <f>+L74</f>
        <v>216940.89773000003</v>
      </c>
      <c r="O34" s="51">
        <f>+(-N34+P34)/ABS(N34)</f>
        <v>1.4717999987138514E-2</v>
      </c>
      <c r="P34" s="217">
        <f>+P74</f>
        <v>220133.83385999998</v>
      </c>
    </row>
    <row r="35" spans="1:22">
      <c r="B35" s="20">
        <f>SUM(B31:B34)</f>
        <v>518227.96238000004</v>
      </c>
      <c r="C35" s="48">
        <v>0</v>
      </c>
      <c r="D35" s="20">
        <f>SUM(D31:D34)</f>
        <v>0</v>
      </c>
      <c r="E35" s="48">
        <v>0</v>
      </c>
      <c r="F35" s="20">
        <f>SUM(F31:F34)</f>
        <v>0</v>
      </c>
      <c r="G35" s="48">
        <v>0</v>
      </c>
      <c r="H35" s="20">
        <f>SUM(H31:H34)</f>
        <v>0</v>
      </c>
      <c r="J35" s="20">
        <f>SUM(J31:J34)</f>
        <v>447835.25806999998</v>
      </c>
      <c r="K35" s="51">
        <f>+(-J35+L35)/ABS(J35)</f>
        <v>2.4995797892827666E-2</v>
      </c>
      <c r="L35" s="20">
        <f>SUM(L31:L34)</f>
        <v>459029.25767000002</v>
      </c>
      <c r="M35" s="51">
        <f>+(-L35+N35)/ABS(L35)</f>
        <v>7.9804088645555021E-2</v>
      </c>
      <c r="N35" s="20">
        <f>SUM(N31:N34)</f>
        <v>495661.66924000002</v>
      </c>
      <c r="O35" s="51">
        <f>+(-N35+P35)/ABS(N35)</f>
        <v>4.3940118051481493E-2</v>
      </c>
      <c r="P35" s="20">
        <f>SUM(P31:P34)</f>
        <v>517441.10149999999</v>
      </c>
    </row>
    <row r="36" spans="1:22">
      <c r="B36" s="217"/>
      <c r="C36" s="48"/>
      <c r="D36" s="334"/>
      <c r="E36" s="48"/>
      <c r="F36" s="334"/>
      <c r="G36" s="48"/>
      <c r="H36" s="217"/>
      <c r="J36" s="217"/>
      <c r="K36" s="51"/>
      <c r="L36" s="217"/>
      <c r="M36" s="51"/>
      <c r="N36" s="217"/>
      <c r="O36" s="51"/>
      <c r="P36" s="217"/>
    </row>
    <row r="37" spans="1:22">
      <c r="A37" t="s">
        <v>318</v>
      </c>
      <c r="B37" s="20">
        <f>+B28-B35</f>
        <v>394472.31516</v>
      </c>
      <c r="C37" s="48">
        <v>0</v>
      </c>
      <c r="D37" s="20">
        <f>+D28-D35</f>
        <v>0</v>
      </c>
      <c r="E37" s="48">
        <v>0</v>
      </c>
      <c r="F37" s="20">
        <f>+F28-F35</f>
        <v>0</v>
      </c>
      <c r="G37" s="48">
        <v>0</v>
      </c>
      <c r="H37" s="20">
        <f>+H28-H35</f>
        <v>0</v>
      </c>
      <c r="J37" s="20">
        <f>+J28-J35</f>
        <v>287023.94669999997</v>
      </c>
      <c r="K37" s="51">
        <f>+(-J37+L37)/ABS(J37)</f>
        <v>0.42474291041445073</v>
      </c>
      <c r="L37" s="20">
        <f>+L28-L35</f>
        <v>408935.33318000013</v>
      </c>
      <c r="M37" s="51">
        <f>+(-L37+N37)/ABS(L37)</f>
        <v>0.16747791915513874</v>
      </c>
      <c r="N37" s="20">
        <f>+N28-N35</f>
        <v>477422.97184999991</v>
      </c>
      <c r="O37" s="51">
        <f>+(-N37+P37)/ABS(N37)</f>
        <v>3.8774897588749378E-2</v>
      </c>
      <c r="P37" s="20">
        <f>+P28-P35</f>
        <v>495934.99869000004</v>
      </c>
    </row>
    <row r="38" spans="1:22">
      <c r="B38" s="20"/>
      <c r="C38" s="49" t="s">
        <v>0</v>
      </c>
      <c r="E38" s="49" t="s">
        <v>0</v>
      </c>
      <c r="G38" s="49" t="s">
        <v>0</v>
      </c>
      <c r="H38" s="20"/>
      <c r="J38" s="20"/>
      <c r="K38" s="51"/>
      <c r="L38" s="20"/>
      <c r="M38" s="51"/>
      <c r="N38" s="20"/>
      <c r="O38" s="51"/>
      <c r="P38" s="20"/>
    </row>
    <row r="39" spans="1:22">
      <c r="A39" t="s">
        <v>319</v>
      </c>
      <c r="B39" s="20">
        <f>+B79</f>
        <v>52748.721839999998</v>
      </c>
      <c r="C39" s="48">
        <v>0</v>
      </c>
      <c r="D39" s="20">
        <f>+F79</f>
        <v>0</v>
      </c>
      <c r="E39" s="48">
        <v>0</v>
      </c>
      <c r="F39" s="20">
        <f>+J79</f>
        <v>0</v>
      </c>
      <c r="G39" s="48">
        <v>0</v>
      </c>
      <c r="H39" s="20">
        <f>+N79</f>
        <v>0</v>
      </c>
      <c r="J39" s="20">
        <f>+D79</f>
        <v>32654.618780000004</v>
      </c>
      <c r="K39" s="51">
        <f>+(-J39+L39)/ABS(J39)</f>
        <v>-0.57665227197608715</v>
      </c>
      <c r="L39" s="20">
        <f>+H79</f>
        <v>13824.258669999999</v>
      </c>
      <c r="M39" s="51">
        <f>+(-L39+N39)/ABS(L39)</f>
        <v>0.82088381163081903</v>
      </c>
      <c r="N39" s="20">
        <f>+L79</f>
        <v>25172.368819999996</v>
      </c>
      <c r="O39" s="51">
        <f>+(-N39+P39)/ABS(N39)</f>
        <v>0.4126292751497993</v>
      </c>
      <c r="P39" s="20">
        <f>+P79</f>
        <v>35559.225120000003</v>
      </c>
    </row>
    <row r="40" spans="1:22" ht="16.5" thickBot="1">
      <c r="B40" s="79"/>
      <c r="C40" s="49" t="s">
        <v>0</v>
      </c>
      <c r="D40" s="36"/>
      <c r="E40" s="49" t="s">
        <v>0</v>
      </c>
      <c r="F40" s="36"/>
      <c r="G40" s="49" t="s">
        <v>0</v>
      </c>
      <c r="H40" s="79"/>
      <c r="J40" s="79"/>
      <c r="K40" s="51"/>
      <c r="L40" s="79"/>
      <c r="M40" s="51"/>
      <c r="N40" s="79"/>
      <c r="O40" s="51"/>
      <c r="P40" s="79"/>
    </row>
    <row r="41" spans="1:22" s="11" customFormat="1">
      <c r="A41" s="11" t="s">
        <v>413</v>
      </c>
      <c r="B41" s="13">
        <f>+B37-B39</f>
        <v>341723.59331999999</v>
      </c>
      <c r="C41" s="47">
        <v>0</v>
      </c>
      <c r="D41" s="13">
        <f>+D37-D39</f>
        <v>0</v>
      </c>
      <c r="E41" s="47">
        <v>0</v>
      </c>
      <c r="F41" s="13">
        <f>+F37-F39</f>
        <v>0</v>
      </c>
      <c r="G41" s="47">
        <v>0</v>
      </c>
      <c r="H41" s="13">
        <f>+H37-H39</f>
        <v>0</v>
      </c>
      <c r="I41" s="137"/>
      <c r="J41" s="13">
        <f>+J37-J39</f>
        <v>254369.32791999995</v>
      </c>
      <c r="K41" s="109">
        <f>+(-J41+L41)/ABS(J41)</f>
        <v>0.5532968449492619</v>
      </c>
      <c r="L41" s="13">
        <f>+L37-L39</f>
        <v>395111.07451000012</v>
      </c>
      <c r="M41" s="109">
        <f>+(-L41+N41)/ABS(L41)</f>
        <v>0.14461636791846905</v>
      </c>
      <c r="N41" s="13">
        <f>+N37-N39</f>
        <v>452250.60302999994</v>
      </c>
      <c r="O41" s="109">
        <f>+(-N41+P41)/ABS(N41)</f>
        <v>1.7966080057301985E-2</v>
      </c>
      <c r="P41" s="13">
        <f>+P37-P39</f>
        <v>460375.77357000002</v>
      </c>
      <c r="Q41" s="137"/>
      <c r="R41" s="137"/>
      <c r="S41" s="137"/>
      <c r="T41" s="137"/>
      <c r="U41" s="137"/>
    </row>
    <row r="42" spans="1:22" ht="5.45" customHeight="1">
      <c r="C42" s="35" t="s">
        <v>0</v>
      </c>
    </row>
    <row r="43" spans="1:22" ht="7.9" customHeight="1" thickBot="1">
      <c r="A43" s="25"/>
      <c r="B43" s="36"/>
      <c r="C43" s="37" t="s">
        <v>0</v>
      </c>
      <c r="D43" s="36"/>
      <c r="E43" s="36"/>
      <c r="F43" s="36"/>
      <c r="G43" s="36"/>
      <c r="H43" s="36"/>
      <c r="I43" s="36"/>
      <c r="J43" s="36"/>
      <c r="K43" s="36"/>
      <c r="L43" s="36"/>
      <c r="M43" s="36"/>
      <c r="N43" s="36"/>
      <c r="O43" s="36"/>
      <c r="P43" s="36"/>
      <c r="Q43" s="36"/>
      <c r="R43" s="36"/>
      <c r="S43" s="36"/>
      <c r="T43" s="36"/>
    </row>
    <row r="44" spans="1:22" ht="7.9" customHeight="1">
      <c r="A44" s="26"/>
      <c r="B44" s="38"/>
      <c r="C44" s="35" t="s">
        <v>0</v>
      </c>
      <c r="D44" s="38"/>
      <c r="E44" s="38"/>
      <c r="F44" s="38"/>
      <c r="G44" s="38"/>
      <c r="H44" s="38"/>
      <c r="I44" s="38"/>
      <c r="J44" s="38"/>
      <c r="K44" s="38"/>
      <c r="L44" s="38"/>
      <c r="M44" s="38"/>
      <c r="N44" s="38"/>
      <c r="O44" s="38"/>
    </row>
    <row r="45" spans="1:22" ht="7.9" customHeight="1">
      <c r="A45" s="26"/>
      <c r="B45" s="38"/>
      <c r="C45" s="35" t="s">
        <v>0</v>
      </c>
      <c r="D45" s="38"/>
      <c r="E45" s="38"/>
      <c r="F45" s="38"/>
      <c r="G45" s="38"/>
      <c r="H45" s="38"/>
      <c r="I45" s="38"/>
      <c r="J45" s="38"/>
      <c r="K45" s="38"/>
      <c r="L45" s="38"/>
      <c r="M45" s="38"/>
      <c r="N45" s="38"/>
      <c r="O45" s="38"/>
    </row>
    <row r="46" spans="1:22" s="11" customFormat="1">
      <c r="B46" s="1022" t="str">
        <f>+'SGBELRÉSULT       '!B46</f>
        <v xml:space="preserve"> 2015</v>
      </c>
      <c r="C46" s="137" t="s">
        <v>0</v>
      </c>
      <c r="D46" s="1022" t="str">
        <f>+'SGBELRÉSULT       '!D46</f>
        <v xml:space="preserve"> 2014</v>
      </c>
      <c r="E46" s="137"/>
      <c r="F46" s="1022" t="str">
        <f>+'SGBELRÉSULT       '!F46</f>
        <v xml:space="preserve"> 2015</v>
      </c>
      <c r="G46" s="137" t="s">
        <v>0</v>
      </c>
      <c r="H46" s="1022" t="str">
        <f>+'SGBELRÉSULT       '!H46</f>
        <v xml:space="preserve"> 2014</v>
      </c>
      <c r="I46" s="137"/>
      <c r="J46" s="1022" t="str">
        <f>+'SGBELRÉSULT       '!J46</f>
        <v xml:space="preserve"> 2015</v>
      </c>
      <c r="K46" s="137" t="s">
        <v>0</v>
      </c>
      <c r="L46" s="1022" t="str">
        <f>+'SGBELRÉSULT       '!L46</f>
        <v xml:space="preserve"> 2014</v>
      </c>
      <c r="M46" s="137"/>
      <c r="N46" s="1022" t="str">
        <f>+'SGBELRÉSULT       '!N46</f>
        <v xml:space="preserve"> 2015</v>
      </c>
      <c r="O46" s="137" t="s">
        <v>0</v>
      </c>
      <c r="P46" s="1022" t="str">
        <f>+'SGBELRÉSULT       '!P46</f>
        <v xml:space="preserve"> 2014</v>
      </c>
      <c r="Q46" s="137"/>
      <c r="R46" s="1025" t="str">
        <f>+'SGBELRÉSULT       '!R46</f>
        <v xml:space="preserve"> 2014 (oct.-déc. 14)</v>
      </c>
      <c r="S46" s="137"/>
      <c r="T46" s="1025" t="str">
        <f>+'SGBELRÉSULT       '!T46</f>
        <v xml:space="preserve"> 2013 (oct. -déc. 13)</v>
      </c>
      <c r="U46" s="1022" t="str">
        <f>+'SGBELRÉSULT       '!U46</f>
        <v>2014</v>
      </c>
    </row>
    <row r="47" spans="1:22" ht="16.5" thickBot="1">
      <c r="B47" s="220" t="s">
        <v>321</v>
      </c>
      <c r="C47" s="222" t="s">
        <v>196</v>
      </c>
      <c r="D47" s="222" t="s">
        <v>204</v>
      </c>
      <c r="E47" s="28"/>
      <c r="F47" s="222" t="s">
        <v>205</v>
      </c>
      <c r="G47" s="222" t="s">
        <v>196</v>
      </c>
      <c r="H47" s="222" t="s">
        <v>205</v>
      </c>
      <c r="I47" s="28"/>
      <c r="J47" s="222" t="s">
        <v>206</v>
      </c>
      <c r="K47" s="222" t="s">
        <v>196</v>
      </c>
      <c r="L47" s="222" t="s">
        <v>206</v>
      </c>
      <c r="M47" s="28"/>
      <c r="N47" s="222" t="s">
        <v>207</v>
      </c>
      <c r="O47" s="222" t="s">
        <v>196</v>
      </c>
      <c r="P47" s="222" t="s">
        <v>207</v>
      </c>
      <c r="Q47" s="28"/>
      <c r="R47" s="222" t="s">
        <v>208</v>
      </c>
      <c r="S47" s="222" t="s">
        <v>196</v>
      </c>
      <c r="T47" s="222" t="s">
        <v>208</v>
      </c>
      <c r="U47" s="28" t="s">
        <v>208</v>
      </c>
      <c r="V47" s="3"/>
    </row>
    <row r="48" spans="1:22">
      <c r="A48" t="s">
        <v>300</v>
      </c>
      <c r="B48" s="35" t="s">
        <v>0</v>
      </c>
    </row>
    <row r="49" spans="1:21">
      <c r="A49" t="s">
        <v>301</v>
      </c>
      <c r="B49" s="24" t="s">
        <v>0</v>
      </c>
      <c r="C49" s="52" t="s">
        <v>0</v>
      </c>
      <c r="D49" s="24" t="s">
        <v>0</v>
      </c>
      <c r="E49" s="35" t="s">
        <v>0</v>
      </c>
      <c r="F49" s="35" t="s">
        <v>0</v>
      </c>
      <c r="G49" s="52" t="s">
        <v>0</v>
      </c>
      <c r="H49" s="24" t="s">
        <v>0</v>
      </c>
      <c r="I49" s="35" t="s">
        <v>0</v>
      </c>
      <c r="J49" s="35" t="s">
        <v>0</v>
      </c>
      <c r="K49" s="52" t="s">
        <v>0</v>
      </c>
      <c r="L49" s="24" t="s">
        <v>0</v>
      </c>
      <c r="M49" s="35" t="s">
        <v>0</v>
      </c>
      <c r="N49" s="35" t="s">
        <v>0</v>
      </c>
      <c r="O49" s="52" t="s">
        <v>0</v>
      </c>
      <c r="P49" s="24" t="s">
        <v>0</v>
      </c>
      <c r="Q49" s="35" t="s">
        <v>0</v>
      </c>
      <c r="R49" s="24" t="s">
        <v>0</v>
      </c>
      <c r="S49" s="52" t="s">
        <v>0</v>
      </c>
      <c r="T49" s="24" t="s">
        <v>0</v>
      </c>
      <c r="U49" s="24" t="s">
        <v>0</v>
      </c>
    </row>
    <row r="50" spans="1:21">
      <c r="A50" t="s">
        <v>391</v>
      </c>
      <c r="B50" s="20">
        <v>471376.64861999999</v>
      </c>
      <c r="C50" s="51">
        <f t="shared" ref="C50:C55" si="3">+(B50-D50)/ABS(D50)</f>
        <v>0.3673721610282058</v>
      </c>
      <c r="D50" s="20">
        <v>344731.78703999997</v>
      </c>
      <c r="E50" s="35"/>
      <c r="F50" s="20">
        <v>0</v>
      </c>
      <c r="G50" s="48">
        <v>0</v>
      </c>
      <c r="H50" s="20">
        <v>347665.75779</v>
      </c>
      <c r="J50" s="20">
        <v>0</v>
      </c>
      <c r="K50" s="48">
        <v>0</v>
      </c>
      <c r="L50" s="20">
        <v>407457.05684000003</v>
      </c>
      <c r="M50" s="35"/>
      <c r="N50" s="20">
        <v>0</v>
      </c>
      <c r="O50" s="48">
        <v>0</v>
      </c>
      <c r="P50" s="20">
        <v>422247.70568999997</v>
      </c>
      <c r="R50" s="20">
        <f>+B50+F50+J50+N50</f>
        <v>471376.64861999999</v>
      </c>
      <c r="S50" s="51">
        <f t="shared" ref="S50:S55" si="4">+(R50-T50)/ABS(T50)</f>
        <v>0.3673721610282058</v>
      </c>
      <c r="T50" s="81">
        <f>+D50</f>
        <v>344731.78703999997</v>
      </c>
      <c r="U50" s="20">
        <f>+D50+H50+L50+P50</f>
        <v>1522102.30736</v>
      </c>
    </row>
    <row r="51" spans="1:21">
      <c r="A51" t="s">
        <v>392</v>
      </c>
      <c r="B51" s="20">
        <v>1902</v>
      </c>
      <c r="C51" s="49">
        <v>0</v>
      </c>
      <c r="D51" s="20">
        <v>0</v>
      </c>
      <c r="E51" s="35"/>
      <c r="F51" s="20">
        <v>0</v>
      </c>
      <c r="G51" s="48">
        <v>0</v>
      </c>
      <c r="H51" s="20">
        <v>973.00792999999999</v>
      </c>
      <c r="J51" s="20">
        <v>0</v>
      </c>
      <c r="K51" s="48">
        <v>0</v>
      </c>
      <c r="L51" s="20">
        <v>55.492069999999998</v>
      </c>
      <c r="M51" s="35"/>
      <c r="N51" s="20">
        <v>0</v>
      </c>
      <c r="O51" s="48">
        <v>0</v>
      </c>
      <c r="P51" s="20">
        <v>0</v>
      </c>
      <c r="R51" s="20">
        <f>+B51+F51+J51+N51</f>
        <v>1902</v>
      </c>
      <c r="S51" s="48">
        <v>0</v>
      </c>
      <c r="T51" s="81">
        <f>+D51</f>
        <v>0</v>
      </c>
      <c r="U51" s="20">
        <f>+D51+H51+L51+P51</f>
        <v>1028.5</v>
      </c>
    </row>
    <row r="52" spans="1:21">
      <c r="A52" t="s">
        <v>304</v>
      </c>
      <c r="B52" s="199">
        <v>26487.898229999999</v>
      </c>
      <c r="C52" s="51">
        <f t="shared" si="3"/>
        <v>0.98769737194840801</v>
      </c>
      <c r="D52" s="199">
        <v>13325.921040000001</v>
      </c>
      <c r="E52" s="35"/>
      <c r="F52" s="199">
        <v>0</v>
      </c>
      <c r="G52" s="48">
        <v>0</v>
      </c>
      <c r="H52" s="199">
        <v>12766.57516</v>
      </c>
      <c r="J52" s="199">
        <v>0</v>
      </c>
      <c r="K52" s="48">
        <v>0</v>
      </c>
      <c r="L52" s="199">
        <v>13545.479199999998</v>
      </c>
      <c r="M52" s="35"/>
      <c r="N52" s="199">
        <v>0</v>
      </c>
      <c r="O52" s="48">
        <v>0</v>
      </c>
      <c r="P52" s="199">
        <v>18108.321100000001</v>
      </c>
      <c r="R52" s="217">
        <f>+B52+F52+J52+N52</f>
        <v>26487.898229999999</v>
      </c>
      <c r="S52" s="51">
        <f t="shared" si="4"/>
        <v>0.98769737194840801</v>
      </c>
      <c r="T52" s="217">
        <f>+D52</f>
        <v>13325.921040000001</v>
      </c>
      <c r="U52" s="217">
        <f>+D52+H52+L52+P52</f>
        <v>57746.296499999997</v>
      </c>
    </row>
    <row r="53" spans="1:21">
      <c r="B53" s="20">
        <f>SUM(B50:B52)</f>
        <v>499766.54684999998</v>
      </c>
      <c r="C53" s="51">
        <f t="shared" si="3"/>
        <v>0.39577094857105655</v>
      </c>
      <c r="D53" s="20">
        <f>SUM(D50:D52)</f>
        <v>358057.70807999995</v>
      </c>
      <c r="E53" s="35"/>
      <c r="F53" s="20">
        <f>SUM(F50:F52)</f>
        <v>0</v>
      </c>
      <c r="G53" s="48">
        <v>0</v>
      </c>
      <c r="H53" s="20">
        <f>SUM(H50:H52)</f>
        <v>361405.34088000003</v>
      </c>
      <c r="J53" s="20">
        <f>SUM(J50:J52)</f>
        <v>0</v>
      </c>
      <c r="K53" s="48">
        <v>0</v>
      </c>
      <c r="L53" s="20">
        <f>SUM(L50:L52)</f>
        <v>421058.02811000001</v>
      </c>
      <c r="M53" s="35"/>
      <c r="N53" s="20">
        <f>SUM(N50:N52)</f>
        <v>0</v>
      </c>
      <c r="O53" s="48">
        <v>0</v>
      </c>
      <c r="P53" s="20">
        <f>SUM(P50:P52)</f>
        <v>440356.02678999997</v>
      </c>
      <c r="R53" s="20">
        <f>SUM(R50:R52)</f>
        <v>499766.54684999998</v>
      </c>
      <c r="S53" s="51">
        <f t="shared" si="4"/>
        <v>0.39577094857105655</v>
      </c>
      <c r="T53" s="20">
        <f>SUM(T50:T52)</f>
        <v>358057.70807999995</v>
      </c>
      <c r="U53" s="20">
        <f>SUM(U50:U52)</f>
        <v>1580877.1038599999</v>
      </c>
    </row>
    <row r="54" spans="1:21">
      <c r="A54" t="s">
        <v>305</v>
      </c>
      <c r="B54" s="217">
        <v>60857.864279999994</v>
      </c>
      <c r="C54" s="51">
        <f t="shared" si="3"/>
        <v>1.0836138661850496</v>
      </c>
      <c r="D54" s="217">
        <v>29207.841850000001</v>
      </c>
      <c r="E54" s="35" t="s">
        <v>0</v>
      </c>
      <c r="F54" s="217">
        <v>0</v>
      </c>
      <c r="G54" s="48">
        <v>0</v>
      </c>
      <c r="H54" s="217">
        <v>29752.343830000002</v>
      </c>
      <c r="J54" s="217">
        <v>0</v>
      </c>
      <c r="K54" s="48">
        <v>0</v>
      </c>
      <c r="L54" s="217">
        <v>67772.687770000004</v>
      </c>
      <c r="M54" s="35" t="s">
        <v>0</v>
      </c>
      <c r="N54" s="217">
        <v>0</v>
      </c>
      <c r="O54" s="48">
        <v>0</v>
      </c>
      <c r="P54" s="217">
        <v>60560.977070000008</v>
      </c>
      <c r="R54" s="217">
        <f>+B54+F54+J54+N54</f>
        <v>60857.864279999994</v>
      </c>
      <c r="S54" s="51">
        <f t="shared" si="4"/>
        <v>1.0836138661850496</v>
      </c>
      <c r="T54" s="217">
        <f>+D54</f>
        <v>29207.841850000001</v>
      </c>
      <c r="U54" s="217">
        <f>+D54+H54+L54+P54</f>
        <v>187293.85052000004</v>
      </c>
    </row>
    <row r="55" spans="1:21">
      <c r="B55" s="20">
        <f>+B53-B54</f>
        <v>438908.68257</v>
      </c>
      <c r="C55" s="51">
        <f t="shared" si="3"/>
        <v>0.33467800246275353</v>
      </c>
      <c r="D55" s="20">
        <f>+D53-D54</f>
        <v>328849.86622999993</v>
      </c>
      <c r="E55" s="35" t="s">
        <v>0</v>
      </c>
      <c r="F55" s="20">
        <f>+F53-F54</f>
        <v>0</v>
      </c>
      <c r="G55" s="48">
        <v>0</v>
      </c>
      <c r="H55" s="20">
        <f>+H53-H54</f>
        <v>331652.99705000001</v>
      </c>
      <c r="J55" s="20">
        <f>+J53-J54</f>
        <v>0</v>
      </c>
      <c r="K55" s="48">
        <v>0</v>
      </c>
      <c r="L55" s="20">
        <f>+L53-L54</f>
        <v>353285.34034</v>
      </c>
      <c r="M55" s="35" t="s">
        <v>0</v>
      </c>
      <c r="N55" s="20">
        <f>+N53-N54</f>
        <v>0</v>
      </c>
      <c r="O55" s="48">
        <v>0</v>
      </c>
      <c r="P55" s="20">
        <f>+P53-P54</f>
        <v>379795.04971999995</v>
      </c>
      <c r="R55" s="20">
        <f>+R53-R54</f>
        <v>438908.68257</v>
      </c>
      <c r="S55" s="51">
        <f t="shared" si="4"/>
        <v>0.33467800246275353</v>
      </c>
      <c r="T55" s="20">
        <f>+T53-T54</f>
        <v>328849.86622999993</v>
      </c>
      <c r="U55" s="20">
        <f>+U53-U54</f>
        <v>1393583.2533399998</v>
      </c>
    </row>
    <row r="56" spans="1:21">
      <c r="B56" s="20"/>
      <c r="C56" s="52" t="s">
        <v>0</v>
      </c>
      <c r="D56" s="20"/>
      <c r="E56" s="35" t="s">
        <v>0</v>
      </c>
      <c r="G56" s="49" t="s">
        <v>0</v>
      </c>
      <c r="K56" s="49" t="s">
        <v>0</v>
      </c>
      <c r="M56" s="35" t="s">
        <v>0</v>
      </c>
      <c r="O56" s="49" t="s">
        <v>0</v>
      </c>
      <c r="R56" s="20"/>
      <c r="S56" s="52" t="s">
        <v>0</v>
      </c>
      <c r="T56" s="20"/>
      <c r="U56" s="20"/>
    </row>
    <row r="57" spans="1:21">
      <c r="A57" t="s">
        <v>306</v>
      </c>
      <c r="B57" s="20"/>
      <c r="C57" s="52" t="s">
        <v>0</v>
      </c>
      <c r="D57" s="20"/>
      <c r="E57" s="35" t="s">
        <v>0</v>
      </c>
      <c r="G57" s="49" t="s">
        <v>0</v>
      </c>
      <c r="K57" s="49" t="s">
        <v>0</v>
      </c>
      <c r="M57" s="35" t="s">
        <v>0</v>
      </c>
      <c r="O57" s="49" t="s">
        <v>0</v>
      </c>
      <c r="R57" s="20"/>
      <c r="S57" s="52" t="s">
        <v>0</v>
      </c>
      <c r="T57" s="20"/>
      <c r="U57" s="20"/>
    </row>
    <row r="58" spans="1:21">
      <c r="A58" t="s">
        <v>307</v>
      </c>
      <c r="B58" s="20">
        <v>212621.04478</v>
      </c>
      <c r="C58" s="51">
        <f>+(B58-D58)/ABS(D58)</f>
        <v>0.22320825448221099</v>
      </c>
      <c r="D58" s="20">
        <v>173822.44110999999</v>
      </c>
      <c r="E58" s="35" t="s">
        <v>0</v>
      </c>
      <c r="F58" s="20">
        <v>0</v>
      </c>
      <c r="G58" s="48">
        <v>0</v>
      </c>
      <c r="H58" s="20">
        <v>255332.20955000009</v>
      </c>
      <c r="J58" s="20">
        <v>0</v>
      </c>
      <c r="K58" s="48">
        <v>0</v>
      </c>
      <c r="L58" s="20">
        <v>250481.32034999999</v>
      </c>
      <c r="M58" s="35" t="s">
        <v>0</v>
      </c>
      <c r="N58" s="20">
        <v>0</v>
      </c>
      <c r="O58" s="48">
        <v>0</v>
      </c>
      <c r="P58" s="20">
        <v>309816.13420999999</v>
      </c>
      <c r="R58" s="20">
        <f>+B58+F58+J58+N58</f>
        <v>212621.04478</v>
      </c>
      <c r="S58" s="51">
        <f>+(R58-T58)/ABS(T58)</f>
        <v>0.22320825448221099</v>
      </c>
      <c r="T58" s="81">
        <f>+D58</f>
        <v>173822.44110999999</v>
      </c>
      <c r="U58" s="20">
        <f>+D58+H58+L58+P58</f>
        <v>989452.10522000003</v>
      </c>
    </row>
    <row r="59" spans="1:21">
      <c r="A59" t="s">
        <v>308</v>
      </c>
      <c r="B59" s="20">
        <v>73268.277910000004</v>
      </c>
      <c r="C59" s="51">
        <f>+(B59-D59)/ABS(D59)</f>
        <v>-9.1728392398099101E-2</v>
      </c>
      <c r="D59" s="20">
        <v>80667.806080000009</v>
      </c>
      <c r="E59" s="35" t="s">
        <v>0</v>
      </c>
      <c r="F59" s="20">
        <v>0</v>
      </c>
      <c r="G59" s="48">
        <v>0</v>
      </c>
      <c r="H59" s="20">
        <v>71718.504730000001</v>
      </c>
      <c r="J59" s="20">
        <v>0</v>
      </c>
      <c r="K59" s="48">
        <v>0</v>
      </c>
      <c r="L59" s="20">
        <v>77911.169150000002</v>
      </c>
      <c r="M59" s="35" t="s">
        <v>0</v>
      </c>
      <c r="N59" s="20">
        <v>0</v>
      </c>
      <c r="O59" s="48">
        <v>0</v>
      </c>
      <c r="P59" s="20">
        <v>75860.948369999998</v>
      </c>
      <c r="R59" s="20">
        <f>+B59+F59+J59+N59</f>
        <v>73268.277910000004</v>
      </c>
      <c r="S59" s="51">
        <f>+(R59-T59)/ABS(T59)</f>
        <v>-9.1728392398099101E-2</v>
      </c>
      <c r="T59" s="81">
        <f>+D59</f>
        <v>80667.806080000009</v>
      </c>
      <c r="U59" s="20">
        <f>+D59+H59+L59+P59</f>
        <v>306158.42833000002</v>
      </c>
    </row>
    <row r="60" spans="1:21">
      <c r="A60" t="s">
        <v>274</v>
      </c>
      <c r="B60" s="217">
        <v>205909.57328000001</v>
      </c>
      <c r="C60" s="51">
        <f>+(B60-D60)/ABS(D60)</f>
        <v>0.2590184228347614</v>
      </c>
      <c r="D60" s="217">
        <v>163547.70473999999</v>
      </c>
      <c r="E60" s="35" t="s">
        <v>0</v>
      </c>
      <c r="F60" s="217">
        <v>0</v>
      </c>
      <c r="G60" s="48">
        <v>0</v>
      </c>
      <c r="H60" s="217">
        <v>221359.00787999999</v>
      </c>
      <c r="J60" s="217">
        <v>0</v>
      </c>
      <c r="K60" s="48">
        <v>0</v>
      </c>
      <c r="L60" s="217">
        <v>303770.24318999995</v>
      </c>
      <c r="M60" s="35" t="s">
        <v>0</v>
      </c>
      <c r="N60" s="217">
        <v>0</v>
      </c>
      <c r="O60" s="48">
        <v>0</v>
      </c>
      <c r="P60" s="217">
        <v>266402.59967000003</v>
      </c>
      <c r="R60" s="217">
        <f>+B60+F60+J60+N60</f>
        <v>205909.57328000001</v>
      </c>
      <c r="S60" s="51">
        <f>+(R60-T60)/ABS(T60)</f>
        <v>0.2590184228347614</v>
      </c>
      <c r="T60" s="217">
        <f>+D60</f>
        <v>163547.70473999999</v>
      </c>
      <c r="U60" s="217">
        <f>+D60+H60+L60+P60</f>
        <v>955079.55547999998</v>
      </c>
    </row>
    <row r="61" spans="1:21">
      <c r="B61" s="20">
        <f>SUM(B58:B60)</f>
        <v>491798.89597000001</v>
      </c>
      <c r="C61" s="51">
        <f>+(B61-D61)/ABS(D61)</f>
        <v>0.1764455683974627</v>
      </c>
      <c r="D61" s="20">
        <f>SUM(D58:D60)</f>
        <v>418037.95192999998</v>
      </c>
      <c r="E61" s="35" t="s">
        <v>0</v>
      </c>
      <c r="F61" s="20">
        <f>SUM(F58:F60)</f>
        <v>0</v>
      </c>
      <c r="G61" s="48">
        <v>0</v>
      </c>
      <c r="H61" s="20">
        <f>SUM(H58:H60)</f>
        <v>548409.72216000012</v>
      </c>
      <c r="J61" s="20">
        <f>SUM(J58:J60)</f>
        <v>0</v>
      </c>
      <c r="K61" s="48">
        <v>0</v>
      </c>
      <c r="L61" s="20">
        <f>SUM(L58:L60)</f>
        <v>632162.73268999998</v>
      </c>
      <c r="M61" s="35" t="s">
        <v>0</v>
      </c>
      <c r="N61" s="20">
        <f>SUM(N58:N60)</f>
        <v>0</v>
      </c>
      <c r="O61" s="48">
        <v>0</v>
      </c>
      <c r="P61" s="20">
        <f>SUM(P58:P60)</f>
        <v>652079.68225000007</v>
      </c>
      <c r="R61" s="20">
        <f>SUM(R58:R60)</f>
        <v>491798.89597000001</v>
      </c>
      <c r="S61" s="51">
        <f>+(R61-T61)/ABS(T61)</f>
        <v>0.1764455683974627</v>
      </c>
      <c r="T61" s="20">
        <f>SUM(T58:T60)</f>
        <v>418037.95192999998</v>
      </c>
      <c r="U61" s="20">
        <f>SUM(U58:U60)</f>
        <v>2250690.0890299999</v>
      </c>
    </row>
    <row r="62" spans="1:21">
      <c r="B62" s="217"/>
      <c r="C62" s="52" t="s">
        <v>0</v>
      </c>
      <c r="D62" s="217"/>
      <c r="E62" s="35" t="s">
        <v>0</v>
      </c>
      <c r="F62" s="334"/>
      <c r="G62" s="49" t="s">
        <v>0</v>
      </c>
      <c r="H62" s="334"/>
      <c r="J62" s="334"/>
      <c r="K62" s="49" t="s">
        <v>0</v>
      </c>
      <c r="L62" s="334"/>
      <c r="M62" s="35" t="s">
        <v>0</v>
      </c>
      <c r="N62" s="334"/>
      <c r="O62" s="49" t="s">
        <v>0</v>
      </c>
      <c r="P62" s="334"/>
      <c r="R62" s="217"/>
      <c r="S62" s="51"/>
      <c r="T62" s="217"/>
      <c r="U62" s="217"/>
    </row>
    <row r="63" spans="1:21">
      <c r="A63" t="s">
        <v>309</v>
      </c>
      <c r="B63" s="20">
        <f>+B55+B61</f>
        <v>930707.57854000002</v>
      </c>
      <c r="C63" s="51">
        <f>+(B63-D63)/ABS(D63)</f>
        <v>0.24611428371244615</v>
      </c>
      <c r="D63" s="20">
        <f>+D55+D61</f>
        <v>746887.81815999991</v>
      </c>
      <c r="E63" s="35" t="s">
        <v>0</v>
      </c>
      <c r="F63" s="20">
        <f>+F55+F61</f>
        <v>0</v>
      </c>
      <c r="G63" s="48">
        <v>0</v>
      </c>
      <c r="H63" s="20">
        <f>+H55+H61</f>
        <v>880062.71921000013</v>
      </c>
      <c r="J63" s="20">
        <f>+J55+J61</f>
        <v>0</v>
      </c>
      <c r="K63" s="48">
        <v>0</v>
      </c>
      <c r="L63" s="20">
        <f>+L55+L61</f>
        <v>985448.07302999997</v>
      </c>
      <c r="M63" s="35" t="s">
        <v>0</v>
      </c>
      <c r="N63" s="20">
        <f>+N55+N61</f>
        <v>0</v>
      </c>
      <c r="O63" s="48">
        <v>0</v>
      </c>
      <c r="P63" s="20">
        <f>+P55+P61</f>
        <v>1031874.7319700001</v>
      </c>
      <c r="R63" s="20">
        <f>+R55+R61</f>
        <v>930707.57854000002</v>
      </c>
      <c r="S63" s="51">
        <f>+(R63-T63)/ABS(T63)</f>
        <v>0.24611428371244615</v>
      </c>
      <c r="T63" s="20">
        <f>+T55+T61</f>
        <v>746887.81815999991</v>
      </c>
      <c r="U63" s="20">
        <f>+U55+U61</f>
        <v>3644273.3423699997</v>
      </c>
    </row>
    <row r="64" spans="1:21">
      <c r="B64" s="20"/>
      <c r="C64" s="52" t="s">
        <v>0</v>
      </c>
      <c r="D64" s="20"/>
      <c r="E64" s="35" t="s">
        <v>0</v>
      </c>
      <c r="G64" s="49" t="s">
        <v>0</v>
      </c>
      <c r="K64" s="49" t="s">
        <v>0</v>
      </c>
      <c r="M64" s="35" t="s">
        <v>0</v>
      </c>
      <c r="O64" s="49" t="s">
        <v>0</v>
      </c>
      <c r="R64" s="20"/>
      <c r="S64" s="51"/>
      <c r="T64" s="20"/>
      <c r="U64" s="20"/>
    </row>
    <row r="65" spans="1:21">
      <c r="A65" t="s">
        <v>412</v>
      </c>
      <c r="B65" s="20">
        <v>18007.300999999999</v>
      </c>
      <c r="C65" s="51">
        <f>+(B65-D65)/ABS(D65)</f>
        <v>0.49703880373862458</v>
      </c>
      <c r="D65" s="20">
        <v>12028.613389999999</v>
      </c>
      <c r="E65" s="35" t="s">
        <v>0</v>
      </c>
      <c r="F65" s="20">
        <v>0</v>
      </c>
      <c r="G65" s="48">
        <v>0</v>
      </c>
      <c r="H65" s="20">
        <v>12098.128359999999</v>
      </c>
      <c r="J65" s="20">
        <v>0</v>
      </c>
      <c r="K65" s="48">
        <v>0</v>
      </c>
      <c r="L65" s="20">
        <v>12363.43194</v>
      </c>
      <c r="M65" s="35" t="s">
        <v>0</v>
      </c>
      <c r="N65" s="20">
        <v>0</v>
      </c>
      <c r="O65" s="48">
        <v>0</v>
      </c>
      <c r="P65" s="20">
        <v>18498.63178</v>
      </c>
      <c r="R65" s="20">
        <f>+B65+F65+J65+N65</f>
        <v>18007.300999999999</v>
      </c>
      <c r="S65" s="51">
        <f>+(R65-T65)/ABS(T65)</f>
        <v>0.49703880373862458</v>
      </c>
      <c r="T65" s="81">
        <f>+D65</f>
        <v>12028.613389999999</v>
      </c>
      <c r="U65" s="20">
        <f>+D65+H65+L65+P65</f>
        <v>54988.805469999992</v>
      </c>
    </row>
    <row r="66" spans="1:21">
      <c r="B66" s="20"/>
      <c r="C66" s="52" t="s">
        <v>0</v>
      </c>
      <c r="D66" s="20"/>
      <c r="E66" s="35" t="s">
        <v>0</v>
      </c>
      <c r="G66" s="49" t="s">
        <v>0</v>
      </c>
      <c r="K66" s="49" t="s">
        <v>0</v>
      </c>
      <c r="M66" s="35" t="s">
        <v>0</v>
      </c>
      <c r="O66" s="49" t="s">
        <v>0</v>
      </c>
      <c r="R66" s="20"/>
      <c r="S66" s="51"/>
      <c r="T66" s="20"/>
      <c r="U66" s="20"/>
    </row>
    <row r="67" spans="1:21">
      <c r="A67" t="s">
        <v>311</v>
      </c>
      <c r="B67" s="217"/>
      <c r="C67" s="52" t="s">
        <v>0</v>
      </c>
      <c r="D67" s="217"/>
      <c r="E67" s="35" t="s">
        <v>0</v>
      </c>
      <c r="F67" s="334"/>
      <c r="G67" s="49" t="s">
        <v>0</v>
      </c>
      <c r="H67" s="334"/>
      <c r="J67" s="334"/>
      <c r="K67" s="49" t="s">
        <v>0</v>
      </c>
      <c r="L67" s="334"/>
      <c r="M67" s="35" t="s">
        <v>0</v>
      </c>
      <c r="N67" s="334"/>
      <c r="O67" s="49" t="s">
        <v>0</v>
      </c>
      <c r="P67" s="334"/>
      <c r="R67" s="217"/>
      <c r="S67" s="51"/>
      <c r="T67" s="217"/>
      <c r="U67" s="217"/>
    </row>
    <row r="68" spans="1:21">
      <c r="A68" t="s">
        <v>312</v>
      </c>
      <c r="B68" s="20">
        <f>+B63-B65</f>
        <v>912700.27754000004</v>
      </c>
      <c r="C68" s="51">
        <f>+(B68-D68)/ABS(D68)</f>
        <v>0.24200700163463518</v>
      </c>
      <c r="D68" s="20">
        <f>+D63-D65</f>
        <v>734859.20476999995</v>
      </c>
      <c r="E68" s="35" t="s">
        <v>0</v>
      </c>
      <c r="F68" s="20">
        <f>+F63-F65</f>
        <v>0</v>
      </c>
      <c r="G68" s="48">
        <v>0</v>
      </c>
      <c r="H68" s="20">
        <f>+H63-H65</f>
        <v>867964.59085000015</v>
      </c>
      <c r="J68" s="20">
        <f>+J63-J65</f>
        <v>0</v>
      </c>
      <c r="K68" s="48">
        <v>0</v>
      </c>
      <c r="L68" s="20">
        <f>+L63-L65</f>
        <v>973084.64108999993</v>
      </c>
      <c r="M68" s="35" t="s">
        <v>0</v>
      </c>
      <c r="N68" s="20">
        <f>+N63-N65</f>
        <v>0</v>
      </c>
      <c r="O68" s="48">
        <v>0</v>
      </c>
      <c r="P68" s="20">
        <f>+P63-P65</f>
        <v>1013376.10019</v>
      </c>
      <c r="R68" s="20">
        <f>+R63-R65</f>
        <v>912700.27754000004</v>
      </c>
      <c r="S68" s="51">
        <f>+(R68-T68)/ABS(T68)</f>
        <v>0.24200700163463518</v>
      </c>
      <c r="T68" s="20">
        <f>+T63-T65</f>
        <v>734859.20476999995</v>
      </c>
      <c r="U68" s="20">
        <f>+U63-U65</f>
        <v>3589284.5368999997</v>
      </c>
    </row>
    <row r="69" spans="1:21">
      <c r="B69" s="20"/>
      <c r="C69" s="52" t="s">
        <v>0</v>
      </c>
      <c r="D69" s="20"/>
      <c r="E69" s="35" t="s">
        <v>0</v>
      </c>
      <c r="G69" s="49" t="s">
        <v>0</v>
      </c>
      <c r="K69" s="49" t="s">
        <v>0</v>
      </c>
      <c r="M69" s="35" t="s">
        <v>0</v>
      </c>
      <c r="O69" s="49" t="s">
        <v>0</v>
      </c>
      <c r="R69" s="20"/>
      <c r="S69" s="51"/>
      <c r="T69" s="20"/>
      <c r="U69" s="20"/>
    </row>
    <row r="70" spans="1:21">
      <c r="A70" t="s">
        <v>313</v>
      </c>
      <c r="B70" s="20"/>
      <c r="C70" s="52" t="s">
        <v>0</v>
      </c>
      <c r="D70" s="20"/>
      <c r="E70" s="35" t="s">
        <v>0</v>
      </c>
      <c r="G70" s="49" t="s">
        <v>0</v>
      </c>
      <c r="K70" s="49" t="s">
        <v>0</v>
      </c>
      <c r="M70" s="35" t="s">
        <v>0</v>
      </c>
      <c r="O70" s="49" t="s">
        <v>0</v>
      </c>
      <c r="R70" s="20"/>
      <c r="S70" s="51"/>
      <c r="T70" s="20"/>
      <c r="U70" s="20"/>
    </row>
    <row r="71" spans="1:21">
      <c r="A71" t="s">
        <v>314</v>
      </c>
      <c r="B71" s="20">
        <v>214622.43433000002</v>
      </c>
      <c r="C71" s="51">
        <f>+(B71-D71)/ABS(D71)</f>
        <v>0.17012681401774368</v>
      </c>
      <c r="D71" s="20">
        <v>183418.09772999998</v>
      </c>
      <c r="E71" s="35" t="s">
        <v>0</v>
      </c>
      <c r="F71" s="20">
        <v>0</v>
      </c>
      <c r="G71" s="48">
        <v>0</v>
      </c>
      <c r="H71" s="20">
        <v>185944.74163</v>
      </c>
      <c r="J71" s="20">
        <v>0</v>
      </c>
      <c r="K71" s="48">
        <v>0</v>
      </c>
      <c r="L71" s="20">
        <v>210799.97119000001</v>
      </c>
      <c r="M71" s="35" t="s">
        <v>0</v>
      </c>
      <c r="N71" s="20">
        <v>0</v>
      </c>
      <c r="O71" s="48">
        <v>0</v>
      </c>
      <c r="P71" s="20">
        <v>227540.80132999999</v>
      </c>
      <c r="R71" s="20">
        <f>+B71+F71+J71+N71</f>
        <v>214622.43433000002</v>
      </c>
      <c r="S71" s="51">
        <f>+(R71-T71)/ABS(T71)</f>
        <v>0.17012681401774368</v>
      </c>
      <c r="T71" s="81">
        <f>+D71</f>
        <v>183418.09772999998</v>
      </c>
      <c r="U71" s="20">
        <f>+D71+H71+L71+P71</f>
        <v>807703.61187999998</v>
      </c>
    </row>
    <row r="72" spans="1:21">
      <c r="A72" t="s">
        <v>315</v>
      </c>
      <c r="B72" s="20">
        <v>23162.942890000002</v>
      </c>
      <c r="C72" s="51">
        <f>+(B72-D72)/ABS(D72)</f>
        <v>0.12474958065985664</v>
      </c>
      <c r="D72" s="20">
        <v>20593.86666</v>
      </c>
      <c r="E72" s="35" t="s">
        <v>0</v>
      </c>
      <c r="F72" s="20">
        <v>0</v>
      </c>
      <c r="G72" s="48">
        <v>0</v>
      </c>
      <c r="H72" s="20">
        <v>21447.82676</v>
      </c>
      <c r="J72" s="20">
        <v>0</v>
      </c>
      <c r="K72" s="48">
        <v>0</v>
      </c>
      <c r="L72" s="20">
        <v>22075.03962</v>
      </c>
      <c r="M72" s="35" t="s">
        <v>0</v>
      </c>
      <c r="N72" s="20">
        <v>0</v>
      </c>
      <c r="O72" s="48">
        <v>0</v>
      </c>
      <c r="P72" s="20">
        <v>22758.6394</v>
      </c>
      <c r="R72" s="20">
        <f>+B72+F72+J72+N72</f>
        <v>23162.942890000002</v>
      </c>
      <c r="S72" s="51">
        <f>+(R72-T72)/ABS(T72)</f>
        <v>0.12474958065985664</v>
      </c>
      <c r="T72" s="81">
        <f>+D72</f>
        <v>20593.86666</v>
      </c>
      <c r="U72" s="20">
        <f>+D72+H72+L72+P72</f>
        <v>86875.372439999992</v>
      </c>
    </row>
    <row r="73" spans="1:21">
      <c r="A73" t="s">
        <v>316</v>
      </c>
      <c r="B73" s="20">
        <v>47770.355230000001</v>
      </c>
      <c r="C73" s="51">
        <f>+(B73-D73)/ABS(D73)</f>
        <v>0.12899749177665906</v>
      </c>
      <c r="D73" s="20">
        <v>42312.188980000006</v>
      </c>
      <c r="E73" s="35" t="s">
        <v>0</v>
      </c>
      <c r="F73" s="20">
        <v>0</v>
      </c>
      <c r="G73" s="48">
        <v>0</v>
      </c>
      <c r="H73" s="20">
        <v>43318.944869999999</v>
      </c>
      <c r="J73" s="20">
        <v>0</v>
      </c>
      <c r="K73" s="48">
        <v>0</v>
      </c>
      <c r="L73" s="20">
        <v>45845.760699999999</v>
      </c>
      <c r="M73" s="35" t="s">
        <v>0</v>
      </c>
      <c r="N73" s="20">
        <v>0</v>
      </c>
      <c r="O73" s="48">
        <v>0</v>
      </c>
      <c r="P73" s="20">
        <v>47007.826909999996</v>
      </c>
      <c r="R73" s="20">
        <f>+B73+F73+J73+N73</f>
        <v>47770.355230000001</v>
      </c>
      <c r="S73" s="51">
        <f>+(R73-T73)/ABS(T73)</f>
        <v>0.12899749177665906</v>
      </c>
      <c r="T73" s="81">
        <f>+D73</f>
        <v>42312.188980000006</v>
      </c>
      <c r="U73" s="20">
        <f>+D73+H73+L73+P73</f>
        <v>178484.72146000003</v>
      </c>
    </row>
    <row r="74" spans="1:21">
      <c r="A74" t="s">
        <v>317</v>
      </c>
      <c r="B74" s="217">
        <v>232672.22993</v>
      </c>
      <c r="C74" s="51">
        <f>+(B74-D74)/ABS(D74)</f>
        <v>0.15463726069285932</v>
      </c>
      <c r="D74" s="217">
        <v>201511.10470000003</v>
      </c>
      <c r="E74" s="35" t="s">
        <v>0</v>
      </c>
      <c r="F74" s="217">
        <v>0</v>
      </c>
      <c r="G74" s="48">
        <v>0</v>
      </c>
      <c r="H74" s="217">
        <v>208317.74441000001</v>
      </c>
      <c r="J74" s="217">
        <v>0</v>
      </c>
      <c r="K74" s="48">
        <v>0</v>
      </c>
      <c r="L74" s="217">
        <v>216940.89773000003</v>
      </c>
      <c r="M74" s="35" t="s">
        <v>0</v>
      </c>
      <c r="N74" s="217">
        <v>0</v>
      </c>
      <c r="O74" s="48">
        <v>0</v>
      </c>
      <c r="P74" s="217">
        <v>220133.83385999998</v>
      </c>
      <c r="R74" s="217">
        <f>+B74+F74+J74+N74</f>
        <v>232672.22993</v>
      </c>
      <c r="S74" s="51">
        <f>+(R74-T74)/ABS(T74)</f>
        <v>0.15463726069285932</v>
      </c>
      <c r="T74" s="217">
        <f>+D74</f>
        <v>201511.10470000003</v>
      </c>
      <c r="U74" s="217">
        <f>+D74+H74+L74+P74</f>
        <v>846903.58070000017</v>
      </c>
    </row>
    <row r="75" spans="1:21">
      <c r="B75" s="20">
        <f>SUM(B71:B74)</f>
        <v>518227.96238000004</v>
      </c>
      <c r="C75" s="51">
        <f>+(B75-D75)/ABS(D75)</f>
        <v>0.15718437314061851</v>
      </c>
      <c r="D75" s="20">
        <f>SUM(D71:D74)</f>
        <v>447835.25806999998</v>
      </c>
      <c r="E75" s="35" t="s">
        <v>0</v>
      </c>
      <c r="F75" s="20">
        <f>SUM(F71:F74)</f>
        <v>0</v>
      </c>
      <c r="G75" s="48">
        <v>0</v>
      </c>
      <c r="H75" s="20">
        <f>SUM(H71:H74)</f>
        <v>459029.25767000002</v>
      </c>
      <c r="J75" s="20">
        <f>SUM(J71:J74)</f>
        <v>0</v>
      </c>
      <c r="K75" s="48">
        <v>0</v>
      </c>
      <c r="L75" s="20">
        <f>SUM(L71:L74)</f>
        <v>495661.66924000002</v>
      </c>
      <c r="M75" s="35" t="s">
        <v>0</v>
      </c>
      <c r="N75" s="20">
        <f>SUM(N71:N74)</f>
        <v>0</v>
      </c>
      <c r="O75" s="48">
        <v>0</v>
      </c>
      <c r="P75" s="20">
        <f>SUM(P71:P74)</f>
        <v>517441.10149999999</v>
      </c>
      <c r="R75" s="20">
        <f>SUM(R71:R74)</f>
        <v>518227.96238000004</v>
      </c>
      <c r="S75" s="51">
        <f>+(R75-T75)/ABS(T75)</f>
        <v>0.15718437314061851</v>
      </c>
      <c r="T75" s="20">
        <f>SUM(T71:T74)</f>
        <v>447835.25806999998</v>
      </c>
      <c r="U75" s="20">
        <f>SUM(U71:U74)</f>
        <v>1919967.2864800002</v>
      </c>
    </row>
    <row r="76" spans="1:21">
      <c r="B76" s="217"/>
      <c r="C76" s="51"/>
      <c r="D76" s="217"/>
      <c r="E76" s="35"/>
      <c r="F76" s="334"/>
      <c r="G76" s="48"/>
      <c r="H76" s="334"/>
      <c r="J76" s="334"/>
      <c r="K76" s="48"/>
      <c r="L76" s="334"/>
      <c r="M76" s="35"/>
      <c r="N76" s="334"/>
      <c r="O76" s="48"/>
      <c r="P76" s="334"/>
      <c r="R76" s="217"/>
      <c r="S76" s="51"/>
      <c r="T76" s="217"/>
      <c r="U76" s="217"/>
    </row>
    <row r="77" spans="1:21">
      <c r="A77" t="s">
        <v>318</v>
      </c>
      <c r="B77" s="20">
        <f>+B68-B75</f>
        <v>394472.31516</v>
      </c>
      <c r="C77" s="51">
        <f>+(B77-D77)/ABS(D77)</f>
        <v>0.374353323809271</v>
      </c>
      <c r="D77" s="20">
        <f>+D68-D75</f>
        <v>287023.94669999997</v>
      </c>
      <c r="E77" s="35" t="s">
        <v>0</v>
      </c>
      <c r="F77" s="20">
        <f>+F68-F75</f>
        <v>0</v>
      </c>
      <c r="G77" s="48">
        <v>0</v>
      </c>
      <c r="H77" s="20">
        <f>+H68-H75</f>
        <v>408935.33318000013</v>
      </c>
      <c r="J77" s="20">
        <f>+J68-J75</f>
        <v>0</v>
      </c>
      <c r="K77" s="48">
        <v>0</v>
      </c>
      <c r="L77" s="20">
        <f>+L68-L75</f>
        <v>477422.97184999991</v>
      </c>
      <c r="M77" s="35" t="s">
        <v>0</v>
      </c>
      <c r="N77" s="20">
        <f>+N68-N75</f>
        <v>0</v>
      </c>
      <c r="O77" s="48">
        <v>0</v>
      </c>
      <c r="P77" s="20">
        <f>+P68-P75</f>
        <v>495934.99869000004</v>
      </c>
      <c r="R77" s="20">
        <f>+R68-R75</f>
        <v>394472.31516</v>
      </c>
      <c r="S77" s="51">
        <f>+(R77-T77)/ABS(T77)</f>
        <v>0.374353323809271</v>
      </c>
      <c r="T77" s="20">
        <f>+T68-T75</f>
        <v>287023.94669999997</v>
      </c>
      <c r="U77" s="20">
        <f>+U68-U75</f>
        <v>1669317.2504199995</v>
      </c>
    </row>
    <row r="78" spans="1:21">
      <c r="B78" s="20"/>
      <c r="C78" s="52" t="s">
        <v>0</v>
      </c>
      <c r="D78" s="20"/>
      <c r="E78" s="35" t="s">
        <v>0</v>
      </c>
      <c r="G78" s="49" t="s">
        <v>0</v>
      </c>
      <c r="K78" s="49" t="s">
        <v>0</v>
      </c>
      <c r="M78" s="35" t="s">
        <v>0</v>
      </c>
      <c r="O78" s="49" t="s">
        <v>0</v>
      </c>
      <c r="R78" s="20"/>
      <c r="S78" s="51"/>
      <c r="T78" s="20"/>
      <c r="U78" s="20"/>
    </row>
    <row r="79" spans="1:21">
      <c r="A79" t="s">
        <v>319</v>
      </c>
      <c r="B79" s="20">
        <v>52748.721839999998</v>
      </c>
      <c r="C79" s="51">
        <f>+(B79-D79)/ABS(D79)</f>
        <v>0.61535255381107201</v>
      </c>
      <c r="D79" s="20">
        <v>32654.618780000004</v>
      </c>
      <c r="E79" s="35" t="s">
        <v>0</v>
      </c>
      <c r="F79" s="20">
        <v>0</v>
      </c>
      <c r="G79" s="48">
        <v>0</v>
      </c>
      <c r="H79" s="20">
        <v>13824.258669999999</v>
      </c>
      <c r="J79" s="20">
        <v>0</v>
      </c>
      <c r="K79" s="48">
        <v>0</v>
      </c>
      <c r="L79" s="20">
        <v>25172.368819999996</v>
      </c>
      <c r="M79" s="35" t="s">
        <v>0</v>
      </c>
      <c r="N79" s="20">
        <v>0</v>
      </c>
      <c r="O79" s="48">
        <v>0</v>
      </c>
      <c r="P79" s="20">
        <v>35559.225120000003</v>
      </c>
      <c r="R79" s="20">
        <f>+B79+F79+J79+N79</f>
        <v>52748.721839999998</v>
      </c>
      <c r="S79" s="51">
        <f>+(R79-T79)/ABS(T79)</f>
        <v>0.61535255381107201</v>
      </c>
      <c r="T79" s="81">
        <f>+D79</f>
        <v>32654.618780000004</v>
      </c>
      <c r="U79" s="20">
        <f>+D79+H79+L79+P79</f>
        <v>107210.47139000001</v>
      </c>
    </row>
    <row r="80" spans="1:21" ht="16.5" thickBot="1">
      <c r="B80" s="79"/>
      <c r="C80" s="52" t="s">
        <v>0</v>
      </c>
      <c r="D80" s="79"/>
      <c r="E80" s="35" t="s">
        <v>0</v>
      </c>
      <c r="F80" s="36"/>
      <c r="G80" s="49" t="s">
        <v>0</v>
      </c>
      <c r="H80" s="36"/>
      <c r="J80" s="36"/>
      <c r="K80" s="49" t="s">
        <v>0</v>
      </c>
      <c r="L80" s="36"/>
      <c r="M80" s="35" t="s">
        <v>0</v>
      </c>
      <c r="N80" s="36"/>
      <c r="O80" s="49" t="s">
        <v>0</v>
      </c>
      <c r="P80" s="36"/>
      <c r="R80" s="79"/>
      <c r="S80" s="51"/>
      <c r="T80" s="79"/>
      <c r="U80" s="79"/>
    </row>
    <row r="81" spans="1:21" s="11" customFormat="1">
      <c r="A81" s="11" t="s">
        <v>372</v>
      </c>
      <c r="B81" s="13">
        <f>+B77-B79</f>
        <v>341723.59331999999</v>
      </c>
      <c r="C81" s="109">
        <f>+(B81-D81)/ABS(D81)</f>
        <v>0.34341508905300588</v>
      </c>
      <c r="D81" s="13">
        <f>+D77-D79</f>
        <v>254369.32791999995</v>
      </c>
      <c r="E81" s="137" t="s">
        <v>0</v>
      </c>
      <c r="F81" s="13">
        <f>+F77-F79</f>
        <v>0</v>
      </c>
      <c r="G81" s="47">
        <v>0</v>
      </c>
      <c r="H81" s="13">
        <f>+H77-H79</f>
        <v>395111.07451000012</v>
      </c>
      <c r="I81" s="137"/>
      <c r="J81" s="13">
        <f>+J77-J79</f>
        <v>0</v>
      </c>
      <c r="K81" s="47">
        <v>0</v>
      </c>
      <c r="L81" s="13">
        <f>+L77-L79</f>
        <v>452250.60302999994</v>
      </c>
      <c r="M81" s="137" t="s">
        <v>0</v>
      </c>
      <c r="N81" s="13">
        <f>+N77-N79</f>
        <v>0</v>
      </c>
      <c r="O81" s="47">
        <v>0</v>
      </c>
      <c r="P81" s="13">
        <f>+P77-P79</f>
        <v>460375.77357000002</v>
      </c>
      <c r="Q81" s="137"/>
      <c r="R81" s="13">
        <f>+R77-R79</f>
        <v>341723.59331999999</v>
      </c>
      <c r="S81" s="109">
        <f>+(R81-T81)/ABS(T81)</f>
        <v>0.34341508905300588</v>
      </c>
      <c r="T81" s="13">
        <f>+T77-T79</f>
        <v>254369.32791999995</v>
      </c>
      <c r="U81" s="13">
        <f>+U77-U79</f>
        <v>1562106.7790299994</v>
      </c>
    </row>
    <row r="82" spans="1:21">
      <c r="E82" s="35"/>
      <c r="K82" s="49" t="s">
        <v>0</v>
      </c>
      <c r="M82" s="35"/>
      <c r="O82" s="49" t="s">
        <v>0</v>
      </c>
    </row>
    <row r="83" spans="1:21">
      <c r="E83" s="35"/>
      <c r="M83" s="35"/>
      <c r="N83" s="35" t="s">
        <v>0</v>
      </c>
    </row>
    <row r="84" spans="1:21">
      <c r="B84" s="428"/>
      <c r="D84" s="428"/>
      <c r="E84" s="35"/>
      <c r="F84" s="428"/>
      <c r="H84" s="428"/>
      <c r="M84" s="35"/>
    </row>
    <row r="85" spans="1:21">
      <c r="B85" s="32"/>
      <c r="D85" s="32"/>
      <c r="F85" s="32"/>
      <c r="H85" s="32"/>
      <c r="M85" s="35"/>
    </row>
    <row r="86" spans="1:21">
      <c r="B86" s="35"/>
      <c r="D86" s="35"/>
      <c r="F86" s="35"/>
      <c r="H86" s="35"/>
      <c r="M86" s="35"/>
    </row>
    <row r="87" spans="1:21">
      <c r="B87" s="24"/>
    </row>
    <row r="88" spans="1:21">
      <c r="B88" s="20"/>
      <c r="D88" s="20"/>
      <c r="F88" s="20"/>
      <c r="H88" s="20"/>
    </row>
    <row r="89" spans="1:21" ht="18">
      <c r="B89" s="14"/>
      <c r="D89" s="14"/>
      <c r="F89" s="14"/>
      <c r="H89" s="14"/>
    </row>
    <row r="90" spans="1:21">
      <c r="B90" s="24" t="s">
        <v>0</v>
      </c>
      <c r="D90" s="20"/>
      <c r="F90" s="20"/>
      <c r="H90" s="20"/>
    </row>
    <row r="91" spans="1:21">
      <c r="B91" s="24" t="s">
        <v>0</v>
      </c>
      <c r="D91" s="20"/>
      <c r="F91" s="20"/>
      <c r="H91" s="20"/>
    </row>
    <row r="92" spans="1:21">
      <c r="B92" s="24" t="s">
        <v>0</v>
      </c>
      <c r="D92" s="20"/>
      <c r="F92" s="20"/>
      <c r="H92" s="20"/>
    </row>
    <row r="93" spans="1:21">
      <c r="B93" s="20"/>
      <c r="D93" s="20"/>
      <c r="F93" s="20"/>
      <c r="H93" s="20"/>
    </row>
    <row r="94" spans="1:21">
      <c r="B94" s="20"/>
      <c r="D94" s="20"/>
      <c r="F94" s="20"/>
      <c r="H94" s="20"/>
    </row>
    <row r="95" spans="1:21">
      <c r="B95" s="24"/>
      <c r="D95" s="24"/>
      <c r="F95" s="24"/>
      <c r="H95" s="24"/>
    </row>
    <row r="96" spans="1:21">
      <c r="B96" s="20"/>
      <c r="D96" s="20"/>
      <c r="F96" s="20"/>
      <c r="H96" s="20"/>
    </row>
    <row r="97" spans="2:8">
      <c r="B97" s="20"/>
      <c r="D97" s="20"/>
      <c r="F97" s="20"/>
      <c r="H97" s="20"/>
    </row>
    <row r="98" spans="2:8">
      <c r="B98" s="20"/>
      <c r="D98" s="20"/>
      <c r="F98" s="20"/>
      <c r="H98" s="20"/>
    </row>
    <row r="99" spans="2:8">
      <c r="B99" s="20"/>
      <c r="D99" s="20"/>
      <c r="F99" s="20"/>
      <c r="H99" s="20"/>
    </row>
    <row r="100" spans="2:8">
      <c r="B100" s="20"/>
      <c r="D100" s="20"/>
      <c r="F100" s="20"/>
      <c r="H100" s="20"/>
    </row>
    <row r="101" spans="2:8">
      <c r="B101" s="20"/>
      <c r="D101" s="20"/>
      <c r="F101" s="20"/>
      <c r="H101" s="20"/>
    </row>
    <row r="102" spans="2:8">
      <c r="B102" s="20"/>
      <c r="D102" s="20"/>
      <c r="F102" s="20"/>
      <c r="H102" s="20"/>
    </row>
    <row r="103" spans="2:8">
      <c r="B103" s="20"/>
      <c r="D103" s="20"/>
      <c r="F103" s="20"/>
      <c r="H103" s="20"/>
    </row>
    <row r="104" spans="2:8">
      <c r="B104" s="20"/>
      <c r="D104" s="20"/>
      <c r="F104" s="20"/>
      <c r="H104" s="20"/>
    </row>
    <row r="105" spans="2:8">
      <c r="B105" s="20"/>
      <c r="D105" s="20"/>
      <c r="F105" s="20"/>
      <c r="H105" s="20"/>
    </row>
    <row r="106" spans="2:8">
      <c r="B106" s="20"/>
      <c r="D106" s="20"/>
      <c r="F106" s="20"/>
      <c r="H106" s="20"/>
    </row>
    <row r="107" spans="2:8">
      <c r="B107" s="20"/>
      <c r="D107" s="20"/>
      <c r="F107" s="20"/>
      <c r="H107" s="20"/>
    </row>
    <row r="108" spans="2:8">
      <c r="B108" s="20"/>
      <c r="D108" s="20"/>
      <c r="F108" s="20"/>
      <c r="H108" s="20"/>
    </row>
    <row r="109" spans="2:8">
      <c r="B109" s="20"/>
      <c r="D109" s="20"/>
      <c r="F109" s="20"/>
      <c r="H109" s="20"/>
    </row>
    <row r="110" spans="2:8">
      <c r="B110" s="20"/>
      <c r="D110" s="20"/>
      <c r="F110" s="20"/>
      <c r="H110" s="20"/>
    </row>
    <row r="111" spans="2:8">
      <c r="B111" s="20"/>
      <c r="D111" s="20"/>
      <c r="F111" s="20"/>
      <c r="H111" s="20"/>
    </row>
    <row r="112" spans="2:8">
      <c r="B112" s="20"/>
      <c r="D112" s="20"/>
      <c r="F112" s="20"/>
      <c r="H112" s="20"/>
    </row>
    <row r="113" spans="2:8">
      <c r="B113" s="20"/>
      <c r="D113" s="20"/>
      <c r="F113" s="20"/>
      <c r="H113" s="20"/>
    </row>
    <row r="114" spans="2:8">
      <c r="B114" s="20"/>
      <c r="D114" s="20"/>
      <c r="F114" s="20"/>
      <c r="H114" s="20"/>
    </row>
    <row r="115" spans="2:8">
      <c r="B115" s="24"/>
      <c r="D115" s="20"/>
      <c r="F115" s="20"/>
      <c r="H115" s="20"/>
    </row>
    <row r="116" spans="2:8">
      <c r="B116" s="20"/>
      <c r="D116" s="20"/>
      <c r="F116" s="20"/>
      <c r="H116" s="20"/>
    </row>
    <row r="117" spans="2:8">
      <c r="B117" s="20"/>
      <c r="D117" s="20"/>
      <c r="F117" s="20"/>
      <c r="H117" s="20"/>
    </row>
    <row r="118" spans="2:8">
      <c r="B118" s="20"/>
      <c r="D118" s="20"/>
      <c r="F118" s="20"/>
      <c r="H118" s="20"/>
    </row>
    <row r="120" spans="2:8">
      <c r="B120" s="35"/>
    </row>
  </sheetData>
  <phoneticPr fontId="0" type="noConversion"/>
  <pageMargins left="0.22" right="0.2" top="0.48" bottom="0.41" header="0.31" footer="0.2"/>
  <pageSetup scale="43" orientation="landscape" r:id="rId1"/>
  <headerFooter alignWithMargins="0">
    <oddFooter>&amp;R&amp;16&amp;P</oddFooter>
  </headerFooter>
</worksheet>
</file>

<file path=xl/worksheets/sheet119.xml><?xml version="1.0" encoding="utf-8"?>
<worksheet xmlns="http://schemas.openxmlformats.org/spreadsheetml/2006/main" xmlns:r="http://schemas.openxmlformats.org/officeDocument/2006/relationships">
  <dimension ref="A1:N45"/>
  <sheetViews>
    <sheetView workbookViewId="0">
      <selection activeCell="B6" sqref="B6"/>
    </sheetView>
  </sheetViews>
  <sheetFormatPr baseColWidth="10" defaultColWidth="9" defaultRowHeight="15.75"/>
  <cols>
    <col min="1" max="1" width="50" customWidth="1"/>
    <col min="2" max="2" width="15.75" customWidth="1"/>
    <col min="4" max="4" width="15.75" customWidth="1"/>
    <col min="5" max="5" width="6.125" customWidth="1"/>
    <col min="6" max="6" width="16" customWidth="1"/>
    <col min="8" max="8" width="16" customWidth="1"/>
    <col min="9" max="9" width="11" customWidth="1"/>
    <col min="10" max="10" width="15.875" customWidth="1"/>
    <col min="11" max="11" width="9.75" customWidth="1"/>
    <col min="12" max="12" width="15.875" customWidth="1"/>
  </cols>
  <sheetData>
    <row r="1" spans="1:14">
      <c r="A1" s="111" t="s">
        <v>411</v>
      </c>
      <c r="B1" s="39"/>
      <c r="C1" s="39"/>
      <c r="D1" s="39"/>
      <c r="E1" s="39"/>
      <c r="F1" s="39"/>
      <c r="G1" s="39"/>
      <c r="H1" s="39"/>
      <c r="I1" s="39"/>
      <c r="J1" s="39"/>
      <c r="K1" s="39"/>
      <c r="L1" s="39"/>
    </row>
    <row r="2" spans="1:14">
      <c r="A2" s="111" t="s">
        <v>331</v>
      </c>
      <c r="B2" s="39"/>
      <c r="C2" s="39"/>
      <c r="D2" s="39"/>
      <c r="E2" s="39"/>
      <c r="F2" s="39"/>
      <c r="G2" s="39"/>
      <c r="H2" s="39"/>
      <c r="I2" s="39"/>
      <c r="J2" s="39"/>
      <c r="K2" s="39"/>
      <c r="L2" s="39"/>
    </row>
    <row r="3" spans="1:14">
      <c r="A3" s="111" t="s">
        <v>389</v>
      </c>
      <c r="B3" s="39"/>
      <c r="C3" s="39"/>
      <c r="D3" s="39"/>
      <c r="E3" s="39"/>
      <c r="F3" s="39"/>
      <c r="G3" s="39"/>
      <c r="H3" s="39"/>
      <c r="I3" s="39"/>
      <c r="J3" s="39"/>
      <c r="K3" s="39"/>
      <c r="L3" s="39"/>
    </row>
    <row r="4" spans="1:14">
      <c r="A4" s="111" t="s">
        <v>198</v>
      </c>
      <c r="B4" s="39"/>
      <c r="C4" s="39"/>
      <c r="D4" s="39"/>
      <c r="E4" s="39"/>
      <c r="F4" s="39"/>
      <c r="G4" s="39"/>
      <c r="H4" s="39"/>
      <c r="I4" s="39"/>
      <c r="J4" s="39"/>
      <c r="K4" s="39"/>
      <c r="L4" s="39"/>
    </row>
    <row r="5" spans="1:14">
      <c r="A5" s="39"/>
      <c r="B5" s="39"/>
      <c r="C5" s="39"/>
      <c r="D5" s="39"/>
      <c r="E5" s="39"/>
      <c r="F5" s="39"/>
      <c r="G5" s="39"/>
      <c r="H5" s="39"/>
      <c r="I5" s="39"/>
      <c r="J5" s="39"/>
      <c r="K5" s="39"/>
      <c r="L5" s="39"/>
    </row>
    <row r="6" spans="1:14">
      <c r="A6" s="39"/>
      <c r="B6" s="39"/>
      <c r="C6" s="39"/>
      <c r="D6" s="39"/>
      <c r="E6" s="39"/>
      <c r="F6" s="39"/>
      <c r="G6" s="39"/>
      <c r="H6" s="39"/>
      <c r="I6" s="39"/>
      <c r="J6" s="39"/>
      <c r="K6" s="39"/>
      <c r="L6" s="39"/>
    </row>
    <row r="8" spans="1:14" ht="16.5" thickBot="1">
      <c r="B8" s="111" t="str">
        <f>+'SGBELVARAN         '!B8</f>
        <v xml:space="preserve">     CUMUL (Octobre - Décembre )</v>
      </c>
      <c r="C8" s="111"/>
      <c r="D8" s="39"/>
      <c r="E8" s="11"/>
      <c r="F8" s="111" t="s">
        <v>214</v>
      </c>
      <c r="G8" s="111"/>
      <c r="H8" s="111"/>
      <c r="I8" s="111"/>
      <c r="J8" s="111"/>
      <c r="K8" s="111"/>
      <c r="L8" s="111"/>
    </row>
    <row r="9" spans="1:14" ht="16.5" thickBot="1">
      <c r="B9" s="223" t="str">
        <f>+'SGBELVARAN         '!B9</f>
        <v xml:space="preserve"> 2015</v>
      </c>
      <c r="C9" s="203" t="s">
        <v>196</v>
      </c>
      <c r="D9" s="223" t="str">
        <f>+'SGBELVARAN         '!D9</f>
        <v xml:space="preserve"> 2014</v>
      </c>
      <c r="E9" s="11"/>
      <c r="F9" s="223" t="str">
        <f>+'SGBELVARAN         '!F9</f>
        <v>2014</v>
      </c>
      <c r="G9" s="203" t="s">
        <v>196</v>
      </c>
      <c r="H9" s="223" t="str">
        <f>+'SGBELVARAN         '!H9</f>
        <v>2013</v>
      </c>
      <c r="I9" s="203" t="s">
        <v>196</v>
      </c>
      <c r="J9" s="223" t="str">
        <f>+'SGBELVARAN         '!J9</f>
        <v>2012</v>
      </c>
      <c r="K9" s="203" t="s">
        <v>196</v>
      </c>
      <c r="L9" s="223" t="str">
        <f>+'SGBELVARAN         '!L9</f>
        <v>2011</v>
      </c>
    </row>
    <row r="10" spans="1:14">
      <c r="A10" t="s">
        <v>300</v>
      </c>
    </row>
    <row r="11" spans="1:14">
      <c r="A11" t="s">
        <v>301</v>
      </c>
      <c r="B11" s="24" t="s">
        <v>0</v>
      </c>
      <c r="C11" s="52" t="s">
        <v>0</v>
      </c>
      <c r="D11" s="24" t="s">
        <v>0</v>
      </c>
      <c r="E11" s="49" t="s">
        <v>0</v>
      </c>
      <c r="F11" s="24" t="s">
        <v>0</v>
      </c>
      <c r="G11" s="52" t="s">
        <v>0</v>
      </c>
      <c r="H11" s="24" t="s">
        <v>0</v>
      </c>
      <c r="J11" s="24" t="s">
        <v>0</v>
      </c>
      <c r="L11" s="24" t="s">
        <v>0</v>
      </c>
      <c r="M11" s="48"/>
      <c r="N11" s="48"/>
    </row>
    <row r="12" spans="1:14">
      <c r="A12" t="s">
        <v>302</v>
      </c>
      <c r="B12" s="20">
        <f>+'UNIBKRÉSULT   '!R50</f>
        <v>471376.64861999999</v>
      </c>
      <c r="C12" s="51">
        <f t="shared" ref="C12:C17" si="0">+(B12-D12)/ABS(D12)</f>
        <v>0.3673721610282058</v>
      </c>
      <c r="D12" s="20">
        <f>+'UNIBKRÉSULT   '!T50</f>
        <v>344731.78703999997</v>
      </c>
      <c r="E12" s="49"/>
      <c r="F12" s="20">
        <f>+'UNIBKRÉSULT   '!U50</f>
        <v>1522102.30736</v>
      </c>
      <c r="G12" s="51">
        <f t="shared" ref="G12:G17" si="1">+(F12-H12)/ABS(H12)</f>
        <v>0.27740888676094966</v>
      </c>
      <c r="H12" s="20">
        <v>1191554.5</v>
      </c>
      <c r="I12" s="51">
        <f t="shared" ref="I12:I17" si="2">+(H12-J12)/ABS(J12)</f>
        <v>0.1710516639151988</v>
      </c>
      <c r="J12" s="20">
        <v>1017508.0542700001</v>
      </c>
      <c r="K12" s="51">
        <f t="shared" ref="K12:K17" si="3">+(J12-L12)/ABS(L12)</f>
        <v>0.27463144606180129</v>
      </c>
      <c r="L12" s="20">
        <v>798276.28402999998</v>
      </c>
      <c r="M12" s="48"/>
      <c r="N12" s="48"/>
    </row>
    <row r="13" spans="1:14">
      <c r="A13" t="s">
        <v>322</v>
      </c>
      <c r="B13" s="20">
        <f>+'UNIBKRÉSULT   '!R51</f>
        <v>1902</v>
      </c>
      <c r="C13" s="48">
        <v>0</v>
      </c>
      <c r="D13" s="20">
        <f>+'UNIBKRÉSULT   '!T51</f>
        <v>0</v>
      </c>
      <c r="E13" s="49"/>
      <c r="F13" s="20">
        <f>+'UNIBKRÉSULT   '!U51</f>
        <v>1028.5</v>
      </c>
      <c r="G13" s="51">
        <f t="shared" si="1"/>
        <v>-0.98518536657035116</v>
      </c>
      <c r="H13" s="20">
        <v>69424.600000000006</v>
      </c>
      <c r="I13" s="51">
        <f t="shared" si="2"/>
        <v>7.2438288523581633</v>
      </c>
      <c r="J13" s="20">
        <v>8421.4023900000011</v>
      </c>
      <c r="K13" s="51">
        <f t="shared" si="3"/>
        <v>0.25494397290111009</v>
      </c>
      <c r="L13" s="20">
        <v>6710.5803699999997</v>
      </c>
      <c r="M13" s="48"/>
      <c r="N13" s="48"/>
    </row>
    <row r="14" spans="1:14">
      <c r="A14" t="s">
        <v>304</v>
      </c>
      <c r="B14" s="217">
        <f>+'UNIBKRÉSULT   '!R52</f>
        <v>26487.898229999999</v>
      </c>
      <c r="C14" s="51">
        <f t="shared" si="0"/>
        <v>0.98769737194840801</v>
      </c>
      <c r="D14" s="217">
        <f>+'UNIBKRÉSULT   '!T52</f>
        <v>13325.921040000001</v>
      </c>
      <c r="E14" s="49"/>
      <c r="F14" s="217">
        <f>+'UNIBKRÉSULT   '!U52</f>
        <v>57746.296499999997</v>
      </c>
      <c r="G14" s="51">
        <f t="shared" si="1"/>
        <v>-4.488743834787183E-2</v>
      </c>
      <c r="H14" s="217">
        <v>60460.2</v>
      </c>
      <c r="I14" s="51">
        <f t="shared" si="2"/>
        <v>0.16968666925629711</v>
      </c>
      <c r="J14" s="217">
        <v>51689.227200000001</v>
      </c>
      <c r="K14" s="51">
        <f t="shared" si="3"/>
        <v>-0.64293391738210903</v>
      </c>
      <c r="L14" s="217">
        <v>144760.95522999999</v>
      </c>
      <c r="M14" s="48"/>
      <c r="N14" s="48"/>
    </row>
    <row r="15" spans="1:14">
      <c r="B15" s="20">
        <f>SUM(B12:B14)</f>
        <v>499766.54684999998</v>
      </c>
      <c r="C15" s="51">
        <f t="shared" si="0"/>
        <v>0.39577094857105655</v>
      </c>
      <c r="D15" s="20">
        <f>SUM(D12:D14)</f>
        <v>358057.70807999995</v>
      </c>
      <c r="E15" s="49"/>
      <c r="F15" s="20">
        <f>SUM(F12:F14)</f>
        <v>1580877.1038599999</v>
      </c>
      <c r="G15" s="51">
        <f t="shared" si="1"/>
        <v>0.19632971704413502</v>
      </c>
      <c r="H15" s="20">
        <f>SUM(H12:H14)</f>
        <v>1321439.3</v>
      </c>
      <c r="I15" s="51">
        <f t="shared" si="2"/>
        <v>0.22625871265208714</v>
      </c>
      <c r="J15" s="20">
        <f>SUM(J12:J14)</f>
        <v>1077618.68386</v>
      </c>
      <c r="K15" s="51">
        <f t="shared" si="3"/>
        <v>0.1346366494211228</v>
      </c>
      <c r="L15" s="20">
        <f>SUM(L12:L14)</f>
        <v>949747.81962999993</v>
      </c>
      <c r="M15" s="48"/>
      <c r="N15" s="48"/>
    </row>
    <row r="16" spans="1:14">
      <c r="A16" t="s">
        <v>305</v>
      </c>
      <c r="B16" s="217">
        <f>+'UNIBKRÉSULT   '!R54</f>
        <v>60857.864279999994</v>
      </c>
      <c r="C16" s="51">
        <f t="shared" si="0"/>
        <v>1.0836138661850496</v>
      </c>
      <c r="D16" s="217">
        <f>+'UNIBKRÉSULT   '!T54</f>
        <v>29207.841850000001</v>
      </c>
      <c r="E16" s="49" t="s">
        <v>0</v>
      </c>
      <c r="F16" s="217">
        <f>+'UNIBKRÉSULT   '!U54</f>
        <v>187293.85052000004</v>
      </c>
      <c r="G16" s="51">
        <f t="shared" si="1"/>
        <v>1.2804198949730496</v>
      </c>
      <c r="H16" s="217">
        <v>82131.3</v>
      </c>
      <c r="I16" s="51">
        <f t="shared" si="2"/>
        <v>0.29609383305201192</v>
      </c>
      <c r="J16" s="217">
        <v>63368.328670000003</v>
      </c>
      <c r="K16" s="51">
        <f t="shared" si="3"/>
        <v>-5.993566851286182E-2</v>
      </c>
      <c r="L16" s="217">
        <v>67408.50232</v>
      </c>
      <c r="M16" s="48"/>
      <c r="N16" s="48"/>
    </row>
    <row r="17" spans="1:14" s="187" customFormat="1">
      <c r="B17" s="24">
        <f>+B15-B16</f>
        <v>438908.68257</v>
      </c>
      <c r="C17" s="51">
        <f t="shared" si="0"/>
        <v>0.33467800246275353</v>
      </c>
      <c r="D17" s="24">
        <f>+D15-D16</f>
        <v>328849.86622999993</v>
      </c>
      <c r="E17" s="49" t="s">
        <v>0</v>
      </c>
      <c r="F17" s="24">
        <f>+F15-F16</f>
        <v>1393583.2533399998</v>
      </c>
      <c r="G17" s="51">
        <f t="shared" si="1"/>
        <v>0.12448499754701803</v>
      </c>
      <c r="H17" s="24">
        <f>+H15-H16</f>
        <v>1239308</v>
      </c>
      <c r="I17" s="51">
        <f t="shared" si="2"/>
        <v>0.22189555434549471</v>
      </c>
      <c r="J17" s="24">
        <f>+J15-J16</f>
        <v>1014250.35519</v>
      </c>
      <c r="K17" s="51">
        <f t="shared" si="3"/>
        <v>0.14950148462403226</v>
      </c>
      <c r="L17" s="24">
        <f>+L15-L16</f>
        <v>882339.31730999995</v>
      </c>
      <c r="M17" s="49"/>
      <c r="N17" s="49"/>
    </row>
    <row r="18" spans="1:14">
      <c r="B18" s="20"/>
      <c r="C18" s="51"/>
      <c r="D18" s="20"/>
      <c r="E18" s="49"/>
      <c r="F18" s="20"/>
      <c r="G18" s="51"/>
      <c r="H18" s="20"/>
      <c r="I18" s="51"/>
      <c r="J18" s="20"/>
      <c r="K18" s="51"/>
      <c r="L18" s="20"/>
      <c r="M18" s="48"/>
      <c r="N18" s="48"/>
    </row>
    <row r="19" spans="1:14">
      <c r="A19" t="s">
        <v>306</v>
      </c>
      <c r="B19" s="20"/>
      <c r="C19" s="51"/>
      <c r="D19" s="20"/>
      <c r="E19" s="49" t="s">
        <v>0</v>
      </c>
      <c r="F19" s="20"/>
      <c r="G19" s="51"/>
      <c r="H19" s="20"/>
      <c r="I19" s="51"/>
      <c r="J19" s="20"/>
      <c r="K19" s="51"/>
      <c r="L19" s="20"/>
      <c r="M19" s="48"/>
      <c r="N19" s="48"/>
    </row>
    <row r="20" spans="1:14">
      <c r="A20" t="s">
        <v>307</v>
      </c>
      <c r="B20" s="20">
        <f>+'UNIBKRÉSULT   '!R58</f>
        <v>212621.04478</v>
      </c>
      <c r="C20" s="51">
        <f>+(B20-D20)/ABS(D20)</f>
        <v>0.22320825448221099</v>
      </c>
      <c r="D20" s="20">
        <f>+'UNIBKRÉSULT   '!T58</f>
        <v>173822.44110999999</v>
      </c>
      <c r="E20" s="49" t="s">
        <v>0</v>
      </c>
      <c r="F20" s="20">
        <f>+'UNIBKRÉSULT   '!U58</f>
        <v>989452.10522000003</v>
      </c>
      <c r="G20" s="51">
        <f>+(F20-H20)/ABS(H20)</f>
        <v>0.13582821866767497</v>
      </c>
      <c r="H20" s="20">
        <v>871128.3</v>
      </c>
      <c r="I20" s="51">
        <f>+(H20-J20)/ABS(J20)</f>
        <v>0.22643802681394132</v>
      </c>
      <c r="J20" s="20">
        <v>710291.33226000005</v>
      </c>
      <c r="K20" s="51">
        <f>+(J20-L20)/ABS(L20)</f>
        <v>0.28458053946900208</v>
      </c>
      <c r="L20" s="20">
        <v>552936.39474999998</v>
      </c>
      <c r="M20" s="48"/>
      <c r="N20" s="48"/>
    </row>
    <row r="21" spans="1:14">
      <c r="A21" t="s">
        <v>308</v>
      </c>
      <c r="B21" s="20">
        <f>+'UNIBKRÉSULT   '!R59</f>
        <v>73268.277910000004</v>
      </c>
      <c r="C21" s="51">
        <f>+(B21-D21)/ABS(D21)</f>
        <v>-9.1728392398099101E-2</v>
      </c>
      <c r="D21" s="20">
        <f>+'UNIBKRÉSULT   '!T59</f>
        <v>80667.806080000009</v>
      </c>
      <c r="E21" s="49" t="s">
        <v>0</v>
      </c>
      <c r="F21" s="20">
        <f>+'UNIBKRÉSULT   '!U59</f>
        <v>306158.42833000002</v>
      </c>
      <c r="G21" s="51">
        <f>+(F21-H21)/ABS(H21)</f>
        <v>-6.5225614922026387E-2</v>
      </c>
      <c r="H21" s="20">
        <v>327521.2</v>
      </c>
      <c r="I21" s="51">
        <f>+(H21-J21)/ABS(J21)</f>
        <v>0.45777400790080663</v>
      </c>
      <c r="J21" s="20">
        <v>224672.13589000003</v>
      </c>
      <c r="K21" s="51">
        <f>+(J21-L21)/ABS(L21)</f>
        <v>-0.14702784368087393</v>
      </c>
      <c r="L21" s="20">
        <v>263399.14406999998</v>
      </c>
      <c r="M21" s="48"/>
      <c r="N21" s="48"/>
    </row>
    <row r="22" spans="1:14">
      <c r="A22" t="s">
        <v>274</v>
      </c>
      <c r="B22" s="217">
        <f>+'UNIBKRÉSULT   '!R60</f>
        <v>205909.57328000001</v>
      </c>
      <c r="C22" s="51">
        <f>+(B22-D22)/ABS(D22)</f>
        <v>0.2590184228347614</v>
      </c>
      <c r="D22" s="217">
        <f>+'UNIBKRÉSULT   '!T60</f>
        <v>163547.70473999999</v>
      </c>
      <c r="E22" s="49" t="s">
        <v>0</v>
      </c>
      <c r="F22" s="217">
        <f>+'UNIBKRÉSULT   '!U60</f>
        <v>955079.55547999998</v>
      </c>
      <c r="G22" s="51">
        <f>+(F22-H22)/ABS(H22)</f>
        <v>0.35483980882887617</v>
      </c>
      <c r="H22" s="217">
        <v>704939.1</v>
      </c>
      <c r="I22" s="51">
        <f>+(H22-J22)/ABS(J22)</f>
        <v>-2.2619009917701213E-2</v>
      </c>
      <c r="J22" s="217">
        <v>721253.1317400001</v>
      </c>
      <c r="K22" s="51">
        <f>+(J22-L22)/ABS(L22)</f>
        <v>-0.15418191957161542</v>
      </c>
      <c r="L22" s="217">
        <v>852728.43940000003</v>
      </c>
      <c r="M22" s="48"/>
      <c r="N22" s="48"/>
    </row>
    <row r="23" spans="1:14" s="187" customFormat="1">
      <c r="B23" s="24">
        <f>SUM(B20:B22)</f>
        <v>491798.89597000001</v>
      </c>
      <c r="C23" s="51">
        <f>+(B23-D23)/ABS(D23)</f>
        <v>0.1764455683974627</v>
      </c>
      <c r="D23" s="24">
        <f>SUM(D20:D22)</f>
        <v>418037.95192999998</v>
      </c>
      <c r="E23" s="49" t="s">
        <v>0</v>
      </c>
      <c r="F23" s="24">
        <f>SUM(F20:F22)</f>
        <v>2250690.0890299999</v>
      </c>
      <c r="G23" s="51">
        <f>+(F23-H23)/ABS(H23)</f>
        <v>0.18234060081574338</v>
      </c>
      <c r="H23" s="24">
        <f>SUM(H20:H22)</f>
        <v>1903588.6</v>
      </c>
      <c r="I23" s="51">
        <f>+(H23-J23)/ABS(J23)</f>
        <v>0.14935969131478904</v>
      </c>
      <c r="J23" s="24">
        <f>SUM(J20:J22)</f>
        <v>1656216.5998900002</v>
      </c>
      <c r="K23" s="51">
        <f>+(J23-L23)/ABS(L23)</f>
        <v>-7.6973552228363573E-3</v>
      </c>
      <c r="L23" s="24">
        <f>SUM(L20:L22)</f>
        <v>1669063.9782199999</v>
      </c>
      <c r="M23" s="49"/>
      <c r="N23" s="49"/>
    </row>
    <row r="24" spans="1:14">
      <c r="B24" s="217"/>
      <c r="C24" s="51"/>
      <c r="D24" s="217"/>
      <c r="E24" s="49"/>
      <c r="F24" s="217"/>
      <c r="G24" s="51"/>
      <c r="H24" s="217"/>
      <c r="I24" s="51"/>
      <c r="J24" s="217"/>
      <c r="K24" s="51"/>
      <c r="L24" s="217"/>
      <c r="M24" s="48"/>
      <c r="N24" s="48"/>
    </row>
    <row r="25" spans="1:14" s="187" customFormat="1">
      <c r="A25" s="187" t="s">
        <v>309</v>
      </c>
      <c r="B25" s="24">
        <f>+B17+B23</f>
        <v>930707.57854000002</v>
      </c>
      <c r="C25" s="51">
        <f>+(B25-D25)/ABS(D25)</f>
        <v>0.24611428371244615</v>
      </c>
      <c r="D25" s="24">
        <f>+D17+D23</f>
        <v>746887.81815999991</v>
      </c>
      <c r="E25" s="49" t="s">
        <v>0</v>
      </c>
      <c r="F25" s="24">
        <f>+F17+F23</f>
        <v>3644273.3423699997</v>
      </c>
      <c r="G25" s="51">
        <f>+(F25-H25)/ABS(H25)</f>
        <v>0.15952696069288427</v>
      </c>
      <c r="H25" s="24">
        <f>+H17+H23</f>
        <v>3142896.6</v>
      </c>
      <c r="I25" s="51">
        <f>+(H25-J25)/ABS(J25)</f>
        <v>0.17690900238301099</v>
      </c>
      <c r="J25" s="24">
        <f>+J17+J23</f>
        <v>2670466.9550800002</v>
      </c>
      <c r="K25" s="51">
        <f>+(J25-L25)/ABS(L25)</f>
        <v>4.6665950364882441E-2</v>
      </c>
      <c r="L25" s="24">
        <f>+L17+L23</f>
        <v>2551403.2955299998</v>
      </c>
      <c r="M25" s="49"/>
      <c r="N25" s="49"/>
    </row>
    <row r="26" spans="1:14">
      <c r="B26" s="20"/>
      <c r="C26" s="51"/>
      <c r="D26" s="20"/>
      <c r="E26" s="49" t="s">
        <v>0</v>
      </c>
      <c r="F26" s="20"/>
      <c r="G26" s="51"/>
      <c r="H26" s="20"/>
      <c r="I26" s="51"/>
      <c r="J26" s="20"/>
      <c r="K26" s="51"/>
      <c r="L26" s="20"/>
      <c r="M26" s="48"/>
      <c r="N26" s="48"/>
    </row>
    <row r="27" spans="1:14">
      <c r="A27" t="s">
        <v>310</v>
      </c>
      <c r="B27" s="20">
        <f>+'UNIBKRÉSULT   '!R65</f>
        <v>18007.300999999999</v>
      </c>
      <c r="C27" s="51">
        <f>+(B27-D27)/ABS(D27)</f>
        <v>0.49703880373862458</v>
      </c>
      <c r="D27" s="20">
        <f>+'UNIBKRÉSULT   '!T65</f>
        <v>12028.613389999999</v>
      </c>
      <c r="E27" s="49" t="s">
        <v>0</v>
      </c>
      <c r="F27" s="20">
        <f>+'UNIBKRÉSULT   '!U65</f>
        <v>54988.805469999992</v>
      </c>
      <c r="G27" s="51">
        <f>+(F27-H27)/ABS(H27)</f>
        <v>0.35262168005214783</v>
      </c>
      <c r="H27" s="20">
        <v>40653.5</v>
      </c>
      <c r="I27" s="48">
        <v>0</v>
      </c>
      <c r="J27" s="20">
        <v>0</v>
      </c>
      <c r="K27" s="48">
        <v>0</v>
      </c>
      <c r="L27" s="20">
        <v>-10000</v>
      </c>
      <c r="M27" s="48"/>
      <c r="N27" s="48"/>
    </row>
    <row r="28" spans="1:14">
      <c r="B28" s="20"/>
      <c r="C28" s="51"/>
      <c r="D28" s="20"/>
      <c r="E28" s="49" t="s">
        <v>0</v>
      </c>
      <c r="F28" s="20"/>
      <c r="G28" s="51"/>
      <c r="H28" s="20"/>
      <c r="I28" s="51"/>
      <c r="J28" s="20"/>
      <c r="K28" s="51"/>
      <c r="L28" s="20"/>
      <c r="M28" s="48"/>
      <c r="N28" s="48"/>
    </row>
    <row r="29" spans="1:14">
      <c r="A29" t="s">
        <v>311</v>
      </c>
      <c r="B29" s="217"/>
      <c r="C29" s="51"/>
      <c r="D29" s="217"/>
      <c r="E29" s="49" t="s">
        <v>0</v>
      </c>
      <c r="F29" s="217"/>
      <c r="G29" s="51"/>
      <c r="H29" s="217"/>
      <c r="I29" s="51"/>
      <c r="J29" s="217"/>
      <c r="K29" s="51"/>
      <c r="L29" s="217"/>
      <c r="M29" s="48"/>
      <c r="N29" s="48"/>
    </row>
    <row r="30" spans="1:14" s="187" customFormat="1">
      <c r="A30" s="187" t="s">
        <v>312</v>
      </c>
      <c r="B30" s="24">
        <f>+B25-B27</f>
        <v>912700.27754000004</v>
      </c>
      <c r="C30" s="51">
        <f>+(B30-D30)/ABS(D30)</f>
        <v>0.24200700163463518</v>
      </c>
      <c r="D30" s="24">
        <f>+D25-D27</f>
        <v>734859.20476999995</v>
      </c>
      <c r="E30" s="49" t="s">
        <v>0</v>
      </c>
      <c r="F30" s="24">
        <f>+F25-F27</f>
        <v>3589284.5368999997</v>
      </c>
      <c r="G30" s="51">
        <f>+(F30-H30)/ABS(H30)</f>
        <v>0.15699654127685855</v>
      </c>
      <c r="H30" s="24">
        <f>+H25-H27</f>
        <v>3102243.1</v>
      </c>
      <c r="I30" s="51">
        <f>+(H30-J30)/ABS(J30)</f>
        <v>0.16168563482825984</v>
      </c>
      <c r="J30" s="24">
        <f>+J25-J27</f>
        <v>2670466.9550800002</v>
      </c>
      <c r="K30" s="51">
        <f>+(J30-L30)/ABS(L30)</f>
        <v>4.2579651451347587E-2</v>
      </c>
      <c r="L30" s="24">
        <f>+L25-L27</f>
        <v>2561403.2955299998</v>
      </c>
      <c r="M30" s="49"/>
      <c r="N30" s="49"/>
    </row>
    <row r="31" spans="1:14">
      <c r="B31" s="20"/>
      <c r="C31" s="51"/>
      <c r="D31" s="20"/>
      <c r="E31" s="49" t="s">
        <v>0</v>
      </c>
      <c r="F31" s="20"/>
      <c r="G31" s="51"/>
      <c r="H31" s="20"/>
      <c r="I31" s="51"/>
      <c r="J31" s="20"/>
      <c r="K31" s="51"/>
      <c r="L31" s="20"/>
      <c r="M31" s="48"/>
      <c r="N31" s="48"/>
    </row>
    <row r="32" spans="1:14">
      <c r="A32" t="s">
        <v>313</v>
      </c>
      <c r="B32" s="20"/>
      <c r="C32" s="51"/>
      <c r="D32" s="20"/>
      <c r="E32" s="49" t="s">
        <v>0</v>
      </c>
      <c r="F32" s="20"/>
      <c r="G32" s="51"/>
      <c r="H32" s="20"/>
      <c r="I32" s="51"/>
      <c r="J32" s="20"/>
      <c r="K32" s="51"/>
      <c r="L32" s="20"/>
      <c r="M32" s="48"/>
      <c r="N32" s="48"/>
    </row>
    <row r="33" spans="1:14">
      <c r="A33" t="s">
        <v>314</v>
      </c>
      <c r="B33" s="20">
        <f>+'UNIBKRÉSULT   '!R71</f>
        <v>214622.43433000002</v>
      </c>
      <c r="C33" s="51">
        <f>+(B33-D33)/ABS(D33)</f>
        <v>0.17012681401774368</v>
      </c>
      <c r="D33" s="20">
        <f>+'UNIBKRÉSULT   '!T71</f>
        <v>183418.09772999998</v>
      </c>
      <c r="E33" s="49" t="s">
        <v>0</v>
      </c>
      <c r="F33" s="20">
        <f>+'UNIBKRÉSULT   '!U71</f>
        <v>807703.61187999998</v>
      </c>
      <c r="G33" s="51">
        <f>+(F33-H33)/ABS(H33)</f>
        <v>0.16081341927079618</v>
      </c>
      <c r="H33" s="20">
        <v>695808.3</v>
      </c>
      <c r="I33" s="51">
        <f>+(H33-J33)/ABS(J33)</f>
        <v>0.10889075656014495</v>
      </c>
      <c r="J33" s="20">
        <v>627481.37801999995</v>
      </c>
      <c r="K33" s="51">
        <f>+(J33-L33)/ABS(L33)</f>
        <v>0.20205758291700762</v>
      </c>
      <c r="L33" s="20">
        <v>522006.08934000001</v>
      </c>
      <c r="M33" s="48"/>
      <c r="N33" s="48"/>
    </row>
    <row r="34" spans="1:14">
      <c r="A34" t="s">
        <v>315</v>
      </c>
      <c r="B34" s="20">
        <f>+'UNIBKRÉSULT   '!R72</f>
        <v>23162.942890000002</v>
      </c>
      <c r="C34" s="51">
        <f>+(B34-D34)/ABS(D34)</f>
        <v>0.12474958065985664</v>
      </c>
      <c r="D34" s="20">
        <f>+'UNIBKRÉSULT   '!T72</f>
        <v>20593.86666</v>
      </c>
      <c r="E34" s="49" t="s">
        <v>0</v>
      </c>
      <c r="F34" s="20">
        <f>+'UNIBKRÉSULT   '!U72</f>
        <v>86875.372439999992</v>
      </c>
      <c r="G34" s="51">
        <f>+(F34-H34)/ABS(H34)</f>
        <v>7.3577229756282003E-2</v>
      </c>
      <c r="H34" s="20">
        <v>80921.399999999994</v>
      </c>
      <c r="I34" s="51">
        <f>+(H34-J34)/ABS(J34)</f>
        <v>3.8412731780303314E-2</v>
      </c>
      <c r="J34" s="20">
        <v>77927.97365</v>
      </c>
      <c r="K34" s="51">
        <f>+(J34-L34)/ABS(L34)</f>
        <v>0.13106305838643756</v>
      </c>
      <c r="L34" s="20">
        <v>68897.992090000014</v>
      </c>
      <c r="M34" s="48"/>
      <c r="N34" s="48"/>
    </row>
    <row r="35" spans="1:14">
      <c r="A35" t="s">
        <v>316</v>
      </c>
      <c r="B35" s="20">
        <f>+'UNIBKRÉSULT   '!R73</f>
        <v>47770.355230000001</v>
      </c>
      <c r="C35" s="51">
        <f>+(B35-D35)/ABS(D35)</f>
        <v>0.12899749177665906</v>
      </c>
      <c r="D35" s="20">
        <f>+'UNIBKRÉSULT   '!T73</f>
        <v>42312.188980000006</v>
      </c>
      <c r="E35" s="49" t="s">
        <v>0</v>
      </c>
      <c r="F35" s="20">
        <f>+'UNIBKRÉSULT   '!U73</f>
        <v>178484.72146000003</v>
      </c>
      <c r="G35" s="51">
        <f>+(F35-H35)/ABS(H35)</f>
        <v>5.226658440401559E-2</v>
      </c>
      <c r="H35" s="20">
        <v>169619.3</v>
      </c>
      <c r="I35" s="51">
        <f>+(H35-J35)/ABS(J35)</f>
        <v>6.6612453772035771E-2</v>
      </c>
      <c r="J35" s="20">
        <v>159026.17619</v>
      </c>
      <c r="K35" s="51">
        <f>+(J35-L35)/ABS(L35)</f>
        <v>5.8373979681570716E-2</v>
      </c>
      <c r="L35" s="20">
        <v>150255.18317999999</v>
      </c>
      <c r="M35" s="48"/>
      <c r="N35" s="48"/>
    </row>
    <row r="36" spans="1:14">
      <c r="A36" t="s">
        <v>317</v>
      </c>
      <c r="B36" s="217">
        <f>+'UNIBKRÉSULT   '!R74</f>
        <v>232672.22993</v>
      </c>
      <c r="C36" s="51">
        <f>+(B36-D36)/ABS(D36)</f>
        <v>0.15463726069285932</v>
      </c>
      <c r="D36" s="217">
        <f>+'UNIBKRÉSULT   '!T74</f>
        <v>201511.10470000003</v>
      </c>
      <c r="E36" s="49" t="s">
        <v>0</v>
      </c>
      <c r="F36" s="217">
        <f>+'UNIBKRÉSULT   '!U74</f>
        <v>846903.58070000017</v>
      </c>
      <c r="G36" s="51">
        <f>+(F36-H36)/ABS(H36)</f>
        <v>6.2853521482753069E-2</v>
      </c>
      <c r="H36" s="217">
        <v>796820.6</v>
      </c>
      <c r="I36" s="51">
        <f>+(H36-J36)/ABS(J36)</f>
        <v>0.13777591873146713</v>
      </c>
      <c r="J36" s="217">
        <v>700331.74976000004</v>
      </c>
      <c r="K36" s="51">
        <f>+(J36-L36)/ABS(L36)</f>
        <v>-4.7103907446777605E-3</v>
      </c>
      <c r="L36" s="217">
        <v>703646.19830000005</v>
      </c>
      <c r="M36" s="48"/>
      <c r="N36" s="48"/>
    </row>
    <row r="37" spans="1:14" s="187" customFormat="1">
      <c r="B37" s="24">
        <f>SUM(B33:B36)</f>
        <v>518227.96238000004</v>
      </c>
      <c r="C37" s="51">
        <f>+(B37-D37)/ABS(D37)</f>
        <v>0.15718437314061851</v>
      </c>
      <c r="D37" s="24">
        <f>SUM(D33:D36)</f>
        <v>447835.25806999998</v>
      </c>
      <c r="E37" s="49" t="s">
        <v>0</v>
      </c>
      <c r="F37" s="24">
        <f>SUM(F33:F36)</f>
        <v>1919967.2864800002</v>
      </c>
      <c r="G37" s="51">
        <f>+(F37-H37)/ABS(H37)</f>
        <v>0.10142311251871312</v>
      </c>
      <c r="H37" s="24">
        <f>SUM(H33:H36)</f>
        <v>1743169.6</v>
      </c>
      <c r="I37" s="51">
        <f>+(H37-J37)/ABS(J37)</f>
        <v>0.11401204826531693</v>
      </c>
      <c r="J37" s="24">
        <f>SUM(J33:J36)</f>
        <v>1564767.2776200001</v>
      </c>
      <c r="K37" s="51">
        <f>+(J37-L37)/ABS(L37)</f>
        <v>8.3029734998636792E-2</v>
      </c>
      <c r="L37" s="24">
        <f>SUM(L33:L36)</f>
        <v>1444805.46291</v>
      </c>
      <c r="M37" s="49"/>
      <c r="N37" s="49"/>
    </row>
    <row r="38" spans="1:14">
      <c r="B38" s="225"/>
      <c r="C38" s="109"/>
      <c r="D38" s="225"/>
      <c r="E38" s="47"/>
      <c r="F38" s="225"/>
      <c r="G38" s="109"/>
      <c r="H38" s="225"/>
      <c r="I38" s="109"/>
      <c r="J38" s="225"/>
      <c r="K38" s="109"/>
      <c r="L38" s="225"/>
      <c r="M38" s="48"/>
      <c r="N38" s="48"/>
    </row>
    <row r="39" spans="1:14" s="187" customFormat="1">
      <c r="A39" s="187" t="s">
        <v>318</v>
      </c>
      <c r="B39" s="24">
        <f>+B30-B37</f>
        <v>394472.31516</v>
      </c>
      <c r="C39" s="51">
        <f>+(B39-D39)/ABS(D39)</f>
        <v>0.374353323809271</v>
      </c>
      <c r="D39" s="24">
        <f>+D30-D37</f>
        <v>287023.94669999997</v>
      </c>
      <c r="E39" s="49" t="s">
        <v>0</v>
      </c>
      <c r="F39" s="24">
        <f>+F30-F37</f>
        <v>1669317.2504199995</v>
      </c>
      <c r="G39" s="51">
        <f>+(F39-H39)/ABS(H39)</f>
        <v>0.22827591768951383</v>
      </c>
      <c r="H39" s="24">
        <f>+H30-H37</f>
        <v>1359073.5</v>
      </c>
      <c r="I39" s="51">
        <f>+(H39-J39)/ABS(J39)</f>
        <v>0.2291524793803387</v>
      </c>
      <c r="J39" s="24">
        <f>+J30-J37</f>
        <v>1105699.6774600002</v>
      </c>
      <c r="K39" s="51">
        <f>+(J39-L39)/ABS(L39)</f>
        <v>-9.760143573293566E-3</v>
      </c>
      <c r="L39" s="24">
        <f>+L30-L37</f>
        <v>1116597.8326199998</v>
      </c>
      <c r="M39" s="49"/>
      <c r="N39" s="49"/>
    </row>
    <row r="40" spans="1:14">
      <c r="B40" s="20"/>
      <c r="C40" s="51"/>
      <c r="D40" s="20"/>
      <c r="E40" s="49" t="s">
        <v>0</v>
      </c>
      <c r="F40" s="20"/>
      <c r="G40" s="51"/>
      <c r="H40" s="20"/>
      <c r="I40" s="51"/>
      <c r="J40" s="20"/>
      <c r="K40" s="51"/>
      <c r="L40" s="20"/>
      <c r="M40" s="48"/>
      <c r="N40" s="48"/>
    </row>
    <row r="41" spans="1:14">
      <c r="A41" t="s">
        <v>319</v>
      </c>
      <c r="B41" s="20">
        <f>+'UNIBKRÉSULT   '!R79</f>
        <v>52748.721839999998</v>
      </c>
      <c r="C41" s="51">
        <f>+(B41-D41)/ABS(D41)</f>
        <v>0.61535255381107201</v>
      </c>
      <c r="D41" s="20">
        <f>+'UNIBKRÉSULT   '!T79</f>
        <v>32654.618780000004</v>
      </c>
      <c r="E41" s="49" t="s">
        <v>0</v>
      </c>
      <c r="F41" s="20">
        <f>+'UNIBKRÉSULT   '!U79</f>
        <v>107210.47139000001</v>
      </c>
      <c r="G41" s="51">
        <f>+(F41-H41)/ABS(H41)</f>
        <v>0.48555976563149544</v>
      </c>
      <c r="H41" s="20">
        <v>72168.399999999994</v>
      </c>
      <c r="I41" s="51">
        <f>+(H41-J41)/ABS(J41)</f>
        <v>2.1907570784530388</v>
      </c>
      <c r="J41" s="20">
        <v>-60607.155989999985</v>
      </c>
      <c r="K41" s="51">
        <f>+(J41-L41)/ABS(L41)</f>
        <v>-1.973595396948038</v>
      </c>
      <c r="L41" s="20">
        <v>62250.865380000003</v>
      </c>
      <c r="M41" s="48"/>
      <c r="N41" s="48"/>
    </row>
    <row r="42" spans="1:14" ht="16.5" thickBot="1">
      <c r="B42" s="79"/>
      <c r="C42" s="51"/>
      <c r="D42" s="79"/>
      <c r="E42" s="49" t="s">
        <v>0</v>
      </c>
      <c r="F42" s="79"/>
      <c r="G42" s="51"/>
      <c r="H42" s="79"/>
      <c r="I42" s="51"/>
      <c r="J42" s="79"/>
      <c r="K42" s="51"/>
      <c r="L42" s="79"/>
      <c r="M42" s="48"/>
      <c r="N42" s="48"/>
    </row>
    <row r="43" spans="1:14">
      <c r="A43" s="11" t="s">
        <v>372</v>
      </c>
      <c r="B43" s="13">
        <f>+B39-B41</f>
        <v>341723.59331999999</v>
      </c>
      <c r="C43" s="109">
        <f>+(B43-D43)/ABS(D43)</f>
        <v>0.34341508905300588</v>
      </c>
      <c r="D43" s="13">
        <f>+D39-D41</f>
        <v>254369.32791999995</v>
      </c>
      <c r="E43" s="47" t="s">
        <v>0</v>
      </c>
      <c r="F43" s="13">
        <f>+F39-F41</f>
        <v>1562106.7790299994</v>
      </c>
      <c r="G43" s="109">
        <f>+(F43-H43)/ABS(H43)</f>
        <v>0.21384768700504744</v>
      </c>
      <c r="H43" s="13">
        <f>+H39-H41</f>
        <v>1286905.1000000001</v>
      </c>
      <c r="I43" s="109">
        <f>+(H43-J43)/ABS(J43)</f>
        <v>0.10340183482700151</v>
      </c>
      <c r="J43" s="13">
        <f>+J39-J41</f>
        <v>1166306.83345</v>
      </c>
      <c r="K43" s="109">
        <f>+(J43-L43)/ABS(L43)</f>
        <v>0.1061888255846949</v>
      </c>
      <c r="L43" s="13">
        <f>+L39-L41</f>
        <v>1054346.9672399997</v>
      </c>
      <c r="M43" s="48"/>
      <c r="N43" s="48"/>
    </row>
    <row r="44" spans="1:14">
      <c r="E44" t="s">
        <v>0</v>
      </c>
    </row>
    <row r="45" spans="1:14">
      <c r="E45" t="s">
        <v>0</v>
      </c>
    </row>
  </sheetData>
  <phoneticPr fontId="0" type="noConversion"/>
  <pageMargins left="0.18" right="0.16" top="0.54" bottom="0.75" header="0.34" footer="0.5"/>
  <pageSetup scale="62" orientation="landscape" r:id="rId1"/>
  <headerFooter alignWithMargins="0">
    <oddFooter>&amp;R&amp;P</oddFooter>
  </headerFooter>
</worksheet>
</file>

<file path=xl/worksheets/sheet120.xml><?xml version="1.0" encoding="utf-8"?>
<worksheet xmlns="http://schemas.openxmlformats.org/spreadsheetml/2006/main" xmlns:r="http://schemas.openxmlformats.org/officeDocument/2006/relationships">
  <sheetPr>
    <pageSetUpPr fitToPage="1"/>
  </sheetPr>
  <dimension ref="A1:I33"/>
  <sheetViews>
    <sheetView workbookViewId="0">
      <selection activeCell="E38" sqref="E38"/>
    </sheetView>
  </sheetViews>
  <sheetFormatPr baseColWidth="10" defaultColWidth="9" defaultRowHeight="15.75"/>
  <cols>
    <col min="5" max="5" width="55.875" customWidth="1"/>
    <col min="6" max="6" width="13.125" customWidth="1"/>
  </cols>
  <sheetData>
    <row r="1" spans="1:9">
      <c r="A1" s="466"/>
      <c r="B1" s="466"/>
      <c r="C1" s="466"/>
      <c r="D1" s="466"/>
      <c r="E1" s="466"/>
      <c r="F1" s="466"/>
      <c r="G1" s="466"/>
      <c r="H1" s="466"/>
      <c r="I1" s="466"/>
    </row>
    <row r="2" spans="1:9">
      <c r="A2" s="466"/>
      <c r="B2" s="466"/>
      <c r="C2" s="466"/>
      <c r="D2" s="466"/>
      <c r="E2" s="466"/>
      <c r="F2" s="466"/>
      <c r="G2" s="466"/>
      <c r="H2" s="466"/>
      <c r="I2" s="466"/>
    </row>
    <row r="3" spans="1:9">
      <c r="A3" s="466"/>
      <c r="B3" s="466"/>
      <c r="C3" s="466"/>
      <c r="D3" s="466"/>
      <c r="E3" s="466"/>
      <c r="F3" s="466"/>
      <c r="G3" s="466"/>
      <c r="H3" s="466"/>
      <c r="I3" s="466"/>
    </row>
    <row r="4" spans="1:9">
      <c r="A4" s="466"/>
      <c r="B4" s="466"/>
      <c r="C4" s="466"/>
      <c r="D4" s="466"/>
      <c r="E4" s="466"/>
      <c r="F4" s="466"/>
      <c r="G4" s="466"/>
      <c r="H4" s="466"/>
      <c r="I4" s="466"/>
    </row>
    <row r="5" spans="1:9">
      <c r="A5" s="466"/>
      <c r="B5" s="466"/>
      <c r="C5" s="466"/>
      <c r="D5" s="466"/>
      <c r="E5" s="466"/>
      <c r="F5" s="466"/>
      <c r="G5" s="466"/>
      <c r="H5" s="466"/>
      <c r="I5" s="466"/>
    </row>
    <row r="6" spans="1:9">
      <c r="A6" s="466"/>
      <c r="B6" s="466"/>
      <c r="C6" s="466"/>
      <c r="D6" s="466"/>
      <c r="E6" s="466"/>
      <c r="F6" s="466"/>
      <c r="G6" s="466"/>
      <c r="H6" s="466"/>
      <c r="I6" s="466"/>
    </row>
    <row r="7" spans="1:9">
      <c r="A7" s="466"/>
      <c r="B7" s="466"/>
      <c r="C7" s="466"/>
      <c r="D7" s="466"/>
      <c r="E7" s="466"/>
      <c r="F7" s="466"/>
      <c r="G7" s="466"/>
      <c r="H7" s="466"/>
      <c r="I7" s="466"/>
    </row>
    <row r="8" spans="1:9">
      <c r="A8" s="466"/>
      <c r="B8" s="466"/>
      <c r="C8" s="466"/>
      <c r="D8" s="466"/>
      <c r="E8" s="466"/>
      <c r="F8" s="466"/>
      <c r="G8" s="466"/>
      <c r="H8" s="466"/>
      <c r="I8" s="466"/>
    </row>
    <row r="9" spans="1:9">
      <c r="A9" s="466"/>
      <c r="B9" s="466"/>
      <c r="C9" s="466"/>
      <c r="D9" s="466"/>
      <c r="E9" s="466"/>
      <c r="F9" s="466"/>
      <c r="G9" s="466"/>
      <c r="H9" s="466"/>
      <c r="I9" s="466"/>
    </row>
    <row r="10" spans="1:9">
      <c r="A10" s="466"/>
      <c r="B10" s="466"/>
      <c r="C10" s="466"/>
      <c r="D10" s="466"/>
      <c r="E10" s="466"/>
      <c r="F10" s="466"/>
      <c r="G10" s="466"/>
      <c r="H10" s="466"/>
      <c r="I10" s="466"/>
    </row>
    <row r="11" spans="1:9">
      <c r="A11" s="466"/>
      <c r="B11" s="466"/>
      <c r="C11" s="466"/>
      <c r="D11" s="466"/>
      <c r="E11" s="466"/>
      <c r="F11" s="466"/>
      <c r="G11" s="466"/>
      <c r="H11" s="466"/>
      <c r="I11" s="466"/>
    </row>
    <row r="12" spans="1:9">
      <c r="A12" s="466"/>
      <c r="B12" s="466"/>
      <c r="C12" s="466"/>
      <c r="D12" s="466"/>
      <c r="E12" s="466"/>
      <c r="F12" s="466"/>
      <c r="G12" s="466"/>
      <c r="H12" s="466"/>
      <c r="I12" s="466"/>
    </row>
    <row r="13" spans="1:9">
      <c r="A13" s="466"/>
      <c r="B13" s="466"/>
      <c r="C13" s="466"/>
      <c r="D13" s="466"/>
      <c r="E13" s="466"/>
      <c r="F13" s="466"/>
      <c r="G13" s="466"/>
      <c r="H13" s="466"/>
      <c r="I13" s="466"/>
    </row>
    <row r="14" spans="1:9">
      <c r="A14" s="466"/>
      <c r="B14" s="466"/>
      <c r="C14" s="466"/>
      <c r="D14" s="466"/>
      <c r="E14" s="466"/>
      <c r="F14" s="466"/>
      <c r="G14" s="466"/>
      <c r="H14" s="466"/>
      <c r="I14" s="466"/>
    </row>
    <row r="15" spans="1:9">
      <c r="A15" s="466"/>
      <c r="B15" s="466"/>
      <c r="C15" s="466"/>
      <c r="D15" s="466"/>
      <c r="E15" s="466"/>
      <c r="F15" s="466"/>
      <c r="G15" s="466"/>
      <c r="H15" s="466"/>
      <c r="I15" s="466"/>
    </row>
    <row r="16" spans="1:9" ht="25.5">
      <c r="A16" s="441" t="s">
        <v>509</v>
      </c>
      <c r="B16" s="435"/>
      <c r="C16" s="435"/>
      <c r="D16" s="435"/>
      <c r="E16" s="435"/>
      <c r="F16" s="435"/>
      <c r="G16" s="435"/>
      <c r="H16" s="435"/>
      <c r="I16" s="435"/>
    </row>
    <row r="17" spans="1:9">
      <c r="A17" s="466"/>
      <c r="B17" s="466"/>
      <c r="C17" s="466"/>
      <c r="D17" s="466"/>
      <c r="E17" s="466"/>
      <c r="F17" s="466"/>
      <c r="G17" s="466"/>
      <c r="H17" s="466"/>
      <c r="I17" s="466"/>
    </row>
    <row r="18" spans="1:9">
      <c r="A18" s="466"/>
      <c r="B18" s="466"/>
      <c r="C18" s="466"/>
      <c r="D18" s="466"/>
      <c r="E18" s="466"/>
      <c r="F18" s="466"/>
      <c r="G18" s="466"/>
      <c r="H18" s="466"/>
      <c r="I18" s="466"/>
    </row>
    <row r="19" spans="1:9" ht="20.25">
      <c r="A19" s="468" t="s">
        <v>38</v>
      </c>
      <c r="B19" s="467"/>
      <c r="C19" s="467"/>
      <c r="D19" s="467"/>
      <c r="E19" s="467"/>
      <c r="F19" s="467"/>
      <c r="G19" s="467"/>
      <c r="H19" s="467"/>
      <c r="I19" s="467"/>
    </row>
    <row r="20" spans="1:9" ht="20.25">
      <c r="A20" s="468"/>
      <c r="B20" s="467"/>
      <c r="C20" s="467"/>
      <c r="D20" s="467"/>
      <c r="E20" s="467"/>
      <c r="F20" s="467"/>
      <c r="G20" s="467"/>
      <c r="H20" s="467"/>
      <c r="I20" s="467"/>
    </row>
    <row r="21" spans="1:9" ht="9" customHeight="1">
      <c r="A21" s="466"/>
      <c r="B21" s="466"/>
      <c r="C21" s="466"/>
      <c r="D21" s="466"/>
      <c r="E21" s="466"/>
      <c r="F21" s="466"/>
      <c r="G21" s="466"/>
      <c r="H21" s="466"/>
      <c r="I21" s="466"/>
    </row>
    <row r="22" spans="1:9">
      <c r="A22" s="733" t="s">
        <v>510</v>
      </c>
      <c r="B22" s="734"/>
      <c r="C22" s="734"/>
      <c r="D22" s="734"/>
      <c r="E22" s="734"/>
      <c r="F22" s="734"/>
      <c r="G22" s="734"/>
      <c r="H22" s="734"/>
      <c r="I22" s="734"/>
    </row>
    <row r="23" spans="1:9" ht="9" customHeight="1">
      <c r="A23" s="734"/>
      <c r="B23" s="734"/>
      <c r="C23" s="734"/>
      <c r="D23" s="734"/>
      <c r="E23" s="734"/>
      <c r="F23" s="734"/>
      <c r="G23" s="734"/>
      <c r="H23" s="734"/>
      <c r="I23" s="734"/>
    </row>
    <row r="24" spans="1:9">
      <c r="A24" s="733" t="s">
        <v>511</v>
      </c>
      <c r="B24" s="734"/>
      <c r="C24" s="734"/>
      <c r="D24" s="734"/>
      <c r="E24" s="734"/>
      <c r="F24" s="734"/>
      <c r="G24" s="734"/>
      <c r="H24" s="734"/>
      <c r="I24" s="734"/>
    </row>
    <row r="25" spans="1:9" ht="9" customHeight="1">
      <c r="A25" s="734"/>
      <c r="B25" s="734"/>
      <c r="C25" s="734"/>
      <c r="D25" s="734"/>
      <c r="E25" s="734"/>
      <c r="F25" s="734"/>
      <c r="G25" s="734"/>
      <c r="H25" s="734"/>
      <c r="I25" s="734"/>
    </row>
    <row r="26" spans="1:9">
      <c r="A26" s="733" t="s">
        <v>1008</v>
      </c>
      <c r="B26" s="734"/>
      <c r="C26" s="734"/>
      <c r="D26" s="734"/>
      <c r="E26" s="734"/>
      <c r="F26" s="734"/>
      <c r="G26" s="734"/>
      <c r="H26" s="734"/>
      <c r="I26" s="734"/>
    </row>
    <row r="27" spans="1:9" ht="9" customHeight="1">
      <c r="A27" s="466"/>
      <c r="B27" s="466"/>
      <c r="C27" s="466"/>
      <c r="D27" s="466"/>
      <c r="E27" s="466"/>
      <c r="F27" s="466"/>
      <c r="G27" s="466"/>
      <c r="H27" s="466"/>
      <c r="I27" s="466"/>
    </row>
    <row r="28" spans="1:9">
      <c r="A28" s="733" t="s">
        <v>0</v>
      </c>
      <c r="B28" s="466"/>
      <c r="C28" s="466"/>
      <c r="D28" s="466"/>
      <c r="E28" s="466"/>
      <c r="F28" s="466"/>
      <c r="G28" s="466"/>
      <c r="H28" s="466"/>
      <c r="I28" s="466"/>
    </row>
    <row r="29" spans="1:9">
      <c r="A29" s="466"/>
      <c r="B29" s="466"/>
      <c r="C29" s="466"/>
      <c r="D29" s="466"/>
      <c r="E29" s="466"/>
      <c r="F29" s="466"/>
      <c r="G29" s="466"/>
      <c r="H29" s="466"/>
      <c r="I29" s="466"/>
    </row>
    <row r="30" spans="1:9">
      <c r="A30" s="466"/>
      <c r="B30" s="466"/>
      <c r="C30" s="466"/>
      <c r="D30" s="466"/>
      <c r="E30" s="466"/>
      <c r="F30" s="466"/>
      <c r="G30" s="466"/>
      <c r="H30" s="466"/>
      <c r="I30" s="466"/>
    </row>
    <row r="31" spans="1:9">
      <c r="A31" s="466"/>
      <c r="B31" s="466"/>
      <c r="C31" s="466"/>
      <c r="D31" s="466"/>
      <c r="E31" s="466"/>
      <c r="F31" s="466"/>
      <c r="G31" s="466"/>
      <c r="H31" s="466"/>
      <c r="I31" s="466"/>
    </row>
    <row r="32" spans="1:9">
      <c r="A32" s="466"/>
      <c r="B32" s="466"/>
      <c r="C32" s="466"/>
      <c r="D32" s="466"/>
      <c r="E32" s="466"/>
      <c r="F32" s="466"/>
      <c r="G32" s="466"/>
      <c r="H32" s="466"/>
      <c r="I32" s="466"/>
    </row>
    <row r="33" spans="1:9">
      <c r="A33" s="466"/>
      <c r="B33" s="466"/>
      <c r="C33" s="466"/>
      <c r="D33" s="466"/>
      <c r="E33" s="466"/>
      <c r="F33" s="466"/>
      <c r="G33" s="466"/>
      <c r="H33" s="466"/>
      <c r="I33" s="466"/>
    </row>
  </sheetData>
  <phoneticPr fontId="0" type="noConversion"/>
  <pageMargins left="0.78740157499999996" right="0.38" top="0.88" bottom="0.79" header="0.5" footer="0.44"/>
  <pageSetup scale="89" orientation="landscape" r:id="rId1"/>
  <headerFooter alignWithMargins="0"/>
  <drawing r:id="rId2"/>
</worksheet>
</file>

<file path=xl/worksheets/sheet121.xml><?xml version="1.0" encoding="utf-8"?>
<worksheet xmlns="http://schemas.openxmlformats.org/spreadsheetml/2006/main" xmlns:r="http://schemas.openxmlformats.org/officeDocument/2006/relationships">
  <sheetPr>
    <pageSetUpPr fitToPage="1"/>
  </sheetPr>
  <dimension ref="A1:T67"/>
  <sheetViews>
    <sheetView topLeftCell="A21" workbookViewId="0">
      <pane xSplit="2" ySplit="17" topLeftCell="C38" activePane="bottomRight" state="frozen"/>
      <selection activeCell="E46" sqref="E46"/>
      <selection pane="topRight" activeCell="E46" sqref="E46"/>
      <selection pane="bottomLeft" activeCell="E46" sqref="E46"/>
      <selection pane="bottomRight" activeCell="H47" sqref="H47"/>
    </sheetView>
  </sheetViews>
  <sheetFormatPr baseColWidth="10" defaultColWidth="9" defaultRowHeight="15.75"/>
  <cols>
    <col min="1" max="1" width="3" customWidth="1"/>
    <col min="2" max="2" width="18.875" customWidth="1"/>
    <col min="3" max="3" width="10.625" customWidth="1"/>
    <col min="4" max="4" width="13.875" customWidth="1"/>
    <col min="5" max="5" width="12.125" customWidth="1"/>
    <col min="6" max="6" width="13.875" customWidth="1"/>
    <col min="7" max="7" width="11.25" customWidth="1"/>
    <col min="8" max="8" width="13.875" customWidth="1"/>
    <col min="9" max="9" width="3" customWidth="1"/>
    <col min="10" max="10" width="7.375" customWidth="1"/>
    <col min="11" max="11" width="10.875" customWidth="1"/>
    <col min="12" max="12" width="13.875" customWidth="1"/>
    <col min="13" max="13" width="10.75" customWidth="1"/>
    <col min="14" max="14" width="13.875" customWidth="1"/>
    <col min="15" max="15" width="10.75" customWidth="1"/>
    <col min="16" max="16" width="13.875" customWidth="1"/>
  </cols>
  <sheetData>
    <row r="1" spans="1:20" ht="22.5" hidden="1">
      <c r="A1" s="735" t="s">
        <v>512</v>
      </c>
      <c r="B1" s="39"/>
      <c r="C1" s="39"/>
      <c r="D1" s="39"/>
      <c r="E1" s="39"/>
      <c r="F1" s="39"/>
      <c r="G1" s="39"/>
      <c r="H1" s="39"/>
      <c r="I1" s="39"/>
      <c r="J1" s="39"/>
      <c r="K1" s="39"/>
      <c r="L1" s="39"/>
      <c r="M1" s="39"/>
      <c r="N1" s="39"/>
      <c r="O1" s="39"/>
      <c r="P1" s="39"/>
      <c r="Q1" s="433"/>
      <c r="R1" s="39"/>
      <c r="S1" s="39"/>
      <c r="T1" s="39"/>
    </row>
    <row r="2" spans="1:20" hidden="1">
      <c r="A2" s="111" t="s">
        <v>0</v>
      </c>
      <c r="B2" s="39"/>
      <c r="C2" s="39"/>
      <c r="D2" s="39"/>
      <c r="E2" s="39"/>
      <c r="F2" s="39"/>
      <c r="G2" s="39"/>
      <c r="H2" s="39"/>
      <c r="I2" s="39"/>
      <c r="J2" s="39"/>
      <c r="K2" s="39"/>
      <c r="L2" s="39"/>
      <c r="M2" s="39"/>
      <c r="N2" s="39"/>
      <c r="O2" s="39"/>
    </row>
    <row r="3" spans="1:20" hidden="1">
      <c r="B3" s="39"/>
      <c r="C3" s="39"/>
      <c r="D3" s="39"/>
      <c r="E3" s="39"/>
      <c r="F3" s="39"/>
      <c r="G3" s="39"/>
      <c r="H3" s="39"/>
      <c r="I3" s="39"/>
      <c r="J3" s="39"/>
      <c r="K3" s="39"/>
      <c r="L3" s="39"/>
      <c r="M3" s="39"/>
      <c r="N3" s="39"/>
      <c r="O3" s="39"/>
    </row>
    <row r="4" spans="1:20" hidden="1"/>
    <row r="5" spans="1:20" hidden="1"/>
    <row r="6" spans="1:20" hidden="1"/>
    <row r="7" spans="1:20" hidden="1"/>
    <row r="8" spans="1:20" hidden="1"/>
    <row r="9" spans="1:20" hidden="1"/>
    <row r="10" spans="1:20" hidden="1"/>
    <row r="11" spans="1:20" hidden="1"/>
    <row r="12" spans="1:20" hidden="1"/>
    <row r="13" spans="1:20" hidden="1"/>
    <row r="14" spans="1:20" hidden="1"/>
    <row r="15" spans="1:20" hidden="1"/>
    <row r="16" spans="1:20" hidden="1"/>
    <row r="17" spans="1:14" hidden="1"/>
    <row r="18" spans="1:14" ht="22.5">
      <c r="A18" s="735" t="s">
        <v>685</v>
      </c>
      <c r="B18" s="39"/>
      <c r="C18" s="39"/>
      <c r="D18" s="39"/>
      <c r="E18" s="39"/>
      <c r="F18" s="39"/>
      <c r="G18" s="39"/>
      <c r="H18" s="39"/>
      <c r="I18" s="39"/>
      <c r="J18" s="39"/>
      <c r="K18" s="39"/>
      <c r="L18" s="39"/>
      <c r="M18" s="39"/>
      <c r="N18" s="39"/>
    </row>
    <row r="19" spans="1:14">
      <c r="A19" s="111" t="s">
        <v>0</v>
      </c>
      <c r="B19" s="39"/>
      <c r="C19" s="39"/>
      <c r="D19" s="39"/>
      <c r="E19" s="39"/>
      <c r="F19" s="39"/>
      <c r="G19" s="39"/>
      <c r="H19" s="39"/>
      <c r="I19" s="39"/>
      <c r="J19" s="39"/>
      <c r="K19" s="39"/>
      <c r="L19" s="39"/>
      <c r="M19" s="39"/>
      <c r="N19" s="39"/>
    </row>
    <row r="20" spans="1:14">
      <c r="B20" s="39"/>
      <c r="C20" s="39"/>
      <c r="D20" s="39"/>
      <c r="E20" s="39"/>
      <c r="F20" s="39"/>
      <c r="G20" s="39"/>
      <c r="H20" s="39"/>
      <c r="I20" s="39"/>
      <c r="J20" s="39"/>
      <c r="K20" s="39"/>
      <c r="L20" s="39"/>
      <c r="M20" s="39"/>
      <c r="N20" s="39"/>
    </row>
    <row r="36" spans="2:16" ht="16.5" thickBot="1">
      <c r="C36" s="736" t="s">
        <v>1000</v>
      </c>
      <c r="D36" s="736"/>
      <c r="E36" s="156"/>
      <c r="F36" s="156"/>
      <c r="G36" s="156"/>
      <c r="H36" s="157"/>
      <c r="I36" s="737"/>
      <c r="K36" s="736" t="s">
        <v>954</v>
      </c>
      <c r="L36" s="736"/>
      <c r="M36" s="156"/>
      <c r="N36" s="156"/>
      <c r="O36" s="156"/>
      <c r="P36" s="157"/>
    </row>
    <row r="37" spans="2:16" ht="24.75">
      <c r="C37" s="53" t="s">
        <v>1001</v>
      </c>
      <c r="D37" s="738" t="s">
        <v>513</v>
      </c>
      <c r="E37" s="53" t="s">
        <v>1002</v>
      </c>
      <c r="F37" s="738" t="s">
        <v>513</v>
      </c>
      <c r="G37" s="53" t="s">
        <v>1003</v>
      </c>
      <c r="H37" s="738" t="s">
        <v>513</v>
      </c>
      <c r="I37" s="3"/>
      <c r="K37" s="53" t="s">
        <v>955</v>
      </c>
      <c r="L37" s="738" t="s">
        <v>513</v>
      </c>
      <c r="M37" s="53" t="s">
        <v>956</v>
      </c>
      <c r="N37" s="738" t="s">
        <v>513</v>
      </c>
      <c r="O37" s="53" t="s">
        <v>957</v>
      </c>
      <c r="P37" s="738" t="s">
        <v>513</v>
      </c>
    </row>
    <row r="38" spans="2:16">
      <c r="C38" s="53"/>
      <c r="D38" s="739"/>
      <c r="E38" s="3"/>
      <c r="F38" s="386"/>
      <c r="G38" s="3"/>
      <c r="H38" s="387"/>
      <c r="I38" s="3"/>
      <c r="K38" s="53"/>
      <c r="L38" s="739"/>
      <c r="M38" s="1542"/>
      <c r="N38" s="386"/>
      <c r="O38" s="1542"/>
      <c r="P38" s="387"/>
    </row>
    <row r="39" spans="2:16">
      <c r="B39" s="11" t="s">
        <v>59</v>
      </c>
      <c r="C39" s="133">
        <v>6.0000000000000001E-3</v>
      </c>
      <c r="D39" s="740">
        <v>0</v>
      </c>
      <c r="E39" s="133">
        <v>4.1000000000000003E-3</v>
      </c>
      <c r="F39" s="740">
        <v>0</v>
      </c>
      <c r="G39" s="133">
        <v>7.7000000000000002E-3</v>
      </c>
      <c r="H39" s="740">
        <v>0</v>
      </c>
      <c r="I39" s="742" t="s">
        <v>0</v>
      </c>
      <c r="K39" s="133">
        <v>1.6999999999999999E-3</v>
      </c>
      <c r="L39" s="740">
        <v>0</v>
      </c>
      <c r="M39" s="133">
        <v>5.7999999999999996E-3</v>
      </c>
      <c r="N39" s="740">
        <v>0</v>
      </c>
      <c r="O39" s="133">
        <v>5.4999999999999997E-3</v>
      </c>
      <c r="P39" s="740">
        <v>0</v>
      </c>
    </row>
    <row r="40" spans="2:16">
      <c r="B40" s="11" t="s">
        <v>60</v>
      </c>
      <c r="C40" s="133">
        <v>0.1173</v>
      </c>
      <c r="D40" s="740">
        <v>29</v>
      </c>
      <c r="E40" s="133">
        <v>7.8299999999999995E-2</v>
      </c>
      <c r="F40" s="740">
        <v>30</v>
      </c>
      <c r="G40" s="133">
        <v>0.12570000000000001</v>
      </c>
      <c r="H40" s="740">
        <v>28</v>
      </c>
      <c r="I40" s="742" t="s">
        <v>0</v>
      </c>
      <c r="K40" s="133">
        <v>4.4999999999999997E-3</v>
      </c>
      <c r="L40" s="740">
        <v>29</v>
      </c>
      <c r="M40" s="133">
        <v>3.6600000000000001E-2</v>
      </c>
      <c r="N40" s="740">
        <v>31</v>
      </c>
      <c r="O40" s="133">
        <v>9.1000000000000004E-3</v>
      </c>
      <c r="P40" s="740">
        <v>23</v>
      </c>
    </row>
    <row r="41" spans="2:16">
      <c r="B41" s="11" t="s">
        <v>61</v>
      </c>
      <c r="C41" s="133">
        <v>4.1000000000000003E-3</v>
      </c>
      <c r="D41" s="740">
        <v>23</v>
      </c>
      <c r="E41" s="133">
        <v>5.0599999999999999E-2</v>
      </c>
      <c r="F41" s="740">
        <v>13</v>
      </c>
      <c r="G41" s="133">
        <v>4.7999999999999996E-3</v>
      </c>
      <c r="H41" s="740">
        <v>14</v>
      </c>
      <c r="I41" s="741"/>
      <c r="K41" s="133">
        <v>9.9000000000000008E-3</v>
      </c>
      <c r="L41" s="740">
        <v>13</v>
      </c>
      <c r="M41" s="133">
        <v>2.7799999999999998E-2</v>
      </c>
      <c r="N41" s="740">
        <v>13</v>
      </c>
      <c r="O41" s="133">
        <v>4.4900000000000002E-2</v>
      </c>
      <c r="P41" s="740">
        <v>10</v>
      </c>
    </row>
    <row r="42" spans="2:16">
      <c r="B42" s="11" t="s">
        <v>66</v>
      </c>
      <c r="C42" s="133">
        <v>3.0999999999999999E-3</v>
      </c>
      <c r="D42" s="740">
        <v>0</v>
      </c>
      <c r="E42" s="133">
        <v>3.3E-3</v>
      </c>
      <c r="F42" s="740">
        <v>0</v>
      </c>
      <c r="G42" s="133">
        <v>9.5999999999999992E-3</v>
      </c>
      <c r="H42" s="740">
        <v>0</v>
      </c>
      <c r="I42" s="741"/>
      <c r="K42" s="133">
        <v>2.3800000000000002E-2</v>
      </c>
      <c r="L42" s="740">
        <v>1</v>
      </c>
      <c r="M42" s="133">
        <v>1.6899999999999998E-2</v>
      </c>
      <c r="N42" s="740">
        <v>1</v>
      </c>
      <c r="O42" s="133">
        <v>7.4999999999999997E-3</v>
      </c>
      <c r="P42" s="740">
        <v>2</v>
      </c>
    </row>
    <row r="43" spans="2:16">
      <c r="B43" s="11" t="s">
        <v>68</v>
      </c>
      <c r="C43" s="133">
        <v>1.44E-2</v>
      </c>
      <c r="D43" s="740">
        <v>1</v>
      </c>
      <c r="E43" s="133">
        <v>8.8000000000000005E-3</v>
      </c>
      <c r="F43" s="740">
        <v>0</v>
      </c>
      <c r="G43" s="133">
        <v>1.0800000000000001E-2</v>
      </c>
      <c r="H43" s="740">
        <v>0</v>
      </c>
      <c r="I43" s="742" t="s">
        <v>0</v>
      </c>
      <c r="K43" s="133">
        <v>6.8999999999999999E-3</v>
      </c>
      <c r="L43" s="740">
        <v>0</v>
      </c>
      <c r="M43" s="133">
        <v>9.4999999999999998E-3</v>
      </c>
      <c r="N43" s="740">
        <v>0</v>
      </c>
      <c r="O43" s="133">
        <v>9.7999999999999997E-3</v>
      </c>
      <c r="P43" s="740">
        <v>1</v>
      </c>
    </row>
    <row r="44" spans="2:16">
      <c r="B44" s="11" t="s">
        <v>69</v>
      </c>
      <c r="C44" s="133">
        <v>1.95E-2</v>
      </c>
      <c r="D44" s="740">
        <v>0</v>
      </c>
      <c r="E44" s="133">
        <v>1.2200000000000001E-2</v>
      </c>
      <c r="F44" s="740">
        <v>0</v>
      </c>
      <c r="G44" s="133">
        <v>1.01E-2</v>
      </c>
      <c r="H44" s="740">
        <v>0</v>
      </c>
      <c r="I44" s="742" t="s">
        <v>0</v>
      </c>
      <c r="K44" s="133">
        <v>1.3299999999999999E-2</v>
      </c>
      <c r="L44" s="740">
        <v>1</v>
      </c>
      <c r="M44" s="133">
        <v>1.6299999999999999E-2</v>
      </c>
      <c r="N44" s="740">
        <v>0</v>
      </c>
      <c r="O44" s="133">
        <v>1.5800000000000002E-2</v>
      </c>
      <c r="P44" s="740">
        <v>0</v>
      </c>
    </row>
    <row r="45" spans="2:16">
      <c r="B45" s="11" t="s">
        <v>64</v>
      </c>
      <c r="C45" s="133">
        <v>1.8E-3</v>
      </c>
      <c r="D45" s="740">
        <v>0</v>
      </c>
      <c r="E45" s="133">
        <v>1.04E-2</v>
      </c>
      <c r="F45" s="740">
        <v>0</v>
      </c>
      <c r="G45" s="133">
        <v>1.0699999999999999E-2</v>
      </c>
      <c r="H45" s="740">
        <v>1</v>
      </c>
      <c r="I45" s="741"/>
      <c r="K45" s="133">
        <v>8.0999999999999996E-3</v>
      </c>
      <c r="L45" s="740">
        <v>2</v>
      </c>
      <c r="M45" s="133">
        <v>4.7000000000000002E-3</v>
      </c>
      <c r="N45" s="740">
        <v>0</v>
      </c>
      <c r="O45" s="133">
        <v>1.9E-3</v>
      </c>
      <c r="P45" s="740">
        <v>0</v>
      </c>
    </row>
    <row r="46" spans="2:16">
      <c r="B46" s="11" t="s">
        <v>67</v>
      </c>
      <c r="C46" s="133">
        <v>2.5399999999999999E-2</v>
      </c>
      <c r="D46" s="740">
        <v>2</v>
      </c>
      <c r="E46" s="133">
        <v>1.01E-2</v>
      </c>
      <c r="F46" s="740">
        <v>0</v>
      </c>
      <c r="G46" s="133">
        <v>1.2999999999999999E-2</v>
      </c>
      <c r="H46" s="740">
        <v>0</v>
      </c>
      <c r="I46" s="742" t="s">
        <v>0</v>
      </c>
      <c r="K46" s="133">
        <v>1.1599999999999999E-2</v>
      </c>
      <c r="L46" s="740">
        <v>1</v>
      </c>
      <c r="M46" s="133">
        <v>5.9999999999999995E-4</v>
      </c>
      <c r="N46" s="740">
        <v>0</v>
      </c>
      <c r="O46" s="133">
        <v>1.0699999999999999E-2</v>
      </c>
      <c r="P46" s="740">
        <v>2</v>
      </c>
    </row>
    <row r="47" spans="2:16">
      <c r="B47" s="11" t="s">
        <v>65</v>
      </c>
      <c r="C47" s="133">
        <v>1.12E-2</v>
      </c>
      <c r="D47" s="740">
        <v>0</v>
      </c>
      <c r="E47" s="133">
        <v>1.5100000000000001E-2</v>
      </c>
      <c r="F47" s="740">
        <v>1</v>
      </c>
      <c r="G47" s="133">
        <v>0.01</v>
      </c>
      <c r="H47" s="740">
        <v>0</v>
      </c>
      <c r="I47" s="741"/>
      <c r="K47" s="133">
        <v>2E-3</v>
      </c>
      <c r="L47" s="740">
        <v>0</v>
      </c>
      <c r="M47" s="133">
        <v>1.15E-2</v>
      </c>
      <c r="N47" s="740">
        <v>0</v>
      </c>
      <c r="O47" s="133">
        <v>1.32E-2</v>
      </c>
      <c r="P47" s="740">
        <v>1</v>
      </c>
    </row>
    <row r="48" spans="2:16">
      <c r="B48" s="11"/>
      <c r="C48" s="741"/>
      <c r="D48" s="741"/>
      <c r="E48" s="741"/>
      <c r="F48" s="741"/>
      <c r="G48" s="741"/>
      <c r="I48" s="741"/>
      <c r="K48" s="741"/>
      <c r="L48" s="741"/>
      <c r="M48" s="741"/>
      <c r="N48" s="741"/>
      <c r="O48" s="741"/>
    </row>
    <row r="49" spans="1:15" ht="16.5">
      <c r="A49" s="743" t="s">
        <v>514</v>
      </c>
      <c r="B49" s="11"/>
      <c r="C49" s="741"/>
      <c r="D49" s="741"/>
      <c r="E49" s="741"/>
      <c r="F49" s="741"/>
      <c r="G49" s="741"/>
      <c r="I49" s="741"/>
      <c r="K49" s="741"/>
      <c r="L49" s="741"/>
      <c r="M49" s="741"/>
      <c r="N49" s="741"/>
      <c r="O49" s="51"/>
    </row>
    <row r="50" spans="1:15">
      <c r="O50" t="s">
        <v>0</v>
      </c>
    </row>
    <row r="51" spans="1:15" ht="16.5">
      <c r="A51" s="743" t="s">
        <v>0</v>
      </c>
    </row>
    <row r="52" spans="1:15">
      <c r="A52" s="744" t="s">
        <v>0</v>
      </c>
      <c r="B52" t="s">
        <v>0</v>
      </c>
    </row>
    <row r="53" spans="1:15">
      <c r="B53" t="s">
        <v>0</v>
      </c>
    </row>
    <row r="64" spans="1:15">
      <c r="D64" t="s">
        <v>0</v>
      </c>
    </row>
    <row r="65" spans="4:4">
      <c r="D65" t="s">
        <v>0</v>
      </c>
    </row>
    <row r="67" spans="4:4">
      <c r="D67" t="s">
        <v>0</v>
      </c>
    </row>
  </sheetData>
  <phoneticPr fontId="0" type="noConversion"/>
  <pageMargins left="0.24" right="0.22" top="0.94" bottom="0.64" header="0.5" footer="0.34"/>
  <pageSetup scale="69" orientation="landscape" r:id="rId1"/>
  <headerFooter alignWithMargins="0">
    <oddFooter>&amp;R&amp;P</oddFooter>
  </headerFooter>
  <drawing r:id="rId2"/>
</worksheet>
</file>

<file path=xl/worksheets/sheet122.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7" activePane="bottomRight" state="frozen"/>
      <selection activeCell="E46" sqref="E46"/>
      <selection pane="topRight" activeCell="E46" sqref="E46"/>
      <selection pane="bottomLeft" activeCell="E46" sqref="E46"/>
      <selection pane="bottomRight" activeCell="B52" sqref="B52"/>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968</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41</v>
      </c>
      <c r="C32" s="796">
        <v>51478000</v>
      </c>
      <c r="D32" s="792">
        <v>0</v>
      </c>
      <c r="E32" s="791">
        <v>0</v>
      </c>
      <c r="F32" s="792">
        <v>0</v>
      </c>
      <c r="G32" s="791">
        <v>0</v>
      </c>
      <c r="H32" s="790">
        <f t="shared" ref="H32:I40" si="0">+B32+D32+F32</f>
        <v>41</v>
      </c>
      <c r="I32" s="797">
        <f t="shared" si="0"/>
        <v>51478000</v>
      </c>
      <c r="J32" s="794"/>
      <c r="K32" s="798">
        <f>+C32/I32</f>
        <v>1</v>
      </c>
      <c r="L32" s="792">
        <f>+E32/I32</f>
        <v>0</v>
      </c>
      <c r="M32" s="792">
        <f>+G32/I32</f>
        <v>0</v>
      </c>
      <c r="N32" s="799">
        <f>SUM(K32:M32)</f>
        <v>1</v>
      </c>
      <c r="O32" s="795"/>
      <c r="P32" s="795"/>
      <c r="Q32" s="795"/>
      <c r="R32" s="795"/>
      <c r="S32" s="795"/>
      <c r="T32" s="795"/>
      <c r="U32" s="795"/>
    </row>
    <row r="33" spans="1:21" ht="18">
      <c r="A33" s="789" t="s">
        <v>60</v>
      </c>
      <c r="B33" s="790">
        <v>2</v>
      </c>
      <c r="C33" s="796">
        <v>2273000</v>
      </c>
      <c r="D33" s="790">
        <v>0</v>
      </c>
      <c r="E33" s="1409">
        <v>0</v>
      </c>
      <c r="F33" s="790">
        <v>0</v>
      </c>
      <c r="G33" s="796">
        <v>0</v>
      </c>
      <c r="H33" s="790">
        <f t="shared" si="0"/>
        <v>2</v>
      </c>
      <c r="I33" s="797">
        <f t="shared" si="0"/>
        <v>2273000</v>
      </c>
      <c r="J33" s="794"/>
      <c r="K33" s="798">
        <f>+C33/I33</f>
        <v>1</v>
      </c>
      <c r="L33" s="792">
        <f>E33/I33</f>
        <v>0</v>
      </c>
      <c r="M33" s="792">
        <v>0</v>
      </c>
      <c r="N33" s="799">
        <f>SUM(K33:M33)</f>
        <v>1</v>
      </c>
      <c r="O33" s="795"/>
      <c r="P33" s="795"/>
      <c r="Q33" s="795"/>
      <c r="R33" s="795"/>
      <c r="S33" s="795"/>
      <c r="T33" s="795"/>
      <c r="U33" s="795"/>
    </row>
    <row r="34" spans="1:21" ht="18">
      <c r="A34" s="789" t="s">
        <v>61</v>
      </c>
      <c r="B34" s="790">
        <v>0</v>
      </c>
      <c r="C34" s="796">
        <v>0</v>
      </c>
      <c r="D34" s="790">
        <v>1</v>
      </c>
      <c r="E34" s="796">
        <v>39353000</v>
      </c>
      <c r="F34" s="790">
        <v>4</v>
      </c>
      <c r="G34" s="796">
        <v>277667000</v>
      </c>
      <c r="H34" s="801">
        <f t="shared" si="0"/>
        <v>5</v>
      </c>
      <c r="I34" s="797">
        <f t="shared" si="0"/>
        <v>317020000</v>
      </c>
      <c r="J34" s="794"/>
      <c r="K34" s="792">
        <f t="shared" ref="K34:K38" si="1">+C34/I34</f>
        <v>0</v>
      </c>
      <c r="L34" s="800">
        <f t="shared" ref="L34:L40" si="2">+E34/I34</f>
        <v>0.12413412403002966</v>
      </c>
      <c r="M34" s="1458">
        <f>+G34/I34</f>
        <v>0.87586587596997034</v>
      </c>
      <c r="N34" s="799">
        <f t="shared" ref="N34:N40" si="3">SUM(K34:M34)</f>
        <v>1</v>
      </c>
      <c r="O34" s="795"/>
      <c r="P34" s="795"/>
      <c r="Q34" s="795"/>
      <c r="R34" s="795"/>
      <c r="S34" s="795"/>
      <c r="T34" s="795"/>
      <c r="U34" s="795"/>
    </row>
    <row r="35" spans="1:21" ht="18">
      <c r="A35" s="789" t="s">
        <v>66</v>
      </c>
      <c r="B35" s="790">
        <v>31</v>
      </c>
      <c r="C35" s="796">
        <v>138706160</v>
      </c>
      <c r="D35" s="790">
        <v>1</v>
      </c>
      <c r="E35" s="796">
        <v>61150000</v>
      </c>
      <c r="F35" s="790">
        <v>1</v>
      </c>
      <c r="G35" s="796">
        <v>144655000</v>
      </c>
      <c r="H35" s="801">
        <f t="shared" si="0"/>
        <v>33</v>
      </c>
      <c r="I35" s="797">
        <f t="shared" si="0"/>
        <v>344511160</v>
      </c>
      <c r="J35" s="802" t="s">
        <v>0</v>
      </c>
      <c r="K35" s="798">
        <f t="shared" si="1"/>
        <v>0.40261732014719059</v>
      </c>
      <c r="L35" s="798">
        <f t="shared" si="2"/>
        <v>0.1774978784431831</v>
      </c>
      <c r="M35" s="800">
        <f>+G35/I35</f>
        <v>0.41988480140962631</v>
      </c>
      <c r="N35" s="799">
        <f t="shared" si="3"/>
        <v>1</v>
      </c>
      <c r="O35" s="795"/>
      <c r="P35" s="795"/>
      <c r="Q35" s="795"/>
      <c r="R35" s="795"/>
      <c r="S35" s="795"/>
      <c r="T35" s="795"/>
      <c r="U35" s="795"/>
    </row>
    <row r="36" spans="1:21" ht="18">
      <c r="A36" s="789" t="s">
        <v>64</v>
      </c>
      <c r="B36" s="790">
        <v>15</v>
      </c>
      <c r="C36" s="796">
        <v>523541360</v>
      </c>
      <c r="D36" s="790">
        <v>4</v>
      </c>
      <c r="E36" s="796">
        <v>1153634617</v>
      </c>
      <c r="F36" s="790">
        <v>0</v>
      </c>
      <c r="G36" s="796">
        <v>0</v>
      </c>
      <c r="H36" s="790">
        <f t="shared" si="0"/>
        <v>19</v>
      </c>
      <c r="I36" s="797">
        <f t="shared" si="0"/>
        <v>1677175977</v>
      </c>
      <c r="J36" s="794"/>
      <c r="K36" s="798">
        <f t="shared" si="1"/>
        <v>0.31215648636732174</v>
      </c>
      <c r="L36" s="798">
        <f t="shared" si="2"/>
        <v>0.68784351363267826</v>
      </c>
      <c r="M36" s="1364">
        <f>+G36/I36</f>
        <v>0</v>
      </c>
      <c r="N36" s="799">
        <f t="shared" si="3"/>
        <v>1</v>
      </c>
      <c r="O36" s="795"/>
      <c r="P36" s="795"/>
      <c r="Q36" s="795"/>
      <c r="R36" s="795"/>
      <c r="S36" s="795"/>
      <c r="T36" s="795"/>
      <c r="U36" s="795"/>
    </row>
    <row r="37" spans="1:21" ht="18">
      <c r="A37" s="789" t="s">
        <v>67</v>
      </c>
      <c r="B37" s="790">
        <v>4</v>
      </c>
      <c r="C37" s="796">
        <v>38853068</v>
      </c>
      <c r="D37" s="790">
        <v>1</v>
      </c>
      <c r="E37" s="796">
        <v>29881324</v>
      </c>
      <c r="F37" s="792">
        <v>0</v>
      </c>
      <c r="G37" s="791">
        <v>0</v>
      </c>
      <c r="H37" s="801">
        <f t="shared" si="0"/>
        <v>5</v>
      </c>
      <c r="I37" s="797">
        <f t="shared" si="0"/>
        <v>68734392</v>
      </c>
      <c r="J37" s="794"/>
      <c r="K37" s="798">
        <f t="shared" si="1"/>
        <v>0.56526386383107896</v>
      </c>
      <c r="L37" s="800">
        <f t="shared" si="2"/>
        <v>0.43473613616892109</v>
      </c>
      <c r="M37" s="1402" t="s">
        <v>566</v>
      </c>
      <c r="N37" s="799">
        <f t="shared" si="3"/>
        <v>1</v>
      </c>
      <c r="O37" s="795"/>
      <c r="P37" s="795"/>
      <c r="Q37" s="795"/>
      <c r="R37" s="795"/>
      <c r="S37" s="795"/>
      <c r="T37" s="795"/>
      <c r="U37" s="795"/>
    </row>
    <row r="38" spans="1:21" ht="18">
      <c r="A38" s="789" t="s">
        <v>65</v>
      </c>
      <c r="B38" s="790">
        <v>6</v>
      </c>
      <c r="C38" s="796">
        <v>126105000</v>
      </c>
      <c r="D38" s="790">
        <v>2</v>
      </c>
      <c r="E38" s="796">
        <v>974541000</v>
      </c>
      <c r="F38" s="790">
        <v>0</v>
      </c>
      <c r="G38" s="796">
        <v>0</v>
      </c>
      <c r="H38" s="801">
        <f t="shared" si="0"/>
        <v>8</v>
      </c>
      <c r="I38" s="797">
        <f t="shared" si="0"/>
        <v>1100646000</v>
      </c>
      <c r="J38" s="794"/>
      <c r="K38" s="803">
        <f t="shared" si="1"/>
        <v>0.1145736231267819</v>
      </c>
      <c r="L38" s="804">
        <f t="shared" si="2"/>
        <v>0.88542637687321812</v>
      </c>
      <c r="M38" s="1402" t="s">
        <v>566</v>
      </c>
      <c r="N38" s="805">
        <f t="shared" si="3"/>
        <v>1</v>
      </c>
      <c r="O38" s="795"/>
      <c r="P38" s="795"/>
      <c r="Q38" s="795"/>
      <c r="R38" s="795"/>
      <c r="S38" s="795"/>
      <c r="T38" s="795"/>
      <c r="U38" s="795"/>
    </row>
    <row r="39" spans="1:21" ht="18">
      <c r="A39" s="806" t="s">
        <v>68</v>
      </c>
      <c r="B39" s="807">
        <v>0</v>
      </c>
      <c r="C39" s="808">
        <v>0</v>
      </c>
      <c r="D39" s="807">
        <v>0</v>
      </c>
      <c r="E39" s="808">
        <v>0</v>
      </c>
      <c r="F39" s="790">
        <v>0</v>
      </c>
      <c r="G39" s="808">
        <v>0</v>
      </c>
      <c r="H39" s="790">
        <f t="shared" si="0"/>
        <v>0</v>
      </c>
      <c r="I39" s="797">
        <f t="shared" si="0"/>
        <v>0</v>
      </c>
      <c r="J39" s="794"/>
      <c r="K39" s="813">
        <v>0</v>
      </c>
      <c r="L39" s="811">
        <v>0</v>
      </c>
      <c r="M39" s="792">
        <v>0</v>
      </c>
      <c r="N39" s="814">
        <f t="shared" si="3"/>
        <v>0</v>
      </c>
      <c r="O39" s="795"/>
      <c r="P39" s="795"/>
      <c r="Q39" s="795"/>
      <c r="R39" s="795"/>
      <c r="S39" s="795"/>
      <c r="T39" s="795"/>
      <c r="U39" s="795"/>
    </row>
    <row r="40" spans="1:21" ht="18">
      <c r="A40" s="806" t="s">
        <v>535</v>
      </c>
      <c r="B40" s="807">
        <v>1</v>
      </c>
      <c r="C40" s="808">
        <v>4431000</v>
      </c>
      <c r="D40" s="809">
        <v>0</v>
      </c>
      <c r="E40" s="810">
        <v>0</v>
      </c>
      <c r="F40" s="790">
        <v>1</v>
      </c>
      <c r="G40" s="808">
        <v>119163000</v>
      </c>
      <c r="H40" s="790">
        <f t="shared" si="0"/>
        <v>2</v>
      </c>
      <c r="I40" s="797">
        <f t="shared" si="0"/>
        <v>123594000</v>
      </c>
      <c r="J40" s="794"/>
      <c r="K40" s="804">
        <f>+C40/I40</f>
        <v>3.5851254915287151E-2</v>
      </c>
      <c r="L40" s="811">
        <f t="shared" si="2"/>
        <v>0</v>
      </c>
      <c r="M40" s="804">
        <f>+G40/I40</f>
        <v>0.96414874508471282</v>
      </c>
      <c r="N40" s="812">
        <f t="shared" si="3"/>
        <v>1</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57478000</v>
      </c>
      <c r="C52" s="822">
        <v>2493107000</v>
      </c>
      <c r="D52" s="799">
        <f t="shared" ref="D52:D60" si="4">+B52/C52</f>
        <v>2.3054766602476347E-2</v>
      </c>
      <c r="E52" s="795"/>
      <c r="F52" s="795"/>
      <c r="G52" s="795"/>
      <c r="H52" s="795"/>
      <c r="I52" s="795"/>
      <c r="J52" s="795"/>
      <c r="K52" s="795"/>
      <c r="L52" s="795"/>
      <c r="M52" s="795"/>
      <c r="N52" s="795"/>
      <c r="O52" s="795"/>
      <c r="P52" s="795"/>
      <c r="Q52" s="795"/>
      <c r="R52" s="795"/>
      <c r="S52" s="795"/>
      <c r="T52" s="795"/>
      <c r="U52" s="795"/>
    </row>
    <row r="53" spans="1:21" ht="18">
      <c r="A53" s="789" t="s">
        <v>60</v>
      </c>
      <c r="B53" s="822">
        <v>2273000</v>
      </c>
      <c r="C53" s="822">
        <v>127762000</v>
      </c>
      <c r="D53" s="1457">
        <f t="shared" si="4"/>
        <v>1.7790892440631801E-2</v>
      </c>
    </row>
    <row r="54" spans="1:21" ht="18">
      <c r="A54" s="789" t="s">
        <v>61</v>
      </c>
      <c r="B54" s="822">
        <v>317020000</v>
      </c>
      <c r="C54" s="822">
        <v>410141000</v>
      </c>
      <c r="D54" s="799">
        <f t="shared" si="4"/>
        <v>0.77295369153534998</v>
      </c>
    </row>
    <row r="55" spans="1:21" ht="18">
      <c r="A55" s="789" t="s">
        <v>66</v>
      </c>
      <c r="B55" s="822">
        <v>344511160</v>
      </c>
      <c r="C55" s="822">
        <v>1072228000</v>
      </c>
      <c r="D55" s="799">
        <f t="shared" si="4"/>
        <v>0.32130401369857903</v>
      </c>
    </row>
    <row r="56" spans="1:21" ht="18">
      <c r="A56" s="789" t="s">
        <v>64</v>
      </c>
      <c r="B56" s="822">
        <v>1677175977</v>
      </c>
      <c r="C56" s="822">
        <v>4030552038</v>
      </c>
      <c r="D56" s="799">
        <f t="shared" si="4"/>
        <v>0.41611569859106234</v>
      </c>
    </row>
    <row r="57" spans="1:21" ht="18">
      <c r="A57" s="789" t="s">
        <v>67</v>
      </c>
      <c r="B57" s="822">
        <v>68734393</v>
      </c>
      <c r="C57" s="822">
        <v>478397824</v>
      </c>
      <c r="D57" s="799">
        <f t="shared" si="4"/>
        <v>0.14367622416275874</v>
      </c>
    </row>
    <row r="58" spans="1:21" ht="18">
      <c r="A58" s="789" t="s">
        <v>65</v>
      </c>
      <c r="B58" s="822">
        <v>1100646000</v>
      </c>
      <c r="C58" s="822">
        <v>5601863000</v>
      </c>
      <c r="D58" s="823">
        <f t="shared" si="4"/>
        <v>0.19647856436331984</v>
      </c>
    </row>
    <row r="59" spans="1:21" ht="18">
      <c r="A59" s="806" t="s">
        <v>68</v>
      </c>
      <c r="B59" s="978">
        <v>0</v>
      </c>
      <c r="C59" s="980">
        <v>492460000</v>
      </c>
      <c r="D59" s="1459">
        <f t="shared" si="4"/>
        <v>0</v>
      </c>
    </row>
    <row r="60" spans="1:21" ht="18">
      <c r="A60" s="806" t="s">
        <v>535</v>
      </c>
      <c r="B60" s="978">
        <v>123594000</v>
      </c>
      <c r="C60" s="824">
        <v>333531000</v>
      </c>
      <c r="D60" s="823">
        <f t="shared" si="4"/>
        <v>0.37056225658184694</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3.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9" activePane="bottomRight" state="frozen"/>
      <selection activeCell="E46" sqref="E46"/>
      <selection pane="topRight" activeCell="E46" sqref="E46"/>
      <selection pane="bottomLeft" activeCell="E46" sqref="E46"/>
      <selection pane="bottomRight" activeCell="B32" sqref="B32"/>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942</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42</v>
      </c>
      <c r="C32" s="796">
        <v>64503750</v>
      </c>
      <c r="D32" s="792">
        <v>0</v>
      </c>
      <c r="E32" s="791">
        <v>0</v>
      </c>
      <c r="F32" s="792">
        <v>0</v>
      </c>
      <c r="G32" s="791">
        <v>0</v>
      </c>
      <c r="H32" s="790">
        <f t="shared" ref="H32:I40" si="0">+B32+D32+F32</f>
        <v>42</v>
      </c>
      <c r="I32" s="797">
        <f t="shared" si="0"/>
        <v>64503750</v>
      </c>
      <c r="J32" s="794"/>
      <c r="K32" s="798">
        <f>+C32/I32</f>
        <v>1</v>
      </c>
      <c r="L32" s="792">
        <f>+E32/I32</f>
        <v>0</v>
      </c>
      <c r="M32" s="792">
        <f>+G32/I32</f>
        <v>0</v>
      </c>
      <c r="N32" s="799">
        <f>SUM(K32:M32)</f>
        <v>1</v>
      </c>
      <c r="O32" s="795"/>
      <c r="P32" s="795"/>
      <c r="Q32" s="795"/>
      <c r="R32" s="795"/>
      <c r="S32" s="795"/>
      <c r="T32" s="795"/>
      <c r="U32" s="795"/>
    </row>
    <row r="33" spans="1:21" ht="18">
      <c r="A33" s="789" t="s">
        <v>60</v>
      </c>
      <c r="B33" s="790">
        <v>2</v>
      </c>
      <c r="C33" s="796">
        <v>2380000</v>
      </c>
      <c r="D33" s="790">
        <v>0</v>
      </c>
      <c r="E33" s="1409">
        <v>0</v>
      </c>
      <c r="F33" s="790">
        <v>0</v>
      </c>
      <c r="G33" s="796">
        <v>0</v>
      </c>
      <c r="H33" s="790">
        <f t="shared" si="0"/>
        <v>2</v>
      </c>
      <c r="I33" s="797">
        <f t="shared" si="0"/>
        <v>2380000</v>
      </c>
      <c r="J33" s="794"/>
      <c r="K33" s="798">
        <f>+C33/I33</f>
        <v>1</v>
      </c>
      <c r="L33" s="792">
        <f>E33/I33</f>
        <v>0</v>
      </c>
      <c r="M33" s="792">
        <v>0</v>
      </c>
      <c r="N33" s="799">
        <f>SUM(K33:M33)</f>
        <v>1</v>
      </c>
      <c r="O33" s="795"/>
      <c r="P33" s="795"/>
      <c r="Q33" s="795"/>
      <c r="R33" s="795"/>
      <c r="S33" s="795"/>
      <c r="T33" s="795"/>
      <c r="U33" s="795"/>
    </row>
    <row r="34" spans="1:21" ht="18">
      <c r="A34" s="789" t="s">
        <v>61</v>
      </c>
      <c r="B34" s="790">
        <v>0</v>
      </c>
      <c r="C34" s="796">
        <v>0</v>
      </c>
      <c r="D34" s="790">
        <v>3</v>
      </c>
      <c r="E34" s="796">
        <v>89511000</v>
      </c>
      <c r="F34" s="790">
        <v>1</v>
      </c>
      <c r="G34" s="796">
        <v>47863000</v>
      </c>
      <c r="H34" s="801">
        <f t="shared" si="0"/>
        <v>4</v>
      </c>
      <c r="I34" s="797">
        <f t="shared" si="0"/>
        <v>137374000</v>
      </c>
      <c r="J34" s="794"/>
      <c r="K34" s="792">
        <f t="shared" ref="K34:K40" si="1">+C34/I34</f>
        <v>0</v>
      </c>
      <c r="L34" s="800">
        <f t="shared" ref="L34:L38" si="2">+E34/I34</f>
        <v>0.65158618079112496</v>
      </c>
      <c r="M34" s="1458">
        <f>+G34/I34</f>
        <v>0.34841381920887504</v>
      </c>
      <c r="N34" s="799">
        <f t="shared" ref="N34:N40" si="3">SUM(K34:M34)</f>
        <v>1</v>
      </c>
      <c r="O34" s="795"/>
      <c r="P34" s="795"/>
      <c r="Q34" s="795"/>
      <c r="R34" s="795"/>
      <c r="S34" s="795"/>
      <c r="T34" s="795"/>
      <c r="U34" s="795"/>
    </row>
    <row r="35" spans="1:21" ht="18">
      <c r="A35" s="789" t="s">
        <v>66</v>
      </c>
      <c r="B35" s="790">
        <v>30</v>
      </c>
      <c r="C35" s="796">
        <v>70156010</v>
      </c>
      <c r="D35" s="790">
        <v>2</v>
      </c>
      <c r="E35" s="796">
        <v>127386810</v>
      </c>
      <c r="F35" s="790">
        <v>0</v>
      </c>
      <c r="G35" s="796">
        <v>0</v>
      </c>
      <c r="H35" s="801">
        <f t="shared" si="0"/>
        <v>32</v>
      </c>
      <c r="I35" s="797">
        <f t="shared" si="0"/>
        <v>197542820</v>
      </c>
      <c r="J35" s="802" t="s">
        <v>0</v>
      </c>
      <c r="K35" s="798">
        <f t="shared" si="1"/>
        <v>0.35514330513252773</v>
      </c>
      <c r="L35" s="798">
        <f t="shared" si="2"/>
        <v>0.64485669486747232</v>
      </c>
      <c r="M35" s="792">
        <f>+G35/I35</f>
        <v>0</v>
      </c>
      <c r="N35" s="799">
        <f t="shared" si="3"/>
        <v>1</v>
      </c>
      <c r="O35" s="795"/>
      <c r="P35" s="795"/>
      <c r="Q35" s="795"/>
      <c r="R35" s="795"/>
      <c r="S35" s="795"/>
      <c r="T35" s="795"/>
      <c r="U35" s="795"/>
    </row>
    <row r="36" spans="1:21" ht="18">
      <c r="A36" s="789" t="s">
        <v>64</v>
      </c>
      <c r="B36" s="790">
        <v>15</v>
      </c>
      <c r="C36" s="796">
        <v>620007703</v>
      </c>
      <c r="D36" s="790">
        <v>2</v>
      </c>
      <c r="E36" s="796">
        <v>549687708</v>
      </c>
      <c r="F36" s="790">
        <v>1</v>
      </c>
      <c r="G36" s="796">
        <v>582060848</v>
      </c>
      <c r="H36" s="790">
        <f t="shared" si="0"/>
        <v>18</v>
      </c>
      <c r="I36" s="797">
        <f t="shared" si="0"/>
        <v>1751756259</v>
      </c>
      <c r="J36" s="794"/>
      <c r="K36" s="798">
        <f t="shared" si="1"/>
        <v>0.3539349152112834</v>
      </c>
      <c r="L36" s="798">
        <f t="shared" si="2"/>
        <v>0.31379234706647624</v>
      </c>
      <c r="M36" s="1364">
        <f>+G36/I36</f>
        <v>0.33227273772224036</v>
      </c>
      <c r="N36" s="799">
        <f t="shared" si="3"/>
        <v>1</v>
      </c>
      <c r="O36" s="795"/>
      <c r="P36" s="795"/>
      <c r="Q36" s="795"/>
      <c r="R36" s="795"/>
      <c r="S36" s="795"/>
      <c r="T36" s="795"/>
      <c r="U36" s="795"/>
    </row>
    <row r="37" spans="1:21" ht="18">
      <c r="A37" s="789" t="s">
        <v>67</v>
      </c>
      <c r="B37" s="790">
        <v>4</v>
      </c>
      <c r="C37" s="796">
        <v>25488005</v>
      </c>
      <c r="D37" s="790">
        <v>1</v>
      </c>
      <c r="E37" s="796">
        <v>28915401</v>
      </c>
      <c r="F37" s="792">
        <v>0</v>
      </c>
      <c r="G37" s="791">
        <v>0</v>
      </c>
      <c r="H37" s="801">
        <f t="shared" si="0"/>
        <v>5</v>
      </c>
      <c r="I37" s="797">
        <f t="shared" si="0"/>
        <v>54403406</v>
      </c>
      <c r="J37" s="794"/>
      <c r="K37" s="798">
        <f t="shared" si="1"/>
        <v>0.46850017074298622</v>
      </c>
      <c r="L37" s="800">
        <f t="shared" si="2"/>
        <v>0.53149982925701378</v>
      </c>
      <c r="M37" s="1402" t="s">
        <v>566</v>
      </c>
      <c r="N37" s="799">
        <f t="shared" si="3"/>
        <v>1</v>
      </c>
      <c r="O37" s="795"/>
      <c r="P37" s="795"/>
      <c r="Q37" s="795"/>
      <c r="R37" s="795"/>
      <c r="S37" s="795"/>
      <c r="T37" s="795"/>
      <c r="U37" s="795"/>
    </row>
    <row r="38" spans="1:21" ht="18">
      <c r="A38" s="789" t="s">
        <v>65</v>
      </c>
      <c r="B38" s="790">
        <v>5</v>
      </c>
      <c r="C38" s="796">
        <v>119674000</v>
      </c>
      <c r="D38" s="790">
        <v>2</v>
      </c>
      <c r="E38" s="796">
        <v>961076000</v>
      </c>
      <c r="F38" s="790">
        <v>0</v>
      </c>
      <c r="G38" s="796">
        <v>0</v>
      </c>
      <c r="H38" s="801">
        <f t="shared" si="0"/>
        <v>7</v>
      </c>
      <c r="I38" s="797">
        <f t="shared" si="0"/>
        <v>1080750000</v>
      </c>
      <c r="J38" s="794"/>
      <c r="K38" s="803">
        <f t="shared" si="1"/>
        <v>0.1107323617857969</v>
      </c>
      <c r="L38" s="804">
        <f t="shared" si="2"/>
        <v>0.88926763821420307</v>
      </c>
      <c r="M38" s="1402" t="s">
        <v>566</v>
      </c>
      <c r="N38" s="805">
        <f t="shared" si="3"/>
        <v>1</v>
      </c>
      <c r="O38" s="795"/>
      <c r="P38" s="795"/>
      <c r="Q38" s="795"/>
      <c r="R38" s="795"/>
      <c r="S38" s="795"/>
      <c r="T38" s="795"/>
      <c r="U38" s="795"/>
    </row>
    <row r="39" spans="1:21" ht="18">
      <c r="A39" s="806" t="s">
        <v>68</v>
      </c>
      <c r="B39" s="807">
        <v>0</v>
      </c>
      <c r="C39" s="808">
        <v>0</v>
      </c>
      <c r="D39" s="807">
        <v>0</v>
      </c>
      <c r="E39" s="808">
        <v>0</v>
      </c>
      <c r="F39" s="790">
        <v>0</v>
      </c>
      <c r="G39" s="808">
        <v>0</v>
      </c>
      <c r="H39" s="790">
        <f t="shared" si="0"/>
        <v>0</v>
      </c>
      <c r="I39" s="797">
        <f t="shared" si="0"/>
        <v>0</v>
      </c>
      <c r="J39" s="794"/>
      <c r="K39" s="813">
        <v>0</v>
      </c>
      <c r="L39" s="811">
        <v>0</v>
      </c>
      <c r="M39" s="792">
        <v>0</v>
      </c>
      <c r="N39" s="814">
        <f t="shared" si="3"/>
        <v>0</v>
      </c>
      <c r="O39" s="795"/>
      <c r="P39" s="795"/>
      <c r="Q39" s="795"/>
      <c r="R39" s="795"/>
      <c r="S39" s="795"/>
      <c r="T39" s="795"/>
      <c r="U39" s="795"/>
    </row>
    <row r="40" spans="1:21" ht="18">
      <c r="A40" s="806" t="s">
        <v>535</v>
      </c>
      <c r="B40" s="807">
        <v>1</v>
      </c>
      <c r="C40" s="808">
        <v>4613000</v>
      </c>
      <c r="D40" s="809">
        <v>0</v>
      </c>
      <c r="E40" s="810">
        <v>0</v>
      </c>
      <c r="F40" s="790">
        <v>1</v>
      </c>
      <c r="G40" s="808">
        <v>115036000</v>
      </c>
      <c r="H40" s="790">
        <f t="shared" si="0"/>
        <v>2</v>
      </c>
      <c r="I40" s="797">
        <f t="shared" si="0"/>
        <v>119649000</v>
      </c>
      <c r="J40" s="794"/>
      <c r="K40" s="803">
        <f t="shared" si="1"/>
        <v>3.8554438398983697E-2</v>
      </c>
      <c r="L40" s="811">
        <v>0</v>
      </c>
      <c r="M40" s="1364">
        <f>+G40/I40</f>
        <v>0.96144556160101635</v>
      </c>
      <c r="N40" s="805">
        <f t="shared" si="3"/>
        <v>1</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64503750</v>
      </c>
      <c r="C52" s="822">
        <v>2280241000</v>
      </c>
      <c r="D52" s="799">
        <f t="shared" ref="D52:D60" si="4">+B52/C52</f>
        <v>2.8288128316261308E-2</v>
      </c>
      <c r="E52" s="795"/>
      <c r="F52" s="795"/>
      <c r="G52" s="795"/>
      <c r="H52" s="795"/>
      <c r="I52" s="795"/>
      <c r="J52" s="795"/>
      <c r="K52" s="795"/>
      <c r="L52" s="795"/>
      <c r="M52" s="795"/>
      <c r="N52" s="795"/>
      <c r="O52" s="795"/>
      <c r="P52" s="795"/>
      <c r="Q52" s="795"/>
      <c r="R52" s="795"/>
      <c r="S52" s="795"/>
      <c r="T52" s="795"/>
      <c r="U52" s="795"/>
    </row>
    <row r="53" spans="1:21" ht="18">
      <c r="A53" s="789" t="s">
        <v>60</v>
      </c>
      <c r="B53" s="822">
        <v>2380000</v>
      </c>
      <c r="C53" s="822">
        <v>129301000</v>
      </c>
      <c r="D53" s="1457">
        <f t="shared" si="4"/>
        <v>1.840666352155049E-2</v>
      </c>
    </row>
    <row r="54" spans="1:21" ht="18">
      <c r="A54" s="789" t="s">
        <v>61</v>
      </c>
      <c r="B54" s="822">
        <v>137374000</v>
      </c>
      <c r="C54" s="822">
        <v>389080000</v>
      </c>
      <c r="D54" s="799">
        <f t="shared" si="4"/>
        <v>0.35307391796031662</v>
      </c>
    </row>
    <row r="55" spans="1:21" ht="18">
      <c r="A55" s="789" t="s">
        <v>66</v>
      </c>
      <c r="B55" s="822">
        <v>197542820</v>
      </c>
      <c r="C55" s="822">
        <v>1007077000</v>
      </c>
      <c r="D55" s="799">
        <f t="shared" si="4"/>
        <v>0.19615463365760513</v>
      </c>
    </row>
    <row r="56" spans="1:21" ht="18">
      <c r="A56" s="789" t="s">
        <v>64</v>
      </c>
      <c r="B56" s="822">
        <v>1751756260</v>
      </c>
      <c r="C56" s="822">
        <v>3967203492</v>
      </c>
      <c r="D56" s="799">
        <f t="shared" si="4"/>
        <v>0.44155946714920868</v>
      </c>
    </row>
    <row r="57" spans="1:21" ht="18">
      <c r="A57" s="789" t="s">
        <v>67</v>
      </c>
      <c r="B57" s="822">
        <v>54403406</v>
      </c>
      <c r="C57" s="822">
        <v>451558205</v>
      </c>
      <c r="D57" s="799">
        <f t="shared" si="4"/>
        <v>0.12047927686310118</v>
      </c>
    </row>
    <row r="58" spans="1:21" ht="18">
      <c r="A58" s="789" t="s">
        <v>65</v>
      </c>
      <c r="B58" s="822">
        <v>1080750000</v>
      </c>
      <c r="C58" s="822">
        <v>5190006000</v>
      </c>
      <c r="D58" s="823">
        <f t="shared" si="4"/>
        <v>0.208236753483522</v>
      </c>
    </row>
    <row r="59" spans="1:21" ht="18">
      <c r="A59" s="806" t="s">
        <v>68</v>
      </c>
      <c r="B59" s="978">
        <v>0</v>
      </c>
      <c r="C59" s="980">
        <v>442537000</v>
      </c>
      <c r="D59" s="1459">
        <f t="shared" si="4"/>
        <v>0</v>
      </c>
    </row>
    <row r="60" spans="1:21" ht="18">
      <c r="A60" s="806" t="s">
        <v>535</v>
      </c>
      <c r="B60" s="978">
        <v>119649000</v>
      </c>
      <c r="C60" s="824">
        <v>306459000</v>
      </c>
      <c r="D60" s="823">
        <f t="shared" si="4"/>
        <v>0.39042416767006355</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4.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7"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933</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41</v>
      </c>
      <c r="C32" s="796">
        <v>58825250</v>
      </c>
      <c r="D32" s="792">
        <v>0</v>
      </c>
      <c r="E32" s="791">
        <v>0</v>
      </c>
      <c r="F32" s="792">
        <v>0</v>
      </c>
      <c r="G32" s="791">
        <v>0</v>
      </c>
      <c r="H32" s="790">
        <f t="shared" ref="H32:I40" si="0">+B32+D32+F32</f>
        <v>41</v>
      </c>
      <c r="I32" s="797">
        <f t="shared" si="0"/>
        <v>58825250</v>
      </c>
      <c r="J32" s="794"/>
      <c r="K32" s="798">
        <f>+C32/I32</f>
        <v>1</v>
      </c>
      <c r="L32" s="792">
        <f>+E32/I32</f>
        <v>0</v>
      </c>
      <c r="M32" s="792">
        <f>+G32/I32</f>
        <v>0</v>
      </c>
      <c r="N32" s="799">
        <f>SUM(K32:M32)</f>
        <v>1</v>
      </c>
      <c r="O32" s="795"/>
      <c r="P32" s="795"/>
      <c r="Q32" s="795"/>
      <c r="R32" s="795"/>
      <c r="S32" s="795"/>
      <c r="T32" s="795"/>
      <c r="U32" s="795"/>
    </row>
    <row r="33" spans="1:21" ht="18">
      <c r="A33" s="789" t="s">
        <v>60</v>
      </c>
      <c r="B33" s="790">
        <v>2</v>
      </c>
      <c r="C33" s="796">
        <v>2007000</v>
      </c>
      <c r="D33" s="790">
        <v>0</v>
      </c>
      <c r="E33" s="1409">
        <v>0</v>
      </c>
      <c r="F33" s="790">
        <v>0</v>
      </c>
      <c r="G33" s="796">
        <v>0</v>
      </c>
      <c r="H33" s="790">
        <f t="shared" si="0"/>
        <v>2</v>
      </c>
      <c r="I33" s="797">
        <f t="shared" si="0"/>
        <v>2007000</v>
      </c>
      <c r="J33" s="794"/>
      <c r="K33" s="798">
        <f>+C33/I33</f>
        <v>1</v>
      </c>
      <c r="L33" s="792">
        <f>E33/I33</f>
        <v>0</v>
      </c>
      <c r="M33" s="792">
        <v>0</v>
      </c>
      <c r="N33" s="799">
        <f>SUM(K33:M33)</f>
        <v>1</v>
      </c>
      <c r="O33" s="795"/>
      <c r="P33" s="795"/>
      <c r="Q33" s="795"/>
      <c r="R33" s="795"/>
      <c r="S33" s="795"/>
      <c r="T33" s="795"/>
      <c r="U33" s="795"/>
    </row>
    <row r="34" spans="1:21" ht="18">
      <c r="A34" s="789" t="s">
        <v>61</v>
      </c>
      <c r="B34" s="790">
        <v>0</v>
      </c>
      <c r="C34" s="796">
        <v>0</v>
      </c>
      <c r="D34" s="790">
        <v>1</v>
      </c>
      <c r="E34" s="796">
        <v>29776000</v>
      </c>
      <c r="F34" s="790">
        <v>4</v>
      </c>
      <c r="G34" s="796">
        <v>212528000</v>
      </c>
      <c r="H34" s="801">
        <f t="shared" si="0"/>
        <v>5</v>
      </c>
      <c r="I34" s="797">
        <f t="shared" si="0"/>
        <v>242304000</v>
      </c>
      <c r="J34" s="794"/>
      <c r="K34" s="792">
        <f t="shared" ref="K34:K38" si="1">+C34/I34</f>
        <v>0</v>
      </c>
      <c r="L34" s="800">
        <f t="shared" ref="L34:L38" si="2">+E34/I34</f>
        <v>0.12288695192815637</v>
      </c>
      <c r="M34" s="1458">
        <f>+G34/I34</f>
        <v>0.87711304807184365</v>
      </c>
      <c r="N34" s="799">
        <f t="shared" ref="N34:N40" si="3">SUM(K34:M34)</f>
        <v>1</v>
      </c>
      <c r="O34" s="795"/>
      <c r="P34" s="795"/>
      <c r="Q34" s="795"/>
      <c r="R34" s="795"/>
      <c r="S34" s="795"/>
      <c r="T34" s="795"/>
      <c r="U34" s="795"/>
    </row>
    <row r="35" spans="1:21" ht="18">
      <c r="A35" s="789" t="s">
        <v>66</v>
      </c>
      <c r="B35" s="790">
        <v>28</v>
      </c>
      <c r="C35" s="796">
        <v>55850680</v>
      </c>
      <c r="D35" s="790">
        <v>2</v>
      </c>
      <c r="E35" s="796">
        <v>122838770</v>
      </c>
      <c r="F35" s="790">
        <v>0</v>
      </c>
      <c r="G35" s="796">
        <v>0</v>
      </c>
      <c r="H35" s="801">
        <f t="shared" si="0"/>
        <v>30</v>
      </c>
      <c r="I35" s="797">
        <f t="shared" si="0"/>
        <v>178689450</v>
      </c>
      <c r="J35" s="802" t="s">
        <v>0</v>
      </c>
      <c r="K35" s="798">
        <f t="shared" si="1"/>
        <v>0.31255723267378127</v>
      </c>
      <c r="L35" s="798">
        <f t="shared" si="2"/>
        <v>0.68744276732621878</v>
      </c>
      <c r="M35" s="792">
        <f>+G35/I35</f>
        <v>0</v>
      </c>
      <c r="N35" s="799">
        <f t="shared" si="3"/>
        <v>1</v>
      </c>
      <c r="O35" s="795"/>
      <c r="P35" s="795"/>
      <c r="Q35" s="795"/>
      <c r="R35" s="795"/>
      <c r="S35" s="795"/>
      <c r="T35" s="795"/>
      <c r="U35" s="795"/>
    </row>
    <row r="36" spans="1:21" ht="18">
      <c r="A36" s="789" t="s">
        <v>64</v>
      </c>
      <c r="B36" s="790">
        <v>16</v>
      </c>
      <c r="C36" s="796">
        <v>744706296</v>
      </c>
      <c r="D36" s="790">
        <v>1</v>
      </c>
      <c r="E36" s="796">
        <v>291572647</v>
      </c>
      <c r="F36" s="790">
        <v>1</v>
      </c>
      <c r="G36" s="796">
        <v>419951237</v>
      </c>
      <c r="H36" s="790">
        <f t="shared" si="0"/>
        <v>18</v>
      </c>
      <c r="I36" s="797">
        <f t="shared" si="0"/>
        <v>1456230180</v>
      </c>
      <c r="J36" s="794"/>
      <c r="K36" s="798">
        <f t="shared" si="1"/>
        <v>0.51139325789828094</v>
      </c>
      <c r="L36" s="798">
        <f t="shared" si="2"/>
        <v>0.20022428528434977</v>
      </c>
      <c r="M36" s="1364">
        <f>+G36/I36</f>
        <v>0.28838245681736935</v>
      </c>
      <c r="N36" s="799">
        <f t="shared" si="3"/>
        <v>1</v>
      </c>
      <c r="O36" s="795"/>
      <c r="P36" s="795"/>
      <c r="Q36" s="795"/>
      <c r="R36" s="795"/>
      <c r="S36" s="795"/>
      <c r="T36" s="795"/>
      <c r="U36" s="795"/>
    </row>
    <row r="37" spans="1:21" ht="18">
      <c r="A37" s="789" t="s">
        <v>67</v>
      </c>
      <c r="B37" s="790">
        <v>5</v>
      </c>
      <c r="C37" s="796">
        <v>34033675</v>
      </c>
      <c r="D37" s="790">
        <v>1</v>
      </c>
      <c r="E37" s="796">
        <v>29482605</v>
      </c>
      <c r="F37" s="792">
        <v>0</v>
      </c>
      <c r="G37" s="791">
        <v>0</v>
      </c>
      <c r="H37" s="801">
        <f t="shared" si="0"/>
        <v>6</v>
      </c>
      <c r="I37" s="797">
        <f t="shared" si="0"/>
        <v>63516280</v>
      </c>
      <c r="J37" s="794"/>
      <c r="K37" s="798">
        <f t="shared" si="1"/>
        <v>0.53582601185082002</v>
      </c>
      <c r="L37" s="800">
        <f t="shared" si="2"/>
        <v>0.46417398814918004</v>
      </c>
      <c r="M37" s="1402" t="s">
        <v>566</v>
      </c>
      <c r="N37" s="799">
        <f t="shared" si="3"/>
        <v>1</v>
      </c>
      <c r="O37" s="795"/>
      <c r="P37" s="795"/>
      <c r="Q37" s="795"/>
      <c r="R37" s="795"/>
      <c r="S37" s="795"/>
      <c r="T37" s="795"/>
      <c r="U37" s="795"/>
    </row>
    <row r="38" spans="1:21" ht="18">
      <c r="A38" s="789" t="s">
        <v>65</v>
      </c>
      <c r="B38" s="790">
        <v>6</v>
      </c>
      <c r="C38" s="796">
        <v>118130000</v>
      </c>
      <c r="D38" s="790">
        <v>2</v>
      </c>
      <c r="E38" s="796">
        <v>904558000</v>
      </c>
      <c r="F38" s="790">
        <v>0</v>
      </c>
      <c r="G38" s="796">
        <v>0</v>
      </c>
      <c r="H38" s="801">
        <f t="shared" si="0"/>
        <v>8</v>
      </c>
      <c r="I38" s="797">
        <f t="shared" si="0"/>
        <v>1022688000</v>
      </c>
      <c r="J38" s="794"/>
      <c r="K38" s="803">
        <f t="shared" si="1"/>
        <v>0.11550932444694766</v>
      </c>
      <c r="L38" s="804">
        <f t="shared" si="2"/>
        <v>0.88449067555305239</v>
      </c>
      <c r="M38" s="1402" t="s">
        <v>566</v>
      </c>
      <c r="N38" s="805">
        <f t="shared" si="3"/>
        <v>1</v>
      </c>
      <c r="O38" s="795"/>
      <c r="P38" s="795"/>
      <c r="Q38" s="795"/>
      <c r="R38" s="795"/>
      <c r="S38" s="795"/>
      <c r="T38" s="795"/>
      <c r="U38" s="795"/>
    </row>
    <row r="39" spans="1:21" ht="18">
      <c r="A39" s="806" t="s">
        <v>68</v>
      </c>
      <c r="B39" s="807">
        <v>0</v>
      </c>
      <c r="C39" s="808">
        <v>0</v>
      </c>
      <c r="D39" s="807">
        <v>0</v>
      </c>
      <c r="E39" s="808">
        <v>0</v>
      </c>
      <c r="F39" s="790">
        <v>0</v>
      </c>
      <c r="G39" s="808">
        <v>0</v>
      </c>
      <c r="H39" s="790">
        <f t="shared" si="0"/>
        <v>0</v>
      </c>
      <c r="I39" s="797">
        <f t="shared" si="0"/>
        <v>0</v>
      </c>
      <c r="J39" s="794"/>
      <c r="K39" s="813">
        <v>0</v>
      </c>
      <c r="L39" s="811">
        <v>0</v>
      </c>
      <c r="M39" s="792">
        <v>0</v>
      </c>
      <c r="N39" s="814">
        <f t="shared" si="3"/>
        <v>0</v>
      </c>
      <c r="O39" s="795"/>
      <c r="P39" s="795"/>
      <c r="Q39" s="795"/>
      <c r="R39" s="795"/>
      <c r="S39" s="795"/>
      <c r="T39" s="795"/>
      <c r="U39" s="795"/>
    </row>
    <row r="40" spans="1:21" ht="18">
      <c r="A40" s="806" t="s">
        <v>535</v>
      </c>
      <c r="B40" s="807">
        <v>0</v>
      </c>
      <c r="C40" s="808">
        <v>0</v>
      </c>
      <c r="D40" s="809">
        <v>0</v>
      </c>
      <c r="E40" s="810">
        <v>0</v>
      </c>
      <c r="F40" s="790">
        <v>0</v>
      </c>
      <c r="G40" s="810">
        <v>0</v>
      </c>
      <c r="H40" s="790">
        <f t="shared" si="0"/>
        <v>0</v>
      </c>
      <c r="I40" s="797">
        <f t="shared" si="0"/>
        <v>0</v>
      </c>
      <c r="J40" s="794"/>
      <c r="K40" s="813">
        <v>0</v>
      </c>
      <c r="L40" s="811">
        <v>0</v>
      </c>
      <c r="M40" s="811">
        <v>0</v>
      </c>
      <c r="N40" s="814">
        <f t="shared" si="3"/>
        <v>0</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58825250</v>
      </c>
      <c r="C52" s="822">
        <v>2118187000</v>
      </c>
      <c r="D52" s="799">
        <f t="shared" ref="D52:D60" si="4">+B52/C52</f>
        <v>2.7771509314333438E-2</v>
      </c>
      <c r="E52" s="795"/>
      <c r="F52" s="795"/>
      <c r="G52" s="795"/>
      <c r="H52" s="795"/>
      <c r="I52" s="795"/>
      <c r="J52" s="795"/>
      <c r="K52" s="795"/>
      <c r="L52" s="795"/>
      <c r="M52" s="795"/>
      <c r="N52" s="795"/>
      <c r="O52" s="795"/>
      <c r="P52" s="795"/>
      <c r="Q52" s="795"/>
      <c r="R52" s="795"/>
      <c r="S52" s="795"/>
      <c r="T52" s="795"/>
      <c r="U52" s="795"/>
    </row>
    <row r="53" spans="1:21" ht="18">
      <c r="A53" s="789" t="s">
        <v>60</v>
      </c>
      <c r="B53" s="822">
        <v>2007000</v>
      </c>
      <c r="C53" s="822">
        <v>127040000</v>
      </c>
      <c r="D53" s="1457">
        <f t="shared" si="4"/>
        <v>1.5798173803526449E-2</v>
      </c>
    </row>
    <row r="54" spans="1:21" ht="18">
      <c r="A54" s="789" t="s">
        <v>61</v>
      </c>
      <c r="B54" s="822">
        <v>242304000</v>
      </c>
      <c r="C54" s="822">
        <v>372108000</v>
      </c>
      <c r="D54" s="799">
        <f t="shared" si="4"/>
        <v>0.65116579057692925</v>
      </c>
    </row>
    <row r="55" spans="1:21" ht="18">
      <c r="A55" s="789" t="s">
        <v>66</v>
      </c>
      <c r="B55" s="822">
        <v>178689450</v>
      </c>
      <c r="C55" s="822">
        <v>905300000</v>
      </c>
      <c r="D55" s="799">
        <f t="shared" si="4"/>
        <v>0.19738147575389373</v>
      </c>
    </row>
    <row r="56" spans="1:21" ht="18">
      <c r="A56" s="789" t="s">
        <v>64</v>
      </c>
      <c r="B56" s="822">
        <v>1456230180</v>
      </c>
      <c r="C56" s="822">
        <v>3838666380</v>
      </c>
      <c r="D56" s="799">
        <f t="shared" si="4"/>
        <v>0.37935835934770656</v>
      </c>
    </row>
    <row r="57" spans="1:21" ht="18">
      <c r="A57" s="789" t="s">
        <v>67</v>
      </c>
      <c r="B57" s="822">
        <v>63516280</v>
      </c>
      <c r="C57" s="822">
        <v>399003481</v>
      </c>
      <c r="D57" s="799">
        <f t="shared" si="4"/>
        <v>0.15918728287987041</v>
      </c>
    </row>
    <row r="58" spans="1:21" ht="18">
      <c r="A58" s="789" t="s">
        <v>65</v>
      </c>
      <c r="B58" s="822">
        <v>1022688000</v>
      </c>
      <c r="C58" s="822">
        <v>5619638000</v>
      </c>
      <c r="D58" s="823">
        <f t="shared" si="4"/>
        <v>0.18198467588125783</v>
      </c>
    </row>
    <row r="59" spans="1:21" ht="18">
      <c r="A59" s="806" t="s">
        <v>68</v>
      </c>
      <c r="B59" s="978">
        <v>0</v>
      </c>
      <c r="C59" s="980">
        <v>435685000</v>
      </c>
      <c r="D59" s="1459">
        <f t="shared" si="4"/>
        <v>0</v>
      </c>
    </row>
    <row r="60" spans="1:21" ht="18">
      <c r="A60" s="806" t="s">
        <v>535</v>
      </c>
      <c r="B60" s="978">
        <v>0</v>
      </c>
      <c r="C60" s="824">
        <v>309086000</v>
      </c>
      <c r="D60" s="823">
        <f t="shared" si="4"/>
        <v>0</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5.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7"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913</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41</v>
      </c>
      <c r="C32" s="796">
        <v>59692250</v>
      </c>
      <c r="D32" s="792">
        <v>0</v>
      </c>
      <c r="E32" s="791">
        <v>0</v>
      </c>
      <c r="F32" s="792">
        <v>0</v>
      </c>
      <c r="G32" s="791">
        <v>0</v>
      </c>
      <c r="H32" s="790">
        <f t="shared" ref="H32:I40" si="0">+B32+D32+F32</f>
        <v>41</v>
      </c>
      <c r="I32" s="797">
        <f t="shared" si="0"/>
        <v>59692250</v>
      </c>
      <c r="J32" s="794"/>
      <c r="K32" s="798">
        <f>+C32/I32</f>
        <v>1</v>
      </c>
      <c r="L32" s="792">
        <f>+E32/I32</f>
        <v>0</v>
      </c>
      <c r="M32" s="792">
        <f>+G32/I32</f>
        <v>0</v>
      </c>
      <c r="N32" s="799">
        <f>SUM(K32:M32)</f>
        <v>1</v>
      </c>
      <c r="O32" s="795"/>
      <c r="P32" s="795"/>
      <c r="Q32" s="795"/>
      <c r="R32" s="795"/>
      <c r="S32" s="795"/>
      <c r="T32" s="795"/>
      <c r="U32" s="795"/>
    </row>
    <row r="33" spans="1:21" ht="18">
      <c r="A33" s="789" t="s">
        <v>60</v>
      </c>
      <c r="B33" s="790">
        <v>2</v>
      </c>
      <c r="C33" s="796">
        <v>2128000</v>
      </c>
      <c r="D33" s="790">
        <v>0</v>
      </c>
      <c r="E33" s="1409">
        <v>0</v>
      </c>
      <c r="F33" s="790">
        <v>0</v>
      </c>
      <c r="G33" s="796">
        <v>0</v>
      </c>
      <c r="H33" s="790">
        <f t="shared" si="0"/>
        <v>2</v>
      </c>
      <c r="I33" s="797">
        <f t="shared" si="0"/>
        <v>2128000</v>
      </c>
      <c r="J33" s="794"/>
      <c r="K33" s="798">
        <f>+C33/I33</f>
        <v>1</v>
      </c>
      <c r="L33" s="792">
        <f>E33/I33</f>
        <v>0</v>
      </c>
      <c r="M33" s="792">
        <v>0</v>
      </c>
      <c r="N33" s="799">
        <f>SUM(K33:M33)</f>
        <v>1</v>
      </c>
      <c r="O33" s="795"/>
      <c r="P33" s="795"/>
      <c r="Q33" s="795"/>
      <c r="R33" s="795"/>
      <c r="S33" s="795"/>
      <c r="T33" s="795"/>
      <c r="U33" s="795"/>
    </row>
    <row r="34" spans="1:21" ht="18">
      <c r="A34" s="789" t="s">
        <v>61</v>
      </c>
      <c r="B34" s="790">
        <v>1</v>
      </c>
      <c r="C34" s="796">
        <v>17710000</v>
      </c>
      <c r="D34" s="790">
        <v>2</v>
      </c>
      <c r="E34" s="796">
        <v>62358000</v>
      </c>
      <c r="F34" s="790">
        <v>1</v>
      </c>
      <c r="G34" s="796">
        <v>53582000</v>
      </c>
      <c r="H34" s="801">
        <f t="shared" si="0"/>
        <v>4</v>
      </c>
      <c r="I34" s="797">
        <f t="shared" si="0"/>
        <v>133650000</v>
      </c>
      <c r="J34" s="794"/>
      <c r="K34" s="800">
        <f t="shared" ref="K34:K40" si="1">+C34/I34</f>
        <v>0.13251028806584361</v>
      </c>
      <c r="L34" s="800">
        <f t="shared" ref="L34:L38" si="2">+E34/I34</f>
        <v>0.46657687991021324</v>
      </c>
      <c r="M34" s="1458">
        <f>+G34/I34</f>
        <v>0.40091283202394312</v>
      </c>
      <c r="N34" s="799">
        <f t="shared" ref="N34:N40" si="3">SUM(K34:M34)</f>
        <v>1</v>
      </c>
      <c r="O34" s="795"/>
      <c r="P34" s="795"/>
      <c r="Q34" s="795"/>
      <c r="R34" s="795"/>
      <c r="S34" s="795"/>
      <c r="T34" s="795"/>
      <c r="U34" s="795"/>
    </row>
    <row r="35" spans="1:21" ht="18">
      <c r="A35" s="789" t="s">
        <v>66</v>
      </c>
      <c r="B35" s="790">
        <v>30</v>
      </c>
      <c r="C35" s="796">
        <v>72040450</v>
      </c>
      <c r="D35" s="790">
        <v>2</v>
      </c>
      <c r="E35" s="796">
        <v>127887770</v>
      </c>
      <c r="F35" s="790">
        <v>0</v>
      </c>
      <c r="G35" s="796">
        <v>0</v>
      </c>
      <c r="H35" s="801">
        <f t="shared" si="0"/>
        <v>32</v>
      </c>
      <c r="I35" s="797">
        <f t="shared" si="0"/>
        <v>199928220</v>
      </c>
      <c r="J35" s="802" t="s">
        <v>0</v>
      </c>
      <c r="K35" s="798">
        <f t="shared" si="1"/>
        <v>0.36033157300155028</v>
      </c>
      <c r="L35" s="798">
        <f t="shared" si="2"/>
        <v>0.63966842699844972</v>
      </c>
      <c r="M35" s="792">
        <f>+G35/I35</f>
        <v>0</v>
      </c>
      <c r="N35" s="799">
        <f t="shared" si="3"/>
        <v>1</v>
      </c>
      <c r="O35" s="795"/>
      <c r="P35" s="795"/>
      <c r="Q35" s="795"/>
      <c r="R35" s="795"/>
      <c r="S35" s="795"/>
      <c r="T35" s="795"/>
      <c r="U35" s="795"/>
    </row>
    <row r="36" spans="1:21" ht="18">
      <c r="A36" s="789" t="s">
        <v>64</v>
      </c>
      <c r="B36" s="790">
        <v>16</v>
      </c>
      <c r="C36" s="796">
        <v>686856444</v>
      </c>
      <c r="D36" s="790">
        <v>1</v>
      </c>
      <c r="E36" s="796">
        <v>299447475</v>
      </c>
      <c r="F36" s="790">
        <v>1</v>
      </c>
      <c r="G36" s="796">
        <v>441034364</v>
      </c>
      <c r="H36" s="790">
        <f t="shared" si="0"/>
        <v>18</v>
      </c>
      <c r="I36" s="797">
        <f t="shared" si="0"/>
        <v>1427338283</v>
      </c>
      <c r="J36" s="794"/>
      <c r="K36" s="798">
        <f t="shared" si="1"/>
        <v>0.48121489641289189</v>
      </c>
      <c r="L36" s="798">
        <f t="shared" si="2"/>
        <v>0.20979432736198808</v>
      </c>
      <c r="M36" s="1364">
        <f>+G36/I36</f>
        <v>0.30899077622512</v>
      </c>
      <c r="N36" s="799">
        <f t="shared" si="3"/>
        <v>1</v>
      </c>
      <c r="O36" s="795"/>
      <c r="P36" s="795"/>
      <c r="Q36" s="795"/>
      <c r="R36" s="795"/>
      <c r="S36" s="795"/>
      <c r="T36" s="795"/>
      <c r="U36" s="795"/>
    </row>
    <row r="37" spans="1:21" ht="18">
      <c r="A37" s="789" t="s">
        <v>67</v>
      </c>
      <c r="B37" s="790">
        <v>6</v>
      </c>
      <c r="C37" s="796">
        <v>46486230</v>
      </c>
      <c r="D37" s="790">
        <v>0</v>
      </c>
      <c r="E37" s="796">
        <v>0</v>
      </c>
      <c r="F37" s="792">
        <v>0</v>
      </c>
      <c r="G37" s="791">
        <v>0</v>
      </c>
      <c r="H37" s="801">
        <f t="shared" si="0"/>
        <v>6</v>
      </c>
      <c r="I37" s="797">
        <f t="shared" si="0"/>
        <v>46486230</v>
      </c>
      <c r="J37" s="794"/>
      <c r="K37" s="798">
        <f t="shared" si="1"/>
        <v>1</v>
      </c>
      <c r="L37" s="792">
        <f t="shared" si="2"/>
        <v>0</v>
      </c>
      <c r="M37" s="1402" t="s">
        <v>566</v>
      </c>
      <c r="N37" s="799">
        <f t="shared" si="3"/>
        <v>1</v>
      </c>
      <c r="O37" s="795"/>
      <c r="P37" s="795"/>
      <c r="Q37" s="795"/>
      <c r="R37" s="795"/>
      <c r="S37" s="795"/>
      <c r="T37" s="795"/>
      <c r="U37" s="795"/>
    </row>
    <row r="38" spans="1:21" ht="18">
      <c r="A38" s="789" t="s">
        <v>65</v>
      </c>
      <c r="B38" s="790">
        <v>7</v>
      </c>
      <c r="C38" s="796">
        <v>124081000</v>
      </c>
      <c r="D38" s="790">
        <v>2</v>
      </c>
      <c r="E38" s="796">
        <v>995259000</v>
      </c>
      <c r="F38" s="790">
        <v>0</v>
      </c>
      <c r="G38" s="796">
        <v>0</v>
      </c>
      <c r="H38" s="801">
        <f t="shared" si="0"/>
        <v>9</v>
      </c>
      <c r="I38" s="797">
        <f t="shared" si="0"/>
        <v>1119340000</v>
      </c>
      <c r="J38" s="794"/>
      <c r="K38" s="803">
        <f t="shared" si="1"/>
        <v>0.11085193060196187</v>
      </c>
      <c r="L38" s="804">
        <f t="shared" si="2"/>
        <v>0.88914806939803814</v>
      </c>
      <c r="M38" s="1402" t="s">
        <v>566</v>
      </c>
      <c r="N38" s="805">
        <f t="shared" si="3"/>
        <v>1</v>
      </c>
      <c r="O38" s="795"/>
      <c r="P38" s="795"/>
      <c r="Q38" s="795"/>
      <c r="R38" s="795"/>
      <c r="S38" s="795"/>
      <c r="T38" s="795"/>
      <c r="U38" s="795"/>
    </row>
    <row r="39" spans="1:21" ht="18">
      <c r="A39" s="806" t="s">
        <v>68</v>
      </c>
      <c r="B39" s="807">
        <v>0</v>
      </c>
      <c r="C39" s="808">
        <v>0</v>
      </c>
      <c r="D39" s="807">
        <v>0</v>
      </c>
      <c r="E39" s="808">
        <v>0</v>
      </c>
      <c r="F39" s="790">
        <v>0</v>
      </c>
      <c r="G39" s="808">
        <v>0</v>
      </c>
      <c r="H39" s="790">
        <f t="shared" si="0"/>
        <v>0</v>
      </c>
      <c r="I39" s="797">
        <f t="shared" si="0"/>
        <v>0</v>
      </c>
      <c r="J39" s="794"/>
      <c r="K39" s="813">
        <v>0</v>
      </c>
      <c r="L39" s="811">
        <v>0</v>
      </c>
      <c r="M39" s="792">
        <v>0</v>
      </c>
      <c r="N39" s="814">
        <f t="shared" si="3"/>
        <v>0</v>
      </c>
      <c r="O39" s="795"/>
      <c r="P39" s="795"/>
      <c r="Q39" s="795"/>
      <c r="R39" s="795"/>
      <c r="S39" s="795"/>
      <c r="T39" s="795"/>
      <c r="U39" s="795"/>
    </row>
    <row r="40" spans="1:21" ht="18">
      <c r="A40" s="806" t="s">
        <v>535</v>
      </c>
      <c r="B40" s="807">
        <v>1</v>
      </c>
      <c r="C40" s="808">
        <v>7323000</v>
      </c>
      <c r="D40" s="809">
        <v>0</v>
      </c>
      <c r="E40" s="810">
        <v>0</v>
      </c>
      <c r="F40" s="790">
        <v>0</v>
      </c>
      <c r="G40" s="810">
        <v>0</v>
      </c>
      <c r="H40" s="790">
        <f t="shared" si="0"/>
        <v>1</v>
      </c>
      <c r="I40" s="797">
        <f t="shared" si="0"/>
        <v>7323000</v>
      </c>
      <c r="J40" s="794"/>
      <c r="K40" s="803">
        <f t="shared" si="1"/>
        <v>1</v>
      </c>
      <c r="L40" s="811">
        <v>0</v>
      </c>
      <c r="M40" s="811">
        <v>0</v>
      </c>
      <c r="N40" s="805">
        <f t="shared" si="3"/>
        <v>1</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59692250</v>
      </c>
      <c r="C52" s="822">
        <v>1858857000</v>
      </c>
      <c r="D52" s="799">
        <f t="shared" ref="D52:D60" si="4">+B52/C52</f>
        <v>3.2112341078415395E-2</v>
      </c>
      <c r="E52" s="795"/>
      <c r="F52" s="795"/>
      <c r="G52" s="795"/>
      <c r="H52" s="795"/>
      <c r="I52" s="795"/>
      <c r="J52" s="795"/>
      <c r="K52" s="795"/>
      <c r="L52" s="795"/>
      <c r="M52" s="795"/>
      <c r="N52" s="795"/>
      <c r="O52" s="795"/>
      <c r="P52" s="795"/>
      <c r="Q52" s="795"/>
      <c r="R52" s="795"/>
      <c r="S52" s="795"/>
      <c r="T52" s="795"/>
      <c r="U52" s="795"/>
    </row>
    <row r="53" spans="1:21" ht="18">
      <c r="A53" s="789" t="s">
        <v>60</v>
      </c>
      <c r="B53" s="822">
        <v>2128000</v>
      </c>
      <c r="C53" s="822">
        <v>134672000</v>
      </c>
      <c r="D53" s="1457">
        <f t="shared" si="4"/>
        <v>1.580135440180587E-2</v>
      </c>
    </row>
    <row r="54" spans="1:21" ht="18">
      <c r="A54" s="789" t="s">
        <v>61</v>
      </c>
      <c r="B54" s="822">
        <v>133650000</v>
      </c>
      <c r="C54" s="822">
        <v>383104000</v>
      </c>
      <c r="D54" s="799">
        <f t="shared" si="4"/>
        <v>0.34886088372870028</v>
      </c>
    </row>
    <row r="55" spans="1:21" ht="18">
      <c r="A55" s="789" t="s">
        <v>66</v>
      </c>
      <c r="B55" s="822">
        <v>199928220</v>
      </c>
      <c r="C55" s="822">
        <v>824283000</v>
      </c>
      <c r="D55" s="799">
        <f t="shared" si="4"/>
        <v>0.24254803265383371</v>
      </c>
    </row>
    <row r="56" spans="1:21" ht="18">
      <c r="A56" s="789" t="s">
        <v>64</v>
      </c>
      <c r="B56" s="822">
        <v>1427338283</v>
      </c>
      <c r="C56" s="822">
        <v>3694541732</v>
      </c>
      <c r="D56" s="799">
        <f t="shared" si="4"/>
        <v>0.38633703082501819</v>
      </c>
    </row>
    <row r="57" spans="1:21" ht="18">
      <c r="A57" s="789" t="s">
        <v>67</v>
      </c>
      <c r="B57" s="822">
        <v>46486230</v>
      </c>
      <c r="C57" s="822">
        <v>361072049</v>
      </c>
      <c r="D57" s="799">
        <f t="shared" si="4"/>
        <v>0.12874502506839017</v>
      </c>
    </row>
    <row r="58" spans="1:21" ht="18">
      <c r="A58" s="789" t="s">
        <v>65</v>
      </c>
      <c r="B58" s="822">
        <v>1119340000</v>
      </c>
      <c r="C58" s="822">
        <v>5266914000</v>
      </c>
      <c r="D58" s="823">
        <f t="shared" si="4"/>
        <v>0.21252293088514451</v>
      </c>
    </row>
    <row r="59" spans="1:21" ht="18">
      <c r="A59" s="806" t="s">
        <v>68</v>
      </c>
      <c r="B59" s="978">
        <v>0</v>
      </c>
      <c r="C59" s="980">
        <v>355797000</v>
      </c>
      <c r="D59" s="1459">
        <f t="shared" si="4"/>
        <v>0</v>
      </c>
    </row>
    <row r="60" spans="1:21" ht="18">
      <c r="A60" s="806" t="s">
        <v>535</v>
      </c>
      <c r="B60" s="978">
        <v>7323000</v>
      </c>
      <c r="C60" s="824">
        <v>322186000</v>
      </c>
      <c r="D60" s="823">
        <f t="shared" si="4"/>
        <v>2.2729106789245963E-2</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6.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31"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904</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41</v>
      </c>
      <c r="C32" s="796">
        <v>58450250</v>
      </c>
      <c r="D32" s="792">
        <v>0</v>
      </c>
      <c r="E32" s="791">
        <v>0</v>
      </c>
      <c r="F32" s="792">
        <v>0</v>
      </c>
      <c r="G32" s="791">
        <v>0</v>
      </c>
      <c r="H32" s="790">
        <f t="shared" ref="H32:I40" si="0">+B32+D32+F32</f>
        <v>41</v>
      </c>
      <c r="I32" s="797">
        <f t="shared" si="0"/>
        <v>58450250</v>
      </c>
      <c r="J32" s="794"/>
      <c r="K32" s="798">
        <f>+C32/I32</f>
        <v>1</v>
      </c>
      <c r="L32" s="792">
        <f>+E32/I32</f>
        <v>0</v>
      </c>
      <c r="M32" s="792">
        <f>+G32/I32</f>
        <v>0</v>
      </c>
      <c r="N32" s="799">
        <f>SUM(K32:M32)</f>
        <v>1</v>
      </c>
      <c r="O32" s="795"/>
      <c r="P32" s="795"/>
      <c r="Q32" s="795"/>
      <c r="R32" s="795"/>
      <c r="S32" s="795"/>
      <c r="T32" s="795"/>
      <c r="U32" s="795"/>
    </row>
    <row r="33" spans="1:21" ht="18">
      <c r="A33" s="789" t="s">
        <v>60</v>
      </c>
      <c r="B33" s="790">
        <v>2</v>
      </c>
      <c r="C33" s="796">
        <v>1824000</v>
      </c>
      <c r="D33" s="790">
        <v>0</v>
      </c>
      <c r="E33" s="1409">
        <v>0</v>
      </c>
      <c r="F33" s="790">
        <v>0</v>
      </c>
      <c r="G33" s="796">
        <v>0</v>
      </c>
      <c r="H33" s="790">
        <f t="shared" si="0"/>
        <v>2</v>
      </c>
      <c r="I33" s="797">
        <f t="shared" si="0"/>
        <v>1824000</v>
      </c>
      <c r="J33" s="794"/>
      <c r="K33" s="798">
        <f>+C33/I33</f>
        <v>1</v>
      </c>
      <c r="L33" s="792">
        <f>E33/I33</f>
        <v>0</v>
      </c>
      <c r="M33" s="792">
        <v>0</v>
      </c>
      <c r="N33" s="799">
        <f>SUM(K33:M33)</f>
        <v>1</v>
      </c>
      <c r="O33" s="795"/>
      <c r="P33" s="795"/>
      <c r="Q33" s="795"/>
      <c r="R33" s="795"/>
      <c r="S33" s="795"/>
      <c r="T33" s="795"/>
      <c r="U33" s="795"/>
    </row>
    <row r="34" spans="1:21" ht="18">
      <c r="A34" s="789" t="s">
        <v>61</v>
      </c>
      <c r="B34" s="790">
        <v>0</v>
      </c>
      <c r="C34" s="796">
        <v>0</v>
      </c>
      <c r="D34" s="790">
        <v>0</v>
      </c>
      <c r="E34" s="796">
        <v>0</v>
      </c>
      <c r="F34" s="790">
        <v>3</v>
      </c>
      <c r="G34" s="796">
        <v>114786000</v>
      </c>
      <c r="H34" s="801">
        <f t="shared" si="0"/>
        <v>3</v>
      </c>
      <c r="I34" s="797">
        <f t="shared" si="0"/>
        <v>114786000</v>
      </c>
      <c r="J34" s="794"/>
      <c r="K34" s="792">
        <f t="shared" ref="K34:K40" si="1">+C34/I34</f>
        <v>0</v>
      </c>
      <c r="L34" s="792">
        <f t="shared" ref="L34:L38" si="2">+E34/I34</f>
        <v>0</v>
      </c>
      <c r="M34" s="1364">
        <f>+G34/I34</f>
        <v>1</v>
      </c>
      <c r="N34" s="799">
        <f t="shared" ref="N34:N40" si="3">SUM(K34:M34)</f>
        <v>1</v>
      </c>
      <c r="O34" s="795"/>
      <c r="P34" s="795"/>
      <c r="Q34" s="795"/>
      <c r="R34" s="795"/>
      <c r="S34" s="795"/>
      <c r="T34" s="795"/>
      <c r="U34" s="795"/>
    </row>
    <row r="35" spans="1:21" ht="18">
      <c r="A35" s="789" t="s">
        <v>66</v>
      </c>
      <c r="B35" s="790">
        <v>31</v>
      </c>
      <c r="C35" s="796">
        <v>97532880</v>
      </c>
      <c r="D35" s="790">
        <v>1</v>
      </c>
      <c r="E35" s="796">
        <v>48759000</v>
      </c>
      <c r="F35" s="790">
        <v>0</v>
      </c>
      <c r="G35" s="796">
        <v>0</v>
      </c>
      <c r="H35" s="801">
        <f t="shared" si="0"/>
        <v>32</v>
      </c>
      <c r="I35" s="797">
        <f t="shared" si="0"/>
        <v>146291880</v>
      </c>
      <c r="J35" s="802" t="s">
        <v>0</v>
      </c>
      <c r="K35" s="798">
        <f t="shared" si="1"/>
        <v>0.6667005714876314</v>
      </c>
      <c r="L35" s="798">
        <f t="shared" si="2"/>
        <v>0.33329942851236855</v>
      </c>
      <c r="M35" s="792">
        <f>+G35/I35</f>
        <v>0</v>
      </c>
      <c r="N35" s="799">
        <f t="shared" si="3"/>
        <v>1</v>
      </c>
      <c r="O35" s="795"/>
      <c r="P35" s="795"/>
      <c r="Q35" s="795"/>
      <c r="R35" s="795"/>
      <c r="S35" s="795"/>
      <c r="T35" s="795"/>
      <c r="U35" s="795"/>
    </row>
    <row r="36" spans="1:21" ht="18">
      <c r="A36" s="789" t="s">
        <v>64</v>
      </c>
      <c r="B36" s="790">
        <v>15</v>
      </c>
      <c r="C36" s="796">
        <v>475948270</v>
      </c>
      <c r="D36" s="790">
        <v>2</v>
      </c>
      <c r="E36" s="796">
        <v>519196608</v>
      </c>
      <c r="F36" s="790">
        <v>1</v>
      </c>
      <c r="G36" s="796">
        <v>462172372</v>
      </c>
      <c r="H36" s="790">
        <f t="shared" si="0"/>
        <v>18</v>
      </c>
      <c r="I36" s="797">
        <f t="shared" si="0"/>
        <v>1457317250</v>
      </c>
      <c r="J36" s="794"/>
      <c r="K36" s="798">
        <f t="shared" si="1"/>
        <v>0.32659207869803231</v>
      </c>
      <c r="L36" s="798">
        <f t="shared" si="2"/>
        <v>0.35626875891299575</v>
      </c>
      <c r="M36" s="1364">
        <f>+G36/I36</f>
        <v>0.31713916238897194</v>
      </c>
      <c r="N36" s="799">
        <f t="shared" si="3"/>
        <v>1</v>
      </c>
      <c r="O36" s="795"/>
      <c r="P36" s="795"/>
      <c r="Q36" s="795"/>
      <c r="R36" s="795"/>
      <c r="S36" s="795"/>
      <c r="T36" s="795"/>
      <c r="U36" s="795"/>
    </row>
    <row r="37" spans="1:21" ht="18">
      <c r="A37" s="789" t="s">
        <v>67</v>
      </c>
      <c r="B37" s="790">
        <v>6</v>
      </c>
      <c r="C37" s="796">
        <v>55340626</v>
      </c>
      <c r="D37" s="790">
        <v>0</v>
      </c>
      <c r="E37" s="796">
        <v>0</v>
      </c>
      <c r="F37" s="792">
        <v>0</v>
      </c>
      <c r="G37" s="791">
        <v>0</v>
      </c>
      <c r="H37" s="801">
        <f t="shared" si="0"/>
        <v>6</v>
      </c>
      <c r="I37" s="797">
        <f t="shared" si="0"/>
        <v>55340626</v>
      </c>
      <c r="J37" s="794"/>
      <c r="K37" s="798">
        <f t="shared" si="1"/>
        <v>1</v>
      </c>
      <c r="L37" s="792">
        <f t="shared" si="2"/>
        <v>0</v>
      </c>
      <c r="M37" s="1402" t="s">
        <v>566</v>
      </c>
      <c r="N37" s="799">
        <f t="shared" si="3"/>
        <v>1</v>
      </c>
      <c r="O37" s="795"/>
      <c r="P37" s="795"/>
      <c r="Q37" s="795"/>
      <c r="R37" s="795"/>
      <c r="S37" s="795"/>
      <c r="T37" s="795"/>
      <c r="U37" s="795"/>
    </row>
    <row r="38" spans="1:21" ht="18">
      <c r="A38" s="789" t="s">
        <v>65</v>
      </c>
      <c r="B38" s="790">
        <v>7</v>
      </c>
      <c r="C38" s="796">
        <v>90109500</v>
      </c>
      <c r="D38" s="790">
        <v>2</v>
      </c>
      <c r="E38" s="796">
        <v>764987000</v>
      </c>
      <c r="F38" s="790">
        <v>0</v>
      </c>
      <c r="G38" s="796">
        <v>0</v>
      </c>
      <c r="H38" s="801">
        <f t="shared" si="0"/>
        <v>9</v>
      </c>
      <c r="I38" s="797">
        <f t="shared" si="0"/>
        <v>855096500</v>
      </c>
      <c r="J38" s="794"/>
      <c r="K38" s="803">
        <f t="shared" si="1"/>
        <v>0.10537933437921919</v>
      </c>
      <c r="L38" s="804">
        <f t="shared" si="2"/>
        <v>0.8946206656207808</v>
      </c>
      <c r="M38" s="1402" t="s">
        <v>566</v>
      </c>
      <c r="N38" s="805">
        <f t="shared" si="3"/>
        <v>1</v>
      </c>
      <c r="O38" s="795"/>
      <c r="P38" s="795"/>
      <c r="Q38" s="795"/>
      <c r="R38" s="795"/>
      <c r="S38" s="795"/>
      <c r="T38" s="795"/>
      <c r="U38" s="795"/>
    </row>
    <row r="39" spans="1:21" ht="18">
      <c r="A39" s="806" t="s">
        <v>68</v>
      </c>
      <c r="B39" s="807">
        <v>0</v>
      </c>
      <c r="C39" s="808">
        <v>0</v>
      </c>
      <c r="D39" s="807">
        <v>0</v>
      </c>
      <c r="E39" s="808">
        <v>0</v>
      </c>
      <c r="F39" s="790">
        <v>0</v>
      </c>
      <c r="G39" s="808">
        <v>0</v>
      </c>
      <c r="H39" s="790">
        <f t="shared" si="0"/>
        <v>0</v>
      </c>
      <c r="I39" s="797">
        <f t="shared" si="0"/>
        <v>0</v>
      </c>
      <c r="J39" s="794"/>
      <c r="K39" s="813">
        <v>0</v>
      </c>
      <c r="L39" s="811">
        <v>0</v>
      </c>
      <c r="M39" s="792">
        <v>0</v>
      </c>
      <c r="N39" s="814">
        <f t="shared" si="3"/>
        <v>0</v>
      </c>
      <c r="O39" s="795"/>
      <c r="P39" s="795"/>
      <c r="Q39" s="795"/>
      <c r="R39" s="795"/>
      <c r="S39" s="795"/>
      <c r="T39" s="795"/>
      <c r="U39" s="795"/>
    </row>
    <row r="40" spans="1:21" ht="18">
      <c r="A40" s="806" t="s">
        <v>535</v>
      </c>
      <c r="B40" s="807">
        <v>1</v>
      </c>
      <c r="C40" s="808">
        <v>7694000</v>
      </c>
      <c r="D40" s="809">
        <v>0</v>
      </c>
      <c r="E40" s="810">
        <v>0</v>
      </c>
      <c r="F40" s="790">
        <v>0</v>
      </c>
      <c r="G40" s="810">
        <v>0</v>
      </c>
      <c r="H40" s="790">
        <f t="shared" si="0"/>
        <v>1</v>
      </c>
      <c r="I40" s="797">
        <f t="shared" si="0"/>
        <v>7694000</v>
      </c>
      <c r="J40" s="794"/>
      <c r="K40" s="803">
        <f t="shared" si="1"/>
        <v>1</v>
      </c>
      <c r="L40" s="811">
        <v>0</v>
      </c>
      <c r="M40" s="811">
        <v>0</v>
      </c>
      <c r="N40" s="805">
        <f t="shared" si="3"/>
        <v>1</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58450250</v>
      </c>
      <c r="C52" s="822">
        <v>1891133000</v>
      </c>
      <c r="D52" s="799">
        <f t="shared" ref="D52:D60" si="4">+B52/C52</f>
        <v>3.0907530036226961E-2</v>
      </c>
      <c r="E52" s="795"/>
      <c r="F52" s="795"/>
      <c r="G52" s="795"/>
      <c r="H52" s="795"/>
      <c r="I52" s="795"/>
      <c r="J52" s="795"/>
      <c r="K52" s="795"/>
      <c r="L52" s="795"/>
      <c r="M52" s="795"/>
      <c r="N52" s="795"/>
      <c r="O52" s="795"/>
      <c r="P52" s="795"/>
      <c r="Q52" s="795"/>
      <c r="R52" s="795"/>
      <c r="S52" s="795"/>
      <c r="T52" s="795"/>
      <c r="U52" s="795"/>
    </row>
    <row r="53" spans="1:21" ht="18">
      <c r="A53" s="789" t="s">
        <v>60</v>
      </c>
      <c r="B53" s="822">
        <v>1824000</v>
      </c>
      <c r="C53" s="822">
        <v>202275000</v>
      </c>
      <c r="D53" s="1457">
        <f t="shared" si="4"/>
        <v>9.0174267704857241E-3</v>
      </c>
    </row>
    <row r="54" spans="1:21" ht="18">
      <c r="A54" s="789" t="s">
        <v>61</v>
      </c>
      <c r="B54" s="822">
        <v>114786000</v>
      </c>
      <c r="C54" s="822">
        <v>221541000</v>
      </c>
      <c r="D54" s="799">
        <f t="shared" si="4"/>
        <v>0.51812531314745347</v>
      </c>
    </row>
    <row r="55" spans="1:21" ht="18">
      <c r="A55" s="789" t="s">
        <v>66</v>
      </c>
      <c r="B55" s="822">
        <v>146291880</v>
      </c>
      <c r="C55" s="822">
        <v>851135000</v>
      </c>
      <c r="D55" s="799">
        <f t="shared" si="4"/>
        <v>0.17187858565327474</v>
      </c>
    </row>
    <row r="56" spans="1:21" ht="18">
      <c r="A56" s="789" t="s">
        <v>64</v>
      </c>
      <c r="B56" s="822">
        <v>1457317250</v>
      </c>
      <c r="C56" s="822">
        <v>3856976950</v>
      </c>
      <c r="D56" s="799">
        <f t="shared" si="4"/>
        <v>0.37783924272609409</v>
      </c>
    </row>
    <row r="57" spans="1:21" ht="18">
      <c r="A57" s="789" t="s">
        <v>67</v>
      </c>
      <c r="B57" s="822">
        <v>55340626</v>
      </c>
      <c r="C57" s="822">
        <v>386006883</v>
      </c>
      <c r="D57" s="799">
        <f t="shared" si="4"/>
        <v>0.14336694094649086</v>
      </c>
    </row>
    <row r="58" spans="1:21" ht="18">
      <c r="A58" s="789" t="s">
        <v>65</v>
      </c>
      <c r="B58" s="822">
        <v>855096500</v>
      </c>
      <c r="C58" s="822">
        <v>4921291000</v>
      </c>
      <c r="D58" s="823">
        <f t="shared" si="4"/>
        <v>0.17375450872545437</v>
      </c>
    </row>
    <row r="59" spans="1:21" ht="18">
      <c r="A59" s="806" t="s">
        <v>68</v>
      </c>
      <c r="B59" s="978">
        <v>0</v>
      </c>
      <c r="C59" s="980">
        <v>329080000</v>
      </c>
      <c r="D59" s="1459">
        <f t="shared" si="4"/>
        <v>0</v>
      </c>
    </row>
    <row r="60" spans="1:21" ht="18">
      <c r="A60" s="806" t="s">
        <v>535</v>
      </c>
      <c r="B60" s="978">
        <v>7694000</v>
      </c>
      <c r="C60" s="824">
        <v>309696000</v>
      </c>
      <c r="D60" s="823">
        <f t="shared" si="4"/>
        <v>2.4843717710270719E-2</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7.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4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882</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40</v>
      </c>
      <c r="C32" s="796">
        <v>50822500</v>
      </c>
      <c r="D32" s="792">
        <v>0</v>
      </c>
      <c r="E32" s="791">
        <v>0</v>
      </c>
      <c r="F32" s="792">
        <v>0</v>
      </c>
      <c r="G32" s="791">
        <v>0</v>
      </c>
      <c r="H32" s="790">
        <f t="shared" ref="H32:I40" si="0">+B32+D32+F32</f>
        <v>40</v>
      </c>
      <c r="I32" s="797">
        <f t="shared" si="0"/>
        <v>50822500</v>
      </c>
      <c r="J32" s="794"/>
      <c r="K32" s="798">
        <f>+C32/I32</f>
        <v>1</v>
      </c>
      <c r="L32" s="792">
        <f>+E32/I32</f>
        <v>0</v>
      </c>
      <c r="M32" s="792">
        <f>+G32/I32</f>
        <v>0</v>
      </c>
      <c r="N32" s="799">
        <f>SUM(K32:M32)</f>
        <v>1</v>
      </c>
      <c r="O32" s="795"/>
      <c r="P32" s="795"/>
      <c r="Q32" s="795"/>
      <c r="R32" s="795"/>
      <c r="S32" s="795"/>
      <c r="T32" s="795"/>
      <c r="U32" s="795"/>
    </row>
    <row r="33" spans="1:21" ht="18">
      <c r="A33" s="789" t="s">
        <v>60</v>
      </c>
      <c r="B33" s="790">
        <v>0</v>
      </c>
      <c r="C33" s="796">
        <v>0</v>
      </c>
      <c r="D33" s="790">
        <v>0</v>
      </c>
      <c r="E33" s="1409">
        <v>0</v>
      </c>
      <c r="F33" s="790">
        <v>0</v>
      </c>
      <c r="G33" s="796">
        <v>0</v>
      </c>
      <c r="H33" s="790">
        <f t="shared" si="0"/>
        <v>0</v>
      </c>
      <c r="I33" s="797">
        <f t="shared" si="0"/>
        <v>0</v>
      </c>
      <c r="J33" s="794"/>
      <c r="K33" s="1400" t="s">
        <v>566</v>
      </c>
      <c r="L33" s="792">
        <v>0</v>
      </c>
      <c r="M33" s="792">
        <v>0</v>
      </c>
      <c r="N33" s="1450">
        <f>SUM(K33:M33)</f>
        <v>0</v>
      </c>
      <c r="O33" s="795"/>
      <c r="P33" s="795"/>
      <c r="Q33" s="795"/>
      <c r="R33" s="795"/>
      <c r="S33" s="795"/>
      <c r="T33" s="795"/>
      <c r="U33" s="795"/>
    </row>
    <row r="34" spans="1:21" ht="18">
      <c r="A34" s="789" t="s">
        <v>61</v>
      </c>
      <c r="B34" s="790">
        <v>0</v>
      </c>
      <c r="C34" s="796">
        <v>0</v>
      </c>
      <c r="D34" s="790">
        <v>0</v>
      </c>
      <c r="E34" s="796">
        <v>0</v>
      </c>
      <c r="F34" s="790">
        <v>2</v>
      </c>
      <c r="G34" s="796">
        <v>87742900</v>
      </c>
      <c r="H34" s="801">
        <f t="shared" si="0"/>
        <v>2</v>
      </c>
      <c r="I34" s="797">
        <f t="shared" si="0"/>
        <v>87742900</v>
      </c>
      <c r="J34" s="794"/>
      <c r="K34" s="792">
        <f t="shared" ref="K34:K40" si="1">+C34/I34</f>
        <v>0</v>
      </c>
      <c r="L34" s="792">
        <f t="shared" ref="L34:L39" si="2">+E34/I34</f>
        <v>0</v>
      </c>
      <c r="M34" s="1364">
        <f>+G34/I34</f>
        <v>1</v>
      </c>
      <c r="N34" s="1457">
        <f t="shared" ref="N34:N39" si="3">SUM(K34:M34)</f>
        <v>1</v>
      </c>
      <c r="O34" s="795"/>
      <c r="P34" s="795"/>
      <c r="Q34" s="795"/>
      <c r="R34" s="795"/>
      <c r="S34" s="795"/>
      <c r="T34" s="795"/>
      <c r="U34" s="795"/>
    </row>
    <row r="35" spans="1:21" ht="18">
      <c r="A35" s="789" t="s">
        <v>66</v>
      </c>
      <c r="B35" s="790">
        <v>32</v>
      </c>
      <c r="C35" s="796">
        <v>137959600</v>
      </c>
      <c r="D35" s="790">
        <v>0</v>
      </c>
      <c r="E35" s="796">
        <v>0</v>
      </c>
      <c r="F35" s="790">
        <v>0</v>
      </c>
      <c r="G35" s="796">
        <v>0</v>
      </c>
      <c r="H35" s="801">
        <f t="shared" si="0"/>
        <v>32</v>
      </c>
      <c r="I35" s="797">
        <f t="shared" si="0"/>
        <v>137959600</v>
      </c>
      <c r="J35" s="802" t="s">
        <v>0</v>
      </c>
      <c r="K35" s="798">
        <f t="shared" si="1"/>
        <v>1</v>
      </c>
      <c r="L35" s="1407" t="s">
        <v>566</v>
      </c>
      <c r="M35" s="1402" t="s">
        <v>566</v>
      </c>
      <c r="N35" s="799">
        <f t="shared" si="3"/>
        <v>1</v>
      </c>
      <c r="O35" s="795"/>
      <c r="P35" s="795"/>
      <c r="Q35" s="795"/>
      <c r="R35" s="795"/>
      <c r="S35" s="795"/>
      <c r="T35" s="795"/>
      <c r="U35" s="795"/>
    </row>
    <row r="36" spans="1:21" ht="18">
      <c r="A36" s="789" t="s">
        <v>64</v>
      </c>
      <c r="B36" s="790">
        <v>14</v>
      </c>
      <c r="C36" s="796">
        <v>636670157</v>
      </c>
      <c r="D36" s="790">
        <v>1</v>
      </c>
      <c r="E36" s="796">
        <v>311426690</v>
      </c>
      <c r="F36" s="790">
        <v>1</v>
      </c>
      <c r="G36" s="796">
        <v>542642824</v>
      </c>
      <c r="H36" s="790">
        <f t="shared" si="0"/>
        <v>16</v>
      </c>
      <c r="I36" s="797">
        <f t="shared" si="0"/>
        <v>1490739671</v>
      </c>
      <c r="J36" s="794"/>
      <c r="K36" s="798">
        <f t="shared" si="1"/>
        <v>0.42708339315402843</v>
      </c>
      <c r="L36" s="798">
        <f t="shared" si="2"/>
        <v>0.20890749475466264</v>
      </c>
      <c r="M36" s="1458">
        <f>+G36/I36</f>
        <v>0.36400911209130893</v>
      </c>
      <c r="N36" s="799">
        <f t="shared" si="3"/>
        <v>1</v>
      </c>
      <c r="O36" s="795"/>
      <c r="P36" s="795"/>
      <c r="Q36" s="795"/>
      <c r="R36" s="795"/>
      <c r="S36" s="795"/>
      <c r="T36" s="795"/>
      <c r="U36" s="795"/>
    </row>
    <row r="37" spans="1:21" ht="18">
      <c r="A37" s="789" t="s">
        <v>67</v>
      </c>
      <c r="B37" s="790">
        <v>6</v>
      </c>
      <c r="C37" s="796">
        <v>50315020</v>
      </c>
      <c r="D37" s="790">
        <v>0</v>
      </c>
      <c r="E37" s="796">
        <v>0</v>
      </c>
      <c r="F37" s="792">
        <v>0</v>
      </c>
      <c r="G37" s="791">
        <v>0</v>
      </c>
      <c r="H37" s="801">
        <f t="shared" si="0"/>
        <v>6</v>
      </c>
      <c r="I37" s="797">
        <f t="shared" si="0"/>
        <v>50315020</v>
      </c>
      <c r="J37" s="794"/>
      <c r="K37" s="798">
        <f t="shared" si="1"/>
        <v>1</v>
      </c>
      <c r="L37" s="792">
        <f t="shared" si="2"/>
        <v>0</v>
      </c>
      <c r="M37" s="1402" t="s">
        <v>566</v>
      </c>
      <c r="N37" s="799">
        <f t="shared" si="3"/>
        <v>1</v>
      </c>
      <c r="O37" s="795"/>
      <c r="P37" s="795"/>
      <c r="Q37" s="795"/>
      <c r="R37" s="795"/>
      <c r="S37" s="795"/>
      <c r="T37" s="795"/>
      <c r="U37" s="795"/>
    </row>
    <row r="38" spans="1:21" ht="18">
      <c r="A38" s="789" t="s">
        <v>65</v>
      </c>
      <c r="B38" s="790">
        <v>7</v>
      </c>
      <c r="C38" s="796">
        <v>42411200</v>
      </c>
      <c r="D38" s="790">
        <v>2</v>
      </c>
      <c r="E38" s="796">
        <v>725913000</v>
      </c>
      <c r="F38" s="790">
        <v>0</v>
      </c>
      <c r="G38" s="796">
        <v>0</v>
      </c>
      <c r="H38" s="801">
        <f t="shared" si="0"/>
        <v>9</v>
      </c>
      <c r="I38" s="797">
        <f t="shared" si="0"/>
        <v>768324200</v>
      </c>
      <c r="J38" s="794"/>
      <c r="K38" s="803">
        <f t="shared" si="1"/>
        <v>5.519961495420813E-2</v>
      </c>
      <c r="L38" s="804">
        <f t="shared" si="2"/>
        <v>0.94480038504579189</v>
      </c>
      <c r="M38" s="1402" t="s">
        <v>566</v>
      </c>
      <c r="N38" s="805">
        <f t="shared" si="3"/>
        <v>1</v>
      </c>
      <c r="O38" s="795"/>
      <c r="P38" s="795"/>
      <c r="Q38" s="795"/>
      <c r="R38" s="795"/>
      <c r="S38" s="795"/>
      <c r="T38" s="795"/>
      <c r="U38" s="795"/>
    </row>
    <row r="39" spans="1:21" ht="18">
      <c r="A39" s="806" t="s">
        <v>68</v>
      </c>
      <c r="B39" s="807">
        <v>0</v>
      </c>
      <c r="C39" s="808">
        <v>0</v>
      </c>
      <c r="D39" s="807">
        <v>0</v>
      </c>
      <c r="E39" s="808">
        <v>0</v>
      </c>
      <c r="F39" s="790">
        <v>0</v>
      </c>
      <c r="G39" s="808">
        <v>0</v>
      </c>
      <c r="H39" s="790">
        <f t="shared" si="0"/>
        <v>0</v>
      </c>
      <c r="I39" s="797">
        <f t="shared" si="0"/>
        <v>0</v>
      </c>
      <c r="J39" s="794"/>
      <c r="K39" s="813" t="e">
        <f t="shared" si="1"/>
        <v>#DIV/0!</v>
      </c>
      <c r="L39" s="811" t="e">
        <f t="shared" si="2"/>
        <v>#DIV/0!</v>
      </c>
      <c r="M39" s="792">
        <v>0</v>
      </c>
      <c r="N39" s="814" t="e">
        <f t="shared" si="3"/>
        <v>#DIV/0!</v>
      </c>
      <c r="O39" s="795"/>
      <c r="P39" s="795"/>
      <c r="Q39" s="795"/>
      <c r="R39" s="795"/>
      <c r="S39" s="795"/>
      <c r="T39" s="795"/>
      <c r="U39" s="795"/>
    </row>
    <row r="40" spans="1:21" ht="18">
      <c r="A40" s="806" t="s">
        <v>535</v>
      </c>
      <c r="B40" s="807">
        <v>1</v>
      </c>
      <c r="C40" s="808">
        <v>7667000</v>
      </c>
      <c r="D40" s="809">
        <v>0</v>
      </c>
      <c r="E40" s="810">
        <v>0</v>
      </c>
      <c r="F40" s="790">
        <v>0</v>
      </c>
      <c r="G40" s="810">
        <v>0</v>
      </c>
      <c r="H40" s="790">
        <f t="shared" si="0"/>
        <v>1</v>
      </c>
      <c r="I40" s="793">
        <f t="shared" si="0"/>
        <v>7667000</v>
      </c>
      <c r="J40" s="794"/>
      <c r="K40" s="803">
        <f t="shared" si="1"/>
        <v>1</v>
      </c>
      <c r="L40" s="811">
        <v>0</v>
      </c>
      <c r="M40" s="811">
        <v>0</v>
      </c>
      <c r="N40" s="814">
        <v>0</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50822500</v>
      </c>
      <c r="C52" s="822">
        <v>1693916000</v>
      </c>
      <c r="D52" s="799">
        <f t="shared" ref="D52:D60" si="4">+B52/C52</f>
        <v>3.0002963547188882E-2</v>
      </c>
      <c r="E52" s="795"/>
      <c r="F52" s="795"/>
      <c r="G52" s="795"/>
      <c r="H52" s="795"/>
      <c r="I52" s="795"/>
      <c r="J52" s="795"/>
      <c r="K52" s="795"/>
      <c r="L52" s="795"/>
      <c r="M52" s="795"/>
      <c r="N52" s="795"/>
      <c r="O52" s="795"/>
      <c r="P52" s="795"/>
      <c r="Q52" s="795"/>
      <c r="R52" s="795"/>
      <c r="S52" s="795"/>
      <c r="T52" s="795"/>
      <c r="U52" s="795"/>
    </row>
    <row r="53" spans="1:21" ht="18">
      <c r="A53" s="789" t="s">
        <v>60</v>
      </c>
      <c r="B53" s="822">
        <v>0</v>
      </c>
      <c r="C53" s="822">
        <v>195473000</v>
      </c>
      <c r="D53" s="1450">
        <f t="shared" si="4"/>
        <v>0</v>
      </c>
    </row>
    <row r="54" spans="1:21" ht="18">
      <c r="A54" s="789" t="s">
        <v>61</v>
      </c>
      <c r="B54" s="822">
        <v>87742900</v>
      </c>
      <c r="C54" s="822">
        <v>221541000</v>
      </c>
      <c r="D54" s="799">
        <f t="shared" si="4"/>
        <v>0.39605716323389351</v>
      </c>
    </row>
    <row r="55" spans="1:21" ht="18">
      <c r="A55" s="789" t="s">
        <v>66</v>
      </c>
      <c r="B55" s="822">
        <v>137959600</v>
      </c>
      <c r="C55" s="822">
        <v>804757000</v>
      </c>
      <c r="D55" s="799">
        <f t="shared" si="4"/>
        <v>0.17143013356826967</v>
      </c>
    </row>
    <row r="56" spans="1:21" ht="18">
      <c r="A56" s="789" t="s">
        <v>64</v>
      </c>
      <c r="B56" s="822">
        <v>1490739671</v>
      </c>
      <c r="C56" s="822">
        <v>3859900176</v>
      </c>
      <c r="D56" s="799">
        <f t="shared" si="4"/>
        <v>0.38621197518761946</v>
      </c>
    </row>
    <row r="57" spans="1:21" ht="18">
      <c r="A57" s="789" t="s">
        <v>67</v>
      </c>
      <c r="B57" s="822">
        <v>50315020</v>
      </c>
      <c r="C57" s="822">
        <v>384139418</v>
      </c>
      <c r="D57" s="799">
        <f t="shared" si="4"/>
        <v>0.13098114289328153</v>
      </c>
    </row>
    <row r="58" spans="1:21" ht="18">
      <c r="A58" s="789" t="s">
        <v>65</v>
      </c>
      <c r="B58" s="822">
        <v>768324200</v>
      </c>
      <c r="C58" s="822">
        <v>4595480000</v>
      </c>
      <c r="D58" s="823">
        <f t="shared" si="4"/>
        <v>0.16719128360911156</v>
      </c>
    </row>
    <row r="59" spans="1:21" ht="18">
      <c r="A59" s="806" t="s">
        <v>68</v>
      </c>
      <c r="B59" s="978">
        <v>0</v>
      </c>
      <c r="C59" s="980">
        <v>347892000</v>
      </c>
      <c r="D59" s="1459">
        <f t="shared" si="4"/>
        <v>0</v>
      </c>
    </row>
    <row r="60" spans="1:21" ht="18">
      <c r="A60" s="806" t="s">
        <v>535</v>
      </c>
      <c r="B60" s="978">
        <v>7667000</v>
      </c>
      <c r="C60" s="824">
        <v>314826000</v>
      </c>
      <c r="D60" s="823">
        <f t="shared" si="4"/>
        <v>2.4353134747447797E-2</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8.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7"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872</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38</v>
      </c>
      <c r="C32" s="796">
        <v>45640000</v>
      </c>
      <c r="D32" s="792">
        <v>0</v>
      </c>
      <c r="E32" s="791">
        <v>0</v>
      </c>
      <c r="F32" s="792">
        <v>0</v>
      </c>
      <c r="G32" s="791">
        <v>0</v>
      </c>
      <c r="H32" s="790">
        <f t="shared" ref="H32:I40" si="0">+B32+D32+F32</f>
        <v>38</v>
      </c>
      <c r="I32" s="797">
        <f t="shared" si="0"/>
        <v>45640000</v>
      </c>
      <c r="J32" s="794"/>
      <c r="K32" s="798">
        <f>+C32/I32</f>
        <v>1</v>
      </c>
      <c r="L32" s="792">
        <f>+E32/I32</f>
        <v>0</v>
      </c>
      <c r="M32" s="792">
        <f>+G32/I32</f>
        <v>0</v>
      </c>
      <c r="N32" s="799">
        <f>SUM(K32:M32)</f>
        <v>1</v>
      </c>
      <c r="O32" s="795"/>
      <c r="P32" s="795"/>
      <c r="Q32" s="795"/>
      <c r="R32" s="795"/>
      <c r="S32" s="795"/>
      <c r="T32" s="795"/>
      <c r="U32" s="795"/>
    </row>
    <row r="33" spans="1:21" ht="18">
      <c r="A33" s="789" t="s">
        <v>60</v>
      </c>
      <c r="B33" s="790">
        <v>0</v>
      </c>
      <c r="C33" s="796">
        <v>0</v>
      </c>
      <c r="D33" s="790">
        <v>0</v>
      </c>
      <c r="E33" s="1409">
        <v>0</v>
      </c>
      <c r="F33" s="790">
        <v>0</v>
      </c>
      <c r="G33" s="796">
        <v>0</v>
      </c>
      <c r="H33" s="790">
        <f t="shared" si="0"/>
        <v>0</v>
      </c>
      <c r="I33" s="797">
        <f t="shared" si="0"/>
        <v>0</v>
      </c>
      <c r="J33" s="794"/>
      <c r="K33" s="1400" t="s">
        <v>566</v>
      </c>
      <c r="L33" s="798" t="e">
        <f>E33/I33</f>
        <v>#DIV/0!</v>
      </c>
      <c r="M33" s="792">
        <v>0</v>
      </c>
      <c r="N33" s="799" t="e">
        <f>SUM(K33:M33)</f>
        <v>#DIV/0!</v>
      </c>
      <c r="O33" s="795"/>
      <c r="P33" s="795"/>
      <c r="Q33" s="795"/>
      <c r="R33" s="795"/>
      <c r="S33" s="795"/>
      <c r="T33" s="795"/>
      <c r="U33" s="795"/>
    </row>
    <row r="34" spans="1:21" ht="18">
      <c r="A34" s="789" t="s">
        <v>61</v>
      </c>
      <c r="B34" s="790">
        <v>1</v>
      </c>
      <c r="C34" s="796">
        <v>3936000</v>
      </c>
      <c r="D34" s="790">
        <v>0</v>
      </c>
      <c r="E34" s="796">
        <v>0</v>
      </c>
      <c r="F34" s="790">
        <v>0</v>
      </c>
      <c r="G34" s="796">
        <v>0</v>
      </c>
      <c r="H34" s="801">
        <f t="shared" si="0"/>
        <v>1</v>
      </c>
      <c r="I34" s="797">
        <f t="shared" si="0"/>
        <v>3936000</v>
      </c>
      <c r="J34" s="794"/>
      <c r="K34" s="798">
        <f t="shared" ref="K34:K39" si="1">+C34/I34</f>
        <v>1</v>
      </c>
      <c r="L34" s="792">
        <f t="shared" ref="L34:L39" si="2">+E34/I34</f>
        <v>0</v>
      </c>
      <c r="M34" s="1401" t="s">
        <v>566</v>
      </c>
      <c r="N34" s="799">
        <f t="shared" ref="N34:N39" si="3">SUM(K34:M34)</f>
        <v>1</v>
      </c>
      <c r="O34" s="795"/>
      <c r="P34" s="795"/>
      <c r="Q34" s="795"/>
      <c r="R34" s="795"/>
      <c r="S34" s="795"/>
      <c r="T34" s="795"/>
      <c r="U34" s="795"/>
    </row>
    <row r="35" spans="1:21" ht="18">
      <c r="A35" s="789" t="s">
        <v>66</v>
      </c>
      <c r="B35" s="790">
        <v>32</v>
      </c>
      <c r="C35" s="796">
        <v>113707890</v>
      </c>
      <c r="D35" s="790">
        <v>0</v>
      </c>
      <c r="E35" s="796">
        <v>0</v>
      </c>
      <c r="F35" s="790">
        <v>0</v>
      </c>
      <c r="G35" s="796">
        <v>0</v>
      </c>
      <c r="H35" s="801">
        <f t="shared" si="0"/>
        <v>32</v>
      </c>
      <c r="I35" s="797">
        <f t="shared" si="0"/>
        <v>113707890</v>
      </c>
      <c r="J35" s="802" t="s">
        <v>0</v>
      </c>
      <c r="K35" s="798">
        <f t="shared" si="1"/>
        <v>1</v>
      </c>
      <c r="L35" s="1407" t="s">
        <v>566</v>
      </c>
      <c r="M35" s="1402" t="s">
        <v>566</v>
      </c>
      <c r="N35" s="799">
        <f t="shared" si="3"/>
        <v>1</v>
      </c>
      <c r="O35" s="795"/>
      <c r="P35" s="795"/>
      <c r="Q35" s="795"/>
      <c r="R35" s="795"/>
      <c r="S35" s="795"/>
      <c r="T35" s="795"/>
      <c r="U35" s="795"/>
    </row>
    <row r="36" spans="1:21" ht="18">
      <c r="A36" s="789" t="s">
        <v>64</v>
      </c>
      <c r="B36" s="790">
        <v>14</v>
      </c>
      <c r="C36" s="796">
        <v>618528387</v>
      </c>
      <c r="D36" s="790">
        <v>1</v>
      </c>
      <c r="E36" s="796">
        <v>310797334</v>
      </c>
      <c r="F36" s="790">
        <v>1</v>
      </c>
      <c r="G36" s="796">
        <v>526502889</v>
      </c>
      <c r="H36" s="790">
        <f t="shared" si="0"/>
        <v>16</v>
      </c>
      <c r="I36" s="797">
        <f t="shared" si="0"/>
        <v>1455828610</v>
      </c>
      <c r="J36" s="794"/>
      <c r="K36" s="798">
        <f t="shared" si="1"/>
        <v>0.42486346452553919</v>
      </c>
      <c r="L36" s="798">
        <f t="shared" si="2"/>
        <v>0.21348483733947227</v>
      </c>
      <c r="M36" s="1364">
        <f>+G36/I36</f>
        <v>0.36165169813498854</v>
      </c>
      <c r="N36" s="799">
        <f t="shared" si="3"/>
        <v>1</v>
      </c>
      <c r="O36" s="795"/>
      <c r="P36" s="795"/>
      <c r="Q36" s="795"/>
      <c r="R36" s="795"/>
      <c r="S36" s="795"/>
      <c r="T36" s="795"/>
      <c r="U36" s="795"/>
    </row>
    <row r="37" spans="1:21" ht="18">
      <c r="A37" s="789" t="s">
        <v>67</v>
      </c>
      <c r="B37" s="790">
        <v>5</v>
      </c>
      <c r="C37" s="796">
        <v>47288741</v>
      </c>
      <c r="D37" s="790">
        <v>2</v>
      </c>
      <c r="E37" s="796">
        <v>49756463</v>
      </c>
      <c r="F37" s="792">
        <v>0</v>
      </c>
      <c r="G37" s="791">
        <v>0</v>
      </c>
      <c r="H37" s="801">
        <f t="shared" si="0"/>
        <v>7</v>
      </c>
      <c r="I37" s="797">
        <f t="shared" si="0"/>
        <v>97045204</v>
      </c>
      <c r="J37" s="794"/>
      <c r="K37" s="798">
        <f t="shared" si="1"/>
        <v>0.48728570862708476</v>
      </c>
      <c r="L37" s="878">
        <f t="shared" si="2"/>
        <v>0.51271429137291524</v>
      </c>
      <c r="M37" s="1402" t="s">
        <v>566</v>
      </c>
      <c r="N37" s="799">
        <f t="shared" si="3"/>
        <v>1</v>
      </c>
      <c r="O37" s="795"/>
      <c r="P37" s="795"/>
      <c r="Q37" s="795"/>
      <c r="R37" s="795"/>
      <c r="S37" s="795"/>
      <c r="T37" s="795"/>
      <c r="U37" s="795"/>
    </row>
    <row r="38" spans="1:21" ht="18">
      <c r="A38" s="789" t="s">
        <v>65</v>
      </c>
      <c r="B38" s="790">
        <v>7</v>
      </c>
      <c r="C38" s="796">
        <v>91617000</v>
      </c>
      <c r="D38" s="790">
        <v>1</v>
      </c>
      <c r="E38" s="796">
        <v>387459000</v>
      </c>
      <c r="F38" s="790">
        <v>0</v>
      </c>
      <c r="G38" s="796">
        <v>0</v>
      </c>
      <c r="H38" s="801">
        <f t="shared" si="0"/>
        <v>8</v>
      </c>
      <c r="I38" s="797">
        <f t="shared" si="0"/>
        <v>479076000</v>
      </c>
      <c r="J38" s="794"/>
      <c r="K38" s="803">
        <f t="shared" si="1"/>
        <v>0.19123688099591715</v>
      </c>
      <c r="L38" s="804">
        <f t="shared" si="2"/>
        <v>0.80876311900408282</v>
      </c>
      <c r="M38" s="1402" t="s">
        <v>566</v>
      </c>
      <c r="N38" s="805">
        <f t="shared" si="3"/>
        <v>1</v>
      </c>
      <c r="O38" s="795"/>
      <c r="P38" s="795"/>
      <c r="Q38" s="795"/>
      <c r="R38" s="795"/>
      <c r="S38" s="795"/>
      <c r="T38" s="795"/>
      <c r="U38" s="795"/>
    </row>
    <row r="39" spans="1:21" ht="18">
      <c r="A39" s="806" t="s">
        <v>68</v>
      </c>
      <c r="B39" s="807">
        <v>1</v>
      </c>
      <c r="C39" s="808">
        <v>2319000</v>
      </c>
      <c r="D39" s="807">
        <v>0</v>
      </c>
      <c r="E39" s="808">
        <v>0</v>
      </c>
      <c r="F39" s="790">
        <v>1</v>
      </c>
      <c r="G39" s="808">
        <v>200877000</v>
      </c>
      <c r="H39" s="790">
        <f t="shared" si="0"/>
        <v>2</v>
      </c>
      <c r="I39" s="797">
        <f t="shared" si="0"/>
        <v>203196000</v>
      </c>
      <c r="J39" s="794"/>
      <c r="K39" s="803">
        <f t="shared" si="1"/>
        <v>1.1412626232799858E-2</v>
      </c>
      <c r="L39" s="811">
        <f t="shared" si="2"/>
        <v>0</v>
      </c>
      <c r="M39" s="800">
        <f>+G39/I39</f>
        <v>0.98858737376720018</v>
      </c>
      <c r="N39" s="812">
        <f t="shared" si="3"/>
        <v>1</v>
      </c>
      <c r="O39" s="795"/>
      <c r="P39" s="795"/>
      <c r="Q39" s="795"/>
      <c r="R39" s="795"/>
      <c r="S39" s="795"/>
      <c r="T39" s="795"/>
      <c r="U39" s="795"/>
    </row>
    <row r="40" spans="1:21" ht="18">
      <c r="A40" s="806" t="s">
        <v>535</v>
      </c>
      <c r="B40" s="807">
        <v>0</v>
      </c>
      <c r="C40" s="810">
        <v>0</v>
      </c>
      <c r="D40" s="809">
        <v>0</v>
      </c>
      <c r="E40" s="810">
        <v>0</v>
      </c>
      <c r="F40" s="790">
        <v>0</v>
      </c>
      <c r="G40" s="810">
        <v>0</v>
      </c>
      <c r="H40" s="792">
        <f t="shared" si="0"/>
        <v>0</v>
      </c>
      <c r="I40" s="793">
        <f t="shared" si="0"/>
        <v>0</v>
      </c>
      <c r="J40" s="794"/>
      <c r="K40" s="813">
        <v>0</v>
      </c>
      <c r="L40" s="811">
        <v>0</v>
      </c>
      <c r="M40" s="811">
        <v>0</v>
      </c>
      <c r="N40" s="814">
        <v>0</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45640000</v>
      </c>
      <c r="C52" s="822">
        <v>1573107000</v>
      </c>
      <c r="D52" s="799">
        <f t="shared" ref="D52:D59" si="4">+B52/C52</f>
        <v>2.9012648217826252E-2</v>
      </c>
      <c r="E52" s="795"/>
      <c r="F52" s="795"/>
      <c r="G52" s="795"/>
      <c r="H52" s="795"/>
      <c r="I52" s="795"/>
      <c r="J52" s="795"/>
      <c r="K52" s="795"/>
      <c r="L52" s="795"/>
      <c r="M52" s="795"/>
      <c r="N52" s="795"/>
      <c r="O52" s="795"/>
      <c r="P52" s="795"/>
      <c r="Q52" s="795"/>
      <c r="R52" s="795"/>
      <c r="S52" s="795"/>
      <c r="T52" s="795"/>
      <c r="U52" s="795"/>
    </row>
    <row r="53" spans="1:21" ht="18">
      <c r="A53" s="789" t="s">
        <v>60</v>
      </c>
      <c r="B53" s="822">
        <v>0</v>
      </c>
      <c r="C53" s="822">
        <v>38151000</v>
      </c>
      <c r="D53" s="1450">
        <f t="shared" si="4"/>
        <v>0</v>
      </c>
    </row>
    <row r="54" spans="1:21" ht="18">
      <c r="A54" s="789" t="s">
        <v>61</v>
      </c>
      <c r="B54" s="822">
        <v>3936000</v>
      </c>
      <c r="C54" s="822">
        <v>173254000</v>
      </c>
      <c r="D54" s="799">
        <f t="shared" si="4"/>
        <v>2.2718090202823601E-2</v>
      </c>
    </row>
    <row r="55" spans="1:21" ht="18">
      <c r="A55" s="789" t="s">
        <v>66</v>
      </c>
      <c r="B55" s="822">
        <v>113707890</v>
      </c>
      <c r="C55" s="822">
        <v>754229000</v>
      </c>
      <c r="D55" s="799">
        <f t="shared" si="4"/>
        <v>0.15076043217643448</v>
      </c>
    </row>
    <row r="56" spans="1:21" ht="18">
      <c r="A56" s="789" t="s">
        <v>64</v>
      </c>
      <c r="B56" s="822">
        <v>1455828610</v>
      </c>
      <c r="C56" s="822">
        <v>3721651985</v>
      </c>
      <c r="D56" s="799">
        <f t="shared" si="4"/>
        <v>0.3911780617499086</v>
      </c>
    </row>
    <row r="57" spans="1:21" ht="18">
      <c r="A57" s="789" t="s">
        <v>67</v>
      </c>
      <c r="B57" s="822">
        <v>97045205</v>
      </c>
      <c r="C57" s="822">
        <v>366316483</v>
      </c>
      <c r="D57" s="799">
        <f t="shared" si="4"/>
        <v>0.26492175346638713</v>
      </c>
    </row>
    <row r="58" spans="1:21" ht="18">
      <c r="A58" s="789" t="s">
        <v>65</v>
      </c>
      <c r="B58" s="822">
        <v>479076000</v>
      </c>
      <c r="C58" s="822">
        <v>4296080000</v>
      </c>
      <c r="D58" s="823">
        <f t="shared" si="4"/>
        <v>0.11151468315301391</v>
      </c>
    </row>
    <row r="59" spans="1:21" ht="18">
      <c r="A59" s="806" t="s">
        <v>68</v>
      </c>
      <c r="B59" s="978">
        <v>2319000</v>
      </c>
      <c r="C59" s="980">
        <v>309714000</v>
      </c>
      <c r="D59" s="823">
        <f t="shared" si="4"/>
        <v>7.4875530327980005E-3</v>
      </c>
    </row>
    <row r="60" spans="1:21" ht="18">
      <c r="A60" s="806" t="s">
        <v>535</v>
      </c>
      <c r="B60" s="825">
        <v>0</v>
      </c>
      <c r="C60" s="824">
        <v>346117000</v>
      </c>
      <c r="D60" s="826">
        <v>0</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29.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7"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862</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35</v>
      </c>
      <c r="C32" s="796">
        <v>35339000</v>
      </c>
      <c r="D32" s="792">
        <v>0</v>
      </c>
      <c r="E32" s="791">
        <v>0</v>
      </c>
      <c r="F32" s="792">
        <v>0</v>
      </c>
      <c r="G32" s="791">
        <v>0</v>
      </c>
      <c r="H32" s="790">
        <f t="shared" ref="H32:I40" si="0">+B32+D32+F32</f>
        <v>35</v>
      </c>
      <c r="I32" s="797">
        <f t="shared" si="0"/>
        <v>35339000</v>
      </c>
      <c r="J32" s="794"/>
      <c r="K32" s="798">
        <f>+C32/I32</f>
        <v>1</v>
      </c>
      <c r="L32" s="792">
        <f>+E32/I32</f>
        <v>0</v>
      </c>
      <c r="M32" s="792">
        <f>+G32/I32</f>
        <v>0</v>
      </c>
      <c r="N32" s="799">
        <f>SUM(K32:M32)</f>
        <v>1</v>
      </c>
      <c r="O32" s="795"/>
      <c r="P32" s="795"/>
      <c r="Q32" s="795"/>
      <c r="R32" s="795"/>
      <c r="S32" s="795"/>
      <c r="T32" s="795"/>
      <c r="U32" s="795"/>
    </row>
    <row r="33" spans="1:21" ht="18">
      <c r="A33" s="789" t="s">
        <v>60</v>
      </c>
      <c r="B33" s="790">
        <v>0</v>
      </c>
      <c r="C33" s="796">
        <v>0</v>
      </c>
      <c r="D33" s="790">
        <v>1</v>
      </c>
      <c r="E33" s="1409">
        <v>1125000</v>
      </c>
      <c r="F33" s="790">
        <v>0</v>
      </c>
      <c r="G33" s="796">
        <v>0</v>
      </c>
      <c r="H33" s="790">
        <f t="shared" si="0"/>
        <v>1</v>
      </c>
      <c r="I33" s="797">
        <f t="shared" si="0"/>
        <v>1125000</v>
      </c>
      <c r="J33" s="794"/>
      <c r="K33" s="1400" t="s">
        <v>566</v>
      </c>
      <c r="L33" s="798">
        <f>E33/I33</f>
        <v>1</v>
      </c>
      <c r="M33" s="792">
        <v>0</v>
      </c>
      <c r="N33" s="799">
        <f>SUM(K33:M33)</f>
        <v>1</v>
      </c>
      <c r="O33" s="795"/>
      <c r="P33" s="795"/>
      <c r="Q33" s="795"/>
      <c r="R33" s="795"/>
      <c r="S33" s="795"/>
      <c r="T33" s="795"/>
      <c r="U33" s="795"/>
    </row>
    <row r="34" spans="1:21" ht="18">
      <c r="A34" s="789" t="s">
        <v>61</v>
      </c>
      <c r="B34" s="790">
        <v>4</v>
      </c>
      <c r="C34" s="796">
        <v>780000</v>
      </c>
      <c r="D34" s="790">
        <v>0</v>
      </c>
      <c r="E34" s="796">
        <v>0</v>
      </c>
      <c r="F34" s="790">
        <v>0</v>
      </c>
      <c r="G34" s="796">
        <v>0</v>
      </c>
      <c r="H34" s="801">
        <f t="shared" si="0"/>
        <v>4</v>
      </c>
      <c r="I34" s="797">
        <f t="shared" si="0"/>
        <v>780000</v>
      </c>
      <c r="J34" s="794"/>
      <c r="K34" s="798">
        <f t="shared" ref="K34:K39" si="1">+C34/I34</f>
        <v>1</v>
      </c>
      <c r="L34" s="792">
        <f t="shared" ref="L34:L39" si="2">+E34/I34</f>
        <v>0</v>
      </c>
      <c r="M34" s="1401" t="s">
        <v>566</v>
      </c>
      <c r="N34" s="799">
        <f t="shared" ref="N34:N39" si="3">SUM(K34:M34)</f>
        <v>1</v>
      </c>
      <c r="O34" s="795"/>
      <c r="P34" s="795"/>
      <c r="Q34" s="795"/>
      <c r="R34" s="795"/>
      <c r="S34" s="795"/>
      <c r="T34" s="795"/>
      <c r="U34" s="795"/>
    </row>
    <row r="35" spans="1:21" ht="18">
      <c r="A35" s="789" t="s">
        <v>66</v>
      </c>
      <c r="B35" s="790">
        <v>31</v>
      </c>
      <c r="C35" s="796">
        <v>113823850</v>
      </c>
      <c r="D35" s="790">
        <v>0</v>
      </c>
      <c r="E35" s="796">
        <v>0</v>
      </c>
      <c r="F35" s="790">
        <v>0</v>
      </c>
      <c r="G35" s="796">
        <v>0</v>
      </c>
      <c r="H35" s="801">
        <f t="shared" si="0"/>
        <v>31</v>
      </c>
      <c r="I35" s="797">
        <f t="shared" si="0"/>
        <v>113823850</v>
      </c>
      <c r="J35" s="802" t="s">
        <v>0</v>
      </c>
      <c r="K35" s="798">
        <f t="shared" si="1"/>
        <v>1</v>
      </c>
      <c r="L35" s="1407" t="s">
        <v>566</v>
      </c>
      <c r="M35" s="1402" t="s">
        <v>566</v>
      </c>
      <c r="N35" s="799">
        <f t="shared" si="3"/>
        <v>1</v>
      </c>
      <c r="O35" s="795"/>
      <c r="P35" s="795"/>
      <c r="Q35" s="795"/>
      <c r="R35" s="795"/>
      <c r="S35" s="795"/>
      <c r="T35" s="795"/>
      <c r="U35" s="795"/>
    </row>
    <row r="36" spans="1:21" ht="18">
      <c r="A36" s="789" t="s">
        <v>64</v>
      </c>
      <c r="B36" s="790">
        <v>13</v>
      </c>
      <c r="C36" s="796">
        <v>579953167</v>
      </c>
      <c r="D36" s="790">
        <v>1</v>
      </c>
      <c r="E36" s="796">
        <v>319461561</v>
      </c>
      <c r="F36" s="790">
        <v>1</v>
      </c>
      <c r="G36" s="796">
        <v>574264540</v>
      </c>
      <c r="H36" s="790">
        <f t="shared" si="0"/>
        <v>15</v>
      </c>
      <c r="I36" s="797">
        <f t="shared" si="0"/>
        <v>1473679268</v>
      </c>
      <c r="J36" s="794"/>
      <c r="K36" s="798">
        <f t="shared" si="1"/>
        <v>0.3935409689159039</v>
      </c>
      <c r="L36" s="798">
        <f t="shared" si="2"/>
        <v>0.21677821486459292</v>
      </c>
      <c r="M36" s="1364">
        <f>+G36/I36</f>
        <v>0.38968081621950318</v>
      </c>
      <c r="N36" s="799">
        <f t="shared" si="3"/>
        <v>1</v>
      </c>
      <c r="O36" s="795"/>
      <c r="P36" s="795"/>
      <c r="Q36" s="795"/>
      <c r="R36" s="795"/>
      <c r="S36" s="795"/>
      <c r="T36" s="795"/>
      <c r="U36" s="795"/>
    </row>
    <row r="37" spans="1:21" ht="18">
      <c r="A37" s="789" t="s">
        <v>67</v>
      </c>
      <c r="B37" s="790">
        <v>5</v>
      </c>
      <c r="C37" s="796">
        <v>45785980</v>
      </c>
      <c r="D37" s="790">
        <v>2</v>
      </c>
      <c r="E37" s="796">
        <v>49834531</v>
      </c>
      <c r="F37" s="792">
        <v>0</v>
      </c>
      <c r="G37" s="791">
        <v>0</v>
      </c>
      <c r="H37" s="801">
        <f t="shared" si="0"/>
        <v>7</v>
      </c>
      <c r="I37" s="797">
        <f t="shared" si="0"/>
        <v>95620511</v>
      </c>
      <c r="J37" s="794"/>
      <c r="K37" s="798">
        <f t="shared" si="1"/>
        <v>0.47883011208756249</v>
      </c>
      <c r="L37" s="878">
        <f t="shared" si="2"/>
        <v>0.52116988791243757</v>
      </c>
      <c r="M37" s="1402" t="s">
        <v>566</v>
      </c>
      <c r="N37" s="799">
        <f t="shared" si="3"/>
        <v>1</v>
      </c>
      <c r="O37" s="795"/>
      <c r="P37" s="795"/>
      <c r="Q37" s="795"/>
      <c r="R37" s="795"/>
      <c r="S37" s="795"/>
      <c r="T37" s="795"/>
      <c r="U37" s="795"/>
    </row>
    <row r="38" spans="1:21" ht="18">
      <c r="A38" s="789" t="s">
        <v>65</v>
      </c>
      <c r="B38" s="790">
        <v>7</v>
      </c>
      <c r="C38" s="796">
        <v>109944000</v>
      </c>
      <c r="D38" s="790">
        <v>1</v>
      </c>
      <c r="E38" s="796">
        <v>313108000</v>
      </c>
      <c r="F38" s="790">
        <v>0</v>
      </c>
      <c r="G38" s="796">
        <v>0</v>
      </c>
      <c r="H38" s="801">
        <f t="shared" si="0"/>
        <v>8</v>
      </c>
      <c r="I38" s="797">
        <f t="shared" si="0"/>
        <v>423052000</v>
      </c>
      <c r="J38" s="794"/>
      <c r="K38" s="803">
        <f t="shared" si="1"/>
        <v>0.25988294583171806</v>
      </c>
      <c r="L38" s="804">
        <f t="shared" si="2"/>
        <v>0.74011705416828188</v>
      </c>
      <c r="M38" s="1402" t="s">
        <v>566</v>
      </c>
      <c r="N38" s="805">
        <f t="shared" si="3"/>
        <v>1</v>
      </c>
      <c r="O38" s="795"/>
      <c r="P38" s="795"/>
      <c r="Q38" s="795"/>
      <c r="R38" s="795"/>
      <c r="S38" s="795"/>
      <c r="T38" s="795"/>
      <c r="U38" s="795"/>
    </row>
    <row r="39" spans="1:21" ht="18">
      <c r="A39" s="806" t="s">
        <v>68</v>
      </c>
      <c r="B39" s="807">
        <v>1</v>
      </c>
      <c r="C39" s="808">
        <v>2298000</v>
      </c>
      <c r="D39" s="807">
        <v>0</v>
      </c>
      <c r="E39" s="808">
        <v>0</v>
      </c>
      <c r="F39" s="790">
        <v>1</v>
      </c>
      <c r="G39" s="808">
        <v>200877000</v>
      </c>
      <c r="H39" s="790">
        <f t="shared" si="0"/>
        <v>2</v>
      </c>
      <c r="I39" s="797">
        <f t="shared" si="0"/>
        <v>203175000</v>
      </c>
      <c r="J39" s="794"/>
      <c r="K39" s="803">
        <f t="shared" si="1"/>
        <v>1.1310446659283869E-2</v>
      </c>
      <c r="L39" s="811">
        <f t="shared" si="2"/>
        <v>0</v>
      </c>
      <c r="M39" s="800">
        <f>+G39/I39</f>
        <v>0.98868955334071618</v>
      </c>
      <c r="N39" s="812">
        <f t="shared" si="3"/>
        <v>1</v>
      </c>
      <c r="O39" s="795"/>
      <c r="P39" s="795"/>
      <c r="Q39" s="795"/>
      <c r="R39" s="795"/>
      <c r="S39" s="795"/>
      <c r="T39" s="795"/>
      <c r="U39" s="795"/>
    </row>
    <row r="40" spans="1:21" ht="18">
      <c r="A40" s="806" t="s">
        <v>535</v>
      </c>
      <c r="B40" s="807">
        <v>0</v>
      </c>
      <c r="C40" s="810">
        <v>0</v>
      </c>
      <c r="D40" s="809">
        <v>0</v>
      </c>
      <c r="E40" s="810">
        <v>0</v>
      </c>
      <c r="F40" s="790">
        <v>0</v>
      </c>
      <c r="G40" s="810">
        <v>0</v>
      </c>
      <c r="H40" s="792">
        <f t="shared" si="0"/>
        <v>0</v>
      </c>
      <c r="I40" s="793">
        <f t="shared" si="0"/>
        <v>0</v>
      </c>
      <c r="J40" s="794"/>
      <c r="K40" s="813">
        <v>0</v>
      </c>
      <c r="L40" s="811">
        <v>0</v>
      </c>
      <c r="M40" s="811">
        <v>0</v>
      </c>
      <c r="N40" s="814">
        <v>0</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35339000</v>
      </c>
      <c r="C52" s="822">
        <v>1232530000</v>
      </c>
      <c r="D52" s="799">
        <f t="shared" ref="D52:D59" si="4">+B52/C52</f>
        <v>2.8671918736257941E-2</v>
      </c>
      <c r="E52" s="795"/>
      <c r="F52" s="795"/>
      <c r="G52" s="795"/>
      <c r="H52" s="795"/>
      <c r="I52" s="795"/>
      <c r="J52" s="795"/>
      <c r="K52" s="795"/>
      <c r="L52" s="795"/>
      <c r="M52" s="795"/>
      <c r="N52" s="795"/>
      <c r="O52" s="795"/>
      <c r="P52" s="795"/>
      <c r="Q52" s="795"/>
      <c r="R52" s="795"/>
      <c r="S52" s="795"/>
      <c r="T52" s="795"/>
      <c r="U52" s="795"/>
    </row>
    <row r="53" spans="1:21" ht="18">
      <c r="A53" s="789" t="s">
        <v>60</v>
      </c>
      <c r="B53" s="822">
        <v>1125000</v>
      </c>
      <c r="C53" s="822">
        <v>15186000</v>
      </c>
      <c r="D53" s="1373">
        <f t="shared" si="4"/>
        <v>7.4081390754642429E-2</v>
      </c>
    </row>
    <row r="54" spans="1:21" ht="18">
      <c r="A54" s="789" t="s">
        <v>61</v>
      </c>
      <c r="B54" s="822">
        <v>780000</v>
      </c>
      <c r="C54" s="822">
        <v>-64852000</v>
      </c>
      <c r="D54" s="799">
        <f t="shared" si="4"/>
        <v>-1.2027385431443903E-2</v>
      </c>
    </row>
    <row r="55" spans="1:21" ht="18">
      <c r="A55" s="789" t="s">
        <v>66</v>
      </c>
      <c r="B55" s="822">
        <v>113823850</v>
      </c>
      <c r="C55" s="822">
        <v>699289000</v>
      </c>
      <c r="D55" s="799">
        <f t="shared" si="4"/>
        <v>0.1627708286559634</v>
      </c>
    </row>
    <row r="56" spans="1:21" ht="18">
      <c r="A56" s="789" t="s">
        <v>64</v>
      </c>
      <c r="B56" s="822">
        <v>1473679268</v>
      </c>
      <c r="C56" s="822">
        <v>3557431190</v>
      </c>
      <c r="D56" s="799">
        <f t="shared" si="4"/>
        <v>0.41425376607214154</v>
      </c>
    </row>
    <row r="57" spans="1:21" ht="18">
      <c r="A57" s="789" t="s">
        <v>67</v>
      </c>
      <c r="B57" s="822">
        <v>95620511</v>
      </c>
      <c r="C57" s="822">
        <v>347149950</v>
      </c>
      <c r="D57" s="799">
        <f t="shared" si="4"/>
        <v>0.27544440377998036</v>
      </c>
    </row>
    <row r="58" spans="1:21" ht="18">
      <c r="A58" s="789" t="s">
        <v>65</v>
      </c>
      <c r="B58" s="822">
        <v>423052000</v>
      </c>
      <c r="C58" s="822">
        <v>4765543000</v>
      </c>
      <c r="D58" s="823">
        <f t="shared" si="4"/>
        <v>8.8773094692462112E-2</v>
      </c>
    </row>
    <row r="59" spans="1:21" ht="18">
      <c r="A59" s="806" t="s">
        <v>68</v>
      </c>
      <c r="B59" s="978">
        <v>2296000</v>
      </c>
      <c r="C59" s="980">
        <v>284729000</v>
      </c>
      <c r="D59" s="823">
        <f t="shared" si="4"/>
        <v>8.0638080420329505E-3</v>
      </c>
    </row>
    <row r="60" spans="1:21" ht="18">
      <c r="A60" s="806" t="s">
        <v>535</v>
      </c>
      <c r="B60" s="825">
        <v>0</v>
      </c>
      <c r="C60" s="824">
        <v>346316000</v>
      </c>
      <c r="D60" s="826">
        <v>0</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30.xml><?xml version="1.0" encoding="utf-8"?>
<worksheet xmlns="http://schemas.openxmlformats.org/spreadsheetml/2006/main" xmlns:r="http://schemas.openxmlformats.org/officeDocument/2006/relationships">
  <sheetPr>
    <pageSetUpPr fitToPage="1"/>
  </sheetPr>
  <dimension ref="A1:Z64"/>
  <sheetViews>
    <sheetView topLeftCell="A26" workbookViewId="0">
      <pane xSplit="1" ySplit="1" topLeftCell="B29"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9" width="18.125" style="746" customWidth="1"/>
    <col min="10" max="10" width="14.375" style="746" customWidth="1"/>
    <col min="11" max="11" width="16.875" style="746" customWidth="1"/>
    <col min="12" max="12" width="15.25" style="746" customWidth="1"/>
    <col min="13" max="13" width="15.375" style="746" customWidth="1"/>
    <col min="14" max="14" width="13.75" style="746" customWidth="1"/>
    <col min="15" max="15" width="2" style="746" customWidth="1"/>
    <col min="16" max="16" width="10.375" style="746" hidden="1" customWidth="1"/>
    <col min="17" max="17" width="0.5" style="746" hidden="1" customWidth="1"/>
    <col min="18" max="16384" width="9" style="746"/>
  </cols>
  <sheetData>
    <row r="1" spans="1:17" ht="18">
      <c r="A1" s="745"/>
      <c r="B1" s="745"/>
      <c r="C1" s="745"/>
      <c r="D1" s="745"/>
      <c r="E1" s="745"/>
      <c r="F1" s="745"/>
      <c r="G1" s="745"/>
      <c r="H1" s="745"/>
      <c r="I1" s="745"/>
    </row>
    <row r="2" spans="1:17" ht="30">
      <c r="A2" s="747" t="s">
        <v>515</v>
      </c>
      <c r="B2" s="748"/>
      <c r="C2" s="748"/>
      <c r="D2" s="748"/>
      <c r="E2" s="748"/>
      <c r="F2" s="748"/>
      <c r="G2" s="748"/>
      <c r="H2" s="748"/>
      <c r="I2" s="748"/>
      <c r="J2" s="749"/>
      <c r="K2" s="749"/>
      <c r="L2" s="749"/>
      <c r="M2" s="749"/>
      <c r="N2" s="749"/>
      <c r="O2" s="749"/>
      <c r="P2" s="749"/>
      <c r="Q2" s="749"/>
    </row>
    <row r="3" spans="1:17" ht="30">
      <c r="A3" s="750"/>
      <c r="B3" s="745"/>
      <c r="C3" s="745"/>
      <c r="D3" s="745"/>
      <c r="E3" s="745"/>
      <c r="F3" s="745"/>
      <c r="G3" s="745"/>
      <c r="H3" s="745"/>
      <c r="I3" s="745"/>
    </row>
    <row r="4" spans="1:17" ht="30">
      <c r="A4" s="747" t="s">
        <v>516</v>
      </c>
      <c r="B4" s="751"/>
      <c r="C4" s="748"/>
      <c r="D4" s="748"/>
      <c r="E4" s="748"/>
      <c r="F4" s="748"/>
      <c r="G4" s="748"/>
      <c r="H4" s="748"/>
      <c r="I4" s="748"/>
      <c r="J4" s="749"/>
      <c r="K4" s="749"/>
      <c r="L4" s="749"/>
      <c r="M4" s="749"/>
      <c r="N4" s="749"/>
    </row>
    <row r="5" spans="1:17" ht="30">
      <c r="A5" s="747" t="s">
        <v>847</v>
      </c>
      <c r="B5" s="751"/>
      <c r="C5" s="748"/>
      <c r="D5" s="748"/>
      <c r="E5" s="748"/>
      <c r="F5" s="748"/>
      <c r="G5" s="748"/>
      <c r="H5" s="748"/>
      <c r="I5" s="748"/>
      <c r="J5" s="749"/>
      <c r="K5" s="749"/>
      <c r="L5" s="749"/>
      <c r="M5" s="749"/>
      <c r="N5" s="749"/>
    </row>
    <row r="6" spans="1:17" ht="18.75" thickBot="1">
      <c r="A6" s="752"/>
      <c r="B6" s="751"/>
      <c r="C6" s="748"/>
      <c r="D6" s="748"/>
      <c r="E6" s="748"/>
      <c r="F6" s="748"/>
      <c r="G6" s="748"/>
      <c r="H6" s="748"/>
      <c r="I6" s="748"/>
    </row>
    <row r="7" spans="1:17" ht="18">
      <c r="A7" s="752"/>
      <c r="D7" s="753"/>
      <c r="E7" s="754"/>
      <c r="F7" s="754"/>
      <c r="G7" s="754"/>
      <c r="H7" s="754"/>
      <c r="I7" s="754"/>
      <c r="J7" s="755"/>
    </row>
    <row r="8" spans="1:17" ht="15.75">
      <c r="D8" s="756" t="s">
        <v>517</v>
      </c>
      <c r="E8" s="757"/>
      <c r="F8" s="757"/>
      <c r="G8" s="757"/>
      <c r="H8" s="757"/>
      <c r="I8" s="757"/>
      <c r="J8" s="758"/>
    </row>
    <row r="9" spans="1:17" ht="15">
      <c r="D9" s="759" t="s">
        <v>518</v>
      </c>
      <c r="E9" s="757"/>
      <c r="F9" s="757"/>
      <c r="G9" s="757"/>
      <c r="H9" s="757"/>
      <c r="I9" s="757"/>
      <c r="J9" s="758"/>
    </row>
    <row r="10" spans="1:17" ht="15">
      <c r="D10" s="759" t="s">
        <v>519</v>
      </c>
      <c r="E10" s="757"/>
      <c r="F10" s="757"/>
      <c r="G10" s="757"/>
      <c r="H10" s="757"/>
      <c r="I10" s="757"/>
      <c r="J10" s="758"/>
    </row>
    <row r="11" spans="1:17" ht="15">
      <c r="D11" s="759" t="s">
        <v>520</v>
      </c>
      <c r="E11" s="757"/>
      <c r="F11" s="757"/>
      <c r="G11" s="757"/>
      <c r="H11" s="757"/>
      <c r="I11" s="757"/>
      <c r="J11" s="758"/>
    </row>
    <row r="12" spans="1:17" ht="15">
      <c r="D12" s="759"/>
      <c r="E12" s="757"/>
      <c r="F12" s="757"/>
      <c r="G12" s="757"/>
      <c r="H12" s="757"/>
      <c r="I12" s="757"/>
      <c r="J12" s="758"/>
    </row>
    <row r="13" spans="1:17" ht="15">
      <c r="D13" s="759" t="s">
        <v>0</v>
      </c>
      <c r="E13" s="757"/>
      <c r="F13" s="757"/>
      <c r="G13" s="757"/>
      <c r="H13" s="757"/>
      <c r="I13" s="757"/>
      <c r="J13" s="758"/>
    </row>
    <row r="14" spans="1:17" ht="15.75">
      <c r="D14" s="756" t="s">
        <v>521</v>
      </c>
      <c r="E14" s="757"/>
      <c r="F14" s="757"/>
      <c r="G14" s="757"/>
      <c r="H14" s="757"/>
      <c r="I14" s="757"/>
      <c r="J14" s="758"/>
    </row>
    <row r="15" spans="1:17" ht="15">
      <c r="D15" s="759" t="s">
        <v>522</v>
      </c>
      <c r="E15" s="757"/>
      <c r="F15" s="757"/>
      <c r="G15" s="757"/>
      <c r="H15" s="757"/>
      <c r="I15" s="757"/>
      <c r="J15" s="758"/>
    </row>
    <row r="16" spans="1:17" ht="15">
      <c r="D16" s="759" t="s">
        <v>523</v>
      </c>
      <c r="E16" s="757"/>
      <c r="F16" s="757"/>
      <c r="G16" s="757"/>
      <c r="H16" s="757"/>
      <c r="I16" s="757"/>
      <c r="J16" s="758"/>
    </row>
    <row r="17" spans="1:26" ht="15">
      <c r="D17" s="759" t="s">
        <v>0</v>
      </c>
      <c r="E17" s="757"/>
      <c r="F17" s="757"/>
      <c r="G17" s="757"/>
      <c r="H17" s="757"/>
      <c r="I17" s="757"/>
      <c r="J17" s="758"/>
    </row>
    <row r="18" spans="1:26" ht="15.75" thickBot="1">
      <c r="D18" s="760" t="s">
        <v>0</v>
      </c>
      <c r="E18" s="761"/>
      <c r="F18" s="762"/>
      <c r="G18" s="762"/>
      <c r="H18" s="762"/>
      <c r="I18" s="762"/>
      <c r="J18" s="763"/>
    </row>
    <row r="19" spans="1:26" ht="15">
      <c r="D19" s="764"/>
      <c r="E19" s="757"/>
      <c r="F19" s="757"/>
      <c r="G19" s="757"/>
      <c r="H19" s="757"/>
      <c r="I19" s="757"/>
      <c r="J19" s="765"/>
    </row>
    <row r="20" spans="1:26" ht="15">
      <c r="D20" s="766" t="s">
        <v>0</v>
      </c>
      <c r="E20" s="757"/>
      <c r="F20" s="757"/>
      <c r="G20" s="757"/>
      <c r="H20" s="757"/>
      <c r="I20" s="757"/>
      <c r="J20" s="757"/>
    </row>
    <row r="23" spans="1:26" ht="18">
      <c r="B23" s="766"/>
      <c r="D23" s="757"/>
      <c r="E23" s="757"/>
      <c r="F23" s="757"/>
      <c r="G23" s="757"/>
      <c r="H23" s="757"/>
      <c r="I23" s="748"/>
    </row>
    <row r="24" spans="1:26" ht="18">
      <c r="B24" s="766"/>
      <c r="C24" s="766"/>
      <c r="D24" s="757"/>
      <c r="E24" s="757"/>
      <c r="F24" s="757"/>
      <c r="G24" s="757"/>
      <c r="H24" s="757"/>
      <c r="I24" s="748"/>
    </row>
    <row r="25" spans="1:26" ht="18">
      <c r="A25" s="751" t="s">
        <v>0</v>
      </c>
      <c r="B25" s="751"/>
      <c r="C25" s="748"/>
      <c r="D25" s="748"/>
      <c r="E25" s="748"/>
      <c r="F25" s="748"/>
      <c r="G25" s="748"/>
      <c r="H25" s="748"/>
      <c r="I25" s="748"/>
    </row>
    <row r="26" spans="1:26" ht="18">
      <c r="A26" s="767" t="s">
        <v>524</v>
      </c>
      <c r="B26" s="745"/>
      <c r="C26" s="745"/>
      <c r="D26" s="745"/>
      <c r="E26" s="745"/>
      <c r="F26" s="745"/>
      <c r="G26" s="745"/>
      <c r="H26" s="745"/>
      <c r="I26" s="745"/>
    </row>
    <row r="27" spans="1:26" ht="18">
      <c r="A27" s="751"/>
      <c r="B27" s="745"/>
      <c r="C27" s="745"/>
      <c r="D27" s="745"/>
      <c r="E27" s="745"/>
      <c r="F27" s="745"/>
      <c r="G27" s="745"/>
      <c r="H27" s="745"/>
      <c r="I27" s="745"/>
    </row>
    <row r="28" spans="1:26" ht="23.25">
      <c r="A28" s="768"/>
      <c r="B28" s="769" t="s">
        <v>545</v>
      </c>
      <c r="C28" s="770"/>
      <c r="D28" s="771" t="s">
        <v>546</v>
      </c>
      <c r="E28" s="770"/>
      <c r="F28" s="771" t="s">
        <v>525</v>
      </c>
      <c r="G28" s="770"/>
      <c r="H28" s="771" t="s">
        <v>295</v>
      </c>
      <c r="I28" s="772"/>
      <c r="K28" s="769" t="s">
        <v>526</v>
      </c>
      <c r="L28" s="773"/>
      <c r="M28" s="773"/>
      <c r="N28" s="773"/>
    </row>
    <row r="29" spans="1:26" ht="15.75">
      <c r="A29" s="774"/>
      <c r="B29" s="775" t="s">
        <v>527</v>
      </c>
      <c r="C29" s="776" t="s">
        <v>528</v>
      </c>
      <c r="D29" s="775" t="s">
        <v>527</v>
      </c>
      <c r="E29" s="776" t="s">
        <v>528</v>
      </c>
      <c r="F29" s="775" t="s">
        <v>527</v>
      </c>
      <c r="G29" s="776" t="s">
        <v>528</v>
      </c>
      <c r="H29" s="775" t="s">
        <v>527</v>
      </c>
      <c r="I29" s="777" t="s">
        <v>528</v>
      </c>
      <c r="J29" s="777"/>
      <c r="K29" s="778" t="s">
        <v>529</v>
      </c>
      <c r="L29" s="778" t="s">
        <v>529</v>
      </c>
      <c r="M29" s="778" t="s">
        <v>529</v>
      </c>
      <c r="N29" s="779"/>
      <c r="O29" s="779"/>
      <c r="P29" s="779"/>
      <c r="Q29" s="779"/>
      <c r="R29" s="779"/>
      <c r="S29" s="779"/>
      <c r="T29" s="779"/>
      <c r="U29" s="779"/>
      <c r="V29" s="779"/>
      <c r="W29" s="779"/>
      <c r="X29" s="779"/>
      <c r="Y29" s="779"/>
      <c r="Z29" s="779"/>
    </row>
    <row r="30" spans="1:26" ht="23.25">
      <c r="A30" s="780"/>
      <c r="B30" s="778" t="s">
        <v>530</v>
      </c>
      <c r="C30" s="781" t="s">
        <v>531</v>
      </c>
      <c r="D30" s="778" t="s">
        <v>530</v>
      </c>
      <c r="E30" s="781" t="s">
        <v>531</v>
      </c>
      <c r="F30" s="778" t="s">
        <v>530</v>
      </c>
      <c r="G30" s="781" t="s">
        <v>531</v>
      </c>
      <c r="H30" s="778" t="s">
        <v>530</v>
      </c>
      <c r="I30" s="782" t="s">
        <v>531</v>
      </c>
      <c r="J30" s="783"/>
      <c r="K30" s="784" t="s">
        <v>532</v>
      </c>
      <c r="L30" s="784" t="s">
        <v>547</v>
      </c>
      <c r="M30" s="784" t="s">
        <v>533</v>
      </c>
      <c r="N30" s="1062" t="s">
        <v>295</v>
      </c>
    </row>
    <row r="31" spans="1:26" ht="13.5" thickBot="1">
      <c r="A31" s="758"/>
      <c r="B31" s="785" t="s">
        <v>534</v>
      </c>
      <c r="C31" s="1063" t="s">
        <v>0</v>
      </c>
      <c r="D31" s="785" t="s">
        <v>534</v>
      </c>
      <c r="E31" s="1063" t="s">
        <v>0</v>
      </c>
      <c r="F31" s="785" t="s">
        <v>534</v>
      </c>
      <c r="G31" s="1063" t="s">
        <v>0</v>
      </c>
      <c r="H31" s="785" t="s">
        <v>534</v>
      </c>
      <c r="I31" s="1064" t="s">
        <v>0</v>
      </c>
      <c r="J31" s="783"/>
      <c r="K31" s="1065"/>
      <c r="L31" s="786"/>
      <c r="M31" s="787"/>
      <c r="N31" s="788"/>
    </row>
    <row r="32" spans="1:26" ht="18">
      <c r="A32" s="789" t="s">
        <v>59</v>
      </c>
      <c r="B32" s="790">
        <v>35</v>
      </c>
      <c r="C32" s="796">
        <v>33350000</v>
      </c>
      <c r="D32" s="792">
        <v>0</v>
      </c>
      <c r="E32" s="791">
        <v>0</v>
      </c>
      <c r="F32" s="792">
        <v>0</v>
      </c>
      <c r="G32" s="791">
        <v>0</v>
      </c>
      <c r="H32" s="790">
        <f t="shared" ref="H32:I40" si="0">+B32+D32+F32</f>
        <v>35</v>
      </c>
      <c r="I32" s="797">
        <f t="shared" si="0"/>
        <v>33350000</v>
      </c>
      <c r="J32" s="794"/>
      <c r="K32" s="798">
        <f>+C32/I32</f>
        <v>1</v>
      </c>
      <c r="L32" s="792">
        <f>+E32/I32</f>
        <v>0</v>
      </c>
      <c r="M32" s="792">
        <f>+G32/I32</f>
        <v>0</v>
      </c>
      <c r="N32" s="799">
        <f>SUM(K32:M32)</f>
        <v>1</v>
      </c>
      <c r="O32" s="795"/>
      <c r="P32" s="795"/>
      <c r="Q32" s="795"/>
      <c r="R32" s="795"/>
      <c r="S32" s="795"/>
      <c r="T32" s="795"/>
      <c r="U32" s="795"/>
    </row>
    <row r="33" spans="1:21" ht="18">
      <c r="A33" s="789" t="s">
        <v>60</v>
      </c>
      <c r="B33" s="790">
        <v>0</v>
      </c>
      <c r="C33" s="796">
        <v>0</v>
      </c>
      <c r="D33" s="792">
        <v>2</v>
      </c>
      <c r="E33" s="1409">
        <v>1993000</v>
      </c>
      <c r="F33" s="790">
        <v>0</v>
      </c>
      <c r="G33" s="796">
        <v>0</v>
      </c>
      <c r="H33" s="790">
        <f t="shared" si="0"/>
        <v>2</v>
      </c>
      <c r="I33" s="797">
        <f t="shared" si="0"/>
        <v>1993000</v>
      </c>
      <c r="J33" s="794"/>
      <c r="K33" s="1400" t="s">
        <v>566</v>
      </c>
      <c r="L33" s="1400" t="s">
        <v>566</v>
      </c>
      <c r="M33" s="798">
        <f>+G33/I33</f>
        <v>0</v>
      </c>
      <c r="N33" s="799">
        <f>SUM(K33:M33)</f>
        <v>0</v>
      </c>
      <c r="O33" s="795"/>
      <c r="P33" s="795"/>
      <c r="Q33" s="795"/>
      <c r="R33" s="795"/>
      <c r="S33" s="795"/>
      <c r="T33" s="795"/>
      <c r="U33" s="795"/>
    </row>
    <row r="34" spans="1:21" ht="18">
      <c r="A34" s="789" t="s">
        <v>61</v>
      </c>
      <c r="B34" s="790">
        <v>4</v>
      </c>
      <c r="C34" s="796">
        <v>1226000</v>
      </c>
      <c r="D34" s="790">
        <v>0</v>
      </c>
      <c r="E34" s="796">
        <v>0</v>
      </c>
      <c r="F34" s="790">
        <v>0</v>
      </c>
      <c r="G34" s="796">
        <v>0</v>
      </c>
      <c r="H34" s="801">
        <f t="shared" si="0"/>
        <v>4</v>
      </c>
      <c r="I34" s="797">
        <f t="shared" si="0"/>
        <v>1226000</v>
      </c>
      <c r="J34" s="794"/>
      <c r="K34" s="798">
        <f t="shared" ref="K34:K39" si="1">+C34/I34</f>
        <v>1</v>
      </c>
      <c r="L34" s="792">
        <f t="shared" ref="L34:L39" si="2">+E34/I34</f>
        <v>0</v>
      </c>
      <c r="M34" s="1401" t="s">
        <v>566</v>
      </c>
      <c r="N34" s="799">
        <f t="shared" ref="N34:N39" si="3">SUM(K34:M34)</f>
        <v>1</v>
      </c>
      <c r="O34" s="795"/>
      <c r="P34" s="795"/>
      <c r="Q34" s="795"/>
      <c r="R34" s="795"/>
      <c r="S34" s="795"/>
      <c r="T34" s="795"/>
      <c r="U34" s="795"/>
    </row>
    <row r="35" spans="1:21" ht="18">
      <c r="A35" s="789" t="s">
        <v>66</v>
      </c>
      <c r="B35" s="790">
        <v>31</v>
      </c>
      <c r="C35" s="796">
        <v>146509740</v>
      </c>
      <c r="D35" s="790">
        <v>0</v>
      </c>
      <c r="E35" s="796">
        <v>0</v>
      </c>
      <c r="F35" s="790">
        <v>0</v>
      </c>
      <c r="G35" s="796">
        <v>0</v>
      </c>
      <c r="H35" s="801">
        <f t="shared" si="0"/>
        <v>31</v>
      </c>
      <c r="I35" s="797">
        <f t="shared" si="0"/>
        <v>146509740</v>
      </c>
      <c r="J35" s="802" t="s">
        <v>0</v>
      </c>
      <c r="K35" s="798">
        <f t="shared" si="1"/>
        <v>1</v>
      </c>
      <c r="L35" s="1407" t="s">
        <v>566</v>
      </c>
      <c r="M35" s="1402" t="s">
        <v>566</v>
      </c>
      <c r="N35" s="799">
        <f t="shared" si="3"/>
        <v>1</v>
      </c>
      <c r="O35" s="795"/>
      <c r="P35" s="795"/>
      <c r="Q35" s="795"/>
      <c r="R35" s="795"/>
      <c r="S35" s="795"/>
      <c r="T35" s="795"/>
      <c r="U35" s="795"/>
    </row>
    <row r="36" spans="1:21" ht="18">
      <c r="A36" s="789" t="s">
        <v>64</v>
      </c>
      <c r="B36" s="790">
        <v>13</v>
      </c>
      <c r="C36" s="796">
        <v>558428710</v>
      </c>
      <c r="D36" s="790">
        <v>2</v>
      </c>
      <c r="E36" s="796">
        <v>509064525</v>
      </c>
      <c r="F36" s="790">
        <v>1</v>
      </c>
      <c r="G36" s="796">
        <v>596545097</v>
      </c>
      <c r="H36" s="790">
        <f t="shared" si="0"/>
        <v>16</v>
      </c>
      <c r="I36" s="797">
        <f t="shared" si="0"/>
        <v>1664038332</v>
      </c>
      <c r="J36" s="794"/>
      <c r="K36" s="798">
        <f t="shared" si="1"/>
        <v>0.33558644609395932</v>
      </c>
      <c r="L36" s="798">
        <f t="shared" si="2"/>
        <v>0.30592115290286476</v>
      </c>
      <c r="M36" s="1364">
        <f>+G36/I36</f>
        <v>0.35849240100317592</v>
      </c>
      <c r="N36" s="799">
        <f t="shared" si="3"/>
        <v>1</v>
      </c>
      <c r="O36" s="795"/>
      <c r="P36" s="795"/>
      <c r="Q36" s="795"/>
      <c r="R36" s="795"/>
      <c r="S36" s="795"/>
      <c r="T36" s="795"/>
      <c r="U36" s="795"/>
    </row>
    <row r="37" spans="1:21" ht="18">
      <c r="A37" s="789" t="s">
        <v>67</v>
      </c>
      <c r="B37" s="790">
        <v>5</v>
      </c>
      <c r="C37" s="796">
        <v>51703698</v>
      </c>
      <c r="D37" s="790">
        <v>2</v>
      </c>
      <c r="E37" s="796">
        <v>46833508</v>
      </c>
      <c r="F37" s="792">
        <v>0</v>
      </c>
      <c r="G37" s="791">
        <v>0</v>
      </c>
      <c r="H37" s="801">
        <f t="shared" si="0"/>
        <v>7</v>
      </c>
      <c r="I37" s="797">
        <f t="shared" si="0"/>
        <v>98537206</v>
      </c>
      <c r="J37" s="794"/>
      <c r="K37" s="798">
        <f t="shared" si="1"/>
        <v>0.52471244212059354</v>
      </c>
      <c r="L37" s="878">
        <f t="shared" si="2"/>
        <v>0.47528755787940646</v>
      </c>
      <c r="M37" s="1402" t="s">
        <v>566</v>
      </c>
      <c r="N37" s="799">
        <f t="shared" si="3"/>
        <v>1</v>
      </c>
      <c r="O37" s="795"/>
      <c r="P37" s="795"/>
      <c r="Q37" s="795"/>
      <c r="R37" s="795"/>
      <c r="S37" s="795"/>
      <c r="T37" s="795"/>
      <c r="U37" s="795"/>
    </row>
    <row r="38" spans="1:21" ht="18">
      <c r="A38" s="789" t="s">
        <v>65</v>
      </c>
      <c r="B38" s="790">
        <v>8</v>
      </c>
      <c r="C38" s="796">
        <v>165206000</v>
      </c>
      <c r="D38" s="790">
        <v>1</v>
      </c>
      <c r="E38" s="796">
        <v>264131000</v>
      </c>
      <c r="F38" s="790">
        <v>0</v>
      </c>
      <c r="G38" s="796">
        <v>0</v>
      </c>
      <c r="H38" s="801">
        <f t="shared" si="0"/>
        <v>9</v>
      </c>
      <c r="I38" s="797">
        <f t="shared" si="0"/>
        <v>429337000</v>
      </c>
      <c r="J38" s="794"/>
      <c r="K38" s="803">
        <f t="shared" si="1"/>
        <v>0.3847932975727692</v>
      </c>
      <c r="L38" s="804">
        <f t="shared" si="2"/>
        <v>0.61520670242723086</v>
      </c>
      <c r="M38" s="1402" t="s">
        <v>566</v>
      </c>
      <c r="N38" s="805">
        <f t="shared" si="3"/>
        <v>1</v>
      </c>
      <c r="O38" s="795"/>
      <c r="P38" s="795"/>
      <c r="Q38" s="795"/>
      <c r="R38" s="795"/>
      <c r="S38" s="795"/>
      <c r="T38" s="795"/>
      <c r="U38" s="795"/>
    </row>
    <row r="39" spans="1:21" ht="18">
      <c r="A39" s="806" t="s">
        <v>68</v>
      </c>
      <c r="B39" s="807">
        <v>1</v>
      </c>
      <c r="C39" s="808">
        <v>2050000</v>
      </c>
      <c r="D39" s="807">
        <v>0</v>
      </c>
      <c r="E39" s="808">
        <v>0</v>
      </c>
      <c r="F39" s="790">
        <v>1</v>
      </c>
      <c r="G39" s="808">
        <v>200877000</v>
      </c>
      <c r="H39" s="790">
        <f t="shared" si="0"/>
        <v>2</v>
      </c>
      <c r="I39" s="797">
        <f t="shared" si="0"/>
        <v>202927000</v>
      </c>
      <c r="J39" s="794"/>
      <c r="K39" s="803">
        <f t="shared" si="1"/>
        <v>1.0102154962129238E-2</v>
      </c>
      <c r="L39" s="811">
        <f t="shared" si="2"/>
        <v>0</v>
      </c>
      <c r="M39" s="800">
        <f>+G39/I39</f>
        <v>0.98989784503787082</v>
      </c>
      <c r="N39" s="812">
        <f t="shared" si="3"/>
        <v>1</v>
      </c>
      <c r="O39" s="795"/>
      <c r="P39" s="795"/>
      <c r="Q39" s="795"/>
      <c r="R39" s="795"/>
      <c r="S39" s="795"/>
      <c r="T39" s="795"/>
      <c r="U39" s="795"/>
    </row>
    <row r="40" spans="1:21" ht="18">
      <c r="A40" s="806" t="s">
        <v>535</v>
      </c>
      <c r="B40" s="807">
        <v>0</v>
      </c>
      <c r="C40" s="810">
        <v>0</v>
      </c>
      <c r="D40" s="809">
        <v>0</v>
      </c>
      <c r="E40" s="810">
        <v>0</v>
      </c>
      <c r="F40" s="790">
        <v>0</v>
      </c>
      <c r="G40" s="810">
        <v>0</v>
      </c>
      <c r="H40" s="792">
        <f t="shared" si="0"/>
        <v>0</v>
      </c>
      <c r="I40" s="793">
        <f t="shared" si="0"/>
        <v>0</v>
      </c>
      <c r="J40" s="794"/>
      <c r="K40" s="813">
        <v>0</v>
      </c>
      <c r="L40" s="811">
        <v>0</v>
      </c>
      <c r="M40" s="811">
        <v>0</v>
      </c>
      <c r="N40" s="814">
        <v>0</v>
      </c>
      <c r="O40" s="795"/>
      <c r="P40" s="795"/>
      <c r="Q40" s="795"/>
      <c r="R40" s="795"/>
      <c r="S40" s="795"/>
      <c r="T40" s="795"/>
      <c r="U40" s="795"/>
    </row>
    <row r="41" spans="1:21">
      <c r="B41" s="815"/>
      <c r="C41" s="815"/>
      <c r="D41" s="815"/>
      <c r="E41" s="815"/>
      <c r="F41" s="815"/>
      <c r="G41" s="815"/>
      <c r="H41" s="815"/>
      <c r="I41" s="815"/>
      <c r="J41" s="795"/>
      <c r="K41" s="795"/>
      <c r="L41" s="795"/>
      <c r="M41" s="795"/>
      <c r="N41" s="795"/>
      <c r="O41" s="795"/>
      <c r="P41" s="795"/>
      <c r="Q41" s="795"/>
      <c r="R41" s="795"/>
      <c r="S41" s="795"/>
      <c r="T41" s="795"/>
      <c r="U41" s="795"/>
    </row>
    <row r="42" spans="1:21">
      <c r="B42" s="815"/>
      <c r="C42" s="815"/>
      <c r="D42" s="815"/>
      <c r="E42" s="815"/>
      <c r="F42" s="815"/>
      <c r="G42" s="815"/>
      <c r="H42" s="815"/>
      <c r="I42" s="815"/>
      <c r="J42" s="795"/>
      <c r="K42" s="795"/>
      <c r="L42" s="795"/>
      <c r="M42" s="795"/>
      <c r="N42" s="795"/>
      <c r="O42" s="795"/>
      <c r="P42" s="795"/>
      <c r="Q42" s="795"/>
      <c r="R42" s="795"/>
      <c r="S42" s="795"/>
      <c r="T42" s="795"/>
      <c r="U42" s="795"/>
    </row>
    <row r="43" spans="1:21">
      <c r="B43" s="815"/>
      <c r="C43" s="815"/>
      <c r="D43" s="815"/>
      <c r="E43" s="815"/>
      <c r="F43" s="815"/>
      <c r="G43" s="815"/>
      <c r="H43" s="815"/>
      <c r="I43" s="815"/>
      <c r="J43" s="795"/>
      <c r="K43" s="795"/>
      <c r="L43" s="795"/>
      <c r="M43" s="795"/>
      <c r="N43" s="795"/>
      <c r="O43" s="795"/>
      <c r="P43" s="795"/>
      <c r="Q43" s="795"/>
      <c r="R43" s="795"/>
      <c r="S43" s="795"/>
      <c r="T43" s="795"/>
      <c r="U43" s="795"/>
    </row>
    <row r="44" spans="1:21">
      <c r="B44" s="795"/>
      <c r="C44" s="795"/>
      <c r="D44" s="795"/>
      <c r="E44" s="795"/>
      <c r="F44" s="795"/>
      <c r="G44" s="795"/>
      <c r="H44" s="795"/>
      <c r="I44" s="795"/>
      <c r="J44" s="795"/>
      <c r="K44" s="795"/>
      <c r="L44" s="795"/>
      <c r="M44" s="795"/>
      <c r="N44" s="795"/>
      <c r="O44" s="795"/>
      <c r="P44" s="795"/>
      <c r="Q44" s="795"/>
      <c r="R44" s="795"/>
      <c r="S44" s="795"/>
      <c r="T44" s="795"/>
      <c r="U44" s="795"/>
    </row>
    <row r="45" spans="1:21">
      <c r="B45" s="795"/>
      <c r="C45" s="795"/>
      <c r="D45" s="795"/>
      <c r="E45" s="795"/>
      <c r="F45" s="795"/>
      <c r="G45" s="795"/>
      <c r="H45" s="795"/>
      <c r="I45" s="795"/>
      <c r="J45" s="795"/>
      <c r="K45" s="795"/>
      <c r="L45" s="795"/>
      <c r="M45" s="795"/>
      <c r="N45" s="795"/>
      <c r="O45" s="795"/>
      <c r="P45" s="795"/>
      <c r="Q45" s="795"/>
      <c r="R45" s="795"/>
      <c r="S45" s="795"/>
      <c r="T45" s="795"/>
      <c r="U45" s="795"/>
    </row>
    <row r="46" spans="1:21" ht="18">
      <c r="A46" s="767" t="s">
        <v>536</v>
      </c>
      <c r="B46" s="795"/>
      <c r="C46" s="795"/>
      <c r="D46" s="795"/>
      <c r="E46" s="795"/>
      <c r="F46" s="795"/>
      <c r="G46" s="795"/>
      <c r="H46" s="795"/>
      <c r="I46" s="795"/>
      <c r="J46" s="795"/>
      <c r="K46" s="795"/>
      <c r="L46" s="795"/>
      <c r="M46" s="795"/>
      <c r="N46" s="795"/>
      <c r="O46" s="795"/>
      <c r="P46" s="795"/>
      <c r="Q46" s="795"/>
      <c r="R46" s="795"/>
      <c r="S46" s="795"/>
      <c r="T46" s="795"/>
      <c r="U46" s="795"/>
    </row>
    <row r="47" spans="1:21">
      <c r="B47" s="795"/>
      <c r="C47" s="795"/>
      <c r="D47" s="795"/>
      <c r="E47" s="795"/>
      <c r="F47" s="795"/>
      <c r="G47" s="795"/>
      <c r="H47" s="795"/>
      <c r="I47" s="795"/>
      <c r="J47" s="795"/>
      <c r="K47" s="795"/>
      <c r="L47" s="795"/>
      <c r="M47" s="795"/>
      <c r="N47" s="795"/>
      <c r="O47" s="795"/>
      <c r="P47" s="795"/>
      <c r="Q47" s="795"/>
      <c r="R47" s="795"/>
      <c r="S47" s="795"/>
      <c r="T47" s="795"/>
      <c r="U47" s="795"/>
    </row>
    <row r="48" spans="1:21" ht="15.75">
      <c r="A48" s="816"/>
      <c r="B48" s="775" t="s">
        <v>537</v>
      </c>
      <c r="C48" s="775" t="s">
        <v>538</v>
      </c>
      <c r="D48" s="817" t="s">
        <v>0</v>
      </c>
      <c r="E48" s="795"/>
      <c r="F48" s="795"/>
      <c r="G48" s="795"/>
      <c r="H48" s="795"/>
      <c r="I48" s="795"/>
      <c r="J48" s="795"/>
      <c r="K48" s="795"/>
      <c r="L48" s="795"/>
      <c r="M48" s="795"/>
      <c r="N48" s="795"/>
      <c r="O48" s="795"/>
      <c r="P48" s="795"/>
      <c r="Q48" s="795"/>
      <c r="R48" s="795"/>
      <c r="S48" s="795"/>
      <c r="T48" s="795"/>
      <c r="U48" s="795"/>
    </row>
    <row r="49" spans="1:21" ht="15.75">
      <c r="A49" s="816"/>
      <c r="B49" s="775" t="s">
        <v>539</v>
      </c>
      <c r="C49" s="775" t="s">
        <v>540</v>
      </c>
      <c r="D49" s="817" t="s">
        <v>0</v>
      </c>
      <c r="E49" s="795"/>
      <c r="F49" s="795"/>
      <c r="G49" s="795"/>
      <c r="H49" s="795"/>
      <c r="I49" s="795"/>
      <c r="J49" s="795"/>
      <c r="K49" s="795"/>
      <c r="L49" s="795"/>
      <c r="M49" s="795"/>
      <c r="N49" s="795"/>
      <c r="O49" s="795"/>
      <c r="P49" s="795"/>
      <c r="Q49" s="795"/>
      <c r="R49" s="795"/>
      <c r="S49" s="795"/>
      <c r="T49" s="795"/>
      <c r="U49" s="795"/>
    </row>
    <row r="50" spans="1:21" ht="15.75">
      <c r="A50" s="816"/>
      <c r="B50" s="818" t="s">
        <v>541</v>
      </c>
      <c r="C50" s="818" t="s">
        <v>541</v>
      </c>
      <c r="D50" s="817" t="s">
        <v>0</v>
      </c>
      <c r="E50" s="795"/>
      <c r="F50" s="795" t="s">
        <v>0</v>
      </c>
      <c r="G50" s="795"/>
      <c r="H50" s="795"/>
      <c r="I50" s="795"/>
      <c r="J50" s="795"/>
      <c r="K50" s="795"/>
      <c r="L50" s="795"/>
      <c r="M50" s="795"/>
      <c r="N50" s="795"/>
      <c r="O50" s="795"/>
      <c r="P50" s="795"/>
      <c r="Q50" s="795"/>
      <c r="R50" s="795"/>
      <c r="S50" s="795"/>
      <c r="T50" s="795"/>
      <c r="U50" s="795"/>
    </row>
    <row r="51" spans="1:21" ht="15.75" thickBot="1">
      <c r="A51" s="816"/>
      <c r="B51" s="819" t="s">
        <v>542</v>
      </c>
      <c r="C51" s="819" t="s">
        <v>543</v>
      </c>
      <c r="D51" s="820" t="s">
        <v>544</v>
      </c>
      <c r="E51" s="795"/>
      <c r="F51" s="795"/>
      <c r="G51" s="795"/>
      <c r="H51" s="795"/>
      <c r="I51" s="795"/>
      <c r="J51" s="795"/>
      <c r="K51" s="795"/>
      <c r="L51" s="795"/>
      <c r="M51" s="795"/>
      <c r="N51" s="795"/>
      <c r="O51" s="795"/>
      <c r="P51" s="795"/>
      <c r="Q51" s="795"/>
      <c r="R51" s="795"/>
      <c r="S51" s="795"/>
      <c r="T51" s="795"/>
      <c r="U51" s="795"/>
    </row>
    <row r="52" spans="1:21" ht="18">
      <c r="A52" s="789" t="s">
        <v>59</v>
      </c>
      <c r="B52" s="822">
        <v>33350000</v>
      </c>
      <c r="C52" s="822">
        <v>1136895000</v>
      </c>
      <c r="D52" s="799">
        <f t="shared" ref="D52:D59" si="4">+B52/C52</f>
        <v>2.9334283289134001E-2</v>
      </c>
      <c r="E52" s="795"/>
      <c r="F52" s="795"/>
      <c r="G52" s="795"/>
      <c r="H52" s="795"/>
      <c r="I52" s="795"/>
      <c r="J52" s="795"/>
      <c r="K52" s="795"/>
      <c r="L52" s="795"/>
      <c r="M52" s="795"/>
      <c r="N52" s="795"/>
      <c r="O52" s="795"/>
      <c r="P52" s="795"/>
      <c r="Q52" s="795"/>
      <c r="R52" s="795"/>
      <c r="S52" s="795"/>
      <c r="T52" s="795"/>
      <c r="U52" s="795"/>
    </row>
    <row r="53" spans="1:21" ht="18">
      <c r="A53" s="789" t="s">
        <v>60</v>
      </c>
      <c r="B53" s="821">
        <v>1993000</v>
      </c>
      <c r="C53" s="822">
        <v>14438000</v>
      </c>
      <c r="D53" s="1373">
        <f t="shared" si="4"/>
        <v>0.13803850948884888</v>
      </c>
    </row>
    <row r="54" spans="1:21" ht="18">
      <c r="A54" s="789" t="s">
        <v>61</v>
      </c>
      <c r="B54" s="822">
        <v>1226000</v>
      </c>
      <c r="C54" s="822">
        <v>-84787000</v>
      </c>
      <c r="D54" s="799">
        <f t="shared" si="4"/>
        <v>-1.4459763878896529E-2</v>
      </c>
    </row>
    <row r="55" spans="1:21" ht="18">
      <c r="A55" s="789" t="s">
        <v>66</v>
      </c>
      <c r="B55" s="822">
        <v>146509740</v>
      </c>
      <c r="C55" s="822">
        <v>700135000</v>
      </c>
      <c r="D55" s="799">
        <f t="shared" si="4"/>
        <v>0.20925927142622494</v>
      </c>
    </row>
    <row r="56" spans="1:21" ht="18">
      <c r="A56" s="789" t="s">
        <v>64</v>
      </c>
      <c r="B56" s="822">
        <v>1664038332</v>
      </c>
      <c r="C56" s="822">
        <v>3622019466</v>
      </c>
      <c r="D56" s="799">
        <f t="shared" si="4"/>
        <v>0.45942280200876201</v>
      </c>
    </row>
    <row r="57" spans="1:21" ht="18">
      <c r="A57" s="789" t="s">
        <v>67</v>
      </c>
      <c r="B57" s="822">
        <v>98537205</v>
      </c>
      <c r="C57" s="822">
        <v>368592907</v>
      </c>
      <c r="D57" s="799">
        <f t="shared" si="4"/>
        <v>0.26733342701030327</v>
      </c>
    </row>
    <row r="58" spans="1:21" ht="18">
      <c r="A58" s="789" t="s">
        <v>65</v>
      </c>
      <c r="B58" s="822">
        <v>429337000</v>
      </c>
      <c r="C58" s="822">
        <v>4428824000</v>
      </c>
      <c r="D58" s="823">
        <f t="shared" si="4"/>
        <v>9.6941535721446592E-2</v>
      </c>
    </row>
    <row r="59" spans="1:21" ht="18">
      <c r="A59" s="806" t="s">
        <v>68</v>
      </c>
      <c r="B59" s="978">
        <v>202927000</v>
      </c>
      <c r="C59" s="980">
        <v>311970000</v>
      </c>
      <c r="D59" s="823">
        <f t="shared" si="4"/>
        <v>0.65046959643555469</v>
      </c>
    </row>
    <row r="60" spans="1:21" ht="18">
      <c r="A60" s="806" t="s">
        <v>535</v>
      </c>
      <c r="B60" s="825">
        <v>0</v>
      </c>
      <c r="C60" s="824">
        <v>314262000</v>
      </c>
      <c r="D60" s="826">
        <v>0</v>
      </c>
    </row>
    <row r="61" spans="1:21">
      <c r="B61" s="827"/>
      <c r="C61" s="827"/>
      <c r="D61" s="827"/>
    </row>
    <row r="62" spans="1:21" ht="18">
      <c r="A62" s="745" t="s">
        <v>0</v>
      </c>
      <c r="N62"/>
    </row>
    <row r="64" spans="1:21" ht="15.75">
      <c r="A64" s="828" t="s">
        <v>0</v>
      </c>
    </row>
  </sheetData>
  <pageMargins left="0.53" right="0.49" top="0.4" bottom="0.35" header="0.18" footer="0.17"/>
  <pageSetup scale="50" orientation="landscape" r:id="rId1"/>
  <headerFooter alignWithMargins="0">
    <oddFooter>&amp;R&amp;P</oddFooter>
  </headerFooter>
</worksheet>
</file>

<file path=xl/worksheets/sheet131.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B20" sqref="B20"/>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968</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4</v>
      </c>
      <c r="C25" s="796">
        <v>743366500</v>
      </c>
      <c r="D25" s="790">
        <v>5</v>
      </c>
      <c r="E25" s="796">
        <v>1533648500</v>
      </c>
      <c r="F25" s="790">
        <v>1</v>
      </c>
      <c r="G25" s="796">
        <v>936747000</v>
      </c>
      <c r="H25" s="790">
        <f t="shared" ref="H25:I33" si="0">+B25+D25+F25</f>
        <v>10</v>
      </c>
      <c r="I25" s="790">
        <f t="shared" si="0"/>
        <v>3213762000</v>
      </c>
      <c r="J25" s="872"/>
      <c r="K25" s="876">
        <f t="shared" ref="K25:K33" si="1">+C25/I25</f>
        <v>0.23130726544156038</v>
      </c>
      <c r="L25" s="876">
        <f t="shared" ref="L25:L33" si="2">+E25/I25</f>
        <v>0.47721284276807058</v>
      </c>
      <c r="M25" s="876">
        <f t="shared" ref="M25:M33" si="3">+G25/I25</f>
        <v>0.29147989179036904</v>
      </c>
      <c r="N25" s="873">
        <f t="shared" ref="N25:N33" si="4">SUM(K25:M25)</f>
        <v>1</v>
      </c>
      <c r="O25" s="874"/>
      <c r="P25" s="875"/>
      <c r="Q25" s="875"/>
      <c r="R25" s="875"/>
      <c r="S25" s="875"/>
      <c r="T25" s="875"/>
      <c r="U25" s="875"/>
    </row>
    <row r="26" spans="1:26" ht="18">
      <c r="A26" s="870" t="s">
        <v>60</v>
      </c>
      <c r="B26" s="790">
        <v>6</v>
      </c>
      <c r="C26" s="796">
        <v>52193000</v>
      </c>
      <c r="D26" s="790">
        <v>6</v>
      </c>
      <c r="E26" s="796">
        <v>102341000</v>
      </c>
      <c r="F26" s="871">
        <v>6</v>
      </c>
      <c r="G26" s="796">
        <v>342508000</v>
      </c>
      <c r="H26" s="790">
        <f t="shared" si="0"/>
        <v>18</v>
      </c>
      <c r="I26" s="790">
        <f t="shared" si="0"/>
        <v>497042000</v>
      </c>
      <c r="J26" s="872"/>
      <c r="K26" s="876">
        <f t="shared" si="1"/>
        <v>0.10500722272966873</v>
      </c>
      <c r="L26" s="876">
        <f t="shared" si="2"/>
        <v>0.20590010502130604</v>
      </c>
      <c r="M26" s="876">
        <f t="shared" si="3"/>
        <v>0.68909267224902526</v>
      </c>
      <c r="N26" s="873">
        <f t="shared" si="4"/>
        <v>1</v>
      </c>
      <c r="O26" s="874"/>
      <c r="P26" s="875"/>
      <c r="Q26" s="875"/>
      <c r="R26" s="875"/>
      <c r="S26" s="875"/>
      <c r="T26" s="875"/>
      <c r="U26" s="875"/>
    </row>
    <row r="27" spans="1:26" ht="18">
      <c r="A27" s="870" t="s">
        <v>61</v>
      </c>
      <c r="B27" s="790">
        <v>6</v>
      </c>
      <c r="C27" s="796">
        <v>187647000</v>
      </c>
      <c r="D27" s="790">
        <v>4</v>
      </c>
      <c r="E27" s="796">
        <v>229489000</v>
      </c>
      <c r="F27" s="790">
        <v>2</v>
      </c>
      <c r="G27" s="796">
        <v>221504000</v>
      </c>
      <c r="H27" s="790">
        <f t="shared" si="0"/>
        <v>12</v>
      </c>
      <c r="I27" s="790">
        <f t="shared" si="0"/>
        <v>638640000</v>
      </c>
      <c r="J27" s="872"/>
      <c r="K27" s="876">
        <f t="shared" si="1"/>
        <v>0.2938228109733183</v>
      </c>
      <c r="L27" s="876">
        <f t="shared" si="2"/>
        <v>0.35934016034072402</v>
      </c>
      <c r="M27" s="800">
        <f t="shared" si="3"/>
        <v>0.34683702868595767</v>
      </c>
      <c r="N27" s="1516">
        <f t="shared" si="4"/>
        <v>1</v>
      </c>
      <c r="O27" s="874"/>
      <c r="P27" s="875"/>
      <c r="Q27" s="875"/>
      <c r="R27" s="875"/>
      <c r="S27" s="875"/>
      <c r="T27" s="875"/>
      <c r="U27" s="875"/>
    </row>
    <row r="28" spans="1:26" ht="18">
      <c r="A28" s="870" t="s">
        <v>66</v>
      </c>
      <c r="B28" s="790">
        <v>1</v>
      </c>
      <c r="C28" s="796">
        <v>69150020</v>
      </c>
      <c r="D28" s="790">
        <v>6</v>
      </c>
      <c r="E28" s="796">
        <v>844285210</v>
      </c>
      <c r="F28" s="979">
        <v>0</v>
      </c>
      <c r="G28" s="791">
        <v>0</v>
      </c>
      <c r="H28" s="790">
        <f t="shared" si="0"/>
        <v>7</v>
      </c>
      <c r="I28" s="790">
        <f t="shared" si="0"/>
        <v>913435230</v>
      </c>
      <c r="J28" s="877" t="s">
        <v>0</v>
      </c>
      <c r="K28" s="876">
        <f t="shared" si="1"/>
        <v>7.5703254843805398E-2</v>
      </c>
      <c r="L28" s="800">
        <f t="shared" si="2"/>
        <v>0.92429674515619464</v>
      </c>
      <c r="M28" s="792">
        <f t="shared" si="3"/>
        <v>0</v>
      </c>
      <c r="N28" s="800">
        <f t="shared" si="4"/>
        <v>1</v>
      </c>
      <c r="O28" s="874"/>
      <c r="P28" s="875"/>
      <c r="Q28" s="875"/>
      <c r="R28" s="875"/>
      <c r="S28" s="875"/>
      <c r="T28" s="875"/>
      <c r="U28" s="875"/>
    </row>
    <row r="29" spans="1:26" ht="18">
      <c r="A29" s="870" t="s">
        <v>64</v>
      </c>
      <c r="B29" s="790">
        <v>7</v>
      </c>
      <c r="C29" s="796">
        <v>2080407302</v>
      </c>
      <c r="D29" s="790">
        <v>7</v>
      </c>
      <c r="E29" s="796">
        <v>3998178183</v>
      </c>
      <c r="F29" s="979">
        <v>0</v>
      </c>
      <c r="G29" s="796">
        <v>0</v>
      </c>
      <c r="H29" s="790">
        <f t="shared" si="0"/>
        <v>14</v>
      </c>
      <c r="I29" s="790">
        <f t="shared" si="0"/>
        <v>6078585485</v>
      </c>
      <c r="J29" s="872"/>
      <c r="K29" s="876">
        <f t="shared" si="1"/>
        <v>0.34225187868687185</v>
      </c>
      <c r="L29" s="800">
        <f t="shared" si="2"/>
        <v>0.65774812131312821</v>
      </c>
      <c r="M29" s="792">
        <v>0</v>
      </c>
      <c r="N29" s="873">
        <f t="shared" si="4"/>
        <v>1</v>
      </c>
      <c r="O29" s="874"/>
      <c r="P29" s="875"/>
      <c r="Q29" s="875"/>
      <c r="R29" s="875"/>
      <c r="S29" s="875"/>
      <c r="T29" s="875"/>
      <c r="U29" s="875"/>
    </row>
    <row r="30" spans="1:26" ht="18">
      <c r="A30" s="870" t="s">
        <v>67</v>
      </c>
      <c r="B30" s="790">
        <v>7</v>
      </c>
      <c r="C30" s="796">
        <v>235730310</v>
      </c>
      <c r="D30" s="790">
        <v>1</v>
      </c>
      <c r="E30" s="796">
        <v>75635390</v>
      </c>
      <c r="F30" s="790">
        <v>1</v>
      </c>
      <c r="G30" s="796">
        <v>99455102</v>
      </c>
      <c r="H30" s="790">
        <f t="shared" si="0"/>
        <v>9</v>
      </c>
      <c r="I30" s="790">
        <f t="shared" si="0"/>
        <v>410820802</v>
      </c>
      <c r="J30" s="872"/>
      <c r="K30" s="876">
        <f t="shared" si="1"/>
        <v>0.57380324670122229</v>
      </c>
      <c r="L30" s="800">
        <f t="shared" si="2"/>
        <v>0.18410798487268423</v>
      </c>
      <c r="M30" s="800">
        <f t="shared" si="3"/>
        <v>0.24208876842609348</v>
      </c>
      <c r="N30" s="873">
        <f t="shared" si="4"/>
        <v>1</v>
      </c>
      <c r="O30" s="874"/>
      <c r="P30" s="875"/>
      <c r="Q30" s="875"/>
      <c r="R30" s="875"/>
      <c r="S30" s="875"/>
      <c r="T30" s="875"/>
      <c r="U30" s="875"/>
    </row>
    <row r="31" spans="1:26" ht="18">
      <c r="A31" s="870" t="s">
        <v>65</v>
      </c>
      <c r="B31" s="790">
        <v>9</v>
      </c>
      <c r="C31" s="796">
        <v>3337704000</v>
      </c>
      <c r="D31" s="790">
        <v>8</v>
      </c>
      <c r="E31" s="796">
        <v>6149121000</v>
      </c>
      <c r="F31" s="790">
        <v>0</v>
      </c>
      <c r="G31" s="796">
        <v>0</v>
      </c>
      <c r="H31" s="790">
        <f t="shared" si="0"/>
        <v>17</v>
      </c>
      <c r="I31" s="790">
        <f t="shared" si="0"/>
        <v>9486825000</v>
      </c>
      <c r="J31" s="872"/>
      <c r="K31" s="879">
        <f t="shared" si="1"/>
        <v>0.35182518914389166</v>
      </c>
      <c r="L31" s="804">
        <f t="shared" si="2"/>
        <v>0.64817481085610829</v>
      </c>
      <c r="M31" s="811">
        <f t="shared" si="3"/>
        <v>0</v>
      </c>
      <c r="N31" s="880">
        <f t="shared" si="4"/>
        <v>1</v>
      </c>
      <c r="O31" s="874"/>
      <c r="P31" s="875"/>
      <c r="Q31" s="875"/>
      <c r="R31" s="875"/>
      <c r="S31" s="875"/>
      <c r="T31" s="875"/>
      <c r="U31" s="875"/>
    </row>
    <row r="32" spans="1:26" ht="18">
      <c r="A32" s="881" t="s">
        <v>68</v>
      </c>
      <c r="B32" s="807">
        <v>2</v>
      </c>
      <c r="C32" s="808">
        <v>65458000</v>
      </c>
      <c r="D32" s="807">
        <v>7</v>
      </c>
      <c r="E32" s="808">
        <v>495504000</v>
      </c>
      <c r="F32" s="807">
        <v>5</v>
      </c>
      <c r="G32" s="808">
        <v>792024000</v>
      </c>
      <c r="H32" s="790">
        <f t="shared" si="0"/>
        <v>14</v>
      </c>
      <c r="I32" s="790">
        <f t="shared" si="0"/>
        <v>1352986000</v>
      </c>
      <c r="J32" s="872"/>
      <c r="K32" s="879">
        <f t="shared" si="1"/>
        <v>4.8380397136407918E-2</v>
      </c>
      <c r="L32" s="804">
        <f t="shared" si="2"/>
        <v>0.36622995359892857</v>
      </c>
      <c r="M32" s="800">
        <f t="shared" si="3"/>
        <v>0.58538964926466353</v>
      </c>
      <c r="N32" s="880">
        <f t="shared" si="4"/>
        <v>1</v>
      </c>
      <c r="O32" s="874"/>
      <c r="P32" s="875"/>
      <c r="Q32" s="875"/>
      <c r="R32" s="875"/>
      <c r="S32" s="875"/>
      <c r="T32" s="875"/>
      <c r="U32" s="875"/>
    </row>
    <row r="33" spans="1:21" ht="18">
      <c r="A33" s="881" t="s">
        <v>535</v>
      </c>
      <c r="B33" s="807">
        <v>2</v>
      </c>
      <c r="C33" s="808">
        <v>54012000</v>
      </c>
      <c r="D33" s="807">
        <v>1</v>
      </c>
      <c r="E33" s="808">
        <v>44550000</v>
      </c>
      <c r="F33" s="807">
        <v>2</v>
      </c>
      <c r="G33" s="808">
        <v>462008000</v>
      </c>
      <c r="H33" s="790">
        <f t="shared" si="0"/>
        <v>5</v>
      </c>
      <c r="I33" s="790">
        <f t="shared" si="0"/>
        <v>560570000</v>
      </c>
      <c r="J33" s="872"/>
      <c r="K33" s="879">
        <f t="shared" si="1"/>
        <v>9.6351927502363668E-2</v>
      </c>
      <c r="L33" s="882">
        <f t="shared" si="2"/>
        <v>7.9472679593984699E-2</v>
      </c>
      <c r="M33" s="804">
        <f t="shared" si="3"/>
        <v>0.8241753929036516</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2.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942</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5</v>
      </c>
      <c r="C25" s="796">
        <v>807172000</v>
      </c>
      <c r="D25" s="790">
        <v>5</v>
      </c>
      <c r="E25" s="796">
        <v>1463639000</v>
      </c>
      <c r="F25" s="790">
        <v>1</v>
      </c>
      <c r="G25" s="796">
        <v>1178140000</v>
      </c>
      <c r="H25" s="790">
        <f t="shared" ref="H25:I33" si="0">+B25+D25+F25</f>
        <v>11</v>
      </c>
      <c r="I25" s="790">
        <f t="shared" si="0"/>
        <v>3448951000</v>
      </c>
      <c r="J25" s="872"/>
      <c r="K25" s="876">
        <f t="shared" ref="K25:K33" si="1">+C25/I25</f>
        <v>0.23403405847169181</v>
      </c>
      <c r="L25" s="876">
        <f t="shared" ref="L25:L33" si="2">+E25/I25</f>
        <v>0.42437222216262277</v>
      </c>
      <c r="M25" s="876">
        <f t="shared" ref="M25:M33" si="3">+G25/I25</f>
        <v>0.34159371936568539</v>
      </c>
      <c r="N25" s="873">
        <f t="shared" ref="N25:N33" si="4">SUM(K25:M25)</f>
        <v>1</v>
      </c>
      <c r="O25" s="874"/>
      <c r="P25" s="875"/>
      <c r="Q25" s="875"/>
      <c r="R25" s="875"/>
      <c r="S25" s="875"/>
      <c r="T25" s="875"/>
      <c r="U25" s="875"/>
    </row>
    <row r="26" spans="1:26" ht="18">
      <c r="A26" s="870" t="s">
        <v>60</v>
      </c>
      <c r="B26" s="790">
        <v>8</v>
      </c>
      <c r="C26" s="796">
        <v>76137000</v>
      </c>
      <c r="D26" s="790">
        <v>7</v>
      </c>
      <c r="E26" s="796">
        <v>117733000</v>
      </c>
      <c r="F26" s="871">
        <v>6</v>
      </c>
      <c r="G26" s="796">
        <v>340386000</v>
      </c>
      <c r="H26" s="790">
        <f t="shared" si="0"/>
        <v>21</v>
      </c>
      <c r="I26" s="790">
        <f t="shared" si="0"/>
        <v>534256000</v>
      </c>
      <c r="J26" s="872"/>
      <c r="K26" s="876">
        <f t="shared" si="1"/>
        <v>0.14251033212542302</v>
      </c>
      <c r="L26" s="876">
        <f t="shared" si="2"/>
        <v>0.22036813812105058</v>
      </c>
      <c r="M26" s="876">
        <f t="shared" si="3"/>
        <v>0.63712152975352643</v>
      </c>
      <c r="N26" s="873">
        <f t="shared" si="4"/>
        <v>1</v>
      </c>
      <c r="O26" s="874"/>
      <c r="P26" s="875"/>
      <c r="Q26" s="875"/>
      <c r="R26" s="875"/>
      <c r="S26" s="875"/>
      <c r="T26" s="875"/>
      <c r="U26" s="875"/>
    </row>
    <row r="27" spans="1:26" ht="18">
      <c r="A27" s="870" t="s">
        <v>61</v>
      </c>
      <c r="B27" s="790">
        <v>1</v>
      </c>
      <c r="C27" s="796">
        <v>33168000</v>
      </c>
      <c r="D27" s="790">
        <v>2</v>
      </c>
      <c r="E27" s="796">
        <v>130533000</v>
      </c>
      <c r="F27" s="790">
        <v>2</v>
      </c>
      <c r="G27" s="796">
        <v>252370000</v>
      </c>
      <c r="H27" s="790">
        <f t="shared" si="0"/>
        <v>5</v>
      </c>
      <c r="I27" s="790">
        <f t="shared" si="0"/>
        <v>416071000</v>
      </c>
      <c r="J27" s="872"/>
      <c r="K27" s="876">
        <f>+C27/I27</f>
        <v>7.9717163657164289E-2</v>
      </c>
      <c r="L27" s="876">
        <f t="shared" si="2"/>
        <v>0.3137277051272499</v>
      </c>
      <c r="M27" s="800">
        <f t="shared" si="3"/>
        <v>0.6065551312155858</v>
      </c>
      <c r="N27" s="1457">
        <f t="shared" si="4"/>
        <v>1</v>
      </c>
      <c r="O27" s="874"/>
      <c r="P27" s="875"/>
      <c r="Q27" s="875"/>
      <c r="R27" s="875"/>
      <c r="S27" s="875"/>
      <c r="T27" s="875"/>
      <c r="U27" s="875"/>
    </row>
    <row r="28" spans="1:26" ht="18">
      <c r="A28" s="870" t="s">
        <v>66</v>
      </c>
      <c r="B28" s="790">
        <v>4</v>
      </c>
      <c r="C28" s="796">
        <v>280073830</v>
      </c>
      <c r="D28" s="790">
        <v>5</v>
      </c>
      <c r="E28" s="796">
        <v>751688300</v>
      </c>
      <c r="F28" s="979">
        <v>0</v>
      </c>
      <c r="G28" s="791">
        <v>0</v>
      </c>
      <c r="H28" s="790">
        <f t="shared" si="0"/>
        <v>9</v>
      </c>
      <c r="I28" s="790">
        <f t="shared" si="0"/>
        <v>1031762130</v>
      </c>
      <c r="J28" s="877" t="s">
        <v>0</v>
      </c>
      <c r="K28" s="876">
        <f t="shared" si="1"/>
        <v>0.27145193824859609</v>
      </c>
      <c r="L28" s="800">
        <f t="shared" si="2"/>
        <v>0.72854806175140385</v>
      </c>
      <c r="M28" s="792">
        <f t="shared" si="3"/>
        <v>0</v>
      </c>
      <c r="N28" s="800">
        <f t="shared" si="4"/>
        <v>1</v>
      </c>
      <c r="O28" s="874"/>
      <c r="P28" s="875"/>
      <c r="Q28" s="875"/>
      <c r="R28" s="875"/>
      <c r="S28" s="875"/>
      <c r="T28" s="875"/>
      <c r="U28" s="875"/>
    </row>
    <row r="29" spans="1:26" ht="18">
      <c r="A29" s="870" t="s">
        <v>64</v>
      </c>
      <c r="B29" s="790">
        <v>6</v>
      </c>
      <c r="C29" s="796">
        <v>1869211455</v>
      </c>
      <c r="D29" s="790">
        <v>7</v>
      </c>
      <c r="E29" s="796">
        <v>4003560114</v>
      </c>
      <c r="F29" s="979">
        <v>0</v>
      </c>
      <c r="G29" s="796">
        <v>0</v>
      </c>
      <c r="H29" s="790">
        <f t="shared" si="0"/>
        <v>13</v>
      </c>
      <c r="I29" s="790">
        <f t="shared" si="0"/>
        <v>5872771569</v>
      </c>
      <c r="J29" s="872"/>
      <c r="K29" s="876">
        <f t="shared" si="1"/>
        <v>0.31828437953671068</v>
      </c>
      <c r="L29" s="800">
        <f t="shared" si="2"/>
        <v>0.68171562046328926</v>
      </c>
      <c r="M29" s="792">
        <v>0</v>
      </c>
      <c r="N29" s="873">
        <f t="shared" si="4"/>
        <v>1</v>
      </c>
      <c r="O29" s="874"/>
      <c r="P29" s="875"/>
      <c r="Q29" s="875"/>
      <c r="R29" s="875"/>
      <c r="S29" s="875"/>
      <c r="T29" s="875"/>
      <c r="U29" s="875"/>
    </row>
    <row r="30" spans="1:26" ht="18">
      <c r="A30" s="870" t="s">
        <v>67</v>
      </c>
      <c r="B30" s="790">
        <v>4</v>
      </c>
      <c r="C30" s="796">
        <v>122658800</v>
      </c>
      <c r="D30" s="790">
        <v>3</v>
      </c>
      <c r="E30" s="796">
        <v>178547114</v>
      </c>
      <c r="F30" s="792">
        <v>0</v>
      </c>
      <c r="G30" s="791">
        <v>0</v>
      </c>
      <c r="H30" s="790">
        <f t="shared" si="0"/>
        <v>7</v>
      </c>
      <c r="I30" s="790">
        <f t="shared" si="0"/>
        <v>301205914</v>
      </c>
      <c r="J30" s="872"/>
      <c r="K30" s="876">
        <f t="shared" si="1"/>
        <v>0.4072257359462072</v>
      </c>
      <c r="L30" s="800">
        <f t="shared" si="2"/>
        <v>0.59277426405379274</v>
      </c>
      <c r="M30" s="792">
        <f t="shared" si="3"/>
        <v>0</v>
      </c>
      <c r="N30" s="873">
        <f t="shared" si="4"/>
        <v>1</v>
      </c>
      <c r="O30" s="874"/>
      <c r="P30" s="875"/>
      <c r="Q30" s="875"/>
      <c r="R30" s="875"/>
      <c r="S30" s="875"/>
      <c r="T30" s="875"/>
      <c r="U30" s="875"/>
    </row>
    <row r="31" spans="1:26" ht="18">
      <c r="A31" s="870" t="s">
        <v>65</v>
      </c>
      <c r="B31" s="790">
        <v>8</v>
      </c>
      <c r="C31" s="796">
        <v>3018748000</v>
      </c>
      <c r="D31" s="790">
        <v>8</v>
      </c>
      <c r="E31" s="796">
        <v>5327083000</v>
      </c>
      <c r="F31" s="790">
        <v>0</v>
      </c>
      <c r="G31" s="796">
        <v>0</v>
      </c>
      <c r="H31" s="790">
        <f t="shared" si="0"/>
        <v>16</v>
      </c>
      <c r="I31" s="790">
        <f t="shared" si="0"/>
        <v>8345831000</v>
      </c>
      <c r="J31" s="872"/>
      <c r="K31" s="879">
        <f t="shared" si="1"/>
        <v>0.36170730032755277</v>
      </c>
      <c r="L31" s="804">
        <f t="shared" si="2"/>
        <v>0.63829269967244728</v>
      </c>
      <c r="M31" s="811">
        <f t="shared" si="3"/>
        <v>0</v>
      </c>
      <c r="N31" s="880">
        <f t="shared" si="4"/>
        <v>1</v>
      </c>
      <c r="O31" s="874"/>
      <c r="P31" s="875"/>
      <c r="Q31" s="875"/>
      <c r="R31" s="875"/>
      <c r="S31" s="875"/>
      <c r="T31" s="875"/>
      <c r="U31" s="875"/>
    </row>
    <row r="32" spans="1:26" ht="18">
      <c r="A32" s="881" t="s">
        <v>68</v>
      </c>
      <c r="B32" s="807">
        <v>6</v>
      </c>
      <c r="C32" s="808">
        <v>161979000</v>
      </c>
      <c r="D32" s="807">
        <v>5</v>
      </c>
      <c r="E32" s="808">
        <v>323317000</v>
      </c>
      <c r="F32" s="807">
        <v>4</v>
      </c>
      <c r="G32" s="808">
        <v>626030000</v>
      </c>
      <c r="H32" s="790">
        <f t="shared" si="0"/>
        <v>15</v>
      </c>
      <c r="I32" s="790">
        <f t="shared" si="0"/>
        <v>1111326000</v>
      </c>
      <c r="J32" s="872"/>
      <c r="K32" s="879">
        <f t="shared" si="1"/>
        <v>0.14575291138693777</v>
      </c>
      <c r="L32" s="804">
        <f t="shared" si="2"/>
        <v>0.29092903432476158</v>
      </c>
      <c r="M32" s="800">
        <f t="shared" si="3"/>
        <v>0.56331805428830062</v>
      </c>
      <c r="N32" s="880">
        <f t="shared" si="4"/>
        <v>1</v>
      </c>
      <c r="O32" s="874"/>
      <c r="P32" s="875"/>
      <c r="Q32" s="875"/>
      <c r="R32" s="875"/>
      <c r="S32" s="875"/>
      <c r="T32" s="875"/>
      <c r="U32" s="875"/>
    </row>
    <row r="33" spans="1:21" ht="18">
      <c r="A33" s="881" t="s">
        <v>535</v>
      </c>
      <c r="B33" s="807">
        <v>1</v>
      </c>
      <c r="C33" s="808">
        <v>25175000</v>
      </c>
      <c r="D33" s="807">
        <v>2</v>
      </c>
      <c r="E33" s="808">
        <v>75221000</v>
      </c>
      <c r="F33" s="807">
        <v>2</v>
      </c>
      <c r="G33" s="808">
        <v>517789000</v>
      </c>
      <c r="H33" s="790">
        <f t="shared" si="0"/>
        <v>5</v>
      </c>
      <c r="I33" s="790">
        <f t="shared" si="0"/>
        <v>618185000</v>
      </c>
      <c r="J33" s="872"/>
      <c r="K33" s="879">
        <f t="shared" si="1"/>
        <v>4.0724055096775236E-2</v>
      </c>
      <c r="L33" s="882">
        <f t="shared" si="2"/>
        <v>0.1216804031155722</v>
      </c>
      <c r="M33" s="804">
        <f t="shared" si="3"/>
        <v>0.83759554178765261</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3.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933</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6</v>
      </c>
      <c r="C25" s="796">
        <v>956102500</v>
      </c>
      <c r="D25" s="790">
        <v>4</v>
      </c>
      <c r="E25" s="796">
        <v>1379948000</v>
      </c>
      <c r="F25" s="790">
        <v>1</v>
      </c>
      <c r="G25" s="796">
        <v>1375804000</v>
      </c>
      <c r="H25" s="790">
        <f t="shared" ref="H25:I33" si="0">+B25+D25+F25</f>
        <v>11</v>
      </c>
      <c r="I25" s="790">
        <f t="shared" si="0"/>
        <v>3711854500</v>
      </c>
      <c r="J25" s="872"/>
      <c r="K25" s="876">
        <f t="shared" ref="K25:K33" si="1">+C25/I25</f>
        <v>0.25758081304102842</v>
      </c>
      <c r="L25" s="876">
        <f t="shared" ref="L25:L33" si="2">+E25/I25</f>
        <v>0.37176780501498646</v>
      </c>
      <c r="M25" s="876">
        <f t="shared" ref="M25:M33" si="3">+G25/I25</f>
        <v>0.37065138194398517</v>
      </c>
      <c r="N25" s="873">
        <f t="shared" ref="N25:N33" si="4">SUM(K25:M25)</f>
        <v>1</v>
      </c>
      <c r="O25" s="874"/>
      <c r="P25" s="875"/>
      <c r="Q25" s="875"/>
      <c r="R25" s="875"/>
      <c r="S25" s="875"/>
      <c r="T25" s="875"/>
      <c r="U25" s="875"/>
    </row>
    <row r="26" spans="1:26" ht="18">
      <c r="A26" s="870" t="s">
        <v>60</v>
      </c>
      <c r="B26" s="790">
        <v>7</v>
      </c>
      <c r="C26" s="796">
        <v>60508000</v>
      </c>
      <c r="D26" s="790">
        <v>8</v>
      </c>
      <c r="E26" s="796">
        <v>133387000</v>
      </c>
      <c r="F26" s="871">
        <v>8</v>
      </c>
      <c r="G26" s="796">
        <v>436233000</v>
      </c>
      <c r="H26" s="790">
        <f t="shared" si="0"/>
        <v>23</v>
      </c>
      <c r="I26" s="790">
        <f t="shared" si="0"/>
        <v>630128000</v>
      </c>
      <c r="J26" s="872"/>
      <c r="K26" s="876">
        <f t="shared" si="1"/>
        <v>9.6024934616458876E-2</v>
      </c>
      <c r="L26" s="876">
        <f t="shared" si="2"/>
        <v>0.21168238834014677</v>
      </c>
      <c r="M26" s="876">
        <f t="shared" si="3"/>
        <v>0.69229267704339437</v>
      </c>
      <c r="N26" s="873">
        <f t="shared" si="4"/>
        <v>1</v>
      </c>
      <c r="O26" s="874"/>
      <c r="P26" s="875"/>
      <c r="Q26" s="875"/>
      <c r="R26" s="875"/>
      <c r="S26" s="875"/>
      <c r="T26" s="875"/>
      <c r="U26" s="875"/>
    </row>
    <row r="27" spans="1:26" ht="18">
      <c r="A27" s="870" t="s">
        <v>61</v>
      </c>
      <c r="B27" s="790">
        <v>1</v>
      </c>
      <c r="C27" s="796">
        <v>18783000</v>
      </c>
      <c r="D27" s="790">
        <v>2</v>
      </c>
      <c r="E27" s="796">
        <v>116421000</v>
      </c>
      <c r="F27" s="790">
        <v>2</v>
      </c>
      <c r="G27" s="796">
        <v>225366000</v>
      </c>
      <c r="H27" s="790">
        <f t="shared" si="0"/>
        <v>5</v>
      </c>
      <c r="I27" s="790">
        <f t="shared" si="0"/>
        <v>360570000</v>
      </c>
      <c r="J27" s="872"/>
      <c r="K27" s="876">
        <f t="shared" si="1"/>
        <v>5.2092520176387387E-2</v>
      </c>
      <c r="L27" s="876">
        <f t="shared" si="2"/>
        <v>0.32288043930443466</v>
      </c>
      <c r="M27" s="800">
        <f t="shared" si="3"/>
        <v>0.62502704051917801</v>
      </c>
      <c r="N27" s="1516">
        <f t="shared" si="4"/>
        <v>1</v>
      </c>
      <c r="O27" s="874"/>
      <c r="P27" s="875"/>
      <c r="Q27" s="875"/>
      <c r="R27" s="875"/>
      <c r="S27" s="875"/>
      <c r="T27" s="875"/>
      <c r="U27" s="875"/>
    </row>
    <row r="28" spans="1:26" ht="18">
      <c r="A28" s="870" t="s">
        <v>66</v>
      </c>
      <c r="B28" s="790">
        <v>4</v>
      </c>
      <c r="C28" s="796">
        <v>245223310</v>
      </c>
      <c r="D28" s="790">
        <v>6</v>
      </c>
      <c r="E28" s="796">
        <v>784515870</v>
      </c>
      <c r="F28" s="979">
        <v>0</v>
      </c>
      <c r="G28" s="791">
        <v>0</v>
      </c>
      <c r="H28" s="790">
        <f t="shared" si="0"/>
        <v>10</v>
      </c>
      <c r="I28" s="790">
        <f t="shared" si="0"/>
        <v>1029739180</v>
      </c>
      <c r="J28" s="877" t="s">
        <v>0</v>
      </c>
      <c r="K28" s="876">
        <f t="shared" si="1"/>
        <v>0.23814118639246104</v>
      </c>
      <c r="L28" s="800">
        <f t="shared" si="2"/>
        <v>0.76185881360753893</v>
      </c>
      <c r="M28" s="792">
        <f t="shared" si="3"/>
        <v>0</v>
      </c>
      <c r="N28" s="800">
        <f t="shared" si="4"/>
        <v>1</v>
      </c>
      <c r="O28" s="874"/>
      <c r="P28" s="875"/>
      <c r="Q28" s="875"/>
      <c r="R28" s="875"/>
      <c r="S28" s="875"/>
      <c r="T28" s="875"/>
      <c r="U28" s="875"/>
    </row>
    <row r="29" spans="1:26" ht="18">
      <c r="A29" s="870" t="s">
        <v>64</v>
      </c>
      <c r="B29" s="790">
        <v>7</v>
      </c>
      <c r="C29" s="796">
        <v>2243937185</v>
      </c>
      <c r="D29" s="790">
        <v>6</v>
      </c>
      <c r="E29" s="796">
        <v>3516685009</v>
      </c>
      <c r="F29" s="979">
        <v>0</v>
      </c>
      <c r="G29" s="796">
        <v>0</v>
      </c>
      <c r="H29" s="790">
        <f t="shared" si="0"/>
        <v>13</v>
      </c>
      <c r="I29" s="790">
        <f t="shared" si="0"/>
        <v>5760622194</v>
      </c>
      <c r="J29" s="872"/>
      <c r="K29" s="876">
        <f t="shared" si="1"/>
        <v>0.38953035096402994</v>
      </c>
      <c r="L29" s="800">
        <f t="shared" si="2"/>
        <v>0.61046964903597012</v>
      </c>
      <c r="M29" s="792">
        <v>0</v>
      </c>
      <c r="N29" s="873">
        <f t="shared" si="4"/>
        <v>1</v>
      </c>
      <c r="O29" s="874"/>
      <c r="P29" s="875"/>
      <c r="Q29" s="875"/>
      <c r="R29" s="875"/>
      <c r="S29" s="875"/>
      <c r="T29" s="875"/>
      <c r="U29" s="875"/>
    </row>
    <row r="30" spans="1:26" ht="18">
      <c r="A30" s="870" t="s">
        <v>67</v>
      </c>
      <c r="B30" s="790">
        <v>6</v>
      </c>
      <c r="C30" s="796">
        <v>184614626</v>
      </c>
      <c r="D30" s="790">
        <v>2</v>
      </c>
      <c r="E30" s="796">
        <v>122450985</v>
      </c>
      <c r="F30" s="792">
        <v>0</v>
      </c>
      <c r="G30" s="791">
        <v>0</v>
      </c>
      <c r="H30" s="790">
        <f t="shared" si="0"/>
        <v>8</v>
      </c>
      <c r="I30" s="790">
        <f t="shared" si="0"/>
        <v>307065611</v>
      </c>
      <c r="J30" s="872"/>
      <c r="K30" s="876">
        <f t="shared" si="1"/>
        <v>0.60122208214321993</v>
      </c>
      <c r="L30" s="800">
        <f t="shared" si="2"/>
        <v>0.39877791785678013</v>
      </c>
      <c r="M30" s="792">
        <f t="shared" si="3"/>
        <v>0</v>
      </c>
      <c r="N30" s="873">
        <f t="shared" si="4"/>
        <v>1</v>
      </c>
      <c r="O30" s="874"/>
      <c r="P30" s="875"/>
      <c r="Q30" s="875"/>
      <c r="R30" s="875"/>
      <c r="S30" s="875"/>
      <c r="T30" s="875"/>
      <c r="U30" s="875"/>
    </row>
    <row r="31" spans="1:26" ht="18">
      <c r="A31" s="870" t="s">
        <v>65</v>
      </c>
      <c r="B31" s="790">
        <v>7</v>
      </c>
      <c r="C31" s="796">
        <v>2794933000</v>
      </c>
      <c r="D31" s="790">
        <v>6</v>
      </c>
      <c r="E31" s="796">
        <v>4111261000</v>
      </c>
      <c r="F31" s="790">
        <v>0</v>
      </c>
      <c r="G31" s="796">
        <v>0</v>
      </c>
      <c r="H31" s="790">
        <f t="shared" si="0"/>
        <v>13</v>
      </c>
      <c r="I31" s="790">
        <f t="shared" si="0"/>
        <v>6906194000</v>
      </c>
      <c r="J31" s="872"/>
      <c r="K31" s="879">
        <f t="shared" si="1"/>
        <v>0.40469946254043832</v>
      </c>
      <c r="L31" s="804">
        <f t="shared" si="2"/>
        <v>0.59530053745956168</v>
      </c>
      <c r="M31" s="811">
        <f t="shared" si="3"/>
        <v>0</v>
      </c>
      <c r="N31" s="880">
        <f t="shared" si="4"/>
        <v>1</v>
      </c>
      <c r="O31" s="874"/>
      <c r="P31" s="875"/>
      <c r="Q31" s="875"/>
      <c r="R31" s="875"/>
      <c r="S31" s="875"/>
      <c r="T31" s="875"/>
      <c r="U31" s="875"/>
    </row>
    <row r="32" spans="1:26" ht="18">
      <c r="A32" s="881" t="s">
        <v>68</v>
      </c>
      <c r="B32" s="807">
        <v>8</v>
      </c>
      <c r="C32" s="808">
        <v>252666000</v>
      </c>
      <c r="D32" s="807">
        <v>5</v>
      </c>
      <c r="E32" s="808">
        <v>309401000</v>
      </c>
      <c r="F32" s="807">
        <v>4</v>
      </c>
      <c r="G32" s="808">
        <v>769098000</v>
      </c>
      <c r="H32" s="790">
        <f t="shared" si="0"/>
        <v>17</v>
      </c>
      <c r="I32" s="790">
        <f t="shared" si="0"/>
        <v>1331165000</v>
      </c>
      <c r="J32" s="872"/>
      <c r="K32" s="879">
        <f t="shared" si="1"/>
        <v>0.18980817554548085</v>
      </c>
      <c r="L32" s="804">
        <f t="shared" si="2"/>
        <v>0.23242873723392668</v>
      </c>
      <c r="M32" s="800">
        <f t="shared" si="3"/>
        <v>0.57776308722059244</v>
      </c>
      <c r="N32" s="880">
        <f t="shared" si="4"/>
        <v>1</v>
      </c>
      <c r="O32" s="874"/>
      <c r="P32" s="875"/>
      <c r="Q32" s="875"/>
      <c r="R32" s="875"/>
      <c r="S32" s="875"/>
      <c r="T32" s="875"/>
      <c r="U32" s="875"/>
    </row>
    <row r="33" spans="1:21" ht="18">
      <c r="A33" s="881" t="s">
        <v>535</v>
      </c>
      <c r="B33" s="807">
        <v>2</v>
      </c>
      <c r="C33" s="808">
        <v>55578000</v>
      </c>
      <c r="D33" s="807">
        <v>1</v>
      </c>
      <c r="E33" s="808">
        <v>44550000</v>
      </c>
      <c r="F33" s="807">
        <v>2</v>
      </c>
      <c r="G33" s="808">
        <v>527204000</v>
      </c>
      <c r="H33" s="790">
        <f t="shared" si="0"/>
        <v>5</v>
      </c>
      <c r="I33" s="790">
        <f t="shared" si="0"/>
        <v>627332000</v>
      </c>
      <c r="J33" s="872"/>
      <c r="K33" s="879">
        <f t="shared" si="1"/>
        <v>8.8594237182225685E-2</v>
      </c>
      <c r="L33" s="882">
        <f t="shared" si="2"/>
        <v>7.1015028724821946E-2</v>
      </c>
      <c r="M33" s="804">
        <f t="shared" si="3"/>
        <v>0.8403907340929524</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4.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913</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6</v>
      </c>
      <c r="C25" s="796">
        <v>937491000</v>
      </c>
      <c r="D25" s="790">
        <v>5</v>
      </c>
      <c r="E25" s="796">
        <v>1276354000</v>
      </c>
      <c r="F25" s="790">
        <v>1</v>
      </c>
      <c r="G25" s="796">
        <v>1609063000</v>
      </c>
      <c r="H25" s="790">
        <f t="shared" ref="H25:I33" si="0">+B25+D25+F25</f>
        <v>12</v>
      </c>
      <c r="I25" s="790">
        <f t="shared" si="0"/>
        <v>3822908000</v>
      </c>
      <c r="J25" s="872"/>
      <c r="K25" s="876">
        <f t="shared" ref="K25:K33" si="1">+C25/I25</f>
        <v>0.24522980934932256</v>
      </c>
      <c r="L25" s="876">
        <f t="shared" ref="L25:L33" si="2">+E25/I25</f>
        <v>0.33386992310565672</v>
      </c>
      <c r="M25" s="876">
        <f t="shared" ref="M25:M33" si="3">+G25/I25</f>
        <v>0.42090026754502069</v>
      </c>
      <c r="N25" s="873">
        <f t="shared" ref="N25:N33" si="4">SUM(K25:M25)</f>
        <v>1</v>
      </c>
      <c r="O25" s="874"/>
      <c r="P25" s="875"/>
      <c r="Q25" s="875"/>
      <c r="R25" s="875"/>
      <c r="S25" s="875"/>
      <c r="T25" s="875"/>
      <c r="U25" s="875"/>
    </row>
    <row r="26" spans="1:26" ht="18">
      <c r="A26" s="870" t="s">
        <v>60</v>
      </c>
      <c r="B26" s="790">
        <v>9</v>
      </c>
      <c r="C26" s="796">
        <v>77303000</v>
      </c>
      <c r="D26" s="790">
        <v>9</v>
      </c>
      <c r="E26" s="796">
        <v>173744000</v>
      </c>
      <c r="F26" s="871">
        <v>6</v>
      </c>
      <c r="G26" s="796">
        <v>320108000</v>
      </c>
      <c r="H26" s="790">
        <f t="shared" si="0"/>
        <v>24</v>
      </c>
      <c r="I26" s="790">
        <f t="shared" si="0"/>
        <v>571155000</v>
      </c>
      <c r="J26" s="872"/>
      <c r="K26" s="876">
        <f t="shared" si="1"/>
        <v>0.13534504644098361</v>
      </c>
      <c r="L26" s="876">
        <f t="shared" si="2"/>
        <v>0.30419763461757315</v>
      </c>
      <c r="M26" s="876">
        <f t="shared" si="3"/>
        <v>0.56045731894144324</v>
      </c>
      <c r="N26" s="873">
        <f t="shared" si="4"/>
        <v>1</v>
      </c>
      <c r="O26" s="874"/>
      <c r="P26" s="875"/>
      <c r="Q26" s="875"/>
      <c r="R26" s="875"/>
      <c r="S26" s="875"/>
      <c r="T26" s="875"/>
      <c r="U26" s="875"/>
    </row>
    <row r="27" spans="1:26" ht="18">
      <c r="A27" s="870" t="s">
        <v>61</v>
      </c>
      <c r="B27" s="790">
        <v>0</v>
      </c>
      <c r="C27" s="796">
        <v>0</v>
      </c>
      <c r="D27" s="790">
        <v>2</v>
      </c>
      <c r="E27" s="796">
        <v>120333000</v>
      </c>
      <c r="F27" s="790">
        <v>0</v>
      </c>
      <c r="G27" s="796">
        <v>0</v>
      </c>
      <c r="H27" s="790">
        <f t="shared" si="0"/>
        <v>2</v>
      </c>
      <c r="I27" s="790">
        <f t="shared" si="0"/>
        <v>120333000</v>
      </c>
      <c r="J27" s="872"/>
      <c r="K27" s="1374">
        <v>0</v>
      </c>
      <c r="L27" s="876">
        <f t="shared" si="2"/>
        <v>1</v>
      </c>
      <c r="M27" s="792">
        <f t="shared" si="3"/>
        <v>0</v>
      </c>
      <c r="N27" s="1375">
        <f t="shared" si="4"/>
        <v>1</v>
      </c>
      <c r="O27" s="874"/>
      <c r="P27" s="875"/>
      <c r="Q27" s="875"/>
      <c r="R27" s="875"/>
      <c r="S27" s="875"/>
      <c r="T27" s="875"/>
      <c r="U27" s="875"/>
    </row>
    <row r="28" spans="1:26" ht="18">
      <c r="A28" s="870" t="s">
        <v>66</v>
      </c>
      <c r="B28" s="790">
        <v>3</v>
      </c>
      <c r="C28" s="796">
        <v>181318490</v>
      </c>
      <c r="D28" s="790">
        <v>7</v>
      </c>
      <c r="E28" s="796">
        <v>785771280</v>
      </c>
      <c r="F28" s="979">
        <v>0</v>
      </c>
      <c r="G28" s="791">
        <v>0</v>
      </c>
      <c r="H28" s="790">
        <f t="shared" si="0"/>
        <v>10</v>
      </c>
      <c r="I28" s="790">
        <f t="shared" si="0"/>
        <v>967089770</v>
      </c>
      <c r="J28" s="877" t="s">
        <v>0</v>
      </c>
      <c r="K28" s="876">
        <f t="shared" si="1"/>
        <v>0.18748878917414255</v>
      </c>
      <c r="L28" s="800">
        <f t="shared" si="2"/>
        <v>0.81251121082585742</v>
      </c>
      <c r="M28" s="792">
        <f t="shared" si="3"/>
        <v>0</v>
      </c>
      <c r="N28" s="800">
        <f t="shared" si="4"/>
        <v>1</v>
      </c>
      <c r="O28" s="874"/>
      <c r="P28" s="875"/>
      <c r="Q28" s="875"/>
      <c r="R28" s="875"/>
      <c r="S28" s="875"/>
      <c r="T28" s="875"/>
      <c r="U28" s="875"/>
    </row>
    <row r="29" spans="1:26" ht="18">
      <c r="A29" s="870" t="s">
        <v>64</v>
      </c>
      <c r="B29" s="790">
        <v>7</v>
      </c>
      <c r="C29" s="796">
        <v>1966515369</v>
      </c>
      <c r="D29" s="790">
        <v>8</v>
      </c>
      <c r="E29" s="796">
        <v>4297521801</v>
      </c>
      <c r="F29" s="979">
        <v>0</v>
      </c>
      <c r="G29" s="796">
        <v>0</v>
      </c>
      <c r="H29" s="790">
        <f t="shared" si="0"/>
        <v>15</v>
      </c>
      <c r="I29" s="790">
        <f t="shared" si="0"/>
        <v>6264037170</v>
      </c>
      <c r="J29" s="872"/>
      <c r="K29" s="876">
        <f t="shared" si="1"/>
        <v>0.31393737227775742</v>
      </c>
      <c r="L29" s="800">
        <f t="shared" si="2"/>
        <v>0.68606262772224258</v>
      </c>
      <c r="M29" s="792">
        <v>0</v>
      </c>
      <c r="N29" s="873">
        <f t="shared" si="4"/>
        <v>1</v>
      </c>
      <c r="O29" s="874"/>
      <c r="P29" s="875"/>
      <c r="Q29" s="875"/>
      <c r="R29" s="875"/>
      <c r="S29" s="875"/>
      <c r="T29" s="875"/>
      <c r="U29" s="875"/>
    </row>
    <row r="30" spans="1:26" ht="18">
      <c r="A30" s="870" t="s">
        <v>67</v>
      </c>
      <c r="B30" s="790">
        <v>7</v>
      </c>
      <c r="C30" s="796">
        <v>173426563</v>
      </c>
      <c r="D30" s="790">
        <v>3</v>
      </c>
      <c r="E30" s="796">
        <v>153744093</v>
      </c>
      <c r="F30" s="792">
        <v>0</v>
      </c>
      <c r="G30" s="791">
        <v>0</v>
      </c>
      <c r="H30" s="790">
        <f t="shared" si="0"/>
        <v>10</v>
      </c>
      <c r="I30" s="790">
        <f t="shared" si="0"/>
        <v>327170656</v>
      </c>
      <c r="J30" s="872"/>
      <c r="K30" s="876">
        <f t="shared" si="1"/>
        <v>0.53007982170625967</v>
      </c>
      <c r="L30" s="800">
        <f t="shared" si="2"/>
        <v>0.46992017829374039</v>
      </c>
      <c r="M30" s="792">
        <f t="shared" si="3"/>
        <v>0</v>
      </c>
      <c r="N30" s="873">
        <f t="shared" si="4"/>
        <v>1</v>
      </c>
      <c r="O30" s="874"/>
      <c r="P30" s="875"/>
      <c r="Q30" s="875"/>
      <c r="R30" s="875"/>
      <c r="S30" s="875"/>
      <c r="T30" s="875"/>
      <c r="U30" s="875"/>
    </row>
    <row r="31" spans="1:26" ht="18">
      <c r="A31" s="870" t="s">
        <v>65</v>
      </c>
      <c r="B31" s="790">
        <v>6</v>
      </c>
      <c r="C31" s="796">
        <v>2329520000</v>
      </c>
      <c r="D31" s="790">
        <v>7</v>
      </c>
      <c r="E31" s="796">
        <v>4599670000</v>
      </c>
      <c r="F31" s="790">
        <v>0</v>
      </c>
      <c r="G31" s="796">
        <v>0</v>
      </c>
      <c r="H31" s="790">
        <f t="shared" si="0"/>
        <v>13</v>
      </c>
      <c r="I31" s="790">
        <f t="shared" si="0"/>
        <v>6929190000</v>
      </c>
      <c r="J31" s="872"/>
      <c r="K31" s="879">
        <f t="shared" si="1"/>
        <v>0.33618936701115137</v>
      </c>
      <c r="L31" s="804">
        <f t="shared" si="2"/>
        <v>0.66381063298884857</v>
      </c>
      <c r="M31" s="811">
        <f t="shared" si="3"/>
        <v>0</v>
      </c>
      <c r="N31" s="880">
        <f t="shared" si="4"/>
        <v>1</v>
      </c>
      <c r="O31" s="874"/>
      <c r="P31" s="875"/>
      <c r="Q31" s="875"/>
      <c r="R31" s="875"/>
      <c r="S31" s="875"/>
      <c r="T31" s="875"/>
      <c r="U31" s="875"/>
    </row>
    <row r="32" spans="1:26" ht="18">
      <c r="A32" s="881" t="s">
        <v>68</v>
      </c>
      <c r="B32" s="807">
        <v>6</v>
      </c>
      <c r="C32" s="808">
        <v>144291000</v>
      </c>
      <c r="D32" s="807">
        <v>7</v>
      </c>
      <c r="E32" s="808">
        <v>382373000</v>
      </c>
      <c r="F32" s="807">
        <v>4</v>
      </c>
      <c r="G32" s="808">
        <v>848239000</v>
      </c>
      <c r="H32" s="790">
        <f t="shared" si="0"/>
        <v>17</v>
      </c>
      <c r="I32" s="790">
        <f t="shared" si="0"/>
        <v>1374903000</v>
      </c>
      <c r="J32" s="872"/>
      <c r="K32" s="879">
        <f t="shared" si="1"/>
        <v>0.10494631257623264</v>
      </c>
      <c r="L32" s="804">
        <f t="shared" si="2"/>
        <v>0.27810907387648437</v>
      </c>
      <c r="M32" s="800">
        <f t="shared" si="3"/>
        <v>0.61694461354728303</v>
      </c>
      <c r="N32" s="880">
        <f t="shared" si="4"/>
        <v>1</v>
      </c>
      <c r="O32" s="874"/>
      <c r="P32" s="875"/>
      <c r="Q32" s="875"/>
      <c r="R32" s="875"/>
      <c r="S32" s="875"/>
      <c r="T32" s="875"/>
      <c r="U32" s="875"/>
    </row>
    <row r="33" spans="1:21" ht="18">
      <c r="A33" s="881" t="s">
        <v>535</v>
      </c>
      <c r="B33" s="807">
        <v>2</v>
      </c>
      <c r="C33" s="808">
        <v>54802000</v>
      </c>
      <c r="D33" s="807">
        <v>1</v>
      </c>
      <c r="E33" s="808">
        <v>44550000</v>
      </c>
      <c r="F33" s="807">
        <v>2</v>
      </c>
      <c r="G33" s="808">
        <v>527978000</v>
      </c>
      <c r="H33" s="790">
        <f t="shared" si="0"/>
        <v>5</v>
      </c>
      <c r="I33" s="790">
        <f t="shared" si="0"/>
        <v>627330000</v>
      </c>
      <c r="J33" s="872"/>
      <c r="K33" s="879">
        <f t="shared" si="1"/>
        <v>8.7357531123969837E-2</v>
      </c>
      <c r="L33" s="882">
        <f t="shared" si="2"/>
        <v>7.1015255128879531E-2</v>
      </c>
      <c r="M33" s="804">
        <f t="shared" si="3"/>
        <v>0.84162721374715066</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5.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904</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6</v>
      </c>
      <c r="C25" s="796">
        <v>888868000</v>
      </c>
      <c r="D25" s="790">
        <v>5</v>
      </c>
      <c r="E25" s="796">
        <v>1290177000</v>
      </c>
      <c r="F25" s="790">
        <v>1</v>
      </c>
      <c r="G25" s="796">
        <v>1849250000</v>
      </c>
      <c r="H25" s="790">
        <f t="shared" ref="H25:I33" si="0">+B25+D25+F25</f>
        <v>12</v>
      </c>
      <c r="I25" s="790">
        <f t="shared" si="0"/>
        <v>4028295000</v>
      </c>
      <c r="J25" s="872"/>
      <c r="K25" s="876">
        <f t="shared" ref="K25:K33" si="1">+C25/I25</f>
        <v>0.22065613367442058</v>
      </c>
      <c r="L25" s="876">
        <f t="shared" ref="L25:L33" si="2">+E25/I25</f>
        <v>0.32027867869657012</v>
      </c>
      <c r="M25" s="876">
        <f t="shared" ref="M25:M33" si="3">+G25/I25</f>
        <v>0.45906518762900927</v>
      </c>
      <c r="N25" s="873">
        <f t="shared" ref="N25:N33" si="4">SUM(K25:M25)</f>
        <v>1</v>
      </c>
      <c r="O25" s="874"/>
      <c r="P25" s="875"/>
      <c r="Q25" s="875"/>
      <c r="R25" s="875"/>
      <c r="S25" s="875"/>
      <c r="T25" s="875"/>
      <c r="U25" s="875"/>
    </row>
    <row r="26" spans="1:26" ht="18">
      <c r="A26" s="870" t="s">
        <v>60</v>
      </c>
      <c r="B26" s="790">
        <v>9</v>
      </c>
      <c r="C26" s="796">
        <v>131606000</v>
      </c>
      <c r="D26" s="790">
        <v>5</v>
      </c>
      <c r="E26" s="796">
        <v>143377000</v>
      </c>
      <c r="F26" s="871">
        <v>3</v>
      </c>
      <c r="G26" s="796">
        <v>219729000</v>
      </c>
      <c r="H26" s="790">
        <f t="shared" si="0"/>
        <v>17</v>
      </c>
      <c r="I26" s="790">
        <f t="shared" si="0"/>
        <v>494712000</v>
      </c>
      <c r="J26" s="872"/>
      <c r="K26" s="876">
        <f t="shared" si="1"/>
        <v>0.26602548553501837</v>
      </c>
      <c r="L26" s="876">
        <f t="shared" si="2"/>
        <v>0.28981912708808355</v>
      </c>
      <c r="M26" s="876">
        <f t="shared" si="3"/>
        <v>0.44415538737689808</v>
      </c>
      <c r="N26" s="873">
        <f t="shared" si="4"/>
        <v>1</v>
      </c>
      <c r="O26" s="874"/>
      <c r="P26" s="875"/>
      <c r="Q26" s="875"/>
      <c r="R26" s="875"/>
      <c r="S26" s="875"/>
      <c r="T26" s="875"/>
      <c r="U26" s="875"/>
    </row>
    <row r="27" spans="1:26" ht="18">
      <c r="A27" s="870" t="s">
        <v>61</v>
      </c>
      <c r="B27" s="790">
        <v>8</v>
      </c>
      <c r="C27" s="796">
        <v>129362000</v>
      </c>
      <c r="D27" s="790">
        <v>2</v>
      </c>
      <c r="E27" s="796">
        <v>53707000</v>
      </c>
      <c r="F27" s="790">
        <v>3</v>
      </c>
      <c r="G27" s="796">
        <v>196516000</v>
      </c>
      <c r="H27" s="790">
        <f t="shared" si="0"/>
        <v>13</v>
      </c>
      <c r="I27" s="790">
        <f t="shared" si="0"/>
        <v>379585000</v>
      </c>
      <c r="J27" s="872"/>
      <c r="K27" s="1374">
        <v>0</v>
      </c>
      <c r="L27" s="1374">
        <v>0</v>
      </c>
      <c r="M27" s="1372">
        <v>0</v>
      </c>
      <c r="N27" s="1375">
        <f t="shared" si="4"/>
        <v>0</v>
      </c>
      <c r="O27" s="874"/>
      <c r="P27" s="875"/>
      <c r="Q27" s="875"/>
      <c r="R27" s="875"/>
      <c r="S27" s="875"/>
      <c r="T27" s="875"/>
      <c r="U27" s="875"/>
    </row>
    <row r="28" spans="1:26" ht="18">
      <c r="A28" s="870" t="s">
        <v>66</v>
      </c>
      <c r="B28" s="790">
        <v>7</v>
      </c>
      <c r="C28" s="796">
        <v>453439100</v>
      </c>
      <c r="D28" s="790">
        <v>3</v>
      </c>
      <c r="E28" s="796">
        <v>406075030</v>
      </c>
      <c r="F28" s="979">
        <v>0</v>
      </c>
      <c r="G28" s="791">
        <v>0</v>
      </c>
      <c r="H28" s="790">
        <f t="shared" si="0"/>
        <v>10</v>
      </c>
      <c r="I28" s="790">
        <f t="shared" si="0"/>
        <v>859514130</v>
      </c>
      <c r="J28" s="877" t="s">
        <v>0</v>
      </c>
      <c r="K28" s="876">
        <f t="shared" si="1"/>
        <v>0.52755281638010998</v>
      </c>
      <c r="L28" s="800">
        <f t="shared" si="2"/>
        <v>0.47244718361989002</v>
      </c>
      <c r="M28" s="792">
        <f t="shared" si="3"/>
        <v>0</v>
      </c>
      <c r="N28" s="800">
        <f t="shared" si="4"/>
        <v>1</v>
      </c>
      <c r="O28" s="874"/>
      <c r="P28" s="875"/>
      <c r="Q28" s="875"/>
      <c r="R28" s="875"/>
      <c r="S28" s="875"/>
      <c r="T28" s="875"/>
      <c r="U28" s="875"/>
    </row>
    <row r="29" spans="1:26" ht="18">
      <c r="A29" s="870" t="s">
        <v>64</v>
      </c>
      <c r="B29" s="790">
        <v>5</v>
      </c>
      <c r="C29" s="796">
        <v>1697231868</v>
      </c>
      <c r="D29" s="790">
        <v>6</v>
      </c>
      <c r="E29" s="796">
        <v>3125726039</v>
      </c>
      <c r="F29" s="979">
        <v>1</v>
      </c>
      <c r="G29" s="796">
        <v>779466640</v>
      </c>
      <c r="H29" s="790">
        <f t="shared" si="0"/>
        <v>12</v>
      </c>
      <c r="I29" s="790">
        <f t="shared" si="0"/>
        <v>5602424547</v>
      </c>
      <c r="J29" s="872"/>
      <c r="K29" s="876">
        <f t="shared" si="1"/>
        <v>0.30294595737283742</v>
      </c>
      <c r="L29" s="800">
        <f t="shared" si="2"/>
        <v>0.55792380830434773</v>
      </c>
      <c r="M29" s="800">
        <f t="shared" si="3"/>
        <v>0.13913023432281488</v>
      </c>
      <c r="N29" s="873">
        <f t="shared" si="4"/>
        <v>1</v>
      </c>
      <c r="O29" s="874"/>
      <c r="P29" s="875"/>
      <c r="Q29" s="875"/>
      <c r="R29" s="875"/>
      <c r="S29" s="875"/>
      <c r="T29" s="875"/>
      <c r="U29" s="875"/>
    </row>
    <row r="30" spans="1:26" ht="18">
      <c r="A30" s="870" t="s">
        <v>67</v>
      </c>
      <c r="B30" s="790">
        <v>7</v>
      </c>
      <c r="C30" s="796">
        <v>183773710</v>
      </c>
      <c r="D30" s="790">
        <v>2</v>
      </c>
      <c r="E30" s="796">
        <v>92676250</v>
      </c>
      <c r="F30" s="792">
        <v>0</v>
      </c>
      <c r="G30" s="791">
        <v>0</v>
      </c>
      <c r="H30" s="790">
        <f t="shared" si="0"/>
        <v>9</v>
      </c>
      <c r="I30" s="790">
        <f t="shared" si="0"/>
        <v>276449960</v>
      </c>
      <c r="J30" s="872"/>
      <c r="K30" s="876">
        <f t="shared" si="1"/>
        <v>0.66476301895648671</v>
      </c>
      <c r="L30" s="800">
        <f t="shared" si="2"/>
        <v>0.33523698104351324</v>
      </c>
      <c r="M30" s="792">
        <f t="shared" si="3"/>
        <v>0</v>
      </c>
      <c r="N30" s="873">
        <f t="shared" si="4"/>
        <v>1</v>
      </c>
      <c r="O30" s="874"/>
      <c r="P30" s="875"/>
      <c r="Q30" s="875"/>
      <c r="R30" s="875"/>
      <c r="S30" s="875"/>
      <c r="T30" s="875"/>
      <c r="U30" s="875"/>
    </row>
    <row r="31" spans="1:26" ht="18">
      <c r="A31" s="870" t="s">
        <v>65</v>
      </c>
      <c r="B31" s="790">
        <v>6</v>
      </c>
      <c r="C31" s="796">
        <v>2091605000</v>
      </c>
      <c r="D31" s="790">
        <v>8</v>
      </c>
      <c r="E31" s="796">
        <v>5010051000</v>
      </c>
      <c r="F31" s="790">
        <v>1</v>
      </c>
      <c r="G31" s="796">
        <v>1022161000</v>
      </c>
      <c r="H31" s="790">
        <f t="shared" si="0"/>
        <v>15</v>
      </c>
      <c r="I31" s="790">
        <f t="shared" si="0"/>
        <v>8123817000</v>
      </c>
      <c r="J31" s="872"/>
      <c r="K31" s="879">
        <f t="shared" si="1"/>
        <v>0.25746579471201775</v>
      </c>
      <c r="L31" s="804">
        <f t="shared" si="2"/>
        <v>0.61671145472626965</v>
      </c>
      <c r="M31" s="811">
        <f t="shared" si="3"/>
        <v>0.12582275056171255</v>
      </c>
      <c r="N31" s="880">
        <f t="shared" si="4"/>
        <v>0.99999999999999989</v>
      </c>
      <c r="O31" s="874"/>
      <c r="P31" s="875"/>
      <c r="Q31" s="875"/>
      <c r="R31" s="875"/>
      <c r="S31" s="875"/>
      <c r="T31" s="875"/>
      <c r="U31" s="875"/>
    </row>
    <row r="32" spans="1:26" ht="18">
      <c r="A32" s="881" t="s">
        <v>68</v>
      </c>
      <c r="B32" s="807">
        <v>6</v>
      </c>
      <c r="C32" s="808">
        <v>132898000</v>
      </c>
      <c r="D32" s="807">
        <v>5</v>
      </c>
      <c r="E32" s="808">
        <v>222917000</v>
      </c>
      <c r="F32" s="807">
        <v>7</v>
      </c>
      <c r="G32" s="808">
        <v>920941000</v>
      </c>
      <c r="H32" s="790">
        <f t="shared" si="0"/>
        <v>18</v>
      </c>
      <c r="I32" s="790">
        <f t="shared" si="0"/>
        <v>1276756000</v>
      </c>
      <c r="J32" s="872"/>
      <c r="K32" s="879">
        <f t="shared" si="1"/>
        <v>0.10409036652265585</v>
      </c>
      <c r="L32" s="804">
        <f t="shared" si="2"/>
        <v>0.17459639899871235</v>
      </c>
      <c r="M32" s="800">
        <f t="shared" si="3"/>
        <v>0.72131323447863183</v>
      </c>
      <c r="N32" s="880">
        <f t="shared" si="4"/>
        <v>1</v>
      </c>
      <c r="O32" s="874"/>
      <c r="P32" s="875"/>
      <c r="Q32" s="875"/>
      <c r="R32" s="875"/>
      <c r="S32" s="875"/>
      <c r="T32" s="875"/>
      <c r="U32" s="875"/>
    </row>
    <row r="33" spans="1:21" ht="18">
      <c r="A33" s="881" t="s">
        <v>535</v>
      </c>
      <c r="B33" s="807">
        <v>2</v>
      </c>
      <c r="C33" s="808">
        <v>52540000</v>
      </c>
      <c r="D33" s="807">
        <v>1</v>
      </c>
      <c r="E33" s="808">
        <v>44550000</v>
      </c>
      <c r="F33" s="807">
        <v>2</v>
      </c>
      <c r="G33" s="808">
        <v>524083000</v>
      </c>
      <c r="H33" s="790">
        <f t="shared" si="0"/>
        <v>5</v>
      </c>
      <c r="I33" s="790">
        <f t="shared" si="0"/>
        <v>621173000</v>
      </c>
      <c r="J33" s="872"/>
      <c r="K33" s="879">
        <f t="shared" si="1"/>
        <v>8.4581911963333881E-2</v>
      </c>
      <c r="L33" s="882">
        <f t="shared" si="2"/>
        <v>7.1719150703588211E-2</v>
      </c>
      <c r="M33" s="804">
        <f t="shared" si="3"/>
        <v>0.84369893733307788</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6.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872</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7</v>
      </c>
      <c r="C25" s="796">
        <v>818453500</v>
      </c>
      <c r="D25" s="790">
        <v>5</v>
      </c>
      <c r="E25" s="796">
        <v>1103273000</v>
      </c>
      <c r="F25" s="790">
        <v>2</v>
      </c>
      <c r="G25" s="796">
        <v>2351200000</v>
      </c>
      <c r="H25" s="790">
        <f t="shared" ref="H25:I33" si="0">+B25+D25+F25</f>
        <v>14</v>
      </c>
      <c r="I25" s="790">
        <f t="shared" si="0"/>
        <v>4272926500</v>
      </c>
      <c r="J25" s="872"/>
      <c r="K25" s="876">
        <f t="shared" ref="K25:K33" si="1">+C25/I25</f>
        <v>0.1915440155593596</v>
      </c>
      <c r="L25" s="876">
        <f t="shared" ref="L25:L33" si="2">+E25/I25</f>
        <v>0.25820079048867328</v>
      </c>
      <c r="M25" s="876">
        <f t="shared" ref="M25:M33" si="3">+G25/I25</f>
        <v>0.55025519395196709</v>
      </c>
      <c r="N25" s="873">
        <f t="shared" ref="N25:N33" si="4">SUM(K25:M25)</f>
        <v>1</v>
      </c>
      <c r="O25" s="874"/>
      <c r="P25" s="875"/>
      <c r="Q25" s="875"/>
      <c r="R25" s="875"/>
      <c r="S25" s="875"/>
      <c r="T25" s="875"/>
      <c r="U25" s="875"/>
    </row>
    <row r="26" spans="1:26" ht="18">
      <c r="A26" s="870" t="s">
        <v>60</v>
      </c>
      <c r="B26" s="790">
        <v>7</v>
      </c>
      <c r="C26" s="796">
        <v>98725000</v>
      </c>
      <c r="D26" s="790">
        <v>6</v>
      </c>
      <c r="E26" s="796">
        <v>165900000</v>
      </c>
      <c r="F26" s="871">
        <v>2</v>
      </c>
      <c r="G26" s="796">
        <v>180898000</v>
      </c>
      <c r="H26" s="790">
        <f t="shared" si="0"/>
        <v>15</v>
      </c>
      <c r="I26" s="790">
        <f t="shared" si="0"/>
        <v>445523000</v>
      </c>
      <c r="J26" s="872"/>
      <c r="K26" s="876">
        <f t="shared" si="1"/>
        <v>0.22159349797878</v>
      </c>
      <c r="L26" s="876">
        <f t="shared" si="2"/>
        <v>0.37237134783164955</v>
      </c>
      <c r="M26" s="876">
        <f t="shared" si="3"/>
        <v>0.40603515418957048</v>
      </c>
      <c r="N26" s="873">
        <f t="shared" si="4"/>
        <v>1</v>
      </c>
      <c r="O26" s="874"/>
      <c r="P26" s="875"/>
      <c r="Q26" s="875"/>
      <c r="R26" s="875"/>
      <c r="S26" s="875"/>
      <c r="T26" s="875"/>
      <c r="U26" s="875"/>
    </row>
    <row r="27" spans="1:26" ht="18">
      <c r="A27" s="870" t="s">
        <v>61</v>
      </c>
      <c r="B27" s="790">
        <v>5</v>
      </c>
      <c r="C27" s="796">
        <v>78191820</v>
      </c>
      <c r="D27" s="790">
        <v>2</v>
      </c>
      <c r="E27" s="796">
        <v>51018829</v>
      </c>
      <c r="F27" s="790">
        <v>0</v>
      </c>
      <c r="G27" s="796">
        <v>0</v>
      </c>
      <c r="H27" s="790">
        <f t="shared" si="0"/>
        <v>7</v>
      </c>
      <c r="I27" s="790">
        <f t="shared" si="0"/>
        <v>129210649</v>
      </c>
      <c r="J27" s="872"/>
      <c r="K27" s="876">
        <f t="shared" si="1"/>
        <v>0.60514996716717984</v>
      </c>
      <c r="L27" s="876">
        <f>+E27/I27</f>
        <v>0.39485003283282016</v>
      </c>
      <c r="M27" s="792">
        <f>+G27/I27</f>
        <v>0</v>
      </c>
      <c r="N27" s="1457">
        <f t="shared" si="4"/>
        <v>1</v>
      </c>
      <c r="O27" s="874"/>
      <c r="P27" s="875"/>
      <c r="Q27" s="875"/>
      <c r="R27" s="875"/>
      <c r="S27" s="875"/>
      <c r="T27" s="875"/>
      <c r="U27" s="875"/>
    </row>
    <row r="28" spans="1:26" ht="18">
      <c r="A28" s="870" t="s">
        <v>66</v>
      </c>
      <c r="B28" s="790">
        <v>9</v>
      </c>
      <c r="C28" s="796">
        <v>528081050</v>
      </c>
      <c r="D28" s="790">
        <v>4</v>
      </c>
      <c r="E28" s="796">
        <v>425166050</v>
      </c>
      <c r="F28" s="979">
        <v>0</v>
      </c>
      <c r="G28" s="791">
        <v>0</v>
      </c>
      <c r="H28" s="790">
        <f t="shared" si="0"/>
        <v>13</v>
      </c>
      <c r="I28" s="790">
        <f t="shared" si="0"/>
        <v>953247100</v>
      </c>
      <c r="J28" s="877" t="s">
        <v>0</v>
      </c>
      <c r="K28" s="876">
        <f t="shared" si="1"/>
        <v>0.55398128145367553</v>
      </c>
      <c r="L28" s="800">
        <f t="shared" si="2"/>
        <v>0.44601871854632447</v>
      </c>
      <c r="M28" s="792">
        <f t="shared" si="3"/>
        <v>0</v>
      </c>
      <c r="N28" s="800">
        <f t="shared" si="4"/>
        <v>1</v>
      </c>
      <c r="O28" s="874"/>
      <c r="P28" s="875"/>
      <c r="Q28" s="875"/>
      <c r="R28" s="875"/>
      <c r="S28" s="875"/>
      <c r="T28" s="875"/>
      <c r="U28" s="875"/>
    </row>
    <row r="29" spans="1:26" ht="18">
      <c r="A29" s="870" t="s">
        <v>64</v>
      </c>
      <c r="B29" s="790">
        <v>5</v>
      </c>
      <c r="C29" s="796">
        <v>1408727705</v>
      </c>
      <c r="D29" s="790">
        <v>6</v>
      </c>
      <c r="E29" s="796">
        <v>3159970620</v>
      </c>
      <c r="F29" s="979">
        <v>1</v>
      </c>
      <c r="G29" s="796">
        <v>816660703</v>
      </c>
      <c r="H29" s="790">
        <f t="shared" si="0"/>
        <v>12</v>
      </c>
      <c r="I29" s="790">
        <f t="shared" si="0"/>
        <v>5385359028</v>
      </c>
      <c r="J29" s="872"/>
      <c r="K29" s="876">
        <f t="shared" si="1"/>
        <v>0.26158473328809229</v>
      </c>
      <c r="L29" s="800">
        <f t="shared" si="2"/>
        <v>0.58677065049338806</v>
      </c>
      <c r="M29" s="800">
        <f t="shared" si="3"/>
        <v>0.15164461621851966</v>
      </c>
      <c r="N29" s="873">
        <f t="shared" si="4"/>
        <v>1</v>
      </c>
      <c r="O29" s="874"/>
      <c r="P29" s="875"/>
      <c r="Q29" s="875"/>
      <c r="R29" s="875"/>
      <c r="S29" s="875"/>
      <c r="T29" s="875"/>
      <c r="U29" s="875"/>
    </row>
    <row r="30" spans="1:26" ht="18">
      <c r="A30" s="870" t="s">
        <v>67</v>
      </c>
      <c r="B30" s="790">
        <v>6</v>
      </c>
      <c r="C30" s="796">
        <v>147806581</v>
      </c>
      <c r="D30" s="790">
        <v>3</v>
      </c>
      <c r="E30" s="796">
        <v>134909608</v>
      </c>
      <c r="F30" s="792">
        <v>0</v>
      </c>
      <c r="G30" s="791">
        <v>0</v>
      </c>
      <c r="H30" s="790">
        <f t="shared" si="0"/>
        <v>9</v>
      </c>
      <c r="I30" s="790">
        <f t="shared" si="0"/>
        <v>282716189</v>
      </c>
      <c r="J30" s="872"/>
      <c r="K30" s="876">
        <f t="shared" si="1"/>
        <v>0.52280904578831888</v>
      </c>
      <c r="L30" s="800">
        <f t="shared" si="2"/>
        <v>0.47719095421168117</v>
      </c>
      <c r="M30" s="792">
        <f t="shared" si="3"/>
        <v>0</v>
      </c>
      <c r="N30" s="873">
        <f t="shared" si="4"/>
        <v>1</v>
      </c>
      <c r="O30" s="874"/>
      <c r="P30" s="875"/>
      <c r="Q30" s="875"/>
      <c r="R30" s="875"/>
      <c r="S30" s="875"/>
      <c r="T30" s="875"/>
      <c r="U30" s="875"/>
    </row>
    <row r="31" spans="1:26" ht="18">
      <c r="A31" s="870" t="s">
        <v>65</v>
      </c>
      <c r="B31" s="790">
        <v>6</v>
      </c>
      <c r="C31" s="796">
        <v>2176665000</v>
      </c>
      <c r="D31" s="790">
        <v>8</v>
      </c>
      <c r="E31" s="796">
        <v>5254876000</v>
      </c>
      <c r="F31" s="790">
        <v>0</v>
      </c>
      <c r="G31" s="796">
        <v>0</v>
      </c>
      <c r="H31" s="790">
        <f t="shared" si="0"/>
        <v>14</v>
      </c>
      <c r="I31" s="790">
        <f t="shared" si="0"/>
        <v>7431541000</v>
      </c>
      <c r="J31" s="872"/>
      <c r="K31" s="879">
        <f t="shared" si="1"/>
        <v>0.29289551117325463</v>
      </c>
      <c r="L31" s="804">
        <f t="shared" si="2"/>
        <v>0.70710448882674537</v>
      </c>
      <c r="M31" s="811">
        <f t="shared" si="3"/>
        <v>0</v>
      </c>
      <c r="N31" s="880">
        <f t="shared" si="4"/>
        <v>1</v>
      </c>
      <c r="O31" s="874"/>
      <c r="P31" s="875"/>
      <c r="Q31" s="875"/>
      <c r="R31" s="875"/>
      <c r="S31" s="875"/>
      <c r="T31" s="875"/>
      <c r="U31" s="875"/>
    </row>
    <row r="32" spans="1:26" ht="18">
      <c r="A32" s="881" t="s">
        <v>68</v>
      </c>
      <c r="B32" s="807">
        <v>5</v>
      </c>
      <c r="C32" s="808">
        <v>119947000</v>
      </c>
      <c r="D32" s="807">
        <v>6</v>
      </c>
      <c r="E32" s="808">
        <v>290928000</v>
      </c>
      <c r="F32" s="807">
        <v>5</v>
      </c>
      <c r="G32" s="808">
        <v>676619000</v>
      </c>
      <c r="H32" s="790">
        <f t="shared" si="0"/>
        <v>16</v>
      </c>
      <c r="I32" s="790">
        <f t="shared" si="0"/>
        <v>1087494000</v>
      </c>
      <c r="J32" s="872"/>
      <c r="K32" s="879">
        <f t="shared" si="1"/>
        <v>0.11029670048754292</v>
      </c>
      <c r="L32" s="804">
        <f t="shared" si="2"/>
        <v>0.26752147598055714</v>
      </c>
      <c r="M32" s="800">
        <f t="shared" si="3"/>
        <v>0.62218182353189999</v>
      </c>
      <c r="N32" s="880">
        <f t="shared" si="4"/>
        <v>1</v>
      </c>
      <c r="O32" s="874"/>
      <c r="P32" s="875"/>
      <c r="Q32" s="875"/>
      <c r="R32" s="875"/>
      <c r="S32" s="875"/>
      <c r="T32" s="875"/>
      <c r="U32" s="875"/>
    </row>
    <row r="33" spans="1:21" ht="18">
      <c r="A33" s="881" t="s">
        <v>535</v>
      </c>
      <c r="B33" s="807">
        <v>3</v>
      </c>
      <c r="C33" s="808">
        <v>69873000</v>
      </c>
      <c r="D33" s="807">
        <v>1</v>
      </c>
      <c r="E33" s="808">
        <v>44550000</v>
      </c>
      <c r="F33" s="807">
        <v>2</v>
      </c>
      <c r="G33" s="808">
        <v>528614000</v>
      </c>
      <c r="H33" s="790">
        <f t="shared" si="0"/>
        <v>6</v>
      </c>
      <c r="I33" s="790">
        <f t="shared" si="0"/>
        <v>643037000</v>
      </c>
      <c r="J33" s="872"/>
      <c r="K33" s="879">
        <f t="shared" si="1"/>
        <v>0.10866093241912984</v>
      </c>
      <c r="L33" s="882">
        <f t="shared" si="2"/>
        <v>6.9280616822982186E-2</v>
      </c>
      <c r="M33" s="804">
        <f t="shared" si="3"/>
        <v>0.82205845075788797</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7.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872</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5</v>
      </c>
      <c r="C25" s="796">
        <v>601983000</v>
      </c>
      <c r="D25" s="790">
        <v>5</v>
      </c>
      <c r="E25" s="796">
        <v>1069124500</v>
      </c>
      <c r="F25" s="790">
        <v>2</v>
      </c>
      <c r="G25" s="796">
        <v>2426000000</v>
      </c>
      <c r="H25" s="790">
        <f t="shared" ref="H25:I33" si="0">+B25+D25+F25</f>
        <v>12</v>
      </c>
      <c r="I25" s="790">
        <f t="shared" si="0"/>
        <v>4097107500</v>
      </c>
      <c r="J25" s="872"/>
      <c r="K25" s="876">
        <f t="shared" ref="K25:K33" si="1">+C25/I25</f>
        <v>0.14692877841257521</v>
      </c>
      <c r="L25" s="876">
        <f t="shared" ref="L25:L33" si="2">+E25/I25</f>
        <v>0.26094616750963945</v>
      </c>
      <c r="M25" s="876">
        <f t="shared" ref="M25:M33" si="3">+G25/I25</f>
        <v>0.59212505407778537</v>
      </c>
      <c r="N25" s="873">
        <f t="shared" ref="N25:N33" si="4">SUM(K25:M25)</f>
        <v>1</v>
      </c>
      <c r="O25" s="874"/>
      <c r="P25" s="875"/>
      <c r="Q25" s="875"/>
      <c r="R25" s="875"/>
      <c r="S25" s="875"/>
      <c r="T25" s="875"/>
      <c r="U25" s="875"/>
    </row>
    <row r="26" spans="1:26" ht="18">
      <c r="A26" s="870" t="s">
        <v>60</v>
      </c>
      <c r="B26" s="790">
        <v>29</v>
      </c>
      <c r="C26" s="796">
        <v>77622000</v>
      </c>
      <c r="D26" s="790">
        <v>15</v>
      </c>
      <c r="E26" s="796">
        <v>78529000</v>
      </c>
      <c r="F26" s="871">
        <v>21</v>
      </c>
      <c r="G26" s="796">
        <v>572712000</v>
      </c>
      <c r="H26" s="790">
        <f t="shared" si="0"/>
        <v>65</v>
      </c>
      <c r="I26" s="790">
        <f t="shared" si="0"/>
        <v>728863000</v>
      </c>
      <c r="J26" s="872"/>
      <c r="K26" s="876">
        <f t="shared" si="1"/>
        <v>0.10649738016609431</v>
      </c>
      <c r="L26" s="876">
        <f t="shared" si="2"/>
        <v>0.10774178412129577</v>
      </c>
      <c r="M26" s="876">
        <f t="shared" si="3"/>
        <v>0.78576083571260991</v>
      </c>
      <c r="N26" s="873">
        <f t="shared" si="4"/>
        <v>1</v>
      </c>
      <c r="O26" s="874"/>
      <c r="P26" s="875"/>
      <c r="Q26" s="875"/>
      <c r="R26" s="875"/>
      <c r="S26" s="875"/>
      <c r="T26" s="875"/>
      <c r="U26" s="875"/>
    </row>
    <row r="27" spans="1:26" ht="18">
      <c r="A27" s="870" t="s">
        <v>61</v>
      </c>
      <c r="B27" s="790">
        <v>7</v>
      </c>
      <c r="C27" s="796">
        <v>79019000</v>
      </c>
      <c r="D27" s="790">
        <v>3</v>
      </c>
      <c r="E27" s="796">
        <v>60146000</v>
      </c>
      <c r="F27" s="790">
        <v>1</v>
      </c>
      <c r="G27" s="796">
        <v>93648000</v>
      </c>
      <c r="H27" s="790">
        <f t="shared" si="0"/>
        <v>11</v>
      </c>
      <c r="I27" s="790">
        <f t="shared" si="0"/>
        <v>232813000</v>
      </c>
      <c r="J27" s="872"/>
      <c r="K27" s="1374">
        <v>0</v>
      </c>
      <c r="L27" s="1374">
        <v>0</v>
      </c>
      <c r="M27" s="1372">
        <v>0</v>
      </c>
      <c r="N27" s="1375">
        <f t="shared" si="4"/>
        <v>0</v>
      </c>
      <c r="O27" s="874"/>
      <c r="P27" s="875"/>
      <c r="Q27" s="875"/>
      <c r="R27" s="875"/>
      <c r="S27" s="875"/>
      <c r="T27" s="875"/>
      <c r="U27" s="875"/>
    </row>
    <row r="28" spans="1:26" ht="18">
      <c r="A28" s="870" t="s">
        <v>66</v>
      </c>
      <c r="B28" s="790">
        <v>10</v>
      </c>
      <c r="C28" s="796">
        <v>578636840</v>
      </c>
      <c r="D28" s="790">
        <v>5</v>
      </c>
      <c r="E28" s="796">
        <v>501515770</v>
      </c>
      <c r="F28" s="979">
        <v>0</v>
      </c>
      <c r="G28" s="791">
        <v>0</v>
      </c>
      <c r="H28" s="790">
        <f t="shared" si="0"/>
        <v>15</v>
      </c>
      <c r="I28" s="790">
        <f t="shared" si="0"/>
        <v>1080152610</v>
      </c>
      <c r="J28" s="877" t="s">
        <v>0</v>
      </c>
      <c r="K28" s="876">
        <f t="shared" si="1"/>
        <v>0.53569915458520256</v>
      </c>
      <c r="L28" s="800">
        <f t="shared" si="2"/>
        <v>0.46430084541479744</v>
      </c>
      <c r="M28" s="792">
        <f t="shared" si="3"/>
        <v>0</v>
      </c>
      <c r="N28" s="800">
        <f t="shared" si="4"/>
        <v>1</v>
      </c>
      <c r="O28" s="874"/>
      <c r="P28" s="875"/>
      <c r="Q28" s="875"/>
      <c r="R28" s="875"/>
      <c r="S28" s="875"/>
      <c r="T28" s="875"/>
      <c r="U28" s="875"/>
    </row>
    <row r="29" spans="1:26" ht="18">
      <c r="A29" s="870" t="s">
        <v>64</v>
      </c>
      <c r="B29" s="790">
        <v>6</v>
      </c>
      <c r="C29" s="796">
        <v>1716895474</v>
      </c>
      <c r="D29" s="790">
        <v>7</v>
      </c>
      <c r="E29" s="796">
        <v>3270567752</v>
      </c>
      <c r="F29" s="979">
        <v>1</v>
      </c>
      <c r="G29" s="796">
        <v>833750009</v>
      </c>
      <c r="H29" s="790">
        <f t="shared" si="0"/>
        <v>14</v>
      </c>
      <c r="I29" s="790">
        <f t="shared" si="0"/>
        <v>5821213235</v>
      </c>
      <c r="J29" s="872"/>
      <c r="K29" s="876">
        <f t="shared" si="1"/>
        <v>0.29493773972703474</v>
      </c>
      <c r="L29" s="800">
        <f t="shared" si="2"/>
        <v>0.56183610185171307</v>
      </c>
      <c r="M29" s="800">
        <f t="shared" si="3"/>
        <v>0.14322615842125219</v>
      </c>
      <c r="N29" s="873">
        <f t="shared" si="4"/>
        <v>1</v>
      </c>
      <c r="O29" s="874"/>
      <c r="P29" s="875"/>
      <c r="Q29" s="875"/>
      <c r="R29" s="875"/>
      <c r="S29" s="875"/>
      <c r="T29" s="875"/>
      <c r="U29" s="875"/>
    </row>
    <row r="30" spans="1:26" ht="18">
      <c r="A30" s="870" t="s">
        <v>67</v>
      </c>
      <c r="B30" s="790">
        <v>3</v>
      </c>
      <c r="C30" s="796">
        <v>86932817</v>
      </c>
      <c r="D30" s="790">
        <v>0</v>
      </c>
      <c r="E30" s="796">
        <v>0</v>
      </c>
      <c r="F30" s="792">
        <v>0</v>
      </c>
      <c r="G30" s="791">
        <v>0</v>
      </c>
      <c r="H30" s="790">
        <f t="shared" si="0"/>
        <v>3</v>
      </c>
      <c r="I30" s="790">
        <f t="shared" si="0"/>
        <v>86932817</v>
      </c>
      <c r="J30" s="872"/>
      <c r="K30" s="876">
        <f t="shared" si="1"/>
        <v>1</v>
      </c>
      <c r="L30" s="800">
        <f t="shared" si="2"/>
        <v>0</v>
      </c>
      <c r="M30" s="792">
        <f t="shared" si="3"/>
        <v>0</v>
      </c>
      <c r="N30" s="873">
        <f t="shared" si="4"/>
        <v>1</v>
      </c>
      <c r="O30" s="874"/>
      <c r="P30" s="875"/>
      <c r="Q30" s="875"/>
      <c r="R30" s="875"/>
      <c r="S30" s="875"/>
      <c r="T30" s="875"/>
      <c r="U30" s="875"/>
    </row>
    <row r="31" spans="1:26" ht="18">
      <c r="A31" s="870" t="s">
        <v>65</v>
      </c>
      <c r="B31" s="790">
        <v>7</v>
      </c>
      <c r="C31" s="796">
        <v>2003048000</v>
      </c>
      <c r="D31" s="790">
        <v>8</v>
      </c>
      <c r="E31" s="796">
        <v>5184780000</v>
      </c>
      <c r="F31" s="790">
        <v>0</v>
      </c>
      <c r="G31" s="796">
        <v>0</v>
      </c>
      <c r="H31" s="790">
        <f t="shared" si="0"/>
        <v>15</v>
      </c>
      <c r="I31" s="790">
        <f t="shared" si="0"/>
        <v>7187828000</v>
      </c>
      <c r="J31" s="872"/>
      <c r="K31" s="879">
        <f t="shared" si="1"/>
        <v>0.27867222198416547</v>
      </c>
      <c r="L31" s="804">
        <f t="shared" si="2"/>
        <v>0.72132777801583459</v>
      </c>
      <c r="M31" s="811">
        <f t="shared" si="3"/>
        <v>0</v>
      </c>
      <c r="N31" s="880">
        <f t="shared" si="4"/>
        <v>1</v>
      </c>
      <c r="O31" s="874"/>
      <c r="P31" s="875"/>
      <c r="Q31" s="875"/>
      <c r="R31" s="875"/>
      <c r="S31" s="875"/>
      <c r="T31" s="875"/>
      <c r="U31" s="875"/>
    </row>
    <row r="32" spans="1:26" ht="18">
      <c r="A32" s="881" t="s">
        <v>68</v>
      </c>
      <c r="B32" s="807">
        <v>4</v>
      </c>
      <c r="C32" s="808">
        <v>90155000</v>
      </c>
      <c r="D32" s="807">
        <v>4</v>
      </c>
      <c r="E32" s="808">
        <v>169466000</v>
      </c>
      <c r="F32" s="807">
        <v>7</v>
      </c>
      <c r="G32" s="808">
        <v>929589000</v>
      </c>
      <c r="H32" s="790">
        <f t="shared" si="0"/>
        <v>15</v>
      </c>
      <c r="I32" s="790">
        <f t="shared" si="0"/>
        <v>1189210000</v>
      </c>
      <c r="J32" s="872"/>
      <c r="K32" s="879">
        <f t="shared" si="1"/>
        <v>7.5810832401342065E-2</v>
      </c>
      <c r="L32" s="804">
        <f t="shared" si="2"/>
        <v>0.14250300619739154</v>
      </c>
      <c r="M32" s="800">
        <f t="shared" si="3"/>
        <v>0.78168616140126634</v>
      </c>
      <c r="N32" s="880">
        <f t="shared" si="4"/>
        <v>1</v>
      </c>
      <c r="O32" s="874"/>
      <c r="P32" s="875"/>
      <c r="Q32" s="875"/>
      <c r="R32" s="875"/>
      <c r="S32" s="875"/>
      <c r="T32" s="875"/>
      <c r="U32" s="875"/>
    </row>
    <row r="33" spans="1:21" ht="18">
      <c r="A33" s="881" t="s">
        <v>535</v>
      </c>
      <c r="B33" s="807">
        <v>3</v>
      </c>
      <c r="C33" s="808">
        <v>73229000</v>
      </c>
      <c r="D33" s="807">
        <v>1</v>
      </c>
      <c r="E33" s="808">
        <v>44550000</v>
      </c>
      <c r="F33" s="807">
        <v>2</v>
      </c>
      <c r="G33" s="808">
        <v>503368000</v>
      </c>
      <c r="H33" s="790">
        <f t="shared" si="0"/>
        <v>6</v>
      </c>
      <c r="I33" s="790">
        <f t="shared" si="0"/>
        <v>621147000</v>
      </c>
      <c r="J33" s="872"/>
      <c r="K33" s="879">
        <f t="shared" si="1"/>
        <v>0.11789318792491954</v>
      </c>
      <c r="L33" s="882">
        <f t="shared" si="2"/>
        <v>7.1722152727132227E-2</v>
      </c>
      <c r="M33" s="804">
        <f t="shared" si="3"/>
        <v>0.81038465934794823</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8.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862</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2</v>
      </c>
      <c r="C25" s="796">
        <v>213952000</v>
      </c>
      <c r="D25" s="790">
        <v>6</v>
      </c>
      <c r="E25" s="796">
        <v>1050261000</v>
      </c>
      <c r="F25" s="790">
        <v>5</v>
      </c>
      <c r="G25" s="796">
        <v>3065344000</v>
      </c>
      <c r="H25" s="790">
        <f t="shared" ref="H25:I33" si="0">+B25+D25+F25</f>
        <v>13</v>
      </c>
      <c r="I25" s="790">
        <f t="shared" si="0"/>
        <v>4329557000</v>
      </c>
      <c r="J25" s="872"/>
      <c r="K25" s="876">
        <f t="shared" ref="K25:K33" si="1">+C25/I25</f>
        <v>4.9416603130528133E-2</v>
      </c>
      <c r="L25" s="876">
        <f t="shared" ref="L25:L33" si="2">+E25/I25</f>
        <v>0.242579321625746</v>
      </c>
      <c r="M25" s="876">
        <f t="shared" ref="M25:M33" si="3">+G25/I25</f>
        <v>0.70800407524372588</v>
      </c>
      <c r="N25" s="873">
        <f t="shared" ref="N25:N33" si="4">SUM(K25:M25)</f>
        <v>1</v>
      </c>
      <c r="O25" s="874"/>
      <c r="P25" s="875"/>
      <c r="Q25" s="875"/>
      <c r="R25" s="875"/>
      <c r="S25" s="875"/>
      <c r="T25" s="875"/>
      <c r="U25" s="875"/>
    </row>
    <row r="26" spans="1:26" ht="18">
      <c r="A26" s="870" t="s">
        <v>60</v>
      </c>
      <c r="B26" s="790">
        <v>58</v>
      </c>
      <c r="C26" s="796">
        <v>62279000</v>
      </c>
      <c r="D26" s="790">
        <v>31</v>
      </c>
      <c r="E26" s="796">
        <v>65093000</v>
      </c>
      <c r="F26" s="871">
        <v>45</v>
      </c>
      <c r="G26" s="796">
        <v>592339000</v>
      </c>
      <c r="H26" s="790">
        <f t="shared" si="0"/>
        <v>134</v>
      </c>
      <c r="I26" s="790">
        <f t="shared" si="0"/>
        <v>719711000</v>
      </c>
      <c r="J26" s="872"/>
      <c r="K26" s="876">
        <f t="shared" si="1"/>
        <v>8.6533344634165663E-2</v>
      </c>
      <c r="L26" s="876">
        <f t="shared" si="2"/>
        <v>9.0443247359009382E-2</v>
      </c>
      <c r="M26" s="876">
        <f t="shared" si="3"/>
        <v>0.82302340800682494</v>
      </c>
      <c r="N26" s="873">
        <f t="shared" si="4"/>
        <v>1</v>
      </c>
      <c r="O26" s="874"/>
      <c r="P26" s="875"/>
      <c r="Q26" s="875"/>
      <c r="R26" s="875"/>
      <c r="S26" s="875"/>
      <c r="T26" s="875"/>
      <c r="U26" s="875"/>
    </row>
    <row r="27" spans="1:26" ht="18">
      <c r="A27" s="870" t="s">
        <v>61</v>
      </c>
      <c r="B27" s="790">
        <v>0</v>
      </c>
      <c r="C27" s="796">
        <v>0</v>
      </c>
      <c r="D27" s="790">
        <v>0</v>
      </c>
      <c r="E27" s="796">
        <v>0</v>
      </c>
      <c r="F27" s="790">
        <v>0</v>
      </c>
      <c r="G27" s="796">
        <v>0</v>
      </c>
      <c r="H27" s="790">
        <f t="shared" si="0"/>
        <v>0</v>
      </c>
      <c r="I27" s="790">
        <f t="shared" si="0"/>
        <v>0</v>
      </c>
      <c r="J27" s="872"/>
      <c r="K27" s="1374">
        <v>0</v>
      </c>
      <c r="L27" s="1374">
        <v>0</v>
      </c>
      <c r="M27" s="1372">
        <v>0</v>
      </c>
      <c r="N27" s="1375">
        <f t="shared" si="4"/>
        <v>0</v>
      </c>
      <c r="O27" s="874"/>
      <c r="P27" s="875"/>
      <c r="Q27" s="875"/>
      <c r="R27" s="875"/>
      <c r="S27" s="875"/>
      <c r="T27" s="875"/>
      <c r="U27" s="875"/>
    </row>
    <row r="28" spans="1:26" ht="18">
      <c r="A28" s="870" t="s">
        <v>66</v>
      </c>
      <c r="B28" s="790">
        <v>7</v>
      </c>
      <c r="C28" s="796">
        <v>330924020</v>
      </c>
      <c r="D28" s="790">
        <v>7</v>
      </c>
      <c r="E28" s="796">
        <v>592313800</v>
      </c>
      <c r="F28" s="979">
        <v>0</v>
      </c>
      <c r="G28" s="791">
        <v>0</v>
      </c>
      <c r="H28" s="790">
        <f t="shared" si="0"/>
        <v>14</v>
      </c>
      <c r="I28" s="790">
        <f t="shared" si="0"/>
        <v>923237820</v>
      </c>
      <c r="J28" s="877" t="s">
        <v>0</v>
      </c>
      <c r="K28" s="876">
        <f t="shared" si="1"/>
        <v>0.35843854403624842</v>
      </c>
      <c r="L28" s="800">
        <f t="shared" si="2"/>
        <v>0.64156145596375158</v>
      </c>
      <c r="M28" s="792">
        <f t="shared" si="3"/>
        <v>0</v>
      </c>
      <c r="N28" s="800">
        <f t="shared" si="4"/>
        <v>1</v>
      </c>
      <c r="O28" s="874"/>
      <c r="P28" s="875"/>
      <c r="Q28" s="875"/>
      <c r="R28" s="875"/>
      <c r="S28" s="875"/>
      <c r="T28" s="875"/>
      <c r="U28" s="875"/>
    </row>
    <row r="29" spans="1:26" ht="18">
      <c r="A29" s="870" t="s">
        <v>64</v>
      </c>
      <c r="B29" s="790">
        <v>6</v>
      </c>
      <c r="C29" s="796">
        <v>1599698372</v>
      </c>
      <c r="D29" s="790">
        <v>5</v>
      </c>
      <c r="E29" s="796">
        <v>2390007702</v>
      </c>
      <c r="F29" s="979">
        <v>1</v>
      </c>
      <c r="G29" s="796">
        <v>868533109</v>
      </c>
      <c r="H29" s="790">
        <f t="shared" si="0"/>
        <v>12</v>
      </c>
      <c r="I29" s="790">
        <f t="shared" si="0"/>
        <v>4858239183</v>
      </c>
      <c r="J29" s="872"/>
      <c r="K29" s="876">
        <f t="shared" si="1"/>
        <v>0.32927534272039977</v>
      </c>
      <c r="L29" s="800">
        <f t="shared" si="2"/>
        <v>0.49194936930300576</v>
      </c>
      <c r="M29" s="800">
        <f t="shared" si="3"/>
        <v>0.17877528797659445</v>
      </c>
      <c r="N29" s="873">
        <f t="shared" si="4"/>
        <v>1</v>
      </c>
      <c r="O29" s="874"/>
      <c r="P29" s="875"/>
      <c r="Q29" s="875"/>
      <c r="R29" s="875"/>
      <c r="S29" s="875"/>
      <c r="T29" s="875"/>
      <c r="U29" s="875"/>
    </row>
    <row r="30" spans="1:26" ht="18">
      <c r="A30" s="870" t="s">
        <v>67</v>
      </c>
      <c r="B30" s="790">
        <v>3</v>
      </c>
      <c r="C30" s="796">
        <v>69607568</v>
      </c>
      <c r="D30" s="790">
        <v>1</v>
      </c>
      <c r="E30" s="796">
        <v>36281277</v>
      </c>
      <c r="F30" s="792">
        <v>0</v>
      </c>
      <c r="G30" s="791">
        <v>0</v>
      </c>
      <c r="H30" s="790">
        <f t="shared" si="0"/>
        <v>4</v>
      </c>
      <c r="I30" s="790">
        <f t="shared" si="0"/>
        <v>105888845</v>
      </c>
      <c r="J30" s="872"/>
      <c r="K30" s="876">
        <f t="shared" si="1"/>
        <v>0.65736450331477314</v>
      </c>
      <c r="L30" s="800">
        <f t="shared" si="2"/>
        <v>0.34263549668522686</v>
      </c>
      <c r="M30" s="792">
        <f t="shared" si="3"/>
        <v>0</v>
      </c>
      <c r="N30" s="873">
        <f t="shared" si="4"/>
        <v>1</v>
      </c>
      <c r="O30" s="874"/>
      <c r="P30" s="875"/>
      <c r="Q30" s="875"/>
      <c r="R30" s="875"/>
      <c r="S30" s="875"/>
      <c r="T30" s="875"/>
      <c r="U30" s="875"/>
    </row>
    <row r="31" spans="1:26" ht="18">
      <c r="A31" s="870" t="s">
        <v>65</v>
      </c>
      <c r="B31" s="790">
        <v>6</v>
      </c>
      <c r="C31" s="796">
        <v>2032587000</v>
      </c>
      <c r="D31" s="790">
        <v>7</v>
      </c>
      <c r="E31" s="796">
        <v>4758650000</v>
      </c>
      <c r="F31" s="790">
        <v>0</v>
      </c>
      <c r="G31" s="796">
        <v>0</v>
      </c>
      <c r="H31" s="790">
        <f t="shared" si="0"/>
        <v>13</v>
      </c>
      <c r="I31" s="790">
        <f t="shared" si="0"/>
        <v>6791237000</v>
      </c>
      <c r="J31" s="872"/>
      <c r="K31" s="879">
        <f t="shared" si="1"/>
        <v>0.29929554807172831</v>
      </c>
      <c r="L31" s="804">
        <f t="shared" si="2"/>
        <v>0.70070445192827169</v>
      </c>
      <c r="M31" s="811">
        <f t="shared" si="3"/>
        <v>0</v>
      </c>
      <c r="N31" s="880">
        <f t="shared" si="4"/>
        <v>1</v>
      </c>
      <c r="O31" s="874"/>
      <c r="P31" s="875"/>
      <c r="Q31" s="875"/>
      <c r="R31" s="875"/>
      <c r="S31" s="875"/>
      <c r="T31" s="875"/>
      <c r="U31" s="875"/>
    </row>
    <row r="32" spans="1:26" ht="18">
      <c r="A32" s="881" t="s">
        <v>68</v>
      </c>
      <c r="B32" s="807">
        <v>4</v>
      </c>
      <c r="C32" s="808">
        <v>86623000</v>
      </c>
      <c r="D32" s="807">
        <v>5</v>
      </c>
      <c r="E32" s="808">
        <v>216896000</v>
      </c>
      <c r="F32" s="807">
        <v>6</v>
      </c>
      <c r="G32" s="808">
        <v>878642000</v>
      </c>
      <c r="H32" s="790">
        <f t="shared" si="0"/>
        <v>15</v>
      </c>
      <c r="I32" s="790">
        <f t="shared" si="0"/>
        <v>1182161000</v>
      </c>
      <c r="J32" s="872"/>
      <c r="K32" s="879">
        <f t="shared" si="1"/>
        <v>7.3275129191370719E-2</v>
      </c>
      <c r="L32" s="804">
        <f t="shared" si="2"/>
        <v>0.183474162994719</v>
      </c>
      <c r="M32" s="800">
        <f t="shared" si="3"/>
        <v>0.74325070781391034</v>
      </c>
      <c r="N32" s="880">
        <f t="shared" si="4"/>
        <v>1</v>
      </c>
      <c r="O32" s="874"/>
      <c r="P32" s="875"/>
      <c r="Q32" s="875"/>
      <c r="R32" s="875"/>
      <c r="S32" s="875"/>
      <c r="T32" s="875"/>
      <c r="U32" s="875"/>
    </row>
    <row r="33" spans="1:21" ht="18">
      <c r="A33" s="881" t="s">
        <v>535</v>
      </c>
      <c r="B33" s="807">
        <v>1</v>
      </c>
      <c r="C33" s="808">
        <v>20741000</v>
      </c>
      <c r="D33" s="807">
        <v>2</v>
      </c>
      <c r="E33" s="808">
        <v>82846000</v>
      </c>
      <c r="F33" s="807">
        <v>2</v>
      </c>
      <c r="G33" s="808">
        <v>575880000</v>
      </c>
      <c r="H33" s="790">
        <f t="shared" si="0"/>
        <v>5</v>
      </c>
      <c r="I33" s="790">
        <f t="shared" si="0"/>
        <v>679467000</v>
      </c>
      <c r="J33" s="872"/>
      <c r="K33" s="879">
        <f t="shared" si="1"/>
        <v>3.0525397112736895E-2</v>
      </c>
      <c r="L33" s="882">
        <f t="shared" si="2"/>
        <v>0.12192792291605037</v>
      </c>
      <c r="M33" s="804">
        <f t="shared" si="3"/>
        <v>0.84754667997121269</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39.xml><?xml version="1.0" encoding="utf-8"?>
<worksheet xmlns="http://schemas.openxmlformats.org/spreadsheetml/2006/main" xmlns:r="http://schemas.openxmlformats.org/officeDocument/2006/relationships">
  <sheetPr>
    <pageSetUpPr fitToPage="1"/>
  </sheetPr>
  <dimension ref="A1:Z58"/>
  <sheetViews>
    <sheetView topLeftCell="A17" workbookViewId="0">
      <pane xSplit="1" ySplit="5" topLeftCell="B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3" width="18.125" style="830" customWidth="1"/>
    <col min="4" max="4" width="17.875" style="830" customWidth="1"/>
    <col min="5" max="9" width="18.125" style="830" customWidth="1"/>
    <col min="10" max="10" width="11.125" style="830" customWidth="1"/>
    <col min="11" max="11" width="16.25" style="830" customWidth="1"/>
    <col min="12" max="12" width="15.75" style="830" customWidth="1"/>
    <col min="13" max="13" width="13.75" style="830" customWidth="1"/>
    <col min="14" max="14" width="13.5" style="830" customWidth="1"/>
    <col min="15" max="15" width="4.875" style="830" customWidth="1"/>
    <col min="16" max="16" width="3.5" style="830" hidden="1" customWidth="1"/>
    <col min="17" max="17" width="7.375" style="830" hidden="1" customWidth="1"/>
    <col min="18" max="16384" width="9" style="830"/>
  </cols>
  <sheetData>
    <row r="1" spans="1:17" ht="18">
      <c r="A1" s="829"/>
      <c r="B1" s="829"/>
      <c r="C1" s="829"/>
      <c r="D1" s="829"/>
      <c r="E1" s="829"/>
      <c r="F1" s="829"/>
      <c r="G1" s="829"/>
      <c r="H1" s="829"/>
      <c r="I1" s="829"/>
    </row>
    <row r="2" spans="1:17" ht="30">
      <c r="A2" s="831" t="s">
        <v>515</v>
      </c>
      <c r="B2" s="832"/>
      <c r="C2" s="833"/>
      <c r="D2" s="833"/>
      <c r="E2" s="833"/>
      <c r="F2" s="833"/>
      <c r="G2" s="833"/>
      <c r="H2" s="833"/>
      <c r="I2" s="833"/>
      <c r="J2" s="832"/>
      <c r="K2" s="832"/>
      <c r="L2" s="832"/>
      <c r="M2" s="832"/>
      <c r="N2" s="832"/>
      <c r="O2" s="832"/>
      <c r="P2" s="832"/>
      <c r="Q2" s="832"/>
    </row>
    <row r="3" spans="1:17" ht="30">
      <c r="A3" s="829"/>
      <c r="B3" s="834"/>
      <c r="C3" s="829"/>
      <c r="D3" s="829"/>
      <c r="E3" s="829"/>
      <c r="F3" s="829"/>
      <c r="G3" s="829"/>
      <c r="H3" s="829"/>
      <c r="I3" s="829"/>
    </row>
    <row r="4" spans="1:17" ht="30">
      <c r="A4" s="831" t="s">
        <v>548</v>
      </c>
      <c r="B4" s="835"/>
      <c r="C4" s="833"/>
      <c r="D4" s="833"/>
      <c r="E4" s="833"/>
      <c r="F4" s="833"/>
      <c r="G4" s="833"/>
      <c r="H4" s="833"/>
      <c r="I4" s="833"/>
      <c r="J4" s="832"/>
      <c r="K4" s="832"/>
      <c r="L4" s="832"/>
      <c r="M4" s="832"/>
      <c r="N4" s="832"/>
    </row>
    <row r="5" spans="1:17" ht="30">
      <c r="A5" s="831" t="s">
        <v>847</v>
      </c>
      <c r="B5" s="835"/>
      <c r="C5" s="833"/>
      <c r="D5" s="833"/>
      <c r="E5" s="833"/>
      <c r="F5" s="833"/>
      <c r="G5" s="833"/>
      <c r="H5" s="833"/>
      <c r="I5" s="833"/>
      <c r="J5" s="832"/>
      <c r="K5" s="832"/>
      <c r="L5" s="832"/>
      <c r="M5" s="832"/>
      <c r="N5" s="832"/>
    </row>
    <row r="6" spans="1:17" ht="18.75" thickBot="1">
      <c r="A6" s="836"/>
      <c r="B6" s="835"/>
      <c r="C6" s="833"/>
      <c r="E6" s="833"/>
      <c r="F6" s="833"/>
      <c r="G6" s="833"/>
      <c r="H6" s="833"/>
      <c r="I6" s="833"/>
    </row>
    <row r="7" spans="1:17" ht="18">
      <c r="A7" s="836"/>
      <c r="D7" s="837"/>
      <c r="E7" s="838"/>
      <c r="F7" s="839"/>
      <c r="G7" s="839"/>
      <c r="H7" s="839"/>
      <c r="I7" s="839"/>
      <c r="J7" s="839"/>
      <c r="K7" s="840"/>
    </row>
    <row r="8" spans="1:17" ht="18">
      <c r="D8" s="841" t="s">
        <v>549</v>
      </c>
      <c r="F8" s="842"/>
      <c r="G8" s="842"/>
      <c r="H8" s="842"/>
      <c r="I8" s="842"/>
      <c r="J8" s="842"/>
      <c r="K8" s="840"/>
    </row>
    <row r="9" spans="1:17" ht="18">
      <c r="D9" s="843" t="s">
        <v>550</v>
      </c>
      <c r="F9" s="842"/>
      <c r="G9" s="842"/>
      <c r="H9" s="842"/>
      <c r="I9" s="842"/>
      <c r="J9" s="842"/>
      <c r="K9" s="840"/>
    </row>
    <row r="10" spans="1:17" ht="18">
      <c r="D10" s="843" t="s">
        <v>551</v>
      </c>
      <c r="F10" s="842"/>
      <c r="G10" s="842"/>
      <c r="H10" s="842"/>
      <c r="I10" s="842"/>
      <c r="J10" s="842"/>
      <c r="K10" s="840"/>
    </row>
    <row r="11" spans="1:17" ht="18">
      <c r="D11" s="843" t="s">
        <v>552</v>
      </c>
      <c r="F11" s="842"/>
      <c r="G11" s="842"/>
      <c r="H11" s="842"/>
      <c r="I11" s="842"/>
      <c r="J11" s="842"/>
      <c r="K11" s="840"/>
    </row>
    <row r="12" spans="1:17" ht="18">
      <c r="D12" s="843" t="s">
        <v>0</v>
      </c>
      <c r="F12" s="842"/>
      <c r="G12" s="842"/>
      <c r="H12" s="842"/>
      <c r="I12" s="842"/>
      <c r="J12" s="842"/>
      <c r="K12" s="840"/>
    </row>
    <row r="13" spans="1:17" ht="18.75" thickBot="1">
      <c r="D13" s="844" t="s">
        <v>0</v>
      </c>
      <c r="E13" s="845"/>
      <c r="F13" s="845"/>
      <c r="G13" s="845"/>
      <c r="H13" s="845"/>
      <c r="I13" s="845"/>
      <c r="J13" s="845"/>
      <c r="K13" s="840"/>
    </row>
    <row r="16" spans="1:17" ht="18">
      <c r="B16" s="846"/>
      <c r="D16" s="842"/>
      <c r="E16" s="842"/>
      <c r="F16" s="842"/>
      <c r="G16" s="842"/>
      <c r="H16" s="842"/>
      <c r="I16" s="833"/>
    </row>
    <row r="17" spans="1:26" ht="18">
      <c r="B17" s="846"/>
      <c r="C17" s="846"/>
      <c r="D17" s="842"/>
      <c r="E17" s="842"/>
      <c r="F17" s="842"/>
      <c r="G17" s="842"/>
      <c r="H17" s="842"/>
      <c r="I17" s="833"/>
    </row>
    <row r="18" spans="1:26" ht="18">
      <c r="A18" s="835" t="s">
        <v>0</v>
      </c>
      <c r="B18" s="835"/>
      <c r="C18" s="833"/>
      <c r="D18" s="833"/>
      <c r="E18" s="833"/>
      <c r="F18" s="833"/>
      <c r="G18" s="833"/>
      <c r="H18" s="833"/>
      <c r="I18" s="833"/>
    </row>
    <row r="19" spans="1:26" ht="18">
      <c r="A19" s="847" t="s">
        <v>524</v>
      </c>
      <c r="B19" s="829"/>
      <c r="C19" s="829"/>
      <c r="D19" s="829"/>
      <c r="E19" s="829"/>
      <c r="F19" s="829"/>
      <c r="G19" s="829"/>
      <c r="H19" s="829"/>
      <c r="I19" s="829"/>
    </row>
    <row r="20" spans="1:26" ht="18">
      <c r="A20" s="835"/>
      <c r="B20" s="829"/>
      <c r="C20" s="829"/>
      <c r="D20" s="829"/>
      <c r="E20" s="829"/>
      <c r="F20" s="829"/>
      <c r="G20" s="829"/>
      <c r="H20" s="829"/>
      <c r="I20" s="829"/>
    </row>
    <row r="21" spans="1:26" ht="23.25">
      <c r="A21" s="848"/>
      <c r="B21" s="849" t="s">
        <v>557</v>
      </c>
      <c r="C21" s="850"/>
      <c r="D21" s="851" t="s">
        <v>558</v>
      </c>
      <c r="E21" s="850"/>
      <c r="F21" s="851" t="s">
        <v>553</v>
      </c>
      <c r="G21" s="850"/>
      <c r="H21" s="851" t="s">
        <v>295</v>
      </c>
      <c r="I21" s="852"/>
      <c r="K21" s="849" t="s">
        <v>554</v>
      </c>
      <c r="L21" s="853"/>
      <c r="M21" s="853"/>
      <c r="N21" s="853"/>
    </row>
    <row r="22" spans="1:26" ht="15.75">
      <c r="A22" s="854"/>
      <c r="B22" s="855" t="s">
        <v>527</v>
      </c>
      <c r="C22" s="856" t="s">
        <v>528</v>
      </c>
      <c r="D22" s="855" t="s">
        <v>527</v>
      </c>
      <c r="E22" s="856" t="s">
        <v>528</v>
      </c>
      <c r="F22" s="855" t="s">
        <v>527</v>
      </c>
      <c r="G22" s="856" t="s">
        <v>528</v>
      </c>
      <c r="H22" s="855" t="s">
        <v>527</v>
      </c>
      <c r="I22" s="857" t="s">
        <v>528</v>
      </c>
      <c r="J22" s="857"/>
      <c r="K22" s="858" t="s">
        <v>529</v>
      </c>
      <c r="L22" s="858" t="s">
        <v>529</v>
      </c>
      <c r="M22" s="858" t="s">
        <v>529</v>
      </c>
      <c r="N22" s="859"/>
      <c r="O22" s="859"/>
      <c r="P22" s="859"/>
      <c r="Q22" s="859"/>
      <c r="R22" s="859"/>
      <c r="S22" s="859"/>
      <c r="T22" s="859"/>
      <c r="U22" s="859"/>
      <c r="V22" s="859"/>
      <c r="W22" s="859"/>
      <c r="X22" s="859"/>
      <c r="Y22" s="859"/>
      <c r="Z22" s="859"/>
    </row>
    <row r="23" spans="1:26" ht="20.25">
      <c r="A23" s="860"/>
      <c r="B23" s="858" t="s">
        <v>530</v>
      </c>
      <c r="C23" s="861" t="s">
        <v>531</v>
      </c>
      <c r="D23" s="858" t="s">
        <v>530</v>
      </c>
      <c r="E23" s="861" t="s">
        <v>531</v>
      </c>
      <c r="F23" s="858" t="s">
        <v>530</v>
      </c>
      <c r="G23" s="861" t="s">
        <v>531</v>
      </c>
      <c r="H23" s="858" t="s">
        <v>530</v>
      </c>
      <c r="I23" s="862" t="s">
        <v>531</v>
      </c>
      <c r="J23" s="863"/>
      <c r="K23" s="858" t="s">
        <v>555</v>
      </c>
      <c r="L23" s="864" t="s">
        <v>559</v>
      </c>
      <c r="M23" s="864" t="s">
        <v>556</v>
      </c>
      <c r="N23" s="1066" t="s">
        <v>295</v>
      </c>
    </row>
    <row r="24" spans="1:26" ht="13.5" thickBot="1">
      <c r="A24" s="865"/>
      <c r="B24" s="866" t="s">
        <v>534</v>
      </c>
      <c r="C24" s="1067" t="s">
        <v>0</v>
      </c>
      <c r="D24" s="866" t="s">
        <v>534</v>
      </c>
      <c r="E24" s="1067" t="s">
        <v>0</v>
      </c>
      <c r="F24" s="866" t="s">
        <v>534</v>
      </c>
      <c r="G24" s="1067" t="s">
        <v>0</v>
      </c>
      <c r="H24" s="866" t="s">
        <v>534</v>
      </c>
      <c r="I24" s="1068" t="s">
        <v>0</v>
      </c>
      <c r="J24" s="863"/>
      <c r="K24" s="1069"/>
      <c r="L24" s="867"/>
      <c r="M24" s="868"/>
      <c r="N24" s="869"/>
    </row>
    <row r="25" spans="1:26" ht="18">
      <c r="A25" s="870" t="s">
        <v>59</v>
      </c>
      <c r="B25" s="790">
        <v>2</v>
      </c>
      <c r="C25" s="796">
        <v>210445000</v>
      </c>
      <c r="D25" s="790">
        <v>3</v>
      </c>
      <c r="E25" s="796">
        <v>455168000</v>
      </c>
      <c r="F25" s="790">
        <v>5</v>
      </c>
      <c r="G25" s="796">
        <v>3080271000</v>
      </c>
      <c r="H25" s="790">
        <f t="shared" ref="H25:I33" si="0">+B25+D25+F25</f>
        <v>10</v>
      </c>
      <c r="I25" s="790">
        <f t="shared" si="0"/>
        <v>3745884000</v>
      </c>
      <c r="J25" s="872"/>
      <c r="K25" s="876">
        <f t="shared" ref="K25:K33" si="1">+C25/I25</f>
        <v>5.6180330197090997E-2</v>
      </c>
      <c r="L25" s="876">
        <f t="shared" ref="L25:L33" si="2">+E25/I25</f>
        <v>0.12151150436051944</v>
      </c>
      <c r="M25" s="876">
        <f t="shared" ref="M25:M33" si="3">+G25/I25</f>
        <v>0.8223081654423896</v>
      </c>
      <c r="N25" s="873">
        <f t="shared" ref="N25:N33" si="4">SUM(K25:M25)</f>
        <v>1</v>
      </c>
      <c r="O25" s="874"/>
      <c r="P25" s="875"/>
      <c r="Q25" s="875"/>
      <c r="R25" s="875"/>
      <c r="S25" s="875"/>
      <c r="T25" s="875"/>
      <c r="U25" s="875"/>
    </row>
    <row r="26" spans="1:26" ht="18">
      <c r="A26" s="870" t="s">
        <v>60</v>
      </c>
      <c r="B26" s="790">
        <v>60</v>
      </c>
      <c r="C26" s="796">
        <v>64298000</v>
      </c>
      <c r="D26" s="790">
        <v>34</v>
      </c>
      <c r="E26" s="796">
        <v>68037000</v>
      </c>
      <c r="F26" s="871">
        <v>49</v>
      </c>
      <c r="G26" s="796">
        <v>616396000</v>
      </c>
      <c r="H26" s="790">
        <f t="shared" si="0"/>
        <v>143</v>
      </c>
      <c r="I26" s="790">
        <f t="shared" si="0"/>
        <v>748731000</v>
      </c>
      <c r="J26" s="872"/>
      <c r="K26" s="876">
        <f t="shared" si="1"/>
        <v>8.587596880588623E-2</v>
      </c>
      <c r="L26" s="876">
        <f t="shared" si="2"/>
        <v>9.0869751619740605E-2</v>
      </c>
      <c r="M26" s="876">
        <f t="shared" si="3"/>
        <v>0.82325427957437314</v>
      </c>
      <c r="N26" s="873">
        <f t="shared" si="4"/>
        <v>1</v>
      </c>
      <c r="O26" s="874"/>
      <c r="P26" s="875"/>
      <c r="Q26" s="875"/>
      <c r="R26" s="875"/>
      <c r="S26" s="875"/>
      <c r="T26" s="875"/>
      <c r="U26" s="875"/>
    </row>
    <row r="27" spans="1:26" ht="18">
      <c r="A27" s="870" t="s">
        <v>61</v>
      </c>
      <c r="B27" s="790">
        <v>1</v>
      </c>
      <c r="C27" s="796">
        <v>-8192000</v>
      </c>
      <c r="D27" s="790">
        <v>0</v>
      </c>
      <c r="E27" s="796">
        <v>0</v>
      </c>
      <c r="F27" s="790">
        <v>0</v>
      </c>
      <c r="G27" s="796">
        <v>0</v>
      </c>
      <c r="H27" s="790">
        <f t="shared" si="0"/>
        <v>1</v>
      </c>
      <c r="I27" s="790">
        <f t="shared" si="0"/>
        <v>-8192000</v>
      </c>
      <c r="J27" s="872"/>
      <c r="K27" s="1374">
        <v>0</v>
      </c>
      <c r="L27" s="1374">
        <v>0</v>
      </c>
      <c r="M27" s="1372">
        <v>0</v>
      </c>
      <c r="N27" s="1375">
        <f t="shared" si="4"/>
        <v>0</v>
      </c>
      <c r="O27" s="874"/>
      <c r="P27" s="875"/>
      <c r="Q27" s="875"/>
      <c r="R27" s="875"/>
      <c r="S27" s="875"/>
      <c r="T27" s="875"/>
      <c r="U27" s="875"/>
    </row>
    <row r="28" spans="1:26" ht="18">
      <c r="A28" s="870" t="s">
        <v>66</v>
      </c>
      <c r="B28" s="790">
        <v>11</v>
      </c>
      <c r="C28" s="796">
        <v>540370580</v>
      </c>
      <c r="D28" s="790">
        <v>4</v>
      </c>
      <c r="E28" s="796">
        <v>376535100</v>
      </c>
      <c r="F28" s="979">
        <v>0</v>
      </c>
      <c r="G28" s="791">
        <v>0</v>
      </c>
      <c r="H28" s="790">
        <f t="shared" si="0"/>
        <v>15</v>
      </c>
      <c r="I28" s="790">
        <f t="shared" si="0"/>
        <v>916905680</v>
      </c>
      <c r="J28" s="877" t="s">
        <v>0</v>
      </c>
      <c r="K28" s="876">
        <f t="shared" si="1"/>
        <v>0.58934151220439601</v>
      </c>
      <c r="L28" s="800">
        <f t="shared" si="2"/>
        <v>0.41065848779560399</v>
      </c>
      <c r="M28" s="792">
        <f t="shared" si="3"/>
        <v>0</v>
      </c>
      <c r="N28" s="800">
        <f t="shared" si="4"/>
        <v>1</v>
      </c>
      <c r="O28" s="874"/>
      <c r="P28" s="875"/>
      <c r="Q28" s="875"/>
      <c r="R28" s="875"/>
      <c r="S28" s="875"/>
      <c r="T28" s="875"/>
      <c r="U28" s="875"/>
    </row>
    <row r="29" spans="1:26" ht="18">
      <c r="A29" s="870" t="s">
        <v>64</v>
      </c>
      <c r="B29" s="790">
        <v>7</v>
      </c>
      <c r="C29" s="796">
        <v>1768411480</v>
      </c>
      <c r="D29" s="790">
        <v>6</v>
      </c>
      <c r="E29" s="796">
        <v>2922793713</v>
      </c>
      <c r="F29" s="979">
        <v>1</v>
      </c>
      <c r="G29" s="796">
        <v>876823870</v>
      </c>
      <c r="H29" s="790">
        <f t="shared" si="0"/>
        <v>14</v>
      </c>
      <c r="I29" s="790">
        <f t="shared" si="0"/>
        <v>5568029063</v>
      </c>
      <c r="J29" s="872"/>
      <c r="K29" s="876">
        <f t="shared" si="1"/>
        <v>0.31760097872894311</v>
      </c>
      <c r="L29" s="800">
        <f t="shared" si="2"/>
        <v>0.52492429186876888</v>
      </c>
      <c r="M29" s="800">
        <f t="shared" si="3"/>
        <v>0.15747472940228796</v>
      </c>
      <c r="N29" s="873">
        <f t="shared" si="4"/>
        <v>1</v>
      </c>
      <c r="O29" s="874"/>
      <c r="P29" s="875"/>
      <c r="Q29" s="875"/>
      <c r="R29" s="875"/>
      <c r="S29" s="875"/>
      <c r="T29" s="875"/>
      <c r="U29" s="875"/>
    </row>
    <row r="30" spans="1:26" ht="18">
      <c r="A30" s="870" t="s">
        <v>67</v>
      </c>
      <c r="B30" s="790">
        <v>3</v>
      </c>
      <c r="C30" s="796">
        <v>77736829</v>
      </c>
      <c r="D30" s="790">
        <v>0</v>
      </c>
      <c r="E30" s="796">
        <v>0</v>
      </c>
      <c r="F30" s="792">
        <v>0</v>
      </c>
      <c r="G30" s="791">
        <v>0</v>
      </c>
      <c r="H30" s="790">
        <f t="shared" si="0"/>
        <v>3</v>
      </c>
      <c r="I30" s="790">
        <f t="shared" si="0"/>
        <v>77736829</v>
      </c>
      <c r="J30" s="872"/>
      <c r="K30" s="876">
        <f t="shared" si="1"/>
        <v>1</v>
      </c>
      <c r="L30" s="792">
        <f t="shared" si="2"/>
        <v>0</v>
      </c>
      <c r="M30" s="792">
        <f t="shared" si="3"/>
        <v>0</v>
      </c>
      <c r="N30" s="873">
        <f t="shared" si="4"/>
        <v>1</v>
      </c>
      <c r="O30" s="874"/>
      <c r="P30" s="875"/>
      <c r="Q30" s="875"/>
      <c r="R30" s="875"/>
      <c r="S30" s="875"/>
      <c r="T30" s="875"/>
      <c r="U30" s="875"/>
    </row>
    <row r="31" spans="1:26" ht="18">
      <c r="A31" s="870" t="s">
        <v>65</v>
      </c>
      <c r="B31" s="790">
        <v>4</v>
      </c>
      <c r="C31" s="796">
        <v>1423647000</v>
      </c>
      <c r="D31" s="790">
        <v>7</v>
      </c>
      <c r="E31" s="796">
        <v>4570333000</v>
      </c>
      <c r="F31" s="790">
        <v>0</v>
      </c>
      <c r="G31" s="796">
        <v>0</v>
      </c>
      <c r="H31" s="790">
        <f t="shared" si="0"/>
        <v>11</v>
      </c>
      <c r="I31" s="790">
        <f t="shared" si="0"/>
        <v>5993980000</v>
      </c>
      <c r="J31" s="872"/>
      <c r="K31" s="879">
        <f t="shared" si="1"/>
        <v>0.23751280451386225</v>
      </c>
      <c r="L31" s="804">
        <f t="shared" si="2"/>
        <v>0.76248719548613775</v>
      </c>
      <c r="M31" s="811">
        <f t="shared" si="3"/>
        <v>0</v>
      </c>
      <c r="N31" s="880">
        <f t="shared" si="4"/>
        <v>1</v>
      </c>
      <c r="O31" s="874"/>
      <c r="P31" s="875"/>
      <c r="Q31" s="875"/>
      <c r="R31" s="875"/>
      <c r="S31" s="875"/>
      <c r="T31" s="875"/>
      <c r="U31" s="875"/>
    </row>
    <row r="32" spans="1:26" ht="18">
      <c r="A32" s="881" t="s">
        <v>68</v>
      </c>
      <c r="B32" s="807">
        <v>7</v>
      </c>
      <c r="C32" s="808">
        <v>157907000</v>
      </c>
      <c r="D32" s="807">
        <v>4</v>
      </c>
      <c r="E32" s="808">
        <v>182150000</v>
      </c>
      <c r="F32" s="807">
        <v>7</v>
      </c>
      <c r="G32" s="808">
        <v>941317000</v>
      </c>
      <c r="H32" s="790">
        <f t="shared" si="0"/>
        <v>18</v>
      </c>
      <c r="I32" s="790">
        <f t="shared" si="0"/>
        <v>1281374000</v>
      </c>
      <c r="J32" s="872"/>
      <c r="K32" s="879">
        <f t="shared" si="1"/>
        <v>0.12323256129748224</v>
      </c>
      <c r="L32" s="804">
        <f t="shared" si="2"/>
        <v>0.14215209610933263</v>
      </c>
      <c r="M32" s="800">
        <f t="shared" si="3"/>
        <v>0.73461534259318517</v>
      </c>
      <c r="N32" s="880">
        <f t="shared" si="4"/>
        <v>1</v>
      </c>
      <c r="O32" s="874"/>
      <c r="P32" s="875"/>
      <c r="Q32" s="875"/>
      <c r="R32" s="875"/>
      <c r="S32" s="875"/>
      <c r="T32" s="875"/>
      <c r="U32" s="875"/>
    </row>
    <row r="33" spans="1:21" ht="18">
      <c r="A33" s="881" t="s">
        <v>535</v>
      </c>
      <c r="B33" s="807">
        <v>1</v>
      </c>
      <c r="C33" s="808">
        <v>20517000</v>
      </c>
      <c r="D33" s="807">
        <v>2</v>
      </c>
      <c r="E33" s="808">
        <v>82846000</v>
      </c>
      <c r="F33" s="807">
        <v>2</v>
      </c>
      <c r="G33" s="808">
        <v>516535000</v>
      </c>
      <c r="H33" s="790">
        <f t="shared" si="0"/>
        <v>5</v>
      </c>
      <c r="I33" s="790">
        <f t="shared" si="0"/>
        <v>619898000</v>
      </c>
      <c r="J33" s="872"/>
      <c r="K33" s="879">
        <f t="shared" si="1"/>
        <v>3.3097380536797991E-2</v>
      </c>
      <c r="L33" s="882">
        <f t="shared" si="2"/>
        <v>0.13364456733204494</v>
      </c>
      <c r="M33" s="804">
        <f t="shared" si="3"/>
        <v>0.83325805213115711</v>
      </c>
      <c r="N33" s="880">
        <f t="shared" si="4"/>
        <v>1</v>
      </c>
      <c r="O33" s="874"/>
      <c r="P33" s="875"/>
      <c r="Q33" s="875"/>
      <c r="R33" s="875"/>
      <c r="S33" s="875"/>
      <c r="T33" s="875"/>
      <c r="U33" s="875"/>
    </row>
    <row r="34" spans="1:21">
      <c r="B34" s="883"/>
      <c r="C34" s="883"/>
      <c r="D34" s="883"/>
      <c r="E34" s="883"/>
      <c r="F34" s="883"/>
      <c r="G34" s="883"/>
      <c r="H34" s="883"/>
      <c r="I34" s="883"/>
      <c r="J34" s="875"/>
      <c r="K34" s="875"/>
      <c r="L34" s="875"/>
      <c r="M34" s="875"/>
      <c r="N34" s="875"/>
      <c r="O34" s="875"/>
      <c r="P34" s="875"/>
      <c r="Q34" s="875"/>
      <c r="R34" s="875"/>
      <c r="S34" s="875"/>
      <c r="T34" s="875"/>
      <c r="U34" s="875"/>
    </row>
    <row r="35" spans="1:21">
      <c r="B35" s="883"/>
      <c r="C35" s="883"/>
      <c r="D35" s="883"/>
      <c r="E35" s="883"/>
      <c r="F35" s="883"/>
      <c r="G35" s="883"/>
      <c r="H35" s="883"/>
      <c r="I35" s="883"/>
      <c r="J35" s="875"/>
      <c r="K35" s="875"/>
      <c r="L35" s="875"/>
      <c r="M35" s="875"/>
      <c r="N35" s="875"/>
      <c r="O35" s="875"/>
      <c r="P35" s="875"/>
      <c r="Q35" s="875"/>
      <c r="R35" s="875"/>
      <c r="S35" s="875"/>
      <c r="T35" s="875"/>
      <c r="U35" s="875"/>
    </row>
    <row r="36" spans="1:21">
      <c r="B36" s="883"/>
      <c r="C36" s="883"/>
      <c r="D36" s="883"/>
      <c r="E36" s="883"/>
      <c r="F36" s="883"/>
      <c r="G36" s="883"/>
      <c r="H36" s="883"/>
      <c r="I36" s="883"/>
      <c r="J36" s="875"/>
      <c r="K36" s="875"/>
      <c r="L36" s="875"/>
      <c r="M36" s="875"/>
      <c r="N36" s="875"/>
      <c r="O36" s="875"/>
      <c r="P36" s="875"/>
      <c r="Q36" s="875"/>
      <c r="R36" s="875"/>
      <c r="S36" s="875"/>
      <c r="T36" s="875"/>
      <c r="U36" s="875"/>
    </row>
    <row r="37" spans="1:21" ht="18">
      <c r="A37" s="1010" t="s">
        <v>0</v>
      </c>
      <c r="B37" s="875"/>
      <c r="C37" s="875"/>
      <c r="D37" s="875"/>
      <c r="E37" s="875"/>
      <c r="F37" s="875"/>
      <c r="G37" s="875"/>
      <c r="H37" s="875"/>
      <c r="I37" s="875"/>
      <c r="J37" s="875"/>
      <c r="K37" s="875"/>
      <c r="L37" s="875"/>
      <c r="M37" s="875"/>
      <c r="N37" s="875"/>
      <c r="O37" s="875"/>
      <c r="P37" s="875"/>
      <c r="Q37" s="875"/>
      <c r="R37" s="875"/>
      <c r="S37" s="875"/>
      <c r="T37" s="875"/>
      <c r="U37" s="875"/>
    </row>
    <row r="38" spans="1:21">
      <c r="B38" s="875"/>
      <c r="C38" s="875"/>
      <c r="D38" s="875"/>
      <c r="E38" s="875"/>
      <c r="F38" s="875"/>
      <c r="G38" s="875"/>
      <c r="H38" s="875"/>
      <c r="I38" s="875"/>
      <c r="J38" s="875"/>
      <c r="K38" s="875"/>
      <c r="L38" s="875"/>
      <c r="M38" s="875"/>
      <c r="N38" s="875"/>
      <c r="O38" s="875"/>
      <c r="P38" s="875"/>
      <c r="Q38" s="875"/>
      <c r="R38" s="875"/>
      <c r="S38" s="875"/>
      <c r="T38" s="875"/>
      <c r="U38" s="875"/>
    </row>
    <row r="39" spans="1:21" ht="15.75">
      <c r="A39"/>
      <c r="B39"/>
      <c r="C39"/>
      <c r="D39"/>
      <c r="E39"/>
      <c r="F39" s="875"/>
      <c r="G39" s="875"/>
      <c r="H39" s="875"/>
      <c r="I39" s="875"/>
      <c r="J39" s="875"/>
      <c r="K39" s="875"/>
      <c r="L39" s="875"/>
      <c r="M39" s="875"/>
      <c r="N39" s="875"/>
      <c r="O39" s="875"/>
      <c r="P39" s="875"/>
      <c r="Q39" s="875"/>
      <c r="R39" s="875"/>
      <c r="S39" s="875"/>
      <c r="T39" s="875"/>
      <c r="U39" s="875"/>
    </row>
    <row r="40" spans="1:21" ht="15.75">
      <c r="A40"/>
      <c r="B40"/>
      <c r="C40"/>
      <c r="D40"/>
      <c r="E40"/>
      <c r="F40" s="875"/>
      <c r="G40" s="875"/>
      <c r="H40" s="875"/>
      <c r="I40" s="875"/>
      <c r="J40" s="875"/>
      <c r="K40" s="875"/>
      <c r="L40" s="875"/>
      <c r="M40" s="875"/>
      <c r="N40" s="875"/>
      <c r="O40" s="875"/>
      <c r="P40" s="875"/>
      <c r="Q40" s="875"/>
      <c r="R40" s="875"/>
      <c r="S40" s="875"/>
      <c r="T40" s="875"/>
      <c r="U40" s="875"/>
    </row>
    <row r="41" spans="1:21" ht="15.75">
      <c r="A41"/>
      <c r="B41"/>
      <c r="C41"/>
      <c r="D41"/>
      <c r="E41"/>
      <c r="F41" s="875"/>
      <c r="G41" s="875"/>
      <c r="H41" s="875"/>
      <c r="I41" s="875"/>
      <c r="J41" s="875"/>
      <c r="K41" s="875"/>
      <c r="L41" s="875"/>
      <c r="M41" s="875"/>
      <c r="N41" s="875"/>
      <c r="O41" s="875"/>
      <c r="P41" s="875"/>
      <c r="Q41" s="875"/>
      <c r="R41" s="875"/>
      <c r="S41" s="875"/>
      <c r="T41" s="875"/>
      <c r="U41" s="875"/>
    </row>
    <row r="42" spans="1:21" ht="15.75">
      <c r="A42"/>
      <c r="B42"/>
      <c r="C42"/>
      <c r="D42"/>
      <c r="E42"/>
      <c r="F42" s="875"/>
      <c r="G42" s="875"/>
      <c r="H42" s="875"/>
      <c r="I42" s="875"/>
      <c r="J42" s="875"/>
      <c r="K42" s="875"/>
      <c r="L42" s="875"/>
      <c r="M42" s="875"/>
      <c r="N42" s="875"/>
      <c r="O42" s="875"/>
      <c r="P42" s="875"/>
      <c r="Q42" s="875"/>
      <c r="R42" s="875"/>
      <c r="S42" s="875"/>
      <c r="T42" s="875"/>
      <c r="U42" s="875"/>
    </row>
    <row r="43" spans="1:21" ht="15.75">
      <c r="A43"/>
      <c r="B43"/>
      <c r="C43"/>
      <c r="D43"/>
      <c r="E43"/>
      <c r="F43" s="875"/>
      <c r="G43" s="875"/>
      <c r="H43" s="875"/>
      <c r="I43" s="875"/>
      <c r="J43" s="875"/>
      <c r="K43" s="875"/>
      <c r="L43" s="875"/>
      <c r="M43" s="875"/>
      <c r="N43" s="875"/>
      <c r="O43" s="875"/>
      <c r="P43" s="875"/>
      <c r="Q43" s="875"/>
      <c r="R43" s="875"/>
      <c r="S43" s="875"/>
      <c r="T43" s="875"/>
      <c r="U43" s="875"/>
    </row>
    <row r="44" spans="1:21" ht="15.75">
      <c r="A44"/>
      <c r="B44"/>
      <c r="C44"/>
      <c r="D44"/>
      <c r="E44"/>
      <c r="F44" s="875"/>
      <c r="G44" s="875"/>
      <c r="H44" s="875"/>
      <c r="I44" s="875"/>
      <c r="J44" s="875"/>
      <c r="K44" s="875"/>
      <c r="L44" s="875"/>
      <c r="M44" s="875"/>
      <c r="N44" s="875"/>
      <c r="O44" s="875"/>
      <c r="P44" s="875"/>
      <c r="Q44" s="875"/>
      <c r="R44" s="875"/>
      <c r="S44" s="875"/>
      <c r="T44" s="875"/>
      <c r="U44" s="875"/>
    </row>
    <row r="45" spans="1:21" ht="15.75">
      <c r="A45"/>
      <c r="B45"/>
      <c r="C45"/>
      <c r="D45"/>
      <c r="E45"/>
      <c r="F45" s="875"/>
      <c r="G45" s="875"/>
      <c r="H45" s="875"/>
      <c r="I45" s="875"/>
      <c r="J45" s="875"/>
      <c r="K45" s="875"/>
      <c r="L45" s="875"/>
      <c r="M45" s="875"/>
      <c r="N45" s="875"/>
      <c r="O45" s="875"/>
      <c r="P45" s="875"/>
      <c r="Q45" s="875"/>
      <c r="R45" s="875"/>
      <c r="S45" s="875"/>
      <c r="T45" s="875"/>
      <c r="U45" s="875"/>
    </row>
    <row r="46" spans="1:21" ht="15.75">
      <c r="A46"/>
      <c r="B46"/>
      <c r="C46"/>
      <c r="D46"/>
      <c r="E46"/>
      <c r="F46" s="875"/>
      <c r="G46" s="875"/>
      <c r="H46" s="875"/>
      <c r="I46" s="875"/>
      <c r="J46" s="875"/>
      <c r="K46" s="875"/>
      <c r="L46" s="875"/>
      <c r="M46" s="875"/>
      <c r="N46" s="875"/>
      <c r="O46" s="875"/>
      <c r="P46" s="875"/>
      <c r="Q46" s="875"/>
      <c r="R46" s="875"/>
      <c r="S46" s="875"/>
      <c r="T46" s="875"/>
      <c r="U46" s="875"/>
    </row>
    <row r="47" spans="1:21" ht="15.75">
      <c r="A47"/>
      <c r="B47"/>
      <c r="C47"/>
      <c r="D47"/>
      <c r="E47"/>
      <c r="F47" s="875"/>
      <c r="G47" s="875"/>
      <c r="H47" s="875"/>
      <c r="I47" s="875"/>
      <c r="J47" s="875"/>
      <c r="K47" s="875"/>
      <c r="L47" s="875"/>
      <c r="M47" s="875"/>
      <c r="N47" s="875"/>
      <c r="O47" s="875"/>
      <c r="P47" s="875"/>
      <c r="Q47" s="875"/>
      <c r="R47" s="875"/>
      <c r="S47" s="875"/>
      <c r="T47" s="875"/>
      <c r="U47" s="875"/>
    </row>
    <row r="48" spans="1:21" ht="15.75">
      <c r="A48"/>
      <c r="B48"/>
      <c r="C48"/>
      <c r="D48"/>
      <c r="E48"/>
    </row>
    <row r="49" spans="1:14" ht="15.75">
      <c r="A49"/>
      <c r="B49"/>
      <c r="C49"/>
      <c r="D49"/>
      <c r="E49"/>
    </row>
    <row r="50" spans="1:14" ht="15.75">
      <c r="A50"/>
      <c r="B50"/>
      <c r="C50"/>
      <c r="D50"/>
      <c r="E50"/>
    </row>
    <row r="51" spans="1:14" ht="18">
      <c r="A51" s="881" t="s">
        <v>0</v>
      </c>
      <c r="B51" s="884" t="s">
        <v>0</v>
      </c>
      <c r="C51" s="884" t="s">
        <v>0</v>
      </c>
      <c r="D51" s="885" t="s">
        <v>0</v>
      </c>
      <c r="E51" s="886"/>
      <c r="F51" s="886"/>
      <c r="G51" s="886"/>
      <c r="H51" s="886"/>
      <c r="I51" s="886"/>
      <c r="J51" s="886"/>
      <c r="K51" s="886"/>
      <c r="L51" s="886"/>
      <c r="M51" s="886"/>
    </row>
    <row r="52" spans="1:14">
      <c r="A52" s="830" t="s">
        <v>0</v>
      </c>
      <c r="B52" s="887"/>
      <c r="C52" s="887"/>
      <c r="D52" s="887"/>
    </row>
    <row r="53" spans="1:14" ht="15.75">
      <c r="A53" s="828" t="s">
        <v>0</v>
      </c>
      <c r="B53" s="746"/>
      <c r="C53" s="746"/>
      <c r="D53" s="746"/>
      <c r="E53" s="746"/>
      <c r="F53" s="746"/>
      <c r="G53" s="746"/>
      <c r="H53" s="746"/>
      <c r="I53" s="746"/>
      <c r="J53" s="746"/>
      <c r="K53" s="746"/>
      <c r="L53" s="746"/>
      <c r="M53" s="746"/>
      <c r="N53"/>
    </row>
    <row r="54" spans="1:14" ht="15.75">
      <c r="A54" s="828" t="s">
        <v>0</v>
      </c>
      <c r="B54" s="746"/>
      <c r="C54" s="746"/>
      <c r="D54" s="746"/>
      <c r="E54" s="746"/>
      <c r="F54" s="746"/>
      <c r="G54" s="746"/>
      <c r="H54" s="746"/>
      <c r="I54" s="746"/>
      <c r="J54" s="746"/>
      <c r="K54" s="746"/>
      <c r="L54" s="746"/>
      <c r="M54" s="746"/>
      <c r="N54" s="746"/>
    </row>
    <row r="55" spans="1:14">
      <c r="A55" s="830" t="s">
        <v>0</v>
      </c>
    </row>
    <row r="57" spans="1:14" ht="15.75">
      <c r="A57" s="1070"/>
    </row>
    <row r="58" spans="1:14" ht="15.75">
      <c r="A58" s="1070"/>
    </row>
  </sheetData>
  <pageMargins left="0.22" right="0.21" top="0.61" bottom="0.52" header="0.31" footer="0.19"/>
  <pageSetup scale="53" orientation="landscape" r:id="rId1"/>
  <headerFooter alignWithMargins="0">
    <oddFooter>&amp;R&amp;P</oddFooter>
  </headerFooter>
  <drawing r:id="rId2"/>
</worksheet>
</file>

<file path=xl/worksheets/sheet140.xml><?xml version="1.0" encoding="utf-8"?>
<worksheet xmlns="http://schemas.openxmlformats.org/spreadsheetml/2006/main" xmlns:r="http://schemas.openxmlformats.org/officeDocument/2006/relationships">
  <sheetPr>
    <pageSetUpPr fitToPage="1"/>
  </sheetPr>
  <dimension ref="A1:BC239"/>
  <sheetViews>
    <sheetView topLeftCell="A20" workbookViewId="0">
      <pane xSplit="3" ySplit="2" topLeftCell="D22" activePane="bottomRight" state="frozen"/>
      <selection activeCell="E46" sqref="E46"/>
      <selection pane="topRight" activeCell="E46" sqref="E46"/>
      <selection pane="bottomLeft" activeCell="E46" sqref="E46"/>
      <selection pane="bottomRight" activeCell="B22" sqref="B22"/>
    </sheetView>
  </sheetViews>
  <sheetFormatPr baseColWidth="10" defaultColWidth="9" defaultRowHeight="12.75"/>
  <cols>
    <col min="1" max="2" width="18.125" style="889" customWidth="1"/>
    <col min="3" max="3" width="28.25" style="889" customWidth="1"/>
    <col min="4" max="6" width="14.625" style="889" customWidth="1"/>
    <col min="7" max="7" width="20"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968</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918">
        <v>1617.89</v>
      </c>
      <c r="H22" s="1422">
        <v>93254.85</v>
      </c>
      <c r="I22" s="1422">
        <v>0</v>
      </c>
      <c r="J22" s="1422">
        <v>0</v>
      </c>
      <c r="K22" s="1422">
        <v>0</v>
      </c>
      <c r="L22" s="1422">
        <v>0</v>
      </c>
      <c r="M22" s="1432">
        <f t="shared" ref="M22:M51" si="0">SUM(D22:L22)</f>
        <v>94872.74</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361302</v>
      </c>
      <c r="E23" s="1423">
        <v>6806.65</v>
      </c>
      <c r="F23" s="1422">
        <v>3434.57</v>
      </c>
      <c r="G23" s="1422">
        <v>348108.23</v>
      </c>
      <c r="H23" s="1423">
        <v>1240812.27</v>
      </c>
      <c r="I23" s="1422">
        <v>215906.73</v>
      </c>
      <c r="J23" s="1422">
        <v>19524.080000000002</v>
      </c>
      <c r="K23" s="1423">
        <v>424133.56</v>
      </c>
      <c r="L23" s="1423">
        <v>154234</v>
      </c>
      <c r="M23" s="1432">
        <f t="shared" si="0"/>
        <v>2774262.0900000003</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3959</v>
      </c>
      <c r="E24" s="1422">
        <v>0</v>
      </c>
      <c r="F24" s="1422">
        <v>8723.4699999999993</v>
      </c>
      <c r="G24" s="1422">
        <v>585966.51</v>
      </c>
      <c r="H24" s="1423">
        <v>2123451.62</v>
      </c>
      <c r="I24" s="1422">
        <v>110009.96</v>
      </c>
      <c r="J24" s="1422">
        <v>0</v>
      </c>
      <c r="K24" s="1423">
        <v>399721.34</v>
      </c>
      <c r="L24" s="1422">
        <v>67479</v>
      </c>
      <c r="M24" s="1432">
        <f t="shared" si="0"/>
        <v>3299310.9</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6185</v>
      </c>
      <c r="E25" s="1422">
        <v>462.93</v>
      </c>
      <c r="F25" s="1422">
        <v>4893.82</v>
      </c>
      <c r="G25" s="1422">
        <v>3267.9</v>
      </c>
      <c r="H25" s="1422">
        <v>0</v>
      </c>
      <c r="I25" s="1422">
        <v>0</v>
      </c>
      <c r="J25" s="1422">
        <v>0</v>
      </c>
      <c r="K25" s="1422">
        <v>0</v>
      </c>
      <c r="L25" s="1422">
        <v>0</v>
      </c>
      <c r="M25" s="1432">
        <f t="shared" si="0"/>
        <v>14809.65</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319.05</v>
      </c>
      <c r="F26" s="1422">
        <v>0</v>
      </c>
      <c r="G26" s="1422">
        <v>412519.63</v>
      </c>
      <c r="H26" s="1422">
        <v>94192.48</v>
      </c>
      <c r="I26" s="1422">
        <v>82027.17</v>
      </c>
      <c r="J26" s="1422">
        <v>0</v>
      </c>
      <c r="K26" s="1422">
        <v>0</v>
      </c>
      <c r="L26" s="1422">
        <v>0</v>
      </c>
      <c r="M26" s="1432">
        <f t="shared" si="0"/>
        <v>589058.32999999996</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288169</v>
      </c>
      <c r="E27" s="1423">
        <v>0</v>
      </c>
      <c r="F27" s="1422">
        <v>56580.33</v>
      </c>
      <c r="G27" s="1422">
        <v>606136.54</v>
      </c>
      <c r="H27" s="1422">
        <v>261276.66</v>
      </c>
      <c r="I27" s="1422">
        <v>103722.21</v>
      </c>
      <c r="J27" s="1422">
        <v>0</v>
      </c>
      <c r="K27" s="1422">
        <v>0</v>
      </c>
      <c r="L27" s="1422">
        <v>8208</v>
      </c>
      <c r="M27" s="1432">
        <f t="shared" si="0"/>
        <v>1324092.74</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18951.48</v>
      </c>
      <c r="G28" s="1422">
        <v>6217.83</v>
      </c>
      <c r="H28" s="1422">
        <v>15185.97</v>
      </c>
      <c r="I28" s="1422">
        <v>0</v>
      </c>
      <c r="J28" s="1422">
        <v>0</v>
      </c>
      <c r="K28" s="1422">
        <v>0</v>
      </c>
      <c r="L28" s="1422">
        <v>0</v>
      </c>
      <c r="M28" s="1432">
        <f t="shared" si="0"/>
        <v>40355.279999999999</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73656</v>
      </c>
      <c r="E29" s="1422">
        <v>0</v>
      </c>
      <c r="F29" s="1422">
        <v>3256.77</v>
      </c>
      <c r="G29" s="1422">
        <v>89512.639999999999</v>
      </c>
      <c r="H29" s="1423">
        <v>46580.78</v>
      </c>
      <c r="I29" s="1422">
        <v>39351.980000000003</v>
      </c>
      <c r="J29" s="1422">
        <v>0</v>
      </c>
      <c r="K29" s="1422">
        <v>0</v>
      </c>
      <c r="L29" s="1422">
        <v>758</v>
      </c>
      <c r="M29" s="1432">
        <f t="shared" si="0"/>
        <v>253116.17</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430734</v>
      </c>
      <c r="E30" s="1422">
        <v>0</v>
      </c>
      <c r="F30" s="1422">
        <v>21595.87</v>
      </c>
      <c r="G30" s="1422">
        <v>549247.35</v>
      </c>
      <c r="H30" s="1423">
        <v>380444.33</v>
      </c>
      <c r="I30" s="1422">
        <v>64975</v>
      </c>
      <c r="J30" s="1422">
        <v>0</v>
      </c>
      <c r="K30" s="1423">
        <v>141465.04999999999</v>
      </c>
      <c r="L30" s="1422">
        <v>49937</v>
      </c>
      <c r="M30" s="1432">
        <f t="shared" si="0"/>
        <v>1638398.6</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69091</v>
      </c>
      <c r="E31" s="1423">
        <v>0</v>
      </c>
      <c r="F31" s="1422">
        <v>41650.379999999997</v>
      </c>
      <c r="G31" s="1422">
        <v>912042.77</v>
      </c>
      <c r="H31" s="1423">
        <v>539768.09</v>
      </c>
      <c r="I31" s="1422">
        <v>67149.47</v>
      </c>
      <c r="J31" s="1422">
        <v>0</v>
      </c>
      <c r="K31" s="1422">
        <v>0</v>
      </c>
      <c r="L31" s="1423">
        <v>10062</v>
      </c>
      <c r="M31" s="1432">
        <f t="shared" si="0"/>
        <v>1639763.71</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84348.03</v>
      </c>
      <c r="G32" s="1422">
        <v>117121.55</v>
      </c>
      <c r="H32" s="1422">
        <v>110518.65</v>
      </c>
      <c r="I32" s="1422">
        <v>45046.75</v>
      </c>
      <c r="J32" s="1422">
        <v>0</v>
      </c>
      <c r="K32" s="1422">
        <v>2407.5500000000002</v>
      </c>
      <c r="L32" s="1423">
        <v>4253</v>
      </c>
      <c r="M32" s="1432">
        <f t="shared" si="0"/>
        <v>363695.52999999997</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1396964</v>
      </c>
      <c r="E33" s="1422">
        <v>0</v>
      </c>
      <c r="F33" s="1422">
        <v>279025.84999999998</v>
      </c>
      <c r="G33" s="1422">
        <v>923195.54</v>
      </c>
      <c r="H33" s="1422">
        <v>95723.14</v>
      </c>
      <c r="I33" s="1422">
        <v>1477.81</v>
      </c>
      <c r="J33" s="1422">
        <v>0</v>
      </c>
      <c r="K33" s="1422">
        <v>70606.48</v>
      </c>
      <c r="L33" s="1422">
        <v>0</v>
      </c>
      <c r="M33" s="1432">
        <f t="shared" si="0"/>
        <v>2766992.8200000003</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0</v>
      </c>
      <c r="F34" s="1422">
        <v>4222.21</v>
      </c>
      <c r="G34" s="1422">
        <v>10376.780000000001</v>
      </c>
      <c r="H34" s="1422">
        <v>2332312.9</v>
      </c>
      <c r="I34" s="1422">
        <v>91429.23</v>
      </c>
      <c r="J34" s="1422">
        <v>0</v>
      </c>
      <c r="K34" s="1423">
        <v>0</v>
      </c>
      <c r="L34" s="1422">
        <v>0</v>
      </c>
      <c r="M34" s="1432">
        <f t="shared" si="0"/>
        <v>2438341.12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15859.26</v>
      </c>
      <c r="F35" s="1422">
        <v>9527.9599999999991</v>
      </c>
      <c r="G35" s="1422">
        <v>273579.09000000003</v>
      </c>
      <c r="H35" s="1422">
        <v>55755.55</v>
      </c>
      <c r="I35" s="1422">
        <v>6596.89</v>
      </c>
      <c r="J35" s="1422">
        <v>0</v>
      </c>
      <c r="K35" s="1422">
        <v>0</v>
      </c>
      <c r="L35" s="1422">
        <v>0</v>
      </c>
      <c r="M35" s="1432">
        <f t="shared" si="0"/>
        <v>361318.75000000006</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5</v>
      </c>
      <c r="E36" s="1423">
        <v>177972.31</v>
      </c>
      <c r="F36" s="1423">
        <v>1494.79</v>
      </c>
      <c r="G36" s="1422">
        <v>2648405.7000000002</v>
      </c>
      <c r="H36" s="1423">
        <v>665520.36</v>
      </c>
      <c r="I36" s="1422">
        <v>224859.57</v>
      </c>
      <c r="J36" s="1422">
        <v>0</v>
      </c>
      <c r="K36" s="1422">
        <v>22486.61</v>
      </c>
      <c r="L36" s="1423">
        <v>387055</v>
      </c>
      <c r="M36" s="1432">
        <f t="shared" si="0"/>
        <v>4127799.34</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1167311</v>
      </c>
      <c r="E37" s="1423">
        <v>137136.91</v>
      </c>
      <c r="F37" s="1478">
        <v>538243.56999999995</v>
      </c>
      <c r="G37" s="1422">
        <v>3957202.88</v>
      </c>
      <c r="H37" s="1423">
        <v>3567388.11</v>
      </c>
      <c r="I37" s="1423">
        <v>419866.63</v>
      </c>
      <c r="J37" s="1422">
        <v>6919.18</v>
      </c>
      <c r="K37" s="1423">
        <v>256414.7</v>
      </c>
      <c r="L37" s="1423">
        <v>27136</v>
      </c>
      <c r="M37" s="1432">
        <f t="shared" si="0"/>
        <v>10077618.979999999</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102587</v>
      </c>
      <c r="E38" s="1422">
        <v>413710.91</v>
      </c>
      <c r="F38" s="1423">
        <v>55162.94</v>
      </c>
      <c r="G38" s="1422">
        <v>3523047.76</v>
      </c>
      <c r="H38" s="1423">
        <v>3927742.48</v>
      </c>
      <c r="I38" s="1423">
        <v>678381.51</v>
      </c>
      <c r="J38" s="1422">
        <v>6281.62</v>
      </c>
      <c r="K38" s="1423">
        <v>405054.5</v>
      </c>
      <c r="L38" s="1423">
        <v>9830</v>
      </c>
      <c r="M38" s="1432">
        <f t="shared" si="0"/>
        <v>9121798.7199999988</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75582</v>
      </c>
      <c r="E39" s="1422">
        <v>311.79000000000002</v>
      </c>
      <c r="F39" s="1422">
        <v>4821.08</v>
      </c>
      <c r="G39" s="1422">
        <v>9221.69</v>
      </c>
      <c r="H39" s="1422">
        <v>16121.79</v>
      </c>
      <c r="I39" s="1422">
        <v>14801.33</v>
      </c>
      <c r="J39" s="1422">
        <v>0</v>
      </c>
      <c r="K39" s="1422">
        <v>0</v>
      </c>
      <c r="L39" s="1422">
        <v>2536</v>
      </c>
      <c r="M39" s="1432">
        <f t="shared" si="0"/>
        <v>123395.68000000001</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161911</v>
      </c>
      <c r="E40" s="1422">
        <v>0</v>
      </c>
      <c r="F40" s="1422">
        <v>15018.09</v>
      </c>
      <c r="G40" s="1422">
        <v>1013229.95</v>
      </c>
      <c r="H40" s="1422">
        <v>263461.96000000002</v>
      </c>
      <c r="I40" s="1422">
        <v>571185.9</v>
      </c>
      <c r="J40" s="1422">
        <v>22446.78</v>
      </c>
      <c r="K40" s="1422">
        <v>0</v>
      </c>
      <c r="L40" s="1422">
        <v>0</v>
      </c>
      <c r="M40" s="1432">
        <f t="shared" si="0"/>
        <v>2047253.68</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83039</v>
      </c>
      <c r="E41" s="1422">
        <v>56150.11</v>
      </c>
      <c r="F41" s="1422">
        <v>39362.89</v>
      </c>
      <c r="G41" s="1422">
        <v>264862.11</v>
      </c>
      <c r="H41" s="1423">
        <v>466496.06</v>
      </c>
      <c r="I41" s="1422">
        <v>23437.93</v>
      </c>
      <c r="J41" s="1422">
        <v>0</v>
      </c>
      <c r="K41" s="1422">
        <v>0</v>
      </c>
      <c r="L41" s="1422">
        <v>0</v>
      </c>
      <c r="M41" s="1432">
        <f t="shared" si="0"/>
        <v>933348.1</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1087188</v>
      </c>
      <c r="E42" s="1423">
        <v>233824.75</v>
      </c>
      <c r="F42" s="1423">
        <v>151906.04</v>
      </c>
      <c r="G42" s="1422">
        <v>170596.38</v>
      </c>
      <c r="H42" s="1423">
        <v>1024905.96</v>
      </c>
      <c r="I42" s="1423">
        <v>622328.97</v>
      </c>
      <c r="J42" s="1423">
        <v>1954469.31</v>
      </c>
      <c r="K42" s="1422">
        <v>0</v>
      </c>
      <c r="L42" s="1423">
        <v>805756</v>
      </c>
      <c r="M42" s="1432">
        <f t="shared" si="0"/>
        <v>6050975.4100000001</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549526</v>
      </c>
      <c r="E43" s="1422">
        <v>44395.6</v>
      </c>
      <c r="F43" s="1423">
        <v>85851.47</v>
      </c>
      <c r="G43" s="1422">
        <v>677665.91</v>
      </c>
      <c r="H43" s="1423">
        <v>4142670.34</v>
      </c>
      <c r="I43" s="1423">
        <v>12872.05</v>
      </c>
      <c r="J43" s="1423">
        <v>1007189.17</v>
      </c>
      <c r="K43" s="1423">
        <v>0</v>
      </c>
      <c r="L43" s="1423">
        <v>28081</v>
      </c>
      <c r="M43" s="1432">
        <f t="shared" si="0"/>
        <v>6548251.54</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517683</v>
      </c>
      <c r="E44" s="1422">
        <v>0</v>
      </c>
      <c r="F44" s="1423">
        <v>65446.01</v>
      </c>
      <c r="G44" s="1422">
        <v>119442.08</v>
      </c>
      <c r="H44" s="1422">
        <v>613515.32999999996</v>
      </c>
      <c r="I44" s="1422">
        <v>3893.62</v>
      </c>
      <c r="J44" s="1422">
        <v>0</v>
      </c>
      <c r="K44" s="1422">
        <v>24794.49</v>
      </c>
      <c r="L44" s="1423">
        <v>437332</v>
      </c>
      <c r="M44" s="1432">
        <f t="shared" si="0"/>
        <v>1782106.53</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8062</v>
      </c>
      <c r="E45" s="1423">
        <v>0</v>
      </c>
      <c r="F45" s="1422">
        <v>49861.79</v>
      </c>
      <c r="G45" s="1422">
        <v>1643431.38</v>
      </c>
      <c r="H45" s="1423">
        <v>1208743.25</v>
      </c>
      <c r="I45" s="1423">
        <v>867963.93</v>
      </c>
      <c r="J45" s="1422">
        <v>0</v>
      </c>
      <c r="K45" s="1423">
        <v>13187.6</v>
      </c>
      <c r="L45" s="1422">
        <v>944078</v>
      </c>
      <c r="M45" s="1432">
        <f t="shared" si="0"/>
        <v>4735327.95</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1089598</v>
      </c>
      <c r="E46" s="1423">
        <v>22902.44</v>
      </c>
      <c r="F46" s="1423">
        <v>97378.93</v>
      </c>
      <c r="G46" s="1422">
        <v>110211.16</v>
      </c>
      <c r="H46" s="1423">
        <v>215309.95</v>
      </c>
      <c r="I46" s="1422">
        <v>149400.21</v>
      </c>
      <c r="J46" s="1422">
        <v>0</v>
      </c>
      <c r="K46" s="1422">
        <v>0.7</v>
      </c>
      <c r="L46" s="1423">
        <v>25898</v>
      </c>
      <c r="M46" s="1432">
        <f t="shared" si="0"/>
        <v>1710699.3899999997</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123398</v>
      </c>
      <c r="E47" s="1423">
        <v>0</v>
      </c>
      <c r="F47" s="1422">
        <v>1656.7</v>
      </c>
      <c r="G47" s="1422">
        <v>8970.17</v>
      </c>
      <c r="H47" s="1422">
        <v>40803.67</v>
      </c>
      <c r="I47" s="1422">
        <v>42979.68</v>
      </c>
      <c r="J47" s="1422">
        <v>0</v>
      </c>
      <c r="K47" s="1423">
        <v>0</v>
      </c>
      <c r="L47" s="1423">
        <v>962</v>
      </c>
      <c r="M47" s="1432">
        <f t="shared" si="0"/>
        <v>218770.21999999997</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611</v>
      </c>
      <c r="E48" s="1422">
        <v>0</v>
      </c>
      <c r="F48" s="1422">
        <v>4645.18</v>
      </c>
      <c r="G48" s="1422">
        <v>124186.56</v>
      </c>
      <c r="H48" s="1422">
        <v>31103.86</v>
      </c>
      <c r="I48" s="1422">
        <v>138763.09</v>
      </c>
      <c r="J48" s="1422">
        <v>0</v>
      </c>
      <c r="K48" s="1422">
        <v>0</v>
      </c>
      <c r="L48" s="1423">
        <v>754</v>
      </c>
      <c r="M48" s="1432">
        <f t="shared" si="0"/>
        <v>300063.68999999994</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24591</v>
      </c>
      <c r="E49" s="1422">
        <v>0</v>
      </c>
      <c r="F49" s="1422">
        <v>7032.99</v>
      </c>
      <c r="G49" s="1423">
        <v>156785.47</v>
      </c>
      <c r="H49" s="1422">
        <v>9902.5</v>
      </c>
      <c r="I49" s="1422">
        <v>20282.599999999999</v>
      </c>
      <c r="J49" s="1422">
        <v>0</v>
      </c>
      <c r="K49" s="1422">
        <v>0</v>
      </c>
      <c r="L49" s="1423">
        <v>5960</v>
      </c>
      <c r="M49" s="1432">
        <f t="shared" si="0"/>
        <v>224554.56</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331555</v>
      </c>
      <c r="E50" s="1423">
        <v>49468.99</v>
      </c>
      <c r="F50" s="1423">
        <v>7084.27</v>
      </c>
      <c r="G50" s="1422">
        <v>610119.61</v>
      </c>
      <c r="H50" s="1423">
        <v>149902.54</v>
      </c>
      <c r="I50" s="1422">
        <v>784120.66</v>
      </c>
      <c r="J50" s="1422">
        <v>0</v>
      </c>
      <c r="K50" s="1422">
        <v>28923.05</v>
      </c>
      <c r="L50" s="1423">
        <v>25553</v>
      </c>
      <c r="M50" s="1432">
        <f t="shared" si="0"/>
        <v>1986727.1199999999</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2859309</v>
      </c>
      <c r="E51" s="1433">
        <v>221131.58</v>
      </c>
      <c r="F51" s="1433">
        <v>664814.15</v>
      </c>
      <c r="G51" s="1424">
        <v>2680305.5</v>
      </c>
      <c r="H51" s="1433">
        <v>1430080.49</v>
      </c>
      <c r="I51" s="1433">
        <v>269228.46000000002</v>
      </c>
      <c r="J51" s="1433">
        <v>394607.37</v>
      </c>
      <c r="K51" s="1434">
        <v>9788.43</v>
      </c>
      <c r="L51" s="1433">
        <v>553444</v>
      </c>
      <c r="M51" s="1435">
        <f t="shared" si="0"/>
        <v>9082708.9800000004</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10812016</v>
      </c>
      <c r="E52" s="1428">
        <f t="shared" ref="E52:L52" si="1">SUM(E22:E51)</f>
        <v>1380453.28</v>
      </c>
      <c r="F52" s="1428">
        <f t="shared" si="1"/>
        <v>2325991.63</v>
      </c>
      <c r="G52" s="1428">
        <f t="shared" si="1"/>
        <v>22556594.559999995</v>
      </c>
      <c r="H52" s="1428">
        <f t="shared" si="1"/>
        <v>25162945.939999998</v>
      </c>
      <c r="I52" s="1428">
        <f t="shared" si="1"/>
        <v>5672059.3399999989</v>
      </c>
      <c r="J52" s="1428">
        <f t="shared" si="1"/>
        <v>3411437.5100000002</v>
      </c>
      <c r="K52" s="1428">
        <f t="shared" si="1"/>
        <v>1798984.06</v>
      </c>
      <c r="L52" s="1428">
        <f t="shared" si="1"/>
        <v>3549306</v>
      </c>
      <c r="M52" s="1428">
        <f>SUM(M22:M51)</f>
        <v>76669788.320000008</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1555</v>
      </c>
      <c r="E56" s="1426">
        <v>42837.33</v>
      </c>
      <c r="F56" s="1479">
        <v>28543.37</v>
      </c>
      <c r="G56" s="1426">
        <v>971367.69</v>
      </c>
      <c r="H56" s="1427">
        <v>1425883.23</v>
      </c>
      <c r="I56" s="1426">
        <v>151540</v>
      </c>
      <c r="J56" s="1426">
        <v>0</v>
      </c>
      <c r="K56" s="1426">
        <v>12926.16</v>
      </c>
      <c r="L56" s="1427">
        <v>0</v>
      </c>
      <c r="M56" s="1440">
        <f t="shared" ref="M56:M62" si="2">SUM(D56:L56)</f>
        <v>2634652.7800000003</v>
      </c>
      <c r="O56" s="938"/>
      <c r="P56" s="936"/>
    </row>
    <row r="57" spans="1:55" ht="15.75">
      <c r="A57" s="936"/>
      <c r="B57" s="936" t="s">
        <v>598</v>
      </c>
      <c r="C57" s="932"/>
      <c r="D57" s="1427">
        <v>406085</v>
      </c>
      <c r="E57" s="1426">
        <v>0</v>
      </c>
      <c r="F57" s="1480">
        <v>782.74</v>
      </c>
      <c r="G57" s="1427">
        <v>5115.63</v>
      </c>
      <c r="H57" s="1426">
        <v>735.55</v>
      </c>
      <c r="I57" s="1426">
        <v>7311</v>
      </c>
      <c r="J57" s="1426">
        <v>0</v>
      </c>
      <c r="K57" s="1426">
        <v>0</v>
      </c>
      <c r="L57" s="1426">
        <v>0</v>
      </c>
      <c r="M57" s="1440">
        <f t="shared" si="2"/>
        <v>420029.92</v>
      </c>
      <c r="O57" s="938"/>
      <c r="P57" s="936"/>
    </row>
    <row r="58" spans="1:55" ht="15.75">
      <c r="A58" s="936"/>
      <c r="B58" s="936" t="s">
        <v>599</v>
      </c>
      <c r="C58" s="932"/>
      <c r="D58" s="1426">
        <v>0</v>
      </c>
      <c r="E58" s="1426">
        <v>1901.24</v>
      </c>
      <c r="F58" s="1480">
        <v>360.48</v>
      </c>
      <c r="G58" s="1426">
        <v>121929.7</v>
      </c>
      <c r="H58" s="1427">
        <v>93279.74</v>
      </c>
      <c r="I58" s="1426">
        <v>20879</v>
      </c>
      <c r="J58" s="1426">
        <v>0</v>
      </c>
      <c r="K58" s="1426">
        <v>0</v>
      </c>
      <c r="L58" s="1426">
        <v>0</v>
      </c>
      <c r="M58" s="1440">
        <f t="shared" si="2"/>
        <v>238350.16</v>
      </c>
      <c r="O58" s="938"/>
      <c r="P58" s="936"/>
    </row>
    <row r="59" spans="1:55" ht="15.75">
      <c r="A59" s="936"/>
      <c r="B59" s="936" t="s">
        <v>600</v>
      </c>
      <c r="C59" s="932"/>
      <c r="D59" s="1426">
        <v>474552</v>
      </c>
      <c r="E59" s="1427">
        <v>16368.98</v>
      </c>
      <c r="F59" s="1479">
        <v>303968.06</v>
      </c>
      <c r="G59" s="1426">
        <v>1680104.09</v>
      </c>
      <c r="H59" s="1427">
        <v>842178.67</v>
      </c>
      <c r="I59" s="1427">
        <v>170235</v>
      </c>
      <c r="J59" s="1426">
        <v>0</v>
      </c>
      <c r="K59" s="1426">
        <v>54156.480000000003</v>
      </c>
      <c r="L59" s="1426">
        <v>27136</v>
      </c>
      <c r="M59" s="1440">
        <f t="shared" si="2"/>
        <v>3568699.28</v>
      </c>
      <c r="O59" s="938"/>
      <c r="P59" s="936"/>
    </row>
    <row r="60" spans="1:55" ht="15.75">
      <c r="A60" s="936"/>
      <c r="B60" s="936" t="s">
        <v>601</v>
      </c>
      <c r="C60" s="932"/>
      <c r="D60" s="1426">
        <v>0</v>
      </c>
      <c r="E60" s="1426">
        <v>0</v>
      </c>
      <c r="F60" s="1480">
        <v>71995.62</v>
      </c>
      <c r="G60" s="1426">
        <v>429164.34</v>
      </c>
      <c r="H60" s="1426">
        <v>642953.42000000004</v>
      </c>
      <c r="I60" s="1426">
        <v>59977</v>
      </c>
      <c r="J60" s="1426">
        <v>0</v>
      </c>
      <c r="K60" s="1426">
        <v>0</v>
      </c>
      <c r="L60" s="1426">
        <v>0</v>
      </c>
      <c r="M60" s="1440">
        <f t="shared" si="2"/>
        <v>1204090.3800000001</v>
      </c>
      <c r="O60" s="938"/>
      <c r="P60" s="936"/>
    </row>
    <row r="61" spans="1:55" ht="15.75">
      <c r="A61" s="936"/>
      <c r="B61" s="936" t="s">
        <v>602</v>
      </c>
      <c r="C61" s="932"/>
      <c r="D61" s="1426">
        <v>0</v>
      </c>
      <c r="E61" s="1426">
        <v>0</v>
      </c>
      <c r="F61" s="1480">
        <v>0</v>
      </c>
      <c r="G61" s="1426">
        <v>0</v>
      </c>
      <c r="H61" s="1426">
        <v>0</v>
      </c>
      <c r="I61" s="1426">
        <v>0</v>
      </c>
      <c r="J61" s="1426">
        <v>0</v>
      </c>
      <c r="K61" s="1426">
        <v>0</v>
      </c>
      <c r="L61" s="1426">
        <v>0</v>
      </c>
      <c r="M61" s="1440">
        <f t="shared" si="2"/>
        <v>0</v>
      </c>
      <c r="O61" s="938"/>
      <c r="P61" s="936"/>
    </row>
    <row r="62" spans="1:55" ht="16.5" thickBot="1">
      <c r="A62" s="936"/>
      <c r="B62" s="929" t="s">
        <v>603</v>
      </c>
      <c r="C62" s="946"/>
      <c r="D62" s="1424">
        <v>285118</v>
      </c>
      <c r="E62" s="1424">
        <v>76029.350000000006</v>
      </c>
      <c r="F62" s="1481">
        <v>132593.29999999999</v>
      </c>
      <c r="G62" s="1424">
        <v>749521.43</v>
      </c>
      <c r="H62" s="1433">
        <v>562357.5</v>
      </c>
      <c r="I62" s="1424">
        <v>9925</v>
      </c>
      <c r="J62" s="1424">
        <v>0</v>
      </c>
      <c r="K62" s="1451">
        <v>189332.06</v>
      </c>
      <c r="L62" s="1424">
        <v>0</v>
      </c>
      <c r="M62" s="1442">
        <f t="shared" si="2"/>
        <v>2004876.6400000001</v>
      </c>
      <c r="O62" s="938"/>
      <c r="P62" s="936"/>
    </row>
    <row r="63" spans="1:55" ht="15.75">
      <c r="A63" s="936"/>
      <c r="B63" s="1074" t="s">
        <v>0</v>
      </c>
      <c r="C63" s="1074" t="s">
        <v>604</v>
      </c>
      <c r="D63" s="1428">
        <f t="shared" ref="D63:I63" si="3">SUM(D56:D62)</f>
        <v>1167310</v>
      </c>
      <c r="E63" s="1428">
        <f t="shared" si="3"/>
        <v>137136.90000000002</v>
      </c>
      <c r="F63" s="1428">
        <f t="shared" si="3"/>
        <v>538243.57000000007</v>
      </c>
      <c r="G63" s="1428">
        <f t="shared" si="3"/>
        <v>3957202.8800000004</v>
      </c>
      <c r="H63" s="1428">
        <f t="shared" si="3"/>
        <v>3567388.11</v>
      </c>
      <c r="I63" s="1428">
        <f t="shared" si="3"/>
        <v>419867</v>
      </c>
      <c r="J63" s="1426" t="s">
        <v>566</v>
      </c>
      <c r="K63" s="1428">
        <f>SUM(K56:K62)</f>
        <v>256414.7</v>
      </c>
      <c r="L63" s="1428">
        <f>SUM(L56:L62)</f>
        <v>27136</v>
      </c>
      <c r="M63" s="1443">
        <f>SUM(M56:M62)</f>
        <v>10070699.16</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23297</v>
      </c>
      <c r="E68" s="1427">
        <v>8386.7999999999993</v>
      </c>
      <c r="F68" s="1427">
        <v>0</v>
      </c>
      <c r="G68" s="1426">
        <v>131942.35999999999</v>
      </c>
      <c r="H68" s="1427">
        <v>93629.34</v>
      </c>
      <c r="I68" s="1427">
        <v>46656</v>
      </c>
      <c r="J68" s="1426">
        <v>0</v>
      </c>
      <c r="K68" s="1426">
        <v>0</v>
      </c>
      <c r="L68" s="1426">
        <v>0</v>
      </c>
      <c r="M68" s="1443">
        <f t="shared" ref="M68:M75" si="4">SUM(D68:L68)</f>
        <v>303911.5</v>
      </c>
      <c r="O68" s="938"/>
      <c r="P68" s="936"/>
    </row>
    <row r="69" spans="1:16" ht="15.75">
      <c r="A69" s="936"/>
      <c r="B69" s="936" t="s">
        <v>599</v>
      </c>
      <c r="C69" s="932"/>
      <c r="D69" s="1426">
        <v>0</v>
      </c>
      <c r="E69" s="1426">
        <v>0</v>
      </c>
      <c r="F69" s="1426">
        <v>0</v>
      </c>
      <c r="G69" s="1426">
        <v>8527.91</v>
      </c>
      <c r="H69" s="1426">
        <v>1306.6400000000001</v>
      </c>
      <c r="I69" s="1426">
        <v>19044</v>
      </c>
      <c r="J69" s="1426">
        <v>0</v>
      </c>
      <c r="K69" s="1426">
        <v>0</v>
      </c>
      <c r="L69" s="1426">
        <v>0</v>
      </c>
      <c r="M69" s="1443">
        <f t="shared" si="4"/>
        <v>28878.55</v>
      </c>
      <c r="O69" s="938"/>
      <c r="P69" s="936"/>
    </row>
    <row r="70" spans="1:16" ht="15.75">
      <c r="A70" s="936"/>
      <c r="B70" s="936" t="s">
        <v>607</v>
      </c>
      <c r="C70" s="932"/>
      <c r="D70" s="1426">
        <v>0</v>
      </c>
      <c r="E70" s="1427">
        <v>36463.21</v>
      </c>
      <c r="F70" s="1426">
        <v>0</v>
      </c>
      <c r="G70" s="1426">
        <v>941810.21</v>
      </c>
      <c r="H70" s="1426">
        <v>1915418.26</v>
      </c>
      <c r="I70" s="1426">
        <v>124491</v>
      </c>
      <c r="J70" s="1426">
        <v>0</v>
      </c>
      <c r="K70" s="1426">
        <v>174849.44</v>
      </c>
      <c r="L70" s="1426">
        <v>988</v>
      </c>
      <c r="M70" s="1443">
        <f t="shared" si="4"/>
        <v>3194020.1199999996</v>
      </c>
      <c r="O70" s="938"/>
      <c r="P70" s="936"/>
    </row>
    <row r="71" spans="1:16" ht="15.75">
      <c r="A71" s="936"/>
      <c r="B71" s="936" t="s">
        <v>600</v>
      </c>
      <c r="C71" s="932"/>
      <c r="D71" s="1426">
        <v>1261</v>
      </c>
      <c r="E71" s="1427">
        <v>0</v>
      </c>
      <c r="F71" s="1427">
        <v>7537.6</v>
      </c>
      <c r="G71" s="1426">
        <v>784303.09</v>
      </c>
      <c r="H71" s="1427">
        <v>602522.6</v>
      </c>
      <c r="I71" s="1426">
        <v>155624</v>
      </c>
      <c r="J71" s="1426">
        <v>0</v>
      </c>
      <c r="K71" s="1426">
        <v>0</v>
      </c>
      <c r="L71" s="1427">
        <v>5021</v>
      </c>
      <c r="M71" s="1443">
        <f t="shared" si="4"/>
        <v>1556269.29</v>
      </c>
      <c r="O71" s="938"/>
      <c r="P71" s="936"/>
    </row>
    <row r="72" spans="1:16" ht="15.75">
      <c r="A72" s="936"/>
      <c r="B72" s="936" t="s">
        <v>608</v>
      </c>
      <c r="C72" s="932"/>
      <c r="D72" s="1426">
        <v>1693</v>
      </c>
      <c r="E72" s="1426">
        <v>0</v>
      </c>
      <c r="F72" s="1426">
        <v>0</v>
      </c>
      <c r="G72" s="1426">
        <v>44392.35</v>
      </c>
      <c r="H72" s="1426">
        <v>22710.63</v>
      </c>
      <c r="I72" s="1426">
        <v>9200</v>
      </c>
      <c r="J72" s="1426">
        <v>0</v>
      </c>
      <c r="K72" s="1426">
        <v>0</v>
      </c>
      <c r="L72" s="1426">
        <v>1398</v>
      </c>
      <c r="M72" s="1443">
        <f t="shared" si="4"/>
        <v>79393.98</v>
      </c>
      <c r="O72" s="938"/>
      <c r="P72" s="936"/>
    </row>
    <row r="73" spans="1:16" ht="15.75">
      <c r="A73" s="936"/>
      <c r="B73" s="936" t="s">
        <v>609</v>
      </c>
      <c r="C73" s="932"/>
      <c r="D73" s="1426">
        <v>13952</v>
      </c>
      <c r="E73" s="1426">
        <v>0</v>
      </c>
      <c r="F73" s="1426">
        <v>6224.35</v>
      </c>
      <c r="G73" s="1426">
        <v>279814.84000000003</v>
      </c>
      <c r="H73" s="1426">
        <v>201510.09</v>
      </c>
      <c r="I73" s="1426">
        <v>195125</v>
      </c>
      <c r="J73" s="1426">
        <v>0</v>
      </c>
      <c r="K73" s="1426">
        <v>0</v>
      </c>
      <c r="L73" s="1426">
        <v>0</v>
      </c>
      <c r="M73" s="1443">
        <f t="shared" si="4"/>
        <v>696626.28</v>
      </c>
      <c r="O73" s="938"/>
      <c r="P73" s="936"/>
    </row>
    <row r="74" spans="1:16" ht="15.75">
      <c r="A74" s="936"/>
      <c r="B74" s="936" t="s">
        <v>601</v>
      </c>
      <c r="C74" s="932"/>
      <c r="D74" s="1426">
        <v>0</v>
      </c>
      <c r="E74" s="1426">
        <v>0</v>
      </c>
      <c r="F74" s="1426">
        <v>0</v>
      </c>
      <c r="G74" s="1426">
        <v>220982.99</v>
      </c>
      <c r="H74" s="1426">
        <v>252031.26</v>
      </c>
      <c r="I74" s="1426">
        <v>262</v>
      </c>
      <c r="J74" s="1426">
        <v>0</v>
      </c>
      <c r="K74" s="1426">
        <v>33602.14</v>
      </c>
      <c r="L74" s="1426">
        <v>0</v>
      </c>
      <c r="M74" s="1443">
        <f t="shared" si="4"/>
        <v>506878.39</v>
      </c>
      <c r="O74" s="938"/>
      <c r="P74" s="936"/>
    </row>
    <row r="75" spans="1:16" ht="16.5" thickBot="1">
      <c r="A75" s="936"/>
      <c r="B75" s="929" t="s">
        <v>603</v>
      </c>
      <c r="C75" s="946"/>
      <c r="D75" s="1424">
        <v>62384</v>
      </c>
      <c r="E75" s="1433">
        <v>368860.9</v>
      </c>
      <c r="F75" s="1433">
        <v>41401</v>
      </c>
      <c r="G75" s="1424">
        <v>1111274.01</v>
      </c>
      <c r="H75" s="1433">
        <v>838613.66</v>
      </c>
      <c r="I75" s="1424">
        <v>127979</v>
      </c>
      <c r="J75" s="1424">
        <v>0</v>
      </c>
      <c r="K75" s="1424">
        <v>196602.92</v>
      </c>
      <c r="L75" s="1433">
        <v>2423</v>
      </c>
      <c r="M75" s="1447">
        <f t="shared" si="4"/>
        <v>2749538.49</v>
      </c>
      <c r="O75" s="938"/>
      <c r="P75" s="936"/>
    </row>
    <row r="76" spans="1:16" ht="15.75">
      <c r="A76" s="936"/>
      <c r="C76" s="1074" t="s">
        <v>604</v>
      </c>
      <c r="D76" s="1428">
        <f t="shared" ref="D76:I76" si="5">SUM(D68:D75)</f>
        <v>102587</v>
      </c>
      <c r="E76" s="1428">
        <f t="shared" si="5"/>
        <v>413710.91000000003</v>
      </c>
      <c r="F76" s="1428">
        <f t="shared" si="5"/>
        <v>55162.95</v>
      </c>
      <c r="G76" s="1428">
        <f t="shared" si="5"/>
        <v>3523047.76</v>
      </c>
      <c r="H76" s="1428">
        <f t="shared" si="5"/>
        <v>3927742.4799999995</v>
      </c>
      <c r="I76" s="1428">
        <f t="shared" si="5"/>
        <v>678381</v>
      </c>
      <c r="J76" s="1426" t="s">
        <v>566</v>
      </c>
      <c r="K76" s="1428">
        <f>SUM(K68:K75)</f>
        <v>405054.5</v>
      </c>
      <c r="L76" s="1428">
        <f>SUM(L68:L75)</f>
        <v>9830</v>
      </c>
      <c r="M76" s="1443">
        <f>SUM(M68:M75)</f>
        <v>9115516.5999999996</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41.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D22" sqref="D22"/>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968</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7">
        <f>+'Secteur d''activité déc. 14 '!D22/'Secteur d''activité déc. 14 '!$D$52</f>
        <v>0</v>
      </c>
      <c r="E22" s="917">
        <f>+'Secteur d''activité déc. 14 '!E22/'Secteur d''activité déc. 14 '!$E$52</f>
        <v>0</v>
      </c>
      <c r="F22" s="917">
        <f>+'Secteur d''activité déc. 14 '!F22/'Secteur d''activité déc. 14 '!$F$52</f>
        <v>0</v>
      </c>
      <c r="G22" s="917">
        <f>+'Secteur d''activité déc. 14 '!G22/'Secteur d''activité déc. 14 '!$G$52</f>
        <v>7.1725809305852974E-5</v>
      </c>
      <c r="H22" s="917">
        <f>+'Secteur d''activité déc. 14 '!H22/'Secteur d''activité déc. 14 '!$H$52</f>
        <v>3.7060386419921713E-3</v>
      </c>
      <c r="I22" s="917">
        <f>+'Secteur d''activité déc. 14 '!I22/'Secteur d''activité déc. 14 '!$I$52</f>
        <v>0</v>
      </c>
      <c r="J22" s="917">
        <f>+'Secteur d''activité déc. 14 '!J22/'Secteur d''activité déc. 14 '!$J$52</f>
        <v>0</v>
      </c>
      <c r="K22" s="917">
        <f>+'Secteur d''activité déc. 14 '!K22/'Secteur d''activité déc. 14 '!$K$52</f>
        <v>0</v>
      </c>
      <c r="L22" s="917">
        <f>+'Secteur d''activité déc. 14 '!L22/'Secteur d''activité déc. 14 '!$L$52</f>
        <v>0</v>
      </c>
      <c r="M22" s="1482">
        <f>+'Secteur d''activité déc. 14 '!M22/'Secteur d''activité déc. 14 '!$M$52</f>
        <v>1.2374201374343902E-3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f>+'Secteur d''activité déc. 14 '!D23/'Secteur d''activité déc. 14 '!$D$52</f>
        <v>3.3416709705202066E-2</v>
      </c>
      <c r="E23" s="917">
        <f>+'Secteur d''activité déc. 14 '!E23/'Secteur d''activité déc. 14 '!$E$52</f>
        <v>4.9307355045003767E-3</v>
      </c>
      <c r="F23" s="917">
        <f>+'Secteur d''activité déc. 14 '!F23/'Secteur d''activité déc. 14 '!$F$52</f>
        <v>1.4766046256150976E-3</v>
      </c>
      <c r="G23" s="917">
        <f>+'Secteur d''activité déc. 14 '!G23/'Secteur d''activité déc. 14 '!$G$52</f>
        <v>1.5432658909306568E-2</v>
      </c>
      <c r="H23" s="917">
        <f>+'Secteur d''activité déc. 14 '!H23/'Secteur d''activité déc. 14 '!$H$52</f>
        <v>4.9311089129176908E-2</v>
      </c>
      <c r="I23" s="917">
        <f>+'Secteur d''activité déc. 14 '!I23/'Secteur d''activité déc. 14 '!$I$52</f>
        <v>3.8064963192010623E-2</v>
      </c>
      <c r="J23" s="917">
        <f>+'Secteur d''activité déc. 14 '!J23/'Secteur d''activité déc. 14 '!$J$52</f>
        <v>5.7231240328362342E-3</v>
      </c>
      <c r="K23" s="917">
        <f>+'Secteur d''activité déc. 14 '!K23/'Secteur d''activité déc. 14 '!$K$52</f>
        <v>0.23576282271228127</v>
      </c>
      <c r="L23" s="917">
        <f>+'Secteur d''activité déc. 14 '!L23/'Secteur d''activité déc. 14 '!$L$52</f>
        <v>4.3454692269418303E-2</v>
      </c>
      <c r="M23" s="1482">
        <f>+'Secteur d''activité déc. 14 '!M23/'Secteur d''activité déc. 14 '!$M$52</f>
        <v>3.6184553926521132E-2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f>+'Secteur d''activité déc. 14 '!D24/'Secteur d''activité déc. 14 '!$D$52</f>
        <v>3.6616667973854276E-4</v>
      </c>
      <c r="E24" s="917">
        <f>+'Secteur d''activité déc. 14 '!E24/'Secteur d''activité déc. 14 '!$E$52</f>
        <v>0</v>
      </c>
      <c r="F24" s="917">
        <f>+'Secteur d''activité déc. 14 '!F24/'Secteur d''activité déc. 14 '!$F$52</f>
        <v>3.7504305206807645E-3</v>
      </c>
      <c r="G24" s="917">
        <f>+'Secteur d''activité déc. 14 '!G24/'Secteur d''activité déc. 14 '!$G$52</f>
        <v>2.5977614149216687E-2</v>
      </c>
      <c r="H24" s="917">
        <f>+'Secteur d''activité déc. 14 '!H24/'Secteur d''activité déc. 14 '!$H$52</f>
        <v>8.4388037277641603E-2</v>
      </c>
      <c r="I24" s="917">
        <f>+'Secteur d''activité déc. 14 '!I24/'Secteur d''activité déc. 14 '!$I$52</f>
        <v>1.9395065073490578E-2</v>
      </c>
      <c r="J24" s="917">
        <f>+'Secteur d''activité déc. 14 '!J24/'Secteur d''activité déc. 14 '!$J$52</f>
        <v>0</v>
      </c>
      <c r="K24" s="917">
        <f>+'Secteur d''activité déc. 14 '!K24/'Secteur d''activité déc. 14 '!$K$52</f>
        <v>0.2221928192070807</v>
      </c>
      <c r="L24" s="917">
        <f>+'Secteur d''activité déc. 14 '!L24/'Secteur d''activité déc. 14 '!$L$52</f>
        <v>1.901188570385309E-2</v>
      </c>
      <c r="M24" s="1482">
        <f>+'Secteur d''activité déc. 14 '!M24/'Secteur d''activité déc. 14 '!$M$52</f>
        <v>4.3032737826658965E-2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f>+'Secteur d''activité déc. 14 '!D25/'Secteur d''activité déc. 14 '!$D$52</f>
        <v>5.7204872800780174E-4</v>
      </c>
      <c r="E25" s="917">
        <f>+'Secteur d''activité déc. 14 '!E25/'Secteur d''activité déc. 14 '!$E$52</f>
        <v>3.3534637260596028E-4</v>
      </c>
      <c r="F25" s="917">
        <f>+'Secteur d''activité déc. 14 '!F25/'Secteur d''activité déc. 14 '!$F$52</f>
        <v>2.1039714575413152E-3</v>
      </c>
      <c r="G25" s="917">
        <f>+'Secteur d''activité déc. 14 '!G25/'Secteur d''activité déc. 14 '!$G$52</f>
        <v>1.4487559242630643E-4</v>
      </c>
      <c r="H25" s="917">
        <f>+'Secteur d''activité déc. 14 '!H25/'Secteur d''activité déc. 14 '!$H$52</f>
        <v>0</v>
      </c>
      <c r="I25" s="917">
        <f>+'Secteur d''activité déc. 14 '!I25/'Secteur d''activité déc. 14 '!$I$52</f>
        <v>0</v>
      </c>
      <c r="J25" s="917">
        <f>+'Secteur d''activité déc. 14 '!J25/'Secteur d''activité déc. 14 '!$J$52</f>
        <v>0</v>
      </c>
      <c r="K25" s="917">
        <f>+'Secteur d''activité déc. 14 '!K25/'Secteur d''activité déc. 14 '!$K$52</f>
        <v>0</v>
      </c>
      <c r="L25" s="917">
        <f>+'Secteur d''activité déc. 14 '!L25/'Secteur d''activité déc. 14 '!$L$52</f>
        <v>0</v>
      </c>
      <c r="M25" s="1482">
        <f>+'Secteur d''activité déc. 14 '!M25/'Secteur d''activité déc. 14 '!$M$52</f>
        <v>1.9316148282799901E-4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7">
        <f>+'Secteur d''activité déc. 14 '!D26/'Secteur d''activité déc. 14 '!$D$52</f>
        <v>0</v>
      </c>
      <c r="E26" s="917">
        <f>+'Secteur d''activité déc. 14 '!E26/'Secteur d''activité déc. 14 '!$E$52</f>
        <v>2.3111973771397753E-4</v>
      </c>
      <c r="F26" s="917">
        <f>+'Secteur d''activité déc. 14 '!F26/'Secteur d''activité déc. 14 '!$F$52</f>
        <v>0</v>
      </c>
      <c r="G26" s="917">
        <f>+'Secteur d''activité déc. 14 '!G26/'Secteur d''activité déc. 14 '!$G$52</f>
        <v>1.8288205203259196E-2</v>
      </c>
      <c r="H26" s="917">
        <f>+'Secteur d''activité déc. 14 '!H26/'Secteur d''activité déc. 14 '!$H$52</f>
        <v>3.7433009721754384E-3</v>
      </c>
      <c r="I26" s="917">
        <f>+'Secteur d''activité déc. 14 '!I26/'Secteur d''activité déc. 14 '!$I$52</f>
        <v>1.4461620565485835E-2</v>
      </c>
      <c r="J26" s="917">
        <f>+'Secteur d''activité déc. 14 '!J26/'Secteur d''activité déc. 14 '!$J$52</f>
        <v>0</v>
      </c>
      <c r="K26" s="917">
        <f>+'Secteur d''activité déc. 14 '!K26/'Secteur d''activité déc. 14 '!$K$52</f>
        <v>0</v>
      </c>
      <c r="L26" s="917">
        <f>+'Secteur d''activité déc. 14 '!L26/'Secteur d''activité déc. 14 '!$L$52</f>
        <v>0</v>
      </c>
      <c r="M26" s="1482">
        <f>+'Secteur d''activité déc. 14 '!M26/'Secteur d''activité déc. 14 '!$M$52</f>
        <v>7.6830566890496912E-3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f>+'Secteur d''activité déc. 14 '!D27/'Secteur d''activité déc. 14 '!$D$52</f>
        <v>2.6652661261322586E-2</v>
      </c>
      <c r="E27" s="917">
        <f>+'Secteur d''activité déc. 14 '!E27/'Secteur d''activité déc. 14 '!$E$52</f>
        <v>0</v>
      </c>
      <c r="F27" s="917">
        <f>+'Secteur d''activité déc. 14 '!F27/'Secteur d''activité déc. 14 '!$F$52</f>
        <v>2.4325250903847837E-2</v>
      </c>
      <c r="G27" s="917">
        <f>+'Secteur d''activité déc. 14 '!G27/'Secteur d''activité déc. 14 '!$G$52</f>
        <v>2.6871810741984636E-2</v>
      </c>
      <c r="H27" s="917">
        <f>+'Secteur d''activité déc. 14 '!H27/'Secteur d''activité déc. 14 '!$H$52</f>
        <v>1.0383389155745253E-2</v>
      </c>
      <c r="I27" s="917">
        <f>+'Secteur d''activité déc. 14 '!I27/'Secteur d''activité déc. 14 '!$I$52</f>
        <v>1.8286517080055801E-2</v>
      </c>
      <c r="J27" s="917">
        <f>+'Secteur d''activité déc. 14 '!J27/'Secteur d''activité déc. 14 '!$J$52</f>
        <v>0</v>
      </c>
      <c r="K27" s="917">
        <f>+'Secteur d''activité déc. 14 '!K27/'Secteur d''activité déc. 14 '!$K$52</f>
        <v>0</v>
      </c>
      <c r="L27" s="917">
        <f>+'Secteur d''activité déc. 14 '!L27/'Secteur d''activité déc. 14 '!$L$52</f>
        <v>2.3125647661824595E-3</v>
      </c>
      <c r="M27" s="1482">
        <f>+'Secteur d''activité déc. 14 '!M27/'Secteur d''activité déc. 14 '!$M$52</f>
        <v>1.7270071680302247E-2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7">
        <f>+'Secteur d''activité déc. 14 '!D28/'Secteur d''activité déc. 14 '!$D$52</f>
        <v>0</v>
      </c>
      <c r="E28" s="917">
        <f>+'Secteur d''activité déc. 14 '!E28/'Secteur d''activité déc. 14 '!$E$52</f>
        <v>0</v>
      </c>
      <c r="F28" s="917">
        <f>+'Secteur d''activité déc. 14 '!F28/'Secteur d''activité déc. 14 '!$F$52</f>
        <v>8.1476991385390322E-3</v>
      </c>
      <c r="G28" s="917">
        <f>+'Secteur d''activité déc. 14 '!G28/'Secteur d''activité déc. 14 '!$G$52</f>
        <v>2.7565464208086565E-4</v>
      </c>
      <c r="H28" s="917">
        <f>+'Secteur d''activité déc. 14 '!H28/'Secteur d''activité déc. 14 '!$H$52</f>
        <v>6.0350525078463845E-4</v>
      </c>
      <c r="I28" s="917">
        <f>+'Secteur d''activité déc. 14 '!I28/'Secteur d''activité déc. 14 '!$I$52</f>
        <v>0</v>
      </c>
      <c r="J28" s="917">
        <f>+'Secteur d''activité déc. 14 '!J28/'Secteur d''activité déc. 14 '!$J$52</f>
        <v>0</v>
      </c>
      <c r="K28" s="917">
        <f>+'Secteur d''activité déc. 14 '!K28/'Secteur d''activité déc. 14 '!$K$52</f>
        <v>0</v>
      </c>
      <c r="L28" s="917">
        <f>+'Secteur d''activité déc. 14 '!L28/'Secteur d''activité déc. 14 '!$L$52</f>
        <v>0</v>
      </c>
      <c r="M28" s="1482">
        <f>+'Secteur d''activité déc. 14 '!M28/'Secteur d''activité déc. 14 '!$M$52</f>
        <v>5.2635178581121708E-4</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f>+'Secteur d''activité déc. 14 '!D29/'Secteur d''activité déc. 14 '!$D$52</f>
        <v>6.8124205513569345E-3</v>
      </c>
      <c r="E29" s="917">
        <f>+'Secteur d''activité déc. 14 '!E29/'Secteur d''activité déc. 14 '!$E$52</f>
        <v>0</v>
      </c>
      <c r="F29" s="917">
        <f>+'Secteur d''activité déc. 14 '!F29/'Secteur d''activité déc. 14 '!$F$52</f>
        <v>1.4001641097908853E-3</v>
      </c>
      <c r="G29" s="917">
        <f>+'Secteur d''activité déc. 14 '!G29/'Secteur d''activité déc. 14 '!$G$52</f>
        <v>3.9683578902789847E-3</v>
      </c>
      <c r="H29" s="917">
        <f>+'Secteur d''activité déc. 14 '!H29/'Secteur d''activité déc. 14 '!$H$52</f>
        <v>1.8511656032274575E-3</v>
      </c>
      <c r="I29" s="917">
        <f>+'Secteur d''activité déc. 14 '!I29/'Secteur d''activité déc. 14 '!$I$52</f>
        <v>6.9378646521705833E-3</v>
      </c>
      <c r="J29" s="917">
        <f>+'Secteur d''activité déc. 14 '!J29/'Secteur d''activité déc. 14 '!$J$52</f>
        <v>0</v>
      </c>
      <c r="K29" s="917">
        <f>+'Secteur d''activité déc. 14 '!K29/'Secteur d''activité déc. 14 '!$K$52</f>
        <v>0</v>
      </c>
      <c r="L29" s="917">
        <f>+'Secteur d''activité déc. 14 '!L29/'Secteur d''activité déc. 14 '!$L$52</f>
        <v>2.1356287679901367E-4</v>
      </c>
      <c r="M29" s="1482">
        <f>+'Secteur d''activité déc. 14 '!M29/'Secteur d''activité déc. 14 '!$M$52</f>
        <v>3.3013808378282998E-3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f>+'Secteur d''activité déc. 14 '!D30/'Secteur d''activité déc. 14 '!$D$52</f>
        <v>3.9838453809169352E-2</v>
      </c>
      <c r="E30" s="917">
        <f>+'Secteur d''activité déc. 14 '!E30/'Secteur d''activité déc. 14 '!$E$52</f>
        <v>0</v>
      </c>
      <c r="F30" s="917">
        <f>+'Secteur d''activité déc. 14 '!F30/'Secteur d''activité déc. 14 '!$F$52</f>
        <v>9.284586290622206E-3</v>
      </c>
      <c r="G30" s="917">
        <f>+'Secteur d''activité déc. 14 '!G30/'Secteur d''activité déc. 14 '!$G$52</f>
        <v>2.4349746081529077E-2</v>
      </c>
      <c r="H30" s="917">
        <f>+'Secteur d''activité déc. 14 '!H30/'Secteur d''activité déc. 14 '!$H$52</f>
        <v>1.5119228523844298E-2</v>
      </c>
      <c r="I30" s="917">
        <f>+'Secteur d''activité déc. 14 '!I30/'Secteur d''activité déc. 14 '!$I$52</f>
        <v>1.1455275078275188E-2</v>
      </c>
      <c r="J30" s="917">
        <f>+'Secteur d''activité déc. 14 '!J30/'Secteur d''activité déc. 14 '!$J$52</f>
        <v>0</v>
      </c>
      <c r="K30" s="917">
        <f>+'Secteur d''activité déc. 14 '!K30/'Secteur d''activité déc. 14 '!$K$52</f>
        <v>7.863607752033111E-2</v>
      </c>
      <c r="L30" s="917">
        <f>+'Secteur d''activité déc. 14 '!L30/'Secteur d''activité déc. 14 '!$L$52</f>
        <v>1.4069511053710218E-2</v>
      </c>
      <c r="M30" s="1482">
        <f>+'Secteur d''activité déc. 14 '!M30/'Secteur d''activité déc. 14 '!$M$52</f>
        <v>2.1369546413272267E-2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f>+'Secteur d''activité déc. 14 '!D31/'Secteur d''activité déc. 14 '!$D$52</f>
        <v>6.3902051199332295E-3</v>
      </c>
      <c r="E31" s="917">
        <f>+'Secteur d''activité déc. 14 '!E31/'Secteur d''activité déc. 14 '!$E$52</f>
        <v>0</v>
      </c>
      <c r="F31" s="917">
        <f>+'Secteur d''activité déc. 14 '!F31/'Secteur d''activité déc. 14 '!$F$52</f>
        <v>1.7906504676459219E-2</v>
      </c>
      <c r="G31" s="917">
        <f>+'Secteur d''activité déc. 14 '!G31/'Secteur d''activité déc. 14 '!$G$52</f>
        <v>4.0433531204100349E-2</v>
      </c>
      <c r="H31" s="917">
        <f>+'Secteur d''activité déc. 14 '!H31/'Secteur d''activité déc. 14 '!$H$52</f>
        <v>2.1450910051909449E-2</v>
      </c>
      <c r="I31" s="917">
        <f>+'Secteur d''activité déc. 14 '!I31/'Secteur d''activité déc. 14 '!$I$52</f>
        <v>1.1838640249486531E-2</v>
      </c>
      <c r="J31" s="917">
        <f>+'Secteur d''activité déc. 14 '!J31/'Secteur d''activité déc. 14 '!$J$52</f>
        <v>0</v>
      </c>
      <c r="K31" s="917">
        <f>+'Secteur d''activité déc. 14 '!K31/'Secteur d''activité déc. 14 '!$K$52</f>
        <v>0</v>
      </c>
      <c r="L31" s="917">
        <f>+'Secteur d''activité déc. 14 '!L31/'Secteur d''activité déc. 14 '!$L$52</f>
        <v>2.8349204041578833E-3</v>
      </c>
      <c r="M31" s="1482">
        <f>+'Secteur d''activité déc. 14 '!M31/'Secteur d''activité déc. 14 '!$M$52</f>
        <v>2.1387351470908558E-2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7">
        <f>+'Secteur d''activité déc. 14 '!D32/'Secteur d''activité déc. 14 '!$D$52</f>
        <v>0</v>
      </c>
      <c r="E32" s="917">
        <f>+'Secteur d''activité déc. 14 '!E32/'Secteur d''activité déc. 14 '!$E$52</f>
        <v>0</v>
      </c>
      <c r="F32" s="917">
        <f>+'Secteur d''activité déc. 14 '!F32/'Secteur d''activité déc. 14 '!$F$52</f>
        <v>3.6263256028999553E-2</v>
      </c>
      <c r="G32" s="917">
        <f>+'Secteur d''activité déc. 14 '!G32/'Secteur d''activité déc. 14 '!$G$52</f>
        <v>5.1923418532198876E-3</v>
      </c>
      <c r="H32" s="917">
        <f>+'Secteur d''activité déc. 14 '!H32/'Secteur d''activité déc. 14 '!$H$52</f>
        <v>4.3921188824045934E-3</v>
      </c>
      <c r="I32" s="917">
        <f>+'Secteur d''activité déc. 14 '!I32/'Secteur d''activité déc. 14 '!$I$52</f>
        <v>7.9418686053450219E-3</v>
      </c>
      <c r="J32" s="917">
        <f>+'Secteur d''activité déc. 14 '!J32/'Secteur d''activité déc. 14 '!$J$52</f>
        <v>0</v>
      </c>
      <c r="K32" s="917">
        <f>+'Secteur d''activité déc. 14 '!K32/'Secteur d''activité déc. 14 '!$K$52</f>
        <v>1.3382831196403152E-3</v>
      </c>
      <c r="L32" s="917">
        <f>+'Secteur d''activité déc. 14 '!L32/'Secteur d''activité déc. 14 '!$L$52</f>
        <v>1.1982624208788986E-3</v>
      </c>
      <c r="M32" s="1482">
        <f>+'Secteur d''activité déc. 14 '!M32/'Secteur d''activité déc. 14 '!$M$52</f>
        <v>4.7436615904302253E-3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f>+'Secteur d''activité déc. 14 '!D33/'Secteur d''activité déc. 14 '!$D$52</f>
        <v>0.12920476625265814</v>
      </c>
      <c r="E33" s="917">
        <f>+'Secteur d''activité déc. 14 '!E33/'Secteur d''activité déc. 14 '!$E$52</f>
        <v>0</v>
      </c>
      <c r="F33" s="917">
        <f>+'Secteur d''activité déc. 14 '!F33/'Secteur d''activité déc. 14 '!$F$52</f>
        <v>0.11995995445606998</v>
      </c>
      <c r="G33" s="917">
        <f>+'Secteur d''activité déc. 14 '!G33/'Secteur d''activité déc. 14 '!$G$52</f>
        <v>4.0927966211580485E-2</v>
      </c>
      <c r="H33" s="917">
        <f>+'Secteur d''activité déc. 14 '!H33/'Secteur d''activité déc. 14 '!$H$52</f>
        <v>3.8041308926326776E-3</v>
      </c>
      <c r="I33" s="917">
        <f>+'Secteur d''activité déc. 14 '!I33/'Secteur d''activité déc. 14 '!$I$52</f>
        <v>2.6054205561255644E-4</v>
      </c>
      <c r="J33" s="917">
        <f>+'Secteur d''activité déc. 14 '!J33/'Secteur d''activité déc. 14 '!$J$52</f>
        <v>0</v>
      </c>
      <c r="K33" s="917">
        <f>+'Secteur d''activité déc. 14 '!K33/'Secteur d''activité déc. 14 '!$K$52</f>
        <v>3.9247974214957744E-2</v>
      </c>
      <c r="L33" s="917">
        <f>+'Secteur d''activité déc. 14 '!L33/'Secteur d''activité déc. 14 '!$L$52</f>
        <v>0</v>
      </c>
      <c r="M33" s="1482">
        <f>+'Secteur d''activité déc. 14 '!M33/'Secteur d''activité déc. 14 '!$M$52</f>
        <v>3.608974122181325E-2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7">
        <f>+'Secteur d''activité déc. 14 '!D34/'Secteur d''activité déc. 14 '!$D$52</f>
        <v>0</v>
      </c>
      <c r="E34" s="917">
        <f>+'Secteur d''activité déc. 14 '!E34/'Secteur d''activité déc. 14 '!$E$52</f>
        <v>0</v>
      </c>
      <c r="F34" s="917">
        <f>+'Secteur d''activité déc. 14 '!F34/'Secteur d''activité déc. 14 '!$F$52</f>
        <v>1.8152300917781033E-3</v>
      </c>
      <c r="G34" s="917">
        <f>+'Secteur d''activité déc. 14 '!G34/'Secteur d''activité déc. 14 '!$G$52</f>
        <v>4.60033094641038E-4</v>
      </c>
      <c r="H34" s="917">
        <f>+'Secteur d''activité déc. 14 '!H34/'Secteur d''activité déc. 14 '!$H$52</f>
        <v>9.2688388138706154E-2</v>
      </c>
      <c r="I34" s="917">
        <f>+'Secteur d''activité déc. 14 '!I34/'Secteur d''activité déc. 14 '!$I$52</f>
        <v>1.6119230163061025E-2</v>
      </c>
      <c r="J34" s="917">
        <f>+'Secteur d''activité déc. 14 '!J34/'Secteur d''activité déc. 14 '!$J$52</f>
        <v>0</v>
      </c>
      <c r="K34" s="917">
        <f>+'Secteur d''activité déc. 14 '!K34/'Secteur d''activité déc. 14 '!$K$52</f>
        <v>0</v>
      </c>
      <c r="L34" s="917">
        <f>+'Secteur d''activité déc. 14 '!L34/'Secteur d''activité déc. 14 '!$L$52</f>
        <v>0</v>
      </c>
      <c r="M34" s="1482">
        <f>+'Secteur d''activité déc. 14 '!M34/'Secteur d''activité déc. 14 '!$M$52</f>
        <v>3.180315445535066E-2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7">
        <f>+'Secteur d''activité déc. 14 '!D35/'Secteur d''activité déc. 14 '!$D$52</f>
        <v>0</v>
      </c>
      <c r="E35" s="917">
        <f>+'Secteur d''activité déc. 14 '!E35/'Secteur d''activité déc. 14 '!$E$52</f>
        <v>1.1488443853746358E-2</v>
      </c>
      <c r="F35" s="917">
        <f>+'Secteur d''activité déc. 14 '!F35/'Secteur d''activité déc. 14 '!$F$52</f>
        <v>4.09630020895647E-3</v>
      </c>
      <c r="G35" s="917">
        <f>+'Secteur d''activité déc. 14 '!G35/'Secteur d''activité déc. 14 '!$G$52</f>
        <v>1.2128563523730778E-2</v>
      </c>
      <c r="H35" s="917">
        <f>+'Secteur d''activité déc. 14 '!H35/'Secteur d''activité déc. 14 '!$H$52</f>
        <v>2.2157799064126595E-3</v>
      </c>
      <c r="I35" s="917">
        <f>+'Secteur d''activité déc. 14 '!I35/'Secteur d''activité déc. 14 '!$I$52</f>
        <v>1.1630502441111628E-3</v>
      </c>
      <c r="J35" s="917">
        <f>+'Secteur d''activité déc. 14 '!J35/'Secteur d''activité déc. 14 '!$J$52</f>
        <v>0</v>
      </c>
      <c r="K35" s="917">
        <f>+'Secteur d''activité déc. 14 '!K35/'Secteur d''activité déc. 14 '!$K$52</f>
        <v>0</v>
      </c>
      <c r="L35" s="917">
        <f>+'Secteur d''activité déc. 14 '!L35/'Secteur d''activité déc. 14 '!$L$52</f>
        <v>0</v>
      </c>
      <c r="M35" s="1482">
        <f>+'Secteur d''activité déc. 14 '!M35/'Secteur d''activité déc. 14 '!$M$52</f>
        <v>4.712661374411892E-3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f>+'Secteur d''activité déc. 14 '!D36/'Secteur d''activité déc. 14 '!$D$52</f>
        <v>4.6244844624721238E-7</v>
      </c>
      <c r="E36" s="917">
        <f>+'Secteur d''activité déc. 14 '!E36/'Secteur d''activité déc. 14 '!$E$52</f>
        <v>0.12892309546325248</v>
      </c>
      <c r="F36" s="917">
        <f>+'Secteur d''activité déc. 14 '!F36/'Secteur d''activité déc. 14 '!$F$52</f>
        <v>6.4264633660784064E-4</v>
      </c>
      <c r="G36" s="917">
        <f>+'Secteur d''activité déc. 14 '!G36/'Secteur d''activité déc. 14 '!$G$52</f>
        <v>0.11741159300245013</v>
      </c>
      <c r="H36" s="917">
        <f>+'Secteur d''activité déc. 14 '!H36/'Secteur d''activité déc. 14 '!$H$52</f>
        <v>2.6448427842546963E-2</v>
      </c>
      <c r="I36" s="917">
        <f>+'Secteur d''activité déc. 14 '!I36/'Secteur d''activité déc. 14 '!$I$52</f>
        <v>3.9643374041287809E-2</v>
      </c>
      <c r="J36" s="917">
        <f>+'Secteur d''activité déc. 14 '!J36/'Secteur d''activité déc. 14 '!$J$52</f>
        <v>0</v>
      </c>
      <c r="K36" s="917">
        <f>+'Secteur d''activité déc. 14 '!K36/'Secteur d''activité déc. 14 '!$K$52</f>
        <v>1.249961603328492E-2</v>
      </c>
      <c r="L36" s="917">
        <f>+'Secteur d''activité déc. 14 '!L36/'Secteur d''activité déc. 14 '!$L$52</f>
        <v>0.10905089614702142</v>
      </c>
      <c r="M36" s="1482">
        <f>+'Secteur d''activité déc. 14 '!M36/'Secteur d''activité déc. 14 '!$M$52</f>
        <v>5.383866879574032E-2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f>+'Secteur d''activité déc. 14 '!D37/'Secteur d''activité déc. 14 '!$D$52</f>
        <v>0.10796423164745594</v>
      </c>
      <c r="E37" s="917">
        <f>+'Secteur d''activité déc. 14 '!E37/'Secteur d''activité déc. 14 '!$E$52</f>
        <v>9.9341942235089617E-2</v>
      </c>
      <c r="F37" s="917">
        <f>+'Secteur d''activité déc. 14 '!F37/'Secteur d''activité déc. 14 '!$F$52</f>
        <v>0.23140391524108794</v>
      </c>
      <c r="G37" s="917">
        <f>+'Secteur d''activité déc. 14 '!G37/'Secteur d''activité déc. 14 '!$G$52</f>
        <v>0.17543441096456011</v>
      </c>
      <c r="H37" s="917">
        <f>+'Secteur d''activité déc. 14 '!H37/'Secteur d''activité déc. 14 '!$H$52</f>
        <v>0.14177148091110989</v>
      </c>
      <c r="I37" s="917">
        <f>+'Secteur d''activité déc. 14 '!I37/'Secteur d''activité déc. 14 '!$I$52</f>
        <v>7.4023666684700104E-2</v>
      </c>
      <c r="J37" s="917">
        <f>+'Secteur d''activité déc. 14 '!J37/'Secteur d''activité déc. 14 '!$J$52</f>
        <v>2.0282300290471976E-3</v>
      </c>
      <c r="K37" s="917">
        <f>+'Secteur d''activité déc. 14 '!K37/'Secteur d''activité déc. 14 '!$K$52</f>
        <v>0.14253305835294616</v>
      </c>
      <c r="L37" s="917">
        <f>+'Secteur d''activité déc. 14 '!L37/'Secteur d''activité déc. 14 '!$L$52</f>
        <v>7.6454382913166688E-3</v>
      </c>
      <c r="M37" s="1482">
        <f>+'Secteur d''activité déc. 14 '!M37/'Secteur d''activité déc. 14 '!$M$52</f>
        <v>0.13144185214048856</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f>+'Secteur d''activité déc. 14 '!D38/'Secteur d''activité déc. 14 '!$D$52</f>
        <v>9.4882397510325546E-3</v>
      </c>
      <c r="E38" s="917">
        <f>+'Secteur d''activité déc. 14 '!E38/'Secteur d''activité déc. 14 '!$E$52</f>
        <v>0.29969207650403057</v>
      </c>
      <c r="F38" s="917">
        <f>+'Secteur d''activité déc. 14 '!F38/'Secteur d''activité déc. 14 '!$F$52</f>
        <v>2.3715880697300705E-2</v>
      </c>
      <c r="G38" s="917">
        <f>+'Secteur d''activité déc. 14 '!G38/'Secteur d''activité déc. 14 '!$G$52</f>
        <v>0.1561870410282358</v>
      </c>
      <c r="H38" s="917">
        <f>+'Secteur d''activité déc. 14 '!H38/'Secteur d''activité déc. 14 '!$H$52</f>
        <v>0.15609231484125663</v>
      </c>
      <c r="I38" s="917">
        <f>+'Secteur d''activité déc. 14 '!I38/'Secteur d''activité déc. 14 '!$I$52</f>
        <v>0.1196005664496451</v>
      </c>
      <c r="J38" s="917">
        <f>+'Secteur d''activité déc. 14 '!J38/'Secteur d''activité déc. 14 '!$J$52</f>
        <v>1.8413410714945206E-3</v>
      </c>
      <c r="K38" s="917">
        <f>+'Secteur d''activité déc. 14 '!K38/'Secteur d''activité déc. 14 '!$K$52</f>
        <v>0.2251573590929983</v>
      </c>
      <c r="L38" s="917">
        <f>+'Secteur d''activité déc. 14 '!L38/'Secteur d''activité déc. 14 '!$L$52</f>
        <v>2.7695555131059422E-3</v>
      </c>
      <c r="M38" s="1482">
        <f>+'Secteur d''activité déc. 14 '!M38/'Secteur d''activité déc. 14 '!$M$52</f>
        <v>0.11897513896775029</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f>+'Secteur d''activité déc. 14 '!D39/'Secteur d''activité déc. 14 '!$D$52</f>
        <v>6.9905556928513612E-3</v>
      </c>
      <c r="E39" s="917">
        <f>+'Secteur d''activité déc. 14 '!E39/'Secteur d''activité déc. 14 '!$E$52</f>
        <v>2.2586059558640044E-4</v>
      </c>
      <c r="F39" s="917">
        <f>+'Secteur d''activité déc. 14 '!F39/'Secteur d''activité déc. 14 '!$F$52</f>
        <v>2.0726987740708252E-3</v>
      </c>
      <c r="G39" s="917">
        <f>+'Secteur d''activité déc. 14 '!G39/'Secteur d''activité déc. 14 '!$G$52</f>
        <v>4.0882456682326439E-4</v>
      </c>
      <c r="H39" s="917">
        <f>+'Secteur d''activité déc. 14 '!H39/'Secteur d''activité déc. 14 '!$H$52</f>
        <v>6.4069564980355411E-4</v>
      </c>
      <c r="I39" s="917">
        <f>+'Secteur d''activité déc. 14 '!I39/'Secteur d''activité déc. 14 '!$I$52</f>
        <v>2.6095160704013372E-3</v>
      </c>
      <c r="J39" s="917">
        <f>+'Secteur d''activité déc. 14 '!J39/'Secteur d''activité déc. 14 '!$J$52</f>
        <v>0</v>
      </c>
      <c r="K39" s="917">
        <f>+'Secteur d''activité déc. 14 '!K39/'Secteur d''activité déc. 14 '!$K$52</f>
        <v>0</v>
      </c>
      <c r="L39" s="917">
        <f>+'Secteur d''activité déc. 14 '!L39/'Secteur d''activité déc. 14 '!$L$52</f>
        <v>7.1450587805052589E-4</v>
      </c>
      <c r="M39" s="1482">
        <f>+'Secteur d''activité déc. 14 '!M39/'Secteur d''activité déc. 14 '!$M$52</f>
        <v>1.6094433375109648E-3</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f>+'Secteur d''activité déc. 14 '!D40/'Secteur d''activité déc. 14 '!$D$52</f>
        <v>1.497509807606648E-2</v>
      </c>
      <c r="E40" s="917">
        <f>+'Secteur d''activité déc. 14 '!E40/'Secteur d''activité déc. 14 '!$E$52</f>
        <v>0</v>
      </c>
      <c r="F40" s="917">
        <f>+'Secteur d''activité déc. 14 '!F40/'Secteur d''activité déc. 14 '!$F$52</f>
        <v>6.4566397429383707E-3</v>
      </c>
      <c r="G40" s="917">
        <f>+'Secteur d''activité déc. 14 '!G40/'Secteur d''activité déc. 14 '!$G$52</f>
        <v>4.4919455696418753E-2</v>
      </c>
      <c r="H40" s="917">
        <f>+'Secteur d''activité déc. 14 '!H40/'Secteur d''activité déc. 14 '!$H$52</f>
        <v>1.0470235107932678E-2</v>
      </c>
      <c r="I40" s="917">
        <f>+'Secteur d''activité déc. 14 '!I40/'Secteur d''activité déc. 14 '!$I$52</f>
        <v>0.10070167918941414</v>
      </c>
      <c r="J40" s="917">
        <f>+'Secteur d''activité déc. 14 '!J40/'Secteur d''activité déc. 14 '!$J$52</f>
        <v>6.5798596439774733E-3</v>
      </c>
      <c r="K40" s="917">
        <f>+'Secteur d''activité déc. 14 '!K40/'Secteur d''activité déc. 14 '!$K$52</f>
        <v>0</v>
      </c>
      <c r="L40" s="917">
        <f>+'Secteur d''activité déc. 14 '!L40/'Secteur d''activité déc. 14 '!$L$52</f>
        <v>0</v>
      </c>
      <c r="M40" s="1482">
        <f>+'Secteur d''activité déc. 14 '!M40/'Secteur d''activité déc. 14 '!$M$52</f>
        <v>2.6702221629402299E-2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f>+'Secteur d''activité déc. 14 '!D41/'Secteur d''activité déc. 14 '!$D$52</f>
        <v>7.6802513055844535E-3</v>
      </c>
      <c r="E41" s="917">
        <f>+'Secteur d''activité déc. 14 '!E41/'Secteur d''activité déc. 14 '!$E$52</f>
        <v>4.0675125202353821E-2</v>
      </c>
      <c r="F41" s="917">
        <f>+'Secteur d''activité déc. 14 '!F41/'Secteur d''activité déc. 14 '!$F$52</f>
        <v>1.6923057457433756E-2</v>
      </c>
      <c r="G41" s="917">
        <f>+'Secteur d''activité déc. 14 '!G41/'Secteur d''activité déc. 14 '!$G$52</f>
        <v>1.1742114231626286E-2</v>
      </c>
      <c r="H41" s="917">
        <f>+'Secteur d''activité déc. 14 '!H41/'Secteur d''activité déc. 14 '!$H$52</f>
        <v>1.8539008155576877E-2</v>
      </c>
      <c r="I41" s="917">
        <f>+'Secteur d''activité déc. 14 '!I41/'Secteur d''activité déc. 14 '!$I$52</f>
        <v>4.1321729190513029E-3</v>
      </c>
      <c r="J41" s="917">
        <f>+'Secteur d''activité déc. 14 '!J41/'Secteur d''activité déc. 14 '!$J$52</f>
        <v>0</v>
      </c>
      <c r="K41" s="917">
        <f>+'Secteur d''activité déc. 14 '!K41/'Secteur d''activité déc. 14 '!$K$52</f>
        <v>0</v>
      </c>
      <c r="L41" s="917">
        <f>+'Secteur d''activité déc. 14 '!L41/'Secteur d''activité déc. 14 '!$L$52</f>
        <v>0</v>
      </c>
      <c r="M41" s="1482">
        <f>+'Secteur d''activité déc. 14 '!M41/'Secteur d''activité déc. 14 '!$M$52</f>
        <v>1.2173609976650056E-2</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f>+'Secteur d''activité déc. 14 '!D42/'Secteur d''activité déc. 14 '!$D$52</f>
        <v>0.10055368027572287</v>
      </c>
      <c r="E42" s="917">
        <f>+'Secteur d''activité déc. 14 '!E42/'Secteur d''activité déc. 14 '!$E$52</f>
        <v>0.16938258859437821</v>
      </c>
      <c r="F42" s="917">
        <f>+'Secteur d''activité déc. 14 '!F42/'Secteur d''activité déc. 14 '!$F$52</f>
        <v>6.5308076796475836E-2</v>
      </c>
      <c r="G42" s="917">
        <f>+'Secteur d''activité déc. 14 '!G42/'Secteur d''activité déc. 14 '!$G$52</f>
        <v>7.5630379198516765E-3</v>
      </c>
      <c r="H42" s="917">
        <f>+'Secteur d''activité déc. 14 '!H42/'Secteur d''activité déc. 14 '!$H$52</f>
        <v>4.073076190855577E-2</v>
      </c>
      <c r="I42" s="917">
        <f>+'Secteur d''activité déc. 14 '!I42/'Secteur d''activité déc. 14 '!$I$52</f>
        <v>0.10971834614127998</v>
      </c>
      <c r="J42" s="917">
        <f>+'Secteur d''activité déc. 14 '!J42/'Secteur d''activité déc. 14 '!$J$52</f>
        <v>0.57291663830008133</v>
      </c>
      <c r="K42" s="917">
        <f>+'Secteur d''activité déc. 14 '!K42/'Secteur d''activité déc. 14 '!$K$52</f>
        <v>0</v>
      </c>
      <c r="L42" s="917">
        <f>+'Secteur d''activité déc. 14 '!L42/'Secteur d''activité déc. 14 '!$L$52</f>
        <v>0.22701790152779164</v>
      </c>
      <c r="M42" s="1482">
        <f>+'Secteur d''activité déc. 14 '!M42/'Secteur d''activité déc. 14 '!$M$52</f>
        <v>7.89225527106555E-2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f>+'Secteur d''activité déc. 14 '!D43/'Secteur d''activité déc. 14 '!$D$52</f>
        <v>5.0825488974489123E-2</v>
      </c>
      <c r="E43" s="917">
        <f>+'Secteur d''activité déc. 14 '!E43/'Secteur d''activité déc. 14 '!$E$52</f>
        <v>3.216016118995349E-2</v>
      </c>
      <c r="F43" s="917">
        <f>+'Secteur d''activité déc. 14 '!F43/'Secteur d''activité déc. 14 '!$F$52</f>
        <v>3.6909621209599973E-2</v>
      </c>
      <c r="G43" s="917">
        <f>+'Secteur d''activité déc. 14 '!G43/'Secteur d''activité déc. 14 '!$G$52</f>
        <v>3.0042917524514844E-2</v>
      </c>
      <c r="H43" s="917">
        <f>+'Secteur d''activité déc. 14 '!H43/'Secteur d''activité déc. 14 '!$H$52</f>
        <v>0.16463375750510395</v>
      </c>
      <c r="I43" s="917">
        <f>+'Secteur d''activité déc. 14 '!I43/'Secteur d''activité déc. 14 '!$I$52</f>
        <v>2.2693785851683281E-3</v>
      </c>
      <c r="J43" s="917">
        <f>+'Secteur d''activité déc. 14 '!J43/'Secteur d''activité déc. 14 '!$J$52</f>
        <v>0.29523893286850794</v>
      </c>
      <c r="K43" s="917">
        <f>+'Secteur d''activité déc. 14 '!K43/'Secteur d''activité déc. 14 '!$K$52</f>
        <v>0</v>
      </c>
      <c r="L43" s="917">
        <f>+'Secteur d''activité déc. 14 '!L43/'Secteur d''activité déc. 14 '!$L$52</f>
        <v>7.9116875242653071E-3</v>
      </c>
      <c r="M43" s="1482">
        <f>+'Secteur d''activité déc. 14 '!M43/'Secteur d''activité déc. 14 '!$M$52</f>
        <v>8.5408499012274292E-2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f>+'Secteur d''activité déc. 14 '!D44/'Secteur d''activité déc. 14 '!$D$52</f>
        <v>4.7880339799719125E-2</v>
      </c>
      <c r="E44" s="917">
        <f>+'Secteur d''activité déc. 14 '!E44/'Secteur d''activité déc. 14 '!$E$52</f>
        <v>0</v>
      </c>
      <c r="F44" s="917">
        <f>+'Secteur d''activité déc. 14 '!F44/'Secteur d''activité déc. 14 '!$F$52</f>
        <v>2.8136820939463143E-2</v>
      </c>
      <c r="G44" s="917">
        <f>+'Secteur d''activité déc. 14 '!G44/'Secteur d''activité déc. 14 '!$G$52</f>
        <v>5.2952177547141242E-3</v>
      </c>
      <c r="H44" s="917">
        <f>+'Secteur d''activité déc. 14 '!H44/'Secteur d''activité déc. 14 '!$H$52</f>
        <v>2.4381697256867372E-2</v>
      </c>
      <c r="I44" s="917">
        <f>+'Secteur d''activité déc. 14 '!I44/'Secteur d''activité déc. 14 '!$I$52</f>
        <v>6.8645614698382203E-4</v>
      </c>
      <c r="J44" s="917">
        <f>+'Secteur d''activité déc. 14 '!J44/'Secteur d''activité déc. 14 '!$J$52</f>
        <v>0</v>
      </c>
      <c r="K44" s="917">
        <f>+'Secteur d''activité déc. 14 '!K44/'Secteur d''activité déc. 14 '!$K$52</f>
        <v>1.3782495660356213E-2</v>
      </c>
      <c r="L44" s="917">
        <f>+'Secteur d''activité déc. 14 '!L44/'Secteur d''activité déc. 14 '!$L$52</f>
        <v>0.12321620057554913</v>
      </c>
      <c r="M44" s="1482">
        <f>+'Secteur d''activité déc. 14 '!M44/'Secteur d''activité déc. 14 '!$M$52</f>
        <v>2.3243921354809863E-2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f>+'Secteur d''activité déc. 14 '!D45/'Secteur d''activité déc. 14 '!$D$52</f>
        <v>7.4565187472900522E-4</v>
      </c>
      <c r="E45" s="917">
        <f>+'Secteur d''activité déc. 14 '!E45/'Secteur d''activité déc. 14 '!$E$52</f>
        <v>0</v>
      </c>
      <c r="F45" s="917">
        <f>+'Secteur d''activité déc. 14 '!F45/'Secteur d''activité déc. 14 '!$F$52</f>
        <v>2.1436788231262896E-2</v>
      </c>
      <c r="G45" s="917">
        <f>+'Secteur d''activité déc. 14 '!G45/'Secteur d''activité déc. 14 '!$G$52</f>
        <v>7.2858133599400937E-2</v>
      </c>
      <c r="H45" s="917">
        <f>+'Secteur d''activité déc. 14 '!H45/'Secteur d''activité déc. 14 '!$H$52</f>
        <v>4.803663501412745E-2</v>
      </c>
      <c r="I45" s="917">
        <f>+'Secteur d''activité déc. 14 '!I45/'Secteur d''activité déc. 14 '!$I$52</f>
        <v>0.15302447981794215</v>
      </c>
      <c r="J45" s="917">
        <f>+'Secteur d''activité déc. 14 '!J45/'Secteur d''activité déc. 14 '!$J$52</f>
        <v>0</v>
      </c>
      <c r="K45" s="917">
        <f>+'Secteur d''activité déc. 14 '!K45/'Secteur d''activité déc. 14 '!$K$52</f>
        <v>7.330581906323283E-3</v>
      </c>
      <c r="L45" s="917">
        <f>+'Secteur d''activité déc. 14 '!L45/'Secteur d''activité déc. 14 '!$L$52</f>
        <v>0.26598946385575095</v>
      </c>
      <c r="M45" s="1482">
        <f>+'Secteur d''activité déc. 14 '!M45/'Secteur d''activité déc. 14 '!$M$52</f>
        <v>6.1762632371384116E-2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f>+'Secteur d''activité déc. 14 '!D46/'Secteur d''activité déc. 14 '!$D$52</f>
        <v>0.10077658042681402</v>
      </c>
      <c r="E46" s="917">
        <f>+'Secteur d''activité déc. 14 '!E46/'Secteur d''activité déc. 14 '!$E$52</f>
        <v>1.6590521629243401E-2</v>
      </c>
      <c r="F46" s="917">
        <f>+'Secteur d''activité déc. 14 '!F46/'Secteur d''activité déc. 14 '!$F$52</f>
        <v>4.1865554778458082E-2</v>
      </c>
      <c r="G46" s="917">
        <f>+'Secteur d''activité déc. 14 '!G46/'Secteur d''activité déc. 14 '!$G$52</f>
        <v>4.885983994917362E-3</v>
      </c>
      <c r="H46" s="917">
        <f>+'Secteur d''activité déc. 14 '!H46/'Secteur d''activité déc. 14 '!$H$52</f>
        <v>8.5566272929011433E-3</v>
      </c>
      <c r="I46" s="917">
        <f>+'Secteur d''activité déc. 14 '!I46/'Secteur d''activité déc. 14 '!$I$52</f>
        <v>2.6339676834198991E-2</v>
      </c>
      <c r="J46" s="917">
        <f>+'Secteur d''activité déc. 14 '!J46/'Secteur d''activité déc. 14 '!$J$52</f>
        <v>0</v>
      </c>
      <c r="K46" s="917">
        <f>+'Secteur d''activité déc. 14 '!K46/'Secteur d''activité déc. 14 '!$K$52</f>
        <v>3.8910850605313311E-7</v>
      </c>
      <c r="L46" s="917">
        <f>+'Secteur d''activité déc. 14 '!L46/'Secteur d''activité déc. 14 '!$L$52</f>
        <v>7.2966377088929495E-3</v>
      </c>
      <c r="M46" s="1482">
        <f>+'Secteur d''activité déc. 14 '!M46/'Secteur d''activité déc. 14 '!$M$52</f>
        <v>2.2312561798918495E-2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f>+'Secteur d''activité déc. 14 '!D47/'Secteur d''activité déc. 14 '!$D$52</f>
        <v>1.1413042674002703E-2</v>
      </c>
      <c r="E47" s="917">
        <f>+'Secteur d''activité déc. 14 '!E47/'Secteur d''activité déc. 14 '!$E$52</f>
        <v>0</v>
      </c>
      <c r="F47" s="917">
        <f>+'Secteur d''activité déc. 14 '!F47/'Secteur d''activité déc. 14 '!$F$52</f>
        <v>7.1225535751390473E-4</v>
      </c>
      <c r="G47" s="917">
        <f>+'Secteur d''activité déc. 14 '!G47/'Secteur d''activité déc. 14 '!$G$52</f>
        <v>3.9767394746310507E-4</v>
      </c>
      <c r="H47" s="917">
        <f>+'Secteur d''activité déc. 14 '!H47/'Secteur d''activité déc. 14 '!$H$52</f>
        <v>1.621577620414345E-3</v>
      </c>
      <c r="I47" s="917">
        <f>+'Secteur d''activité déc. 14 '!I47/'Secteur d''activité déc. 14 '!$I$52</f>
        <v>7.5774383559252412E-3</v>
      </c>
      <c r="J47" s="917">
        <f>+'Secteur d''activité déc. 14 '!J47/'Secteur d''activité déc. 14 '!$J$52</f>
        <v>0</v>
      </c>
      <c r="K47" s="917">
        <f>+'Secteur d''activité déc. 14 '!K47/'Secteur d''activité déc. 14 '!$K$52</f>
        <v>0</v>
      </c>
      <c r="L47" s="917">
        <f>+'Secteur d''activité déc. 14 '!L47/'Secteur d''activité déc. 14 '!$L$52</f>
        <v>2.710389016895134E-4</v>
      </c>
      <c r="M47" s="1482">
        <f>+'Secteur d''activité déc. 14 '!M47/'Secteur d''activité déc. 14 '!$M$52</f>
        <v>2.8534084258444703E-3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f>+'Secteur d''activité déc. 14 '!D48/'Secteur d''activité déc. 14 '!$D$52</f>
        <v>5.6511200131409351E-5</v>
      </c>
      <c r="E48" s="917">
        <f>+'Secteur d''activité déc. 14 '!E48/'Secteur d''activité déc. 14 '!$E$52</f>
        <v>0</v>
      </c>
      <c r="F48" s="917">
        <f>+'Secteur d''activité déc. 14 '!F48/'Secteur d''activité déc. 14 '!$F$52</f>
        <v>1.9970751141524961E-3</v>
      </c>
      <c r="G48" s="917">
        <f>+'Secteur d''activité déc. 14 '!G48/'Secteur d''activité déc. 14 '!$G$52</f>
        <v>5.5055544696548386E-3</v>
      </c>
      <c r="H48" s="917">
        <f>+'Secteur d''activité déc. 14 '!H48/'Secteur d''activité déc. 14 '!$H$52</f>
        <v>1.2360977158304861E-3</v>
      </c>
      <c r="I48" s="917">
        <f>+'Secteur d''activité déc. 14 '!I48/'Secteur d''activité déc. 14 '!$I$52</f>
        <v>2.4464322688133235E-2</v>
      </c>
      <c r="J48" s="917">
        <f>+'Secteur d''activité déc. 14 '!J48/'Secteur d''activité déc. 14 '!$J$52</f>
        <v>0</v>
      </c>
      <c r="K48" s="917">
        <f>+'Secteur d''activité déc. 14 '!K48/'Secteur d''activité déc. 14 '!$K$52</f>
        <v>0</v>
      </c>
      <c r="L48" s="917">
        <f>+'Secteur d''activité déc. 14 '!L48/'Secteur d''activité déc. 14 '!$L$52</f>
        <v>2.1243589591880778E-4</v>
      </c>
      <c r="M48" s="1482">
        <f>+'Secteur d''activité déc. 14 '!M48/'Secteur d''activité déc. 14 '!$M$52</f>
        <v>3.9137148618124673E-3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f>+'Secteur d''activité déc. 14 '!D49/'Secteur d''activité déc. 14 '!$D$52</f>
        <v>2.27441394833304E-3</v>
      </c>
      <c r="E49" s="917">
        <f>+'Secteur d''activité déc. 14 '!E49/'Secteur d''activité déc. 14 '!$E$52</f>
        <v>0</v>
      </c>
      <c r="F49" s="917">
        <f>+'Secteur d''activité déc. 14 '!F49/'Secteur d''activité déc. 14 '!$F$52</f>
        <v>3.0236523250085816E-3</v>
      </c>
      <c r="G49" s="917">
        <f>+'Secteur d''activité déc. 14 '!G49/'Secteur d''activité déc. 14 '!$G$52</f>
        <v>6.9507597692973757E-3</v>
      </c>
      <c r="H49" s="917">
        <f>+'Secteur d''activité déc. 14 '!H49/'Secteur d''activité déc. 14 '!$H$52</f>
        <v>3.9353500276208123E-4</v>
      </c>
      <c r="I49" s="917">
        <f>+'Secteur d''activité déc. 14 '!I49/'Secteur d''activité déc. 14 '!$I$52</f>
        <v>3.5758793736456224E-3</v>
      </c>
      <c r="J49" s="917">
        <f>+'Secteur d''activité déc. 14 '!J49/'Secteur d''activité déc. 14 '!$J$52</f>
        <v>0</v>
      </c>
      <c r="K49" s="917">
        <f>+'Secteur d''activité déc. 14 '!K49/'Secteur d''activité déc. 14 '!$K$52</f>
        <v>0</v>
      </c>
      <c r="L49" s="917">
        <f>+'Secteur d''activité déc. 14 '!L49/'Secteur d''activité déc. 14 '!$L$52</f>
        <v>1.6792015115067566E-3</v>
      </c>
      <c r="M49" s="1482">
        <f>+'Secteur d''activité déc. 14 '!M49/'Secteur d''activité déc. 14 '!$M$52</f>
        <v>2.9288532669839509E-3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f>+'Secteur d''activité déc. 14 '!D50/'Secteur d''activité déc. 14 '!$D$52</f>
        <v>3.0665418919098898E-2</v>
      </c>
      <c r="E50" s="917">
        <f>+'Secteur d''activité déc. 14 '!E50/'Secteur d''activité déc. 14 '!$E$52</f>
        <v>3.5835323597478069E-2</v>
      </c>
      <c r="F50" s="917">
        <f>+'Secteur d''activité déc. 14 '!F50/'Secteur d''activité déc. 14 '!$F$52</f>
        <v>3.0456988359842036E-3</v>
      </c>
      <c r="G50" s="917">
        <f>+'Secteur d''activité déc. 14 '!G50/'Secteur d''activité déc. 14 '!$G$52</f>
        <v>2.7048391918252403E-2</v>
      </c>
      <c r="H50" s="917">
        <f>+'Secteur d''activité déc. 14 '!H50/'Secteur d''activité déc. 14 '!$H$52</f>
        <v>5.9572730616453415E-3</v>
      </c>
      <c r="I50" s="917">
        <f>+'Secteur d''activité déc. 14 '!I50/'Secteur d''activité déc. 14 '!$I$52</f>
        <v>0.13824267571925652</v>
      </c>
      <c r="J50" s="917">
        <f>+'Secteur d''activité déc. 14 '!J50/'Secteur d''activité déc. 14 '!$J$52</f>
        <v>0</v>
      </c>
      <c r="K50" s="917">
        <f>+'Secteur d''activité déc. 14 '!K50/'Secteur d''activité déc. 14 '!$K$52</f>
        <v>1.6077435394285817E-2</v>
      </c>
      <c r="L50" s="917">
        <f>+'Secteur d''activité déc. 14 '!L50/'Secteur d''activité déc. 14 '!$L$52</f>
        <v>7.1994356079751933E-3</v>
      </c>
      <c r="M50" s="1482">
        <f>+'Secteur d''activité déc. 14 '!M50/'Secteur d''activité déc. 14 '!$M$52</f>
        <v>2.591277690382959E-2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f>+'Secteur d''activité déc. 14 '!D51/'Secteur d''activité déc. 14 '!$D$52</f>
        <v>0.26445660087813411</v>
      </c>
      <c r="E51" s="1013">
        <f>+'Secteur d''activité déc. 14 '!E51/'Secteur d''activité déc. 14 '!$E$52</f>
        <v>0.16018765952006719</v>
      </c>
      <c r="F51" s="1013">
        <f>+'Secteur d''activité déc. 14 '!F51/'Secteur d''activité déc. 14 '!$F$52</f>
        <v>0.28581966565374101</v>
      </c>
      <c r="G51" s="1013">
        <f>+'Secteur d''activité déc. 14 '!G51/'Secteur d''activité déc. 14 '!$G$52</f>
        <v>0.11882580470515849</v>
      </c>
      <c r="H51" s="1013">
        <f>+'Secteur d''activité déc. 14 '!H51/'Secteur d''activité déc. 14 '!$H$52</f>
        <v>5.6832792686912242E-2</v>
      </c>
      <c r="I51" s="1013">
        <f>+'Secteur d''activité déc. 14 '!I51/'Secteur d''activité déc. 14 '!$I$52</f>
        <v>4.7465734023861617E-2</v>
      </c>
      <c r="J51" s="1013">
        <f>+'Secteur d''activité déc. 14 '!J51/'Secteur d''activité déc. 14 '!$J$52</f>
        <v>0.11567187405405528</v>
      </c>
      <c r="K51" s="1013">
        <f>+'Secteur d''activité déc. 14 '!K51/'Secteur d''activité déc. 14 '!$K$52</f>
        <v>5.4410876770080996E-3</v>
      </c>
      <c r="L51" s="1013">
        <f>+'Secteur d''activité déc. 14 '!L51/'Secteur d''activité déc. 14 '!$L$52</f>
        <v>0.15593020156616533</v>
      </c>
      <c r="M51" s="1483">
        <f>+'Secteur d''activité déc. 14 '!M51/'Secteur d''activité déc. 14 '!$M$52</f>
        <v>0.11846529355332384</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v>
      </c>
      <c r="E52" s="934">
        <f t="shared" ref="E52:M52" si="0">SUM(E22:E51)</f>
        <v>0.99999999999999978</v>
      </c>
      <c r="F52" s="934">
        <f t="shared" si="0"/>
        <v>1</v>
      </c>
      <c r="G52" s="934">
        <f t="shared" si="0"/>
        <v>1.0000000000000002</v>
      </c>
      <c r="H52" s="934">
        <f t="shared" si="0"/>
        <v>0.99999999999999989</v>
      </c>
      <c r="I52" s="935">
        <f t="shared" si="0"/>
        <v>1.0000000000000002</v>
      </c>
      <c r="J52" s="934">
        <f t="shared" si="0"/>
        <v>1</v>
      </c>
      <c r="K52" s="935">
        <f t="shared" si="0"/>
        <v>1</v>
      </c>
      <c r="L52" s="934">
        <f t="shared" si="0"/>
        <v>1</v>
      </c>
      <c r="M52" s="934">
        <f t="shared" si="0"/>
        <v>0.99999999999999989</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17">
        <f>+'Secteur d''activité déc. 14 '!D56/'Secteur d''activité déc. 14 '!$D$52</f>
        <v>1.4382146678288305E-4</v>
      </c>
      <c r="E56" s="917">
        <f>+'Secteur d''activité déc. 14 '!E56/'Secteur d''activité déc. 14 '!$E$52</f>
        <v>3.103135080384611E-2</v>
      </c>
      <c r="F56" s="917">
        <f>+'Secteur d''activité déc. 14 '!F56/'Secteur d''activité déc. 14 '!$F$52</f>
        <v>1.2271484399107661E-2</v>
      </c>
      <c r="G56" s="917">
        <f>+'Secteur d''activité déc. 14 '!G56/'Secteur d''activité déc. 14 '!$G$52</f>
        <v>4.3063578919955554E-2</v>
      </c>
      <c r="H56" s="917">
        <f>+'Secteur d''activité déc. 14 '!H56/'Secteur d''activité déc. 14 '!$H$52</f>
        <v>5.6665989483105812E-2</v>
      </c>
      <c r="I56" s="917">
        <f>+'Secteur d''activité déc. 14 '!I56/'Secteur d''activité déc. 14 '!$I$52</f>
        <v>2.6716927823960325E-2</v>
      </c>
      <c r="J56" s="917">
        <f>+'Secteur d''activité déc. 14 '!J56/'Secteur d''activité déc. 14 '!$J$52</f>
        <v>0</v>
      </c>
      <c r="K56" s="917">
        <f>+'Secteur d''activité déc. 14 '!K56/'Secteur d''activité déc. 14 '!$K$52</f>
        <v>7.1852554380053817E-3</v>
      </c>
      <c r="L56" s="917">
        <f>+'Secteur d''activité déc. 14 '!L56/'Secteur d''activité déc. 14 '!$L$52</f>
        <v>0</v>
      </c>
      <c r="M56" s="1482">
        <f>+'Secteur d''activité déc. 14 '!M56/'Secteur d''activité déc. 14 '!$M$52</f>
        <v>3.4363637069188664E-2</v>
      </c>
      <c r="O56" s="938"/>
      <c r="P56" s="936"/>
    </row>
    <row r="57" spans="1:55" ht="15.75">
      <c r="A57" s="936"/>
      <c r="B57" s="936" t="s">
        <v>598</v>
      </c>
      <c r="C57" s="932"/>
      <c r="D57" s="917">
        <f>+'Secteur d''activité déc. 14 '!D57/'Secteur d''activité déc. 14 '!$D$52</f>
        <v>3.7558675458859846E-2</v>
      </c>
      <c r="E57" s="917">
        <f>+'Secteur d''activité déc. 14 '!E57/'Secteur d''activité déc. 14 '!$E$52</f>
        <v>0</v>
      </c>
      <c r="F57" s="917">
        <f>+'Secteur d''activité déc. 14 '!F57/'Secteur d''activité déc. 14 '!$F$52</f>
        <v>3.365188377741497E-4</v>
      </c>
      <c r="G57" s="917">
        <f>+'Secteur d''activité déc. 14 '!G57/'Secteur d''activité déc. 14 '!$G$52</f>
        <v>2.2679088310039656E-4</v>
      </c>
      <c r="H57" s="917">
        <f>+'Secteur d''activité déc. 14 '!H57/'Secteur d''activité déc. 14 '!$H$52</f>
        <v>2.9231473999661585E-5</v>
      </c>
      <c r="I57" s="917">
        <f>+'Secteur d''activité déc. 14 '!I57/'Secteur d''activité déc. 14 '!$I$52</f>
        <v>1.288949843744054E-3</v>
      </c>
      <c r="J57" s="917">
        <f>+'Secteur d''activité déc. 14 '!J57/'Secteur d''activité déc. 14 '!$J$52</f>
        <v>0</v>
      </c>
      <c r="K57" s="917">
        <f>+'Secteur d''activité déc. 14 '!K57/'Secteur d''activité déc. 14 '!$K$52</f>
        <v>0</v>
      </c>
      <c r="L57" s="917">
        <f>+'Secteur d''activité déc. 14 '!L57/'Secteur d''activité déc. 14 '!$L$52</f>
        <v>0</v>
      </c>
      <c r="M57" s="1482">
        <f>+'Secteur d''activité déc. 14 '!M57/'Secteur d''activité déc. 14 '!$M$52</f>
        <v>5.4784280640883341E-3</v>
      </c>
      <c r="O57" s="938"/>
      <c r="P57" s="936"/>
    </row>
    <row r="58" spans="1:55" ht="15.75">
      <c r="A58" s="936"/>
      <c r="B58" s="936" t="s">
        <v>599</v>
      </c>
      <c r="C58" s="932"/>
      <c r="D58" s="917">
        <f>+'Secteur d''activité déc. 14 '!D58/'Secteur d''activité déc. 14 '!$D$52</f>
        <v>0</v>
      </c>
      <c r="E58" s="917">
        <f>+'Secteur d''activité déc. 14 '!E58/'Secteur d''activité déc. 14 '!$E$52</f>
        <v>1.3772577656521632E-3</v>
      </c>
      <c r="F58" s="917">
        <f>+'Secteur d''activité déc. 14 '!F58/'Secteur d''activité déc. 14 '!$F$52</f>
        <v>1.5497906155406073E-4</v>
      </c>
      <c r="G58" s="917">
        <f>+'Secteur d''activité déc. 14 '!G58/'Secteur d''activité déc. 14 '!$G$52</f>
        <v>5.4055012460178754E-3</v>
      </c>
      <c r="H58" s="917">
        <f>+'Secteur d''activité déc. 14 '!H58/'Secteur d''activité déc. 14 '!$H$52</f>
        <v>3.707027794854453E-3</v>
      </c>
      <c r="I58" s="917">
        <f>+'Secteur d''activité déc. 14 '!I58/'Secteur d''activité déc. 14 '!$I$52</f>
        <v>3.6810263695160857E-3</v>
      </c>
      <c r="J58" s="917">
        <f>+'Secteur d''activité déc. 14 '!J58/'Secteur d''activité déc. 14 '!$J$52</f>
        <v>0</v>
      </c>
      <c r="K58" s="917">
        <f>+'Secteur d''activité déc. 14 '!K58/'Secteur d''activité déc. 14 '!$K$52</f>
        <v>0</v>
      </c>
      <c r="L58" s="917">
        <f>+'Secteur d''activité déc. 14 '!L58/'Secteur d''activité déc. 14 '!$L$52</f>
        <v>0</v>
      </c>
      <c r="M58" s="1482">
        <f>+'Secteur d''activité déc. 14 '!M58/'Secteur d''activité déc. 14 '!$M$52</f>
        <v>3.1087885492156004E-3</v>
      </c>
      <c r="O58" s="938"/>
      <c r="P58" s="936"/>
    </row>
    <row r="59" spans="1:55" ht="15.75">
      <c r="A59" s="936"/>
      <c r="B59" s="936" t="s">
        <v>600</v>
      </c>
      <c r="C59" s="932"/>
      <c r="D59" s="917">
        <f>+'Secteur d''activité déc. 14 '!D59/'Secteur d''activité déc. 14 '!$D$52</f>
        <v>4.3891167012701425E-2</v>
      </c>
      <c r="E59" s="917">
        <f>+'Secteur d''activité déc. 14 '!E59/'Secteur d''activité déc. 14 '!$E$52</f>
        <v>1.1857684890284733E-2</v>
      </c>
      <c r="F59" s="917">
        <f>+'Secteur d''activité déc. 14 '!F59/'Secteur d''activité déc. 14 '!$F$52</f>
        <v>0.13068321316358306</v>
      </c>
      <c r="G59" s="917">
        <f>+'Secteur d''activité déc. 14 '!G59/'Secteur d''activité déc. 14 '!$G$52</f>
        <v>7.4483942402341088E-2</v>
      </c>
      <c r="H59" s="917">
        <f>+'Secteur d''activité déc. 14 '!H59/'Secteur d''activité déc. 14 '!$H$52</f>
        <v>3.3469001284990245E-2</v>
      </c>
      <c r="I59" s="917">
        <f>+'Secteur d''activité déc. 14 '!I59/'Secteur d''activité déc. 14 '!$I$52</f>
        <v>3.0012908856485981E-2</v>
      </c>
      <c r="J59" s="917">
        <f>+'Secteur d''activité déc. 14 '!J59/'Secteur d''activité déc. 14 '!$J$52</f>
        <v>0</v>
      </c>
      <c r="K59" s="917">
        <f>+'Secteur d''activité déc. 14 '!K59/'Secteur d''activité déc. 14 '!$K$52</f>
        <v>3.010392432270912E-2</v>
      </c>
      <c r="L59" s="917">
        <f>+'Secteur d''activité déc. 14 '!L59/'Secteur d''activité déc. 14 '!$L$52</f>
        <v>7.6454382913166688E-3</v>
      </c>
      <c r="M59" s="1482">
        <f>+'Secteur d''activité déc. 14 '!M59/'Secteur d''activité déc. 14 '!$M$52</f>
        <v>4.654635624015506E-2</v>
      </c>
      <c r="O59" s="938"/>
      <c r="P59" s="936"/>
    </row>
    <row r="60" spans="1:55" ht="15.75">
      <c r="A60" s="936"/>
      <c r="B60" s="936" t="s">
        <v>601</v>
      </c>
      <c r="C60" s="932"/>
      <c r="D60" s="917">
        <f>+'Secteur d''activité déc. 14 '!D60/'Secteur d''activité déc. 14 '!$D$52</f>
        <v>0</v>
      </c>
      <c r="E60" s="917">
        <f>+'Secteur d''activité déc. 14 '!E60/'Secteur d''activité déc. 14 '!$E$52</f>
        <v>0</v>
      </c>
      <c r="F60" s="917">
        <f>+'Secteur d''activité déc. 14 '!F60/'Secteur d''activité déc. 14 '!$F$52</f>
        <v>3.0952656523531859E-2</v>
      </c>
      <c r="G60" s="917">
        <f>+'Secteur d''activité déc. 14 '!G60/'Secteur d''activité déc. 14 '!$G$52</f>
        <v>1.9026114019934759E-2</v>
      </c>
      <c r="H60" s="917">
        <f>+'Secteur d''activité déc. 14 '!H60/'Secteur d''activité déc. 14 '!$H$52</f>
        <v>2.5551595649138056E-2</v>
      </c>
      <c r="I60" s="917">
        <f>+'Secteur d''activité déc. 14 '!I60/'Secteur d''activité déc. 14 '!$I$52</f>
        <v>1.0574113634008633E-2</v>
      </c>
      <c r="J60" s="917">
        <f>+'Secteur d''activité déc. 14 '!J60/'Secteur d''activité déc. 14 '!$J$52</f>
        <v>0</v>
      </c>
      <c r="K60" s="917">
        <f>+'Secteur d''activité déc. 14 '!K60/'Secteur d''activité déc. 14 '!$K$52</f>
        <v>0</v>
      </c>
      <c r="L60" s="917">
        <f>+'Secteur d''activité déc. 14 '!L60/'Secteur d''activité déc. 14 '!$L$52</f>
        <v>0</v>
      </c>
      <c r="M60" s="1482">
        <f>+'Secteur d''activité déc. 14 '!M60/'Secteur d''activité déc. 14 '!$M$52</f>
        <v>1.5704887236344466E-2</v>
      </c>
      <c r="O60" s="938"/>
      <c r="P60" s="936"/>
    </row>
    <row r="61" spans="1:55" ht="15.75">
      <c r="A61" s="936"/>
      <c r="B61" s="936" t="s">
        <v>602</v>
      </c>
      <c r="C61" s="932"/>
      <c r="D61" s="917">
        <f>+'Secteur d''activité déc. 14 '!D61/'Secteur d''activité déc. 14 '!$D$52</f>
        <v>0</v>
      </c>
      <c r="E61" s="917">
        <f>+'Secteur d''activité déc. 14 '!E61/'Secteur d''activité déc. 14 '!$E$52</f>
        <v>0</v>
      </c>
      <c r="F61" s="917">
        <f>+'Secteur d''activité déc. 14 '!F61/'Secteur d''activité déc. 14 '!$F$52</f>
        <v>0</v>
      </c>
      <c r="G61" s="917">
        <f>+'Secteur d''activité déc. 14 '!G61/'Secteur d''activité déc. 14 '!$G$52</f>
        <v>0</v>
      </c>
      <c r="H61" s="917">
        <f>+'Secteur d''activité déc. 14 '!H61/'Secteur d''activité déc. 14 '!$H$52</f>
        <v>0</v>
      </c>
      <c r="I61" s="917">
        <f>+'Secteur d''activité déc. 14 '!I61/'Secteur d''activité déc. 14 '!$I$52</f>
        <v>0</v>
      </c>
      <c r="J61" s="917">
        <f>+'Secteur d''activité déc. 14 '!J61/'Secteur d''activité déc. 14 '!$J$52</f>
        <v>0</v>
      </c>
      <c r="K61" s="917">
        <f>+'Secteur d''activité déc. 14 '!K61/'Secteur d''activité déc. 14 '!$K$52</f>
        <v>0</v>
      </c>
      <c r="L61" s="917">
        <f>+'Secteur d''activité déc. 14 '!L61/'Secteur d''activité déc. 14 '!$L$52</f>
        <v>0</v>
      </c>
      <c r="M61" s="1482">
        <f>+'Secteur d''activité déc. 14 '!M61/'Secteur d''activité déc. 14 '!$M$52</f>
        <v>0</v>
      </c>
      <c r="O61" s="938"/>
      <c r="P61" s="936"/>
    </row>
    <row r="62" spans="1:55" ht="16.5" thickBot="1">
      <c r="A62" s="936"/>
      <c r="B62" s="929" t="s">
        <v>603</v>
      </c>
      <c r="C62" s="946"/>
      <c r="D62" s="1416">
        <f>+'Secteur d''activité déc. 14 '!D62/'Secteur d''activité déc. 14 '!$D$52</f>
        <v>2.637047521942254E-2</v>
      </c>
      <c r="E62" s="1013">
        <f>+'Secteur d''activité déc. 14 '!E62/'Secteur d''activité déc. 14 '!$E$52</f>
        <v>5.50756415313092E-2</v>
      </c>
      <c r="F62" s="1013">
        <f>+'Secteur d''activité déc. 14 '!F62/'Secteur d''activité déc. 14 '!$F$52</f>
        <v>5.7005063255537163E-2</v>
      </c>
      <c r="G62" s="1013">
        <f>+'Secteur d''activité déc. 14 '!G62/'Secteur d''activité déc. 14 '!$G$52</f>
        <v>3.3228483493210434E-2</v>
      </c>
      <c r="H62" s="1013">
        <f>+'Secteur d''activité déc. 14 '!H62/'Secteur d''activité déc. 14 '!$H$52</f>
        <v>2.234863522502167E-2</v>
      </c>
      <c r="I62" s="1013">
        <f>+'Secteur d''activité déc. 14 '!I62/'Secteur d''activité déc. 14 '!$I$52</f>
        <v>1.749805389024721E-3</v>
      </c>
      <c r="J62" s="1013">
        <f>+'Secteur d''activité déc. 14 '!J62/'Secteur d''activité déc. 14 '!$J$52</f>
        <v>0</v>
      </c>
      <c r="K62" s="1013">
        <f>+'Secteur d''activité déc. 14 '!K62/'Secteur d''activité déc. 14 '!$K$52</f>
        <v>0.10524387859223165</v>
      </c>
      <c r="L62" s="1013">
        <f>+'Secteur d''activité déc. 14 '!L62/'Secteur d''activité déc. 14 '!$L$52</f>
        <v>0</v>
      </c>
      <c r="M62" s="1483">
        <f>+'Secteur d''activité déc. 14 '!M62/'Secteur d''activité déc. 14 '!$M$52</f>
        <v>2.6149500134683559E-2</v>
      </c>
      <c r="O62" s="938"/>
      <c r="P62" s="936"/>
    </row>
    <row r="63" spans="1:55" ht="15.75">
      <c r="A63" s="936"/>
      <c r="B63" s="1074" t="s">
        <v>0</v>
      </c>
      <c r="C63" s="1074" t="s">
        <v>604</v>
      </c>
      <c r="D63" s="934">
        <f t="shared" ref="D63:I63" si="1">SUM(D56:D62)</f>
        <v>0.1079641391577667</v>
      </c>
      <c r="E63" s="934">
        <f t="shared" si="1"/>
        <v>9.9341934991092201E-2</v>
      </c>
      <c r="F63" s="934">
        <f t="shared" si="1"/>
        <v>0.23140391524108794</v>
      </c>
      <c r="G63" s="934">
        <f t="shared" si="1"/>
        <v>0.17543441096456008</v>
      </c>
      <c r="H63" s="934">
        <f t="shared" si="1"/>
        <v>0.14177148091110992</v>
      </c>
      <c r="I63" s="935">
        <f t="shared" si="1"/>
        <v>7.4023731916739804E-2</v>
      </c>
      <c r="J63" s="944" t="s">
        <v>566</v>
      </c>
      <c r="K63" s="935">
        <f>SUM(K56:K62)</f>
        <v>0.14253305835294616</v>
      </c>
      <c r="L63" s="934">
        <f>SUM(L56:L62)</f>
        <v>7.6454382913166688E-3</v>
      </c>
      <c r="M63" s="1079">
        <f>SUM(M56:M62)</f>
        <v>0.13135159729367568</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17">
        <f>+'Secteur d''activité déc. 14 '!D68/'Secteur d''activité déc. 14 '!$D$52</f>
        <v>2.1547322904442614E-3</v>
      </c>
      <c r="E68" s="917">
        <f>+'Secteur d''activité déc. 14 '!E68/'Secteur d''activité déc. 14 '!$E$52</f>
        <v>6.0753957569646974E-3</v>
      </c>
      <c r="F68" s="917">
        <f>+'Secteur d''activité déc. 14 '!F68/'Secteur d''activité déc. 14 '!$F$52</f>
        <v>0</v>
      </c>
      <c r="G68" s="917">
        <f>+'Secteur d''activité déc. 14 '!G68/'Secteur d''activité déc. 14 '!$G$52</f>
        <v>5.8493918330196747E-3</v>
      </c>
      <c r="H68" s="917">
        <f>+'Secteur d''activité déc. 14 '!H68/'Secteur d''activité déc. 14 '!$H$52</f>
        <v>3.7209212396376512E-3</v>
      </c>
      <c r="I68" s="917">
        <f>+'Secteur d''activité déc. 14 '!I68/'Secteur d''activité déc. 14 '!$I$52</f>
        <v>8.2255839023009959E-3</v>
      </c>
      <c r="J68" s="917">
        <f>+'Secteur d''activité déc. 14 '!J68/'Secteur d''activité déc. 14 '!$J$52</f>
        <v>0</v>
      </c>
      <c r="K68" s="917">
        <f>+'Secteur d''activité déc. 14 '!K68/'Secteur d''activité déc. 14 '!$K$52</f>
        <v>0</v>
      </c>
      <c r="L68" s="917">
        <f>+'Secteur d''activité déc. 14 '!L68/'Secteur d''activité déc. 14 '!$L$52</f>
        <v>0</v>
      </c>
      <c r="M68" s="1482">
        <f>+'Secteur d''activité déc. 14 '!M68/'Secteur d''activité déc. 14 '!$M$52</f>
        <v>3.963901644433286E-3</v>
      </c>
      <c r="O68" s="938"/>
      <c r="P68" s="936"/>
    </row>
    <row r="69" spans="1:16" ht="15.75">
      <c r="A69" s="936"/>
      <c r="B69" s="936" t="s">
        <v>599</v>
      </c>
      <c r="C69" s="932"/>
      <c r="D69" s="917">
        <f>+'Secteur d''activité déc. 14 '!D69/'Secteur d''activité déc. 14 '!$D$52</f>
        <v>0</v>
      </c>
      <c r="E69" s="917">
        <f>+'Secteur d''activité déc. 14 '!E69/'Secteur d''activité déc. 14 '!$E$52</f>
        <v>0</v>
      </c>
      <c r="F69" s="917">
        <f>+'Secteur d''activité déc. 14 '!F69/'Secteur d''activité déc. 14 '!$F$52</f>
        <v>0</v>
      </c>
      <c r="G69" s="917">
        <f>+'Secteur d''activité déc. 14 '!G69/'Secteur d''activité déc. 14 '!$G$52</f>
        <v>3.7806726442309214E-4</v>
      </c>
      <c r="H69" s="917">
        <f>+'Secteur d''activité déc. 14 '!H69/'Secteur d''activité déc. 14 '!$H$52</f>
        <v>5.1927147286952375E-5</v>
      </c>
      <c r="I69" s="917">
        <f>+'Secteur d''activité déc. 14 '!I69/'Secteur d''activité déc. 14 '!$I$52</f>
        <v>3.3575107132077365E-3</v>
      </c>
      <c r="J69" s="917">
        <f>+'Secteur d''activité déc. 14 '!J69/'Secteur d''activité déc. 14 '!$J$52</f>
        <v>0</v>
      </c>
      <c r="K69" s="917">
        <f>+'Secteur d''activité déc. 14 '!K69/'Secteur d''activité déc. 14 '!$K$52</f>
        <v>0</v>
      </c>
      <c r="L69" s="917">
        <f>+'Secteur d''activité déc. 14 '!L69/'Secteur d''activité déc. 14 '!$L$52</f>
        <v>0</v>
      </c>
      <c r="M69" s="1482">
        <f>+'Secteur d''activité déc. 14 '!M69/'Secteur d''activité déc. 14 '!$M$52</f>
        <v>3.7666140252622517E-4</v>
      </c>
      <c r="O69" s="938"/>
      <c r="P69" s="936"/>
    </row>
    <row r="70" spans="1:16" ht="15.75">
      <c r="A70" s="936"/>
      <c r="B70" s="936" t="s">
        <v>607</v>
      </c>
      <c r="C70" s="932"/>
      <c r="D70" s="917">
        <f>+'Secteur d''activité déc. 14 '!D70/'Secteur d''activité déc. 14 '!$D$52</f>
        <v>0</v>
      </c>
      <c r="E70" s="917">
        <f>+'Secteur d''activité déc. 14 '!E70/'Secteur d''activité déc. 14 '!$E$52</f>
        <v>2.6413939919792143E-2</v>
      </c>
      <c r="F70" s="917">
        <f>+'Secteur d''activité déc. 14 '!F70/'Secteur d''activité déc. 14 '!$F$52</f>
        <v>0</v>
      </c>
      <c r="G70" s="917">
        <f>+'Secteur d''activité déc. 14 '!G70/'Secteur d''activité déc. 14 '!$G$52</f>
        <v>4.1753209133355999E-2</v>
      </c>
      <c r="H70" s="917">
        <f>+'Secteur d''activité déc. 14 '!H70/'Secteur d''activité déc. 14 '!$H$52</f>
        <v>7.6120588764417157E-2</v>
      </c>
      <c r="I70" s="917">
        <f>+'Secteur d''activité déc. 14 '!I70/'Secteur d''activité déc. 14 '!$I$52</f>
        <v>2.1948113116884285E-2</v>
      </c>
      <c r="J70" s="917">
        <f>+'Secteur d''activité déc. 14 '!J70/'Secteur d''activité déc. 14 '!$J$52</f>
        <v>0</v>
      </c>
      <c r="K70" s="917">
        <f>+'Secteur d''activité déc. 14 '!K70/'Secteur d''activité déc. 14 '!$K$52</f>
        <v>9.7193434832324191E-2</v>
      </c>
      <c r="L70" s="917">
        <f>+'Secteur d''activité déc. 14 '!L70/'Secteur d''activité déc. 14 '!$L$52</f>
        <v>2.7836427741085158E-4</v>
      </c>
      <c r="M70" s="1482">
        <f>+'Secteur d''activité déc. 14 '!M70/'Secteur d''activité déc. 14 '!$M$52</f>
        <v>4.1659435743698417E-2</v>
      </c>
      <c r="O70" s="938"/>
      <c r="P70" s="936"/>
    </row>
    <row r="71" spans="1:16" ht="15.75">
      <c r="A71" s="936"/>
      <c r="B71" s="936" t="s">
        <v>600</v>
      </c>
      <c r="C71" s="932"/>
      <c r="D71" s="917">
        <f>+'Secteur d''activité déc. 14 '!D71/'Secteur d''activité déc. 14 '!$D$52</f>
        <v>1.1662949814354696E-4</v>
      </c>
      <c r="E71" s="917">
        <f>+'Secteur d''activité déc. 14 '!E71/'Secteur d''activité déc. 14 '!$E$52</f>
        <v>0</v>
      </c>
      <c r="F71" s="917">
        <f>+'Secteur d''activité déc. 14 '!F71/'Secteur d''activité déc. 14 '!$F$52</f>
        <v>3.2405963558862854E-3</v>
      </c>
      <c r="G71" s="917">
        <f>+'Secteur d''activité déc. 14 '!G71/'Secteur d''activité déc. 14 '!$G$52</f>
        <v>3.4770456502809979E-2</v>
      </c>
      <c r="H71" s="917">
        <f>+'Secteur d''activité déc. 14 '!H71/'Secteur d''activité déc. 14 '!$H$52</f>
        <v>2.394483545117055E-2</v>
      </c>
      <c r="I71" s="917">
        <f>+'Secteur d''activité déc. 14 '!I71/'Secteur d''activité déc. 14 '!$I$52</f>
        <v>2.7436948499907625E-2</v>
      </c>
      <c r="J71" s="917">
        <f>+'Secteur d''activité déc. 14 '!J71/'Secteur d''activité déc. 14 '!$J$52</f>
        <v>0</v>
      </c>
      <c r="K71" s="917">
        <f>+'Secteur d''activité déc. 14 '!K71/'Secteur d''activité déc. 14 '!$K$52</f>
        <v>0</v>
      </c>
      <c r="L71" s="917">
        <f>+'Secteur d''activité déc. 14 '!L71/'Secteur d''activité déc. 14 '!$L$52</f>
        <v>1.414642749878427E-3</v>
      </c>
      <c r="M71" s="1482">
        <f>+'Secteur d''activité déc. 14 '!M71/'Secteur d''activité déc. 14 '!$M$52</f>
        <v>2.0298338160326355E-2</v>
      </c>
      <c r="O71" s="938"/>
      <c r="P71" s="936"/>
    </row>
    <row r="72" spans="1:16" ht="15.75">
      <c r="A72" s="936"/>
      <c r="B72" s="936" t="s">
        <v>608</v>
      </c>
      <c r="C72" s="932"/>
      <c r="D72" s="917">
        <f>+'Secteur d''activité déc. 14 '!D72/'Secteur d''activité déc. 14 '!$D$52</f>
        <v>1.5658504389930611E-4</v>
      </c>
      <c r="E72" s="917">
        <f>+'Secteur d''activité déc. 14 '!E72/'Secteur d''activité déc. 14 '!$E$52</f>
        <v>0</v>
      </c>
      <c r="F72" s="917">
        <f>+'Secteur d''activité déc. 14 '!F72/'Secteur d''activité déc. 14 '!$F$52</f>
        <v>0</v>
      </c>
      <c r="G72" s="917">
        <f>+'Secteur d''activité déc. 14 '!G72/'Secteur d''activité déc. 14 '!$G$52</f>
        <v>1.9680430874402348E-3</v>
      </c>
      <c r="H72" s="917">
        <f>+'Secteur d''activité déc. 14 '!H72/'Secteur d''activité déc. 14 '!$H$52</f>
        <v>9.0254257407509269E-4</v>
      </c>
      <c r="I72" s="917">
        <f>+'Secteur d''activité déc. 14 '!I72/'Secteur d''activité déc. 14 '!$I$52</f>
        <v>1.6219858517911771E-3</v>
      </c>
      <c r="J72" s="917">
        <f>+'Secteur d''activité déc. 14 '!J72/'Secteur d''activité déc. 14 '!$J$52</f>
        <v>0</v>
      </c>
      <c r="K72" s="917">
        <f>+'Secteur d''activité déc. 14 '!K72/'Secteur d''activité déc. 14 '!$K$52</f>
        <v>0</v>
      </c>
      <c r="L72" s="917">
        <f>+'Secteur d''activité déc. 14 '!L72/'Secteur d''activité déc. 14 '!$L$52</f>
        <v>3.9387981763195398E-4</v>
      </c>
      <c r="M72" s="1482">
        <f>+'Secteur d''activité déc. 14 '!M72/'Secteur d''activité déc. 14 '!$M$52</f>
        <v>1.0355314882131918E-3</v>
      </c>
      <c r="O72" s="938"/>
      <c r="P72" s="936"/>
    </row>
    <row r="73" spans="1:16" ht="15.75">
      <c r="A73" s="936"/>
      <c r="B73" s="936" t="s">
        <v>609</v>
      </c>
      <c r="C73" s="932"/>
      <c r="D73" s="917">
        <f>+'Secteur d''activité déc. 14 '!D73/'Secteur d''activité déc. 14 '!$D$52</f>
        <v>1.2904161444082215E-3</v>
      </c>
      <c r="E73" s="917">
        <f>+'Secteur d''activité déc. 14 '!E73/'Secteur d''activité déc. 14 '!$E$52</f>
        <v>0</v>
      </c>
      <c r="F73" s="917">
        <f>+'Secteur d''activité déc. 14 '!F73/'Secteur d''activité déc. 14 '!$F$52</f>
        <v>2.6759984514647633E-3</v>
      </c>
      <c r="G73" s="917">
        <f>+'Secteur d''activité déc. 14 '!G73/'Secteur d''activité déc. 14 '!$G$52</f>
        <v>1.2405012611974709E-2</v>
      </c>
      <c r="H73" s="917">
        <f>+'Secteur d''activité déc. 14 '!H73/'Secteur d''activité déc. 14 '!$H$52</f>
        <v>8.0082074046692493E-3</v>
      </c>
      <c r="I73" s="917">
        <f>+'Secteur d''activité déc. 14 '!I73/'Secteur d''activité déc. 14 '!$I$52</f>
        <v>3.4401085796821024E-2</v>
      </c>
      <c r="J73" s="917">
        <f>+'Secteur d''activité déc. 14 '!J73/'Secteur d''activité déc. 14 '!$J$52</f>
        <v>0</v>
      </c>
      <c r="K73" s="917">
        <f>+'Secteur d''activité déc. 14 '!K73/'Secteur d''activité déc. 14 '!$K$52</f>
        <v>0</v>
      </c>
      <c r="L73" s="917">
        <f>+'Secteur d''activité déc. 14 '!L73/'Secteur d''activité déc. 14 '!$L$52</f>
        <v>0</v>
      </c>
      <c r="M73" s="1482">
        <f>+'Secteur d''activité déc. 14 '!M73/'Secteur d''activité déc. 14 '!$M$52</f>
        <v>9.0860597800591393E-3</v>
      </c>
      <c r="O73" s="938"/>
      <c r="P73" s="936"/>
    </row>
    <row r="74" spans="1:16" ht="15.75">
      <c r="A74" s="936"/>
      <c r="B74" s="936" t="s">
        <v>601</v>
      </c>
      <c r="C74" s="932"/>
      <c r="D74" s="917">
        <f>+'Secteur d''activité déc. 14 '!D74/'Secteur d''activité déc. 14 '!$D$52</f>
        <v>0</v>
      </c>
      <c r="E74" s="917">
        <f>+'Secteur d''activité déc. 14 '!E74/'Secteur d''activité déc. 14 '!$E$52</f>
        <v>0</v>
      </c>
      <c r="F74" s="917">
        <f>+'Secteur d''activité déc. 14 '!F74/'Secteur d''activité déc. 14 '!$F$52</f>
        <v>0</v>
      </c>
      <c r="G74" s="917">
        <f>+'Secteur d''activité déc. 14 '!G74/'Secteur d''activité déc. 14 '!$G$52</f>
        <v>9.7968241354957457E-3</v>
      </c>
      <c r="H74" s="917">
        <f>+'Secteur d''activité déc. 14 '!H74/'Secteur d''activité déc. 14 '!$H$52</f>
        <v>1.0015967947511317E-2</v>
      </c>
      <c r="I74" s="917">
        <f>+'Secteur d''activité déc. 14 '!I74/'Secteur d''activité déc. 14 '!$I$52</f>
        <v>4.6191336214053084E-5</v>
      </c>
      <c r="J74" s="917">
        <f>+'Secteur d''activité déc. 14 '!J74/'Secteur d''activité déc. 14 '!$J$52</f>
        <v>0</v>
      </c>
      <c r="K74" s="917">
        <f>+'Secteur d''activité déc. 14 '!K74/'Secteur d''activité déc. 14 '!$K$52</f>
        <v>1.8678397850840321E-2</v>
      </c>
      <c r="L74" s="917">
        <f>+'Secteur d''activité déc. 14 '!L74/'Secteur d''activité déc. 14 '!$L$52</f>
        <v>0</v>
      </c>
      <c r="M74" s="1482">
        <f>+'Secteur d''activité déc. 14 '!M74/'Secteur d''activité déc. 14 '!$M$52</f>
        <v>6.6111880716876346E-3</v>
      </c>
      <c r="O74" s="938"/>
      <c r="P74" s="936"/>
    </row>
    <row r="75" spans="1:16" ht="16.5" thickBot="1">
      <c r="A75" s="936"/>
      <c r="B75" s="929" t="s">
        <v>603</v>
      </c>
      <c r="C75" s="946"/>
      <c r="D75" s="1416">
        <f>+'Secteur d''activité déc. 14 '!D75/'Secteur d''activité déc. 14 '!$D$52</f>
        <v>5.7698767741372189E-3</v>
      </c>
      <c r="E75" s="1013">
        <f>+'Secteur d''activité déc. 14 '!E75/'Secteur d''activité déc. 14 '!$E$52</f>
        <v>0.2672027408272738</v>
      </c>
      <c r="F75" s="1013">
        <f>+'Secteur d''activité déc. 14 '!F75/'Secteur d''activité déc. 14 '!$F$52</f>
        <v>1.7799290189191266E-2</v>
      </c>
      <c r="G75" s="1013">
        <f>+'Secteur d''activité déc. 14 '!G75/'Secteur d''activité déc. 14 '!$G$52</f>
        <v>4.9266036459716382E-2</v>
      </c>
      <c r="H75" s="1013">
        <f>+'Secteur d''activité déc. 14 '!H75/'Secteur d''activité déc. 14 '!$H$52</f>
        <v>3.3327324312488672E-2</v>
      </c>
      <c r="I75" s="1013">
        <f>+'Secteur d''activité déc. 14 '!I75/'Secteur d''activité déc. 14 '!$I$52</f>
        <v>2.2563057318085115E-2</v>
      </c>
      <c r="J75" s="1013">
        <f>+'Secteur d''activité déc. 14 '!J75/'Secteur d''activité déc. 14 '!$J$52</f>
        <v>0</v>
      </c>
      <c r="K75" s="1013">
        <f>+'Secteur d''activité déc. 14 '!K75/'Secteur d''activité déc. 14 '!$K$52</f>
        <v>0.10928552640983379</v>
      </c>
      <c r="L75" s="1013">
        <f>+'Secteur d''activité déc. 14 '!L75/'Secteur d''activité déc. 14 '!$L$52</f>
        <v>6.8266866818470992E-4</v>
      </c>
      <c r="M75" s="1483">
        <f>+'Secteur d''activité déc. 14 '!M75/'Secteur d''activité déc. 14 '!$M$52</f>
        <v>3.5862085317415152E-2</v>
      </c>
      <c r="O75" s="938"/>
      <c r="P75" s="936"/>
    </row>
    <row r="76" spans="1:16" ht="15.75">
      <c r="A76" s="936"/>
      <c r="C76" s="1074" t="s">
        <v>604</v>
      </c>
      <c r="D76" s="934">
        <f t="shared" ref="D76:I76" si="2">SUM(D68:D75)</f>
        <v>9.4882397510325546E-3</v>
      </c>
      <c r="E76" s="934">
        <f t="shared" si="2"/>
        <v>0.29969207650403062</v>
      </c>
      <c r="F76" s="934">
        <f t="shared" si="2"/>
        <v>2.3715884996542314E-2</v>
      </c>
      <c r="G76" s="934">
        <f t="shared" si="2"/>
        <v>0.15618704102823583</v>
      </c>
      <c r="H76" s="934">
        <f t="shared" si="2"/>
        <v>0.15609231484125663</v>
      </c>
      <c r="I76" s="935">
        <f t="shared" si="2"/>
        <v>0.11960047653521201</v>
      </c>
      <c r="J76" s="944" t="s">
        <v>566</v>
      </c>
      <c r="K76" s="935">
        <f>SUM(K68:K75)</f>
        <v>0.22515735909299828</v>
      </c>
      <c r="L76" s="935">
        <f>SUM(L68:L75)</f>
        <v>2.7695555131059422E-3</v>
      </c>
      <c r="M76" s="1079">
        <f>SUM(M68:M75)</f>
        <v>0.11889320160835939</v>
      </c>
      <c r="O76" s="938"/>
      <c r="P76" s="936"/>
    </row>
    <row r="77" spans="1:16" ht="15">
      <c r="A77" s="936"/>
      <c r="B77" s="936"/>
      <c r="C77" s="936"/>
      <c r="D77" s="936"/>
      <c r="E77" s="936"/>
      <c r="F77" s="938"/>
      <c r="G77" s="938"/>
      <c r="H77" s="938"/>
      <c r="I77" s="967" t="s">
        <v>0</v>
      </c>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42.xml><?xml version="1.0" encoding="utf-8"?>
<worksheet xmlns="http://schemas.openxmlformats.org/spreadsheetml/2006/main" xmlns:r="http://schemas.openxmlformats.org/officeDocument/2006/relationships">
  <sheetPr>
    <pageSetUpPr fitToPage="1"/>
  </sheetPr>
  <dimension ref="A1:BC205"/>
  <sheetViews>
    <sheetView topLeftCell="A7" workbookViewId="0">
      <pane xSplit="3" ySplit="7" topLeftCell="D14" activePane="bottomRight" state="frozen"/>
      <selection activeCell="E46" sqref="E46"/>
      <selection pane="topRight" activeCell="E46" sqref="E46"/>
      <selection pane="bottomLeft" activeCell="E46" sqref="E46"/>
      <selection pane="bottomRight" activeCell="I25" sqref="I25"/>
    </sheetView>
  </sheetViews>
  <sheetFormatPr baseColWidth="10" defaultColWidth="9" defaultRowHeight="12.75"/>
  <cols>
    <col min="1" max="1" width="5.875" style="889" customWidth="1"/>
    <col min="2" max="2" width="33.75" style="889" customWidth="1"/>
    <col min="3" max="3" width="28.25" style="889" customWidth="1"/>
    <col min="4" max="4" width="16.625" style="889" customWidth="1"/>
    <col min="5" max="5" width="17.125" style="889" customWidth="1"/>
    <col min="6" max="6" width="15.5" style="889" customWidth="1"/>
    <col min="7" max="7" width="18.5" style="889" customWidth="1"/>
    <col min="8" max="8" width="15.875" style="889" customWidth="1"/>
    <col min="9" max="9" width="16.125" style="889" customWidth="1"/>
    <col min="10" max="10" width="15.25" style="889" customWidth="1"/>
    <col min="11" max="11" width="13.875" style="889" customWidth="1"/>
    <col min="12" max="12" width="16.875" style="889" customWidth="1"/>
    <col min="13" max="13" width="14.625" style="889" customWidth="1"/>
    <col min="14" max="14" width="13.625" style="889" customWidth="1"/>
    <col min="15" max="16384" width="9" style="889"/>
  </cols>
  <sheetData>
    <row r="1" spans="1:55" ht="18">
      <c r="A1" s="888"/>
      <c r="B1" s="888"/>
      <c r="C1" s="888"/>
      <c r="D1" s="888"/>
      <c r="E1" s="888"/>
      <c r="F1" s="888"/>
    </row>
    <row r="2" spans="1:55" ht="30">
      <c r="A2" s="890" t="s">
        <v>515</v>
      </c>
      <c r="B2" s="891"/>
      <c r="C2" s="892"/>
      <c r="D2" s="892"/>
      <c r="E2" s="892"/>
      <c r="F2" s="892"/>
      <c r="G2" s="893"/>
      <c r="H2" s="893"/>
      <c r="I2" s="893"/>
      <c r="J2" s="893"/>
      <c r="K2" s="893"/>
      <c r="L2" s="893"/>
      <c r="M2" s="893"/>
      <c r="N2" s="893"/>
    </row>
    <row r="3" spans="1:55" ht="30">
      <c r="A3" s="894"/>
      <c r="B3" s="891"/>
      <c r="C3" s="892"/>
      <c r="D3" s="892"/>
      <c r="E3" s="892"/>
      <c r="F3" s="892"/>
      <c r="G3" s="893"/>
      <c r="H3" s="893"/>
      <c r="I3" s="893"/>
      <c r="J3" s="893"/>
      <c r="K3" s="893"/>
      <c r="L3" s="893"/>
      <c r="M3" s="893"/>
      <c r="N3" s="893"/>
    </row>
    <row r="4" spans="1:55" ht="30">
      <c r="A4" s="890" t="s">
        <v>560</v>
      </c>
      <c r="B4" s="891"/>
      <c r="C4" s="892"/>
      <c r="D4" s="892"/>
      <c r="E4" s="892"/>
      <c r="F4" s="892"/>
      <c r="G4" s="893"/>
      <c r="H4" s="893"/>
      <c r="I4" s="893"/>
      <c r="J4" s="893"/>
      <c r="K4" s="893"/>
      <c r="L4" s="893"/>
      <c r="M4" s="893"/>
      <c r="N4" s="893"/>
    </row>
    <row r="5" spans="1:55" ht="30">
      <c r="A5" s="890"/>
      <c r="B5" s="890" t="s">
        <v>968</v>
      </c>
      <c r="C5" s="892"/>
      <c r="D5" s="892"/>
      <c r="E5" s="892"/>
      <c r="F5" s="892"/>
      <c r="G5" s="893"/>
      <c r="H5" s="893"/>
      <c r="I5" s="893"/>
      <c r="J5" s="893"/>
      <c r="K5" s="893"/>
      <c r="L5" s="893"/>
      <c r="M5" s="893"/>
      <c r="N5" s="893"/>
    </row>
    <row r="6" spans="1:55" ht="18">
      <c r="A6" s="895"/>
      <c r="B6" s="891"/>
      <c r="C6" s="892"/>
      <c r="D6" s="892"/>
      <c r="E6" s="892"/>
      <c r="F6" s="892"/>
    </row>
    <row r="7" spans="1:55" ht="18">
      <c r="A7" s="895"/>
      <c r="B7" s="891"/>
      <c r="C7" s="892"/>
      <c r="D7" s="892"/>
      <c r="E7" s="892"/>
      <c r="F7" s="892"/>
    </row>
    <row r="8" spans="1:55" ht="18">
      <c r="A8" s="895"/>
      <c r="B8" s="891"/>
      <c r="C8" s="892"/>
      <c r="D8" s="892"/>
      <c r="E8" s="892"/>
      <c r="F8" s="892"/>
    </row>
    <row r="9" spans="1:55" ht="18">
      <c r="A9" s="895"/>
      <c r="D9" s="900"/>
      <c r="E9" s="900"/>
      <c r="F9" s="900"/>
      <c r="G9" s="900"/>
      <c r="H9" s="900"/>
      <c r="I9" s="901"/>
      <c r="J9" s="901"/>
      <c r="K9" s="901"/>
      <c r="L9" s="901"/>
      <c r="M9" s="901"/>
      <c r="N9" s="901"/>
    </row>
    <row r="10" spans="1:55" ht="18">
      <c r="A10" s="895"/>
      <c r="D10" s="900"/>
      <c r="E10" s="900"/>
      <c r="F10" s="900"/>
      <c r="G10" s="900"/>
      <c r="H10" s="900"/>
      <c r="I10" s="901"/>
      <c r="J10" s="901"/>
      <c r="K10" s="901"/>
      <c r="L10" s="901"/>
      <c r="M10" s="901"/>
      <c r="N10" s="901"/>
    </row>
    <row r="11" spans="1:55" ht="18">
      <c r="A11" s="908" t="s">
        <v>0</v>
      </c>
      <c r="B11" s="888"/>
      <c r="C11" s="909"/>
      <c r="D11" s="909"/>
      <c r="E11" s="909"/>
      <c r="F11" s="909"/>
      <c r="G11" s="901"/>
      <c r="H11" s="901" t="s">
        <v>0</v>
      </c>
      <c r="I11" s="901"/>
      <c r="J11" s="901" t="s">
        <v>0</v>
      </c>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1"/>
      <c r="AJ11" s="901"/>
      <c r="AK11" s="901"/>
      <c r="AL11" s="901"/>
      <c r="AM11" s="901"/>
      <c r="AN11" s="901"/>
      <c r="AO11" s="901"/>
      <c r="AP11" s="901"/>
      <c r="AQ11" s="901"/>
      <c r="AR11" s="901"/>
      <c r="AS11" s="901"/>
      <c r="AT11" s="901"/>
      <c r="AU11" s="901"/>
      <c r="AV11" s="901"/>
      <c r="AW11" s="901"/>
      <c r="AX11" s="901"/>
      <c r="AY11" s="901"/>
      <c r="AZ11" s="901"/>
      <c r="BA11" s="901"/>
      <c r="BB11" s="901"/>
      <c r="BC11" s="901"/>
    </row>
    <row r="12" spans="1:55" ht="18">
      <c r="A12" s="891"/>
      <c r="B12" s="888"/>
      <c r="C12" s="909"/>
      <c r="D12" s="909"/>
      <c r="E12" s="909"/>
      <c r="F12" s="909"/>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1"/>
      <c r="AJ12" s="901"/>
      <c r="AK12" s="901"/>
      <c r="AL12" s="901"/>
      <c r="AM12" s="901"/>
      <c r="AN12" s="901"/>
      <c r="AO12" s="901"/>
      <c r="AP12" s="901"/>
      <c r="AQ12" s="901"/>
      <c r="AR12" s="901"/>
      <c r="AS12" s="901"/>
      <c r="AT12" s="901"/>
      <c r="AU12" s="901"/>
      <c r="AV12" s="901"/>
      <c r="AW12" s="901"/>
      <c r="AX12" s="901"/>
      <c r="AY12" s="901"/>
      <c r="AZ12" s="901"/>
      <c r="BA12" s="901"/>
      <c r="BB12" s="901"/>
      <c r="BC12" s="901"/>
    </row>
    <row r="13" spans="1:55" ht="18.75" thickBot="1">
      <c r="A13" s="1488" t="s">
        <v>0</v>
      </c>
      <c r="B13" s="1563" t="s">
        <v>922</v>
      </c>
      <c r="C13" s="1564"/>
      <c r="D13" s="913" t="s">
        <v>59</v>
      </c>
      <c r="E13" s="913" t="s">
        <v>60</v>
      </c>
      <c r="F13" s="913" t="s">
        <v>61</v>
      </c>
      <c r="G13" s="1208" t="s">
        <v>64</v>
      </c>
      <c r="H13" s="913" t="s">
        <v>65</v>
      </c>
      <c r="I13" s="913" t="s">
        <v>66</v>
      </c>
      <c r="J13" s="913" t="s">
        <v>564</v>
      </c>
      <c r="K13" s="913" t="s">
        <v>68</v>
      </c>
      <c r="L13" s="913" t="s">
        <v>69</v>
      </c>
      <c r="M13" s="911" t="s">
        <v>621</v>
      </c>
      <c r="O13" s="907"/>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c r="AZ13" s="901"/>
      <c r="BA13" s="901"/>
      <c r="BB13" s="901"/>
      <c r="BC13" s="901"/>
    </row>
    <row r="14" spans="1:55" ht="24" customHeight="1">
      <c r="A14" s="936"/>
      <c r="B14" s="1489" t="s">
        <v>923</v>
      </c>
      <c r="C14" s="943"/>
      <c r="D14" s="1422">
        <f>+'Secteur d''activité déc. 14 '!D37+'Secteur d''activité déc. 14 '!D38</f>
        <v>1269898</v>
      </c>
      <c r="E14" s="1422">
        <f>+'Secteur d''activité déc. 14 '!E37+'Secteur d''activité déc. 14 '!E38</f>
        <v>550847.81999999995</v>
      </c>
      <c r="F14" s="1422">
        <f>+'Secteur d''activité déc. 14 '!F37+'Secteur d''activité déc. 14 '!F38</f>
        <v>593406.51</v>
      </c>
      <c r="G14" s="1422">
        <f>+'Secteur d''activité déc. 14 '!G37+'Secteur d''activité déc. 14 '!G38</f>
        <v>7480250.6399999997</v>
      </c>
      <c r="H14" s="1422">
        <f>+'Secteur d''activité déc. 14 '!H37+'Secteur d''activité déc. 14 '!H38</f>
        <v>7495130.5899999999</v>
      </c>
      <c r="I14" s="1422">
        <f>+'Secteur d''activité déc. 14 '!I37+'Secteur d''activité déc. 14 '!I38</f>
        <v>1098248.1400000001</v>
      </c>
      <c r="J14" s="1422">
        <f>+'Secteur d''activité déc. 14 '!J37+'Secteur d''activité déc. 14 '!J38</f>
        <v>13200.8</v>
      </c>
      <c r="K14" s="1422">
        <f>+'Secteur d''activité déc. 14 '!K37+'Secteur d''activité déc. 14 '!K38</f>
        <v>661469.19999999995</v>
      </c>
      <c r="L14" s="1422">
        <f>+'Secteur d''activité déc. 14 '!L37+'Secteur d''activité déc. 14 '!L38</f>
        <v>36966</v>
      </c>
      <c r="M14" s="1491">
        <f t="shared" ref="M14:M22" si="0">SUM(D14:L14)</f>
        <v>19199417.699999999</v>
      </c>
      <c r="O14" s="938"/>
      <c r="P14" s="936"/>
    </row>
    <row r="15" spans="1:55" ht="24" customHeight="1">
      <c r="A15" s="936"/>
      <c r="B15" s="1489" t="s">
        <v>924</v>
      </c>
      <c r="C15" s="932"/>
      <c r="D15" s="1422">
        <f>+'Secteur d''activité déc. 14 '!D45+'Secteur d''activité déc. 14 '!D46+'Secteur d''activité déc. 14 '!D47+'Secteur d''activité déc. 14 '!D48+'Secteur d''activité déc. 14 '!D49+'Secteur d''activité déc. 14 '!D50+'Secteur d''activité déc. 14 '!D39+'Secteur d''activité déc. 14 '!D40</f>
        <v>1815308</v>
      </c>
      <c r="E15" s="1422">
        <f>+'Secteur d''activité déc. 14 '!E45+'Secteur d''activité déc. 14 '!E46+'Secteur d''activité déc. 14 '!E47+'Secteur d''activité déc. 14 '!E48+'Secteur d''activité déc. 14 '!E49+'Secteur d''activité déc. 14 '!E50+'Secteur d''activité déc. 14 '!E39+'Secteur d''activité déc. 14 '!E40</f>
        <v>72683.219999999987</v>
      </c>
      <c r="F15" s="1422">
        <f>+'Secteur d''activité déc. 14 '!F45+'Secteur d''activité déc. 14 '!F46+'Secteur d''activité déc. 14 '!F47+'Secteur d''activité déc. 14 '!F48+'Secteur d''activité déc. 14 '!F49+'Secteur d''activité déc. 14 '!F50+'Secteur d''activité déc. 14 '!F39+'Secteur d''activité déc. 14 '!F40</f>
        <v>187499.02999999997</v>
      </c>
      <c r="G15" s="1422">
        <f>+'Secteur d''activité déc. 14 '!G45+'Secteur d''activité déc. 14 '!G46+'Secteur d''activité déc. 14 '!G47+'Secteur d''activité déc. 14 '!G48+'Secteur d''activité déc. 14 '!G49+'Secteur d''activité déc. 14 '!G50+'Secteur d''activité déc. 14 '!G39+'Secteur d''activité déc. 14 '!G40</f>
        <v>3676155.9899999993</v>
      </c>
      <c r="H15" s="1422">
        <f>+'Secteur d''activité déc. 14 '!H45+'Secteur d''activité déc. 14 '!H46+'Secteur d''activité déc. 14 '!H47+'Secteur d''activité déc. 14 '!H48+'Secteur d''activité déc. 14 '!H49+'Secteur d''activité déc. 14 '!H50+'Secteur d''activité déc. 14 '!H39+'Secteur d''activité déc. 14 '!H40</f>
        <v>1935349.52</v>
      </c>
      <c r="I15" s="1422">
        <f>+'Secteur d''activité déc. 14 '!I45+'Secteur d''activité déc. 14 '!I46+'Secteur d''activité déc. 14 '!I47+'Secteur d''activité déc. 14 '!I48+'Secteur d''activité déc. 14 '!I49+'Secteur d''activité déc. 14 '!I50+'Secteur d''activité déc. 14 '!I39+'Secteur d''activité déc. 14 '!I40</f>
        <v>2589497.4000000004</v>
      </c>
      <c r="J15" s="1422">
        <f>+'Secteur d''activité déc. 14 '!J45+'Secteur d''activité déc. 14 '!J46+'Secteur d''activité déc. 14 '!J47+'Secteur d''activité déc. 14 '!J48+'Secteur d''activité déc. 14 '!J49+'Secteur d''activité déc. 14 '!J50+'Secteur d''activité déc. 14 '!J39+'Secteur d''activité déc. 14 '!J40</f>
        <v>22446.78</v>
      </c>
      <c r="K15" s="1422">
        <f>+'Secteur d''activité déc. 14 '!K45+'Secteur d''activité déc. 14 '!K46+'Secteur d''activité déc. 14 '!K47+'Secteur d''activité déc. 14 '!K48+'Secteur d''activité déc. 14 '!K49+'Secteur d''activité déc. 14 '!K50+'Secteur d''activité déc. 14 '!K39+'Secteur d''activité déc. 14 '!K40</f>
        <v>42111.35</v>
      </c>
      <c r="L15" s="1422">
        <f>+'Secteur d''activité déc. 14 '!L45+'Secteur d''activité déc. 14 '!L46+'Secteur d''activité déc. 14 '!L47+'Secteur d''activité déc. 14 '!L48+'Secteur d''activité déc. 14 '!L49+'Secteur d''activité déc. 14 '!L50+'Secteur d''activité déc. 14 '!L39+'Secteur d''activité déc. 14 '!L40</f>
        <v>1005741</v>
      </c>
      <c r="M15" s="1491">
        <f t="shared" si="0"/>
        <v>11346792.289999999</v>
      </c>
      <c r="O15" s="938"/>
      <c r="P15" s="936"/>
    </row>
    <row r="16" spans="1:55" ht="24" customHeight="1">
      <c r="A16" s="936"/>
      <c r="B16" s="1489" t="s">
        <v>925</v>
      </c>
      <c r="C16" s="932"/>
      <c r="D16" s="1422">
        <f>+'Secteur d''activité déc. 14 '!D23+'Secteur d''activité déc. 14 '!D24+'Secteur d''activité déc. 14 '!D25+'Secteur d''activité déc. 14 '!D26+'Secteur d''activité déc. 14 '!D27+'Secteur d''activité déc. 14 '!D28+'Secteur d''activité déc. 14 '!D29+'Secteur d''activité déc. 14 '!D30+'Secteur d''activité déc. 14 '!D31+'Secteur d''activité déc. 14 '!D32</f>
        <v>1233096</v>
      </c>
      <c r="E16" s="1422">
        <f>+'Secteur d''activité déc. 14 '!E23+'Secteur d''activité déc. 14 '!E24+'Secteur d''activité déc. 14 '!E25+'Secteur d''activité déc. 14 '!E26+'Secteur d''activité déc. 14 '!E27+'Secteur d''activité déc. 14 '!E28+'Secteur d''activité déc. 14 '!E29+'Secteur d''activité déc. 14 '!E30+'Secteur d''activité déc. 14 '!E31+'Secteur d''activité déc. 14 '!E32</f>
        <v>7588.63</v>
      </c>
      <c r="F16" s="1422">
        <f>+'Secteur d''activité déc. 14 '!F23+'Secteur d''activité déc. 14 '!F24+'Secteur d''activité déc. 14 '!F25+'Secteur d''activité déc. 14 '!F26+'Secteur d''activité déc. 14 '!F27+'Secteur d''activité déc. 14 '!F28+'Secteur d''activité déc. 14 '!F29+'Secteur d''activité déc. 14 '!F30+'Secteur d''activité déc. 14 '!F31+'Secteur d''activité déc. 14 '!F32</f>
        <v>243434.72</v>
      </c>
      <c r="G16" s="1422">
        <f>+'Secteur d''activité déc. 14 '!G23+'Secteur d''activité déc. 14 '!G24+'Secteur d''activité déc. 14 '!G25+'Secteur d''activité déc. 14 '!G26+'Secteur d''activité déc. 14 '!G27+'Secteur d''activité déc. 14 '!G28+'Secteur d''activité déc. 14 '!G29+'Secteur d''activité déc. 14 '!G30+'Secteur d''activité déc. 14 '!G31+'Secteur d''activité déc. 14 '!G32</f>
        <v>3630140.9499999997</v>
      </c>
      <c r="H16" s="1422">
        <f>+'Secteur d''activité déc. 14 '!H23+'Secteur d''activité déc. 14 '!H24+'Secteur d''activité déc. 14 '!H25+'Secteur d''activité déc. 14 '!H26+'Secteur d''activité déc. 14 '!H27+'Secteur d''activité déc. 14 '!H28+'Secteur d''activité déc. 14 '!H29+'Secteur d''activité déc. 14 '!H30+'Secteur d''activité déc. 14 '!H31+'Secteur d''activité déc. 14 '!H32</f>
        <v>4812230.8500000006</v>
      </c>
      <c r="I16" s="1422">
        <f>+'Secteur d''activité déc. 14 '!I23+'Secteur d''activité déc. 14 '!I24+'Secteur d''activité déc. 14 '!I25+'Secteur d''activité déc. 14 '!I26+'Secteur d''activité déc. 14 '!I27+'Secteur d''activité déc. 14 '!I28+'Secteur d''activité déc. 14 '!I29+'Secteur d''activité déc. 14 '!I30+'Secteur d''activité déc. 14 '!I31+'Secteur d''activité déc. 14 '!I32</f>
        <v>728189.27</v>
      </c>
      <c r="J16" s="1422">
        <f>+'Secteur d''activité déc. 14 '!J23+'Secteur d''activité déc. 14 '!J24+'Secteur d''activité déc. 14 '!J25+'Secteur d''activité déc. 14 '!J26+'Secteur d''activité déc. 14 '!J27+'Secteur d''activité déc. 14 '!J28+'Secteur d''activité déc. 14 '!J29+'Secteur d''activité déc. 14 '!J30+'Secteur d''activité déc. 14 '!J31+'Secteur d''activité déc. 14 '!J32</f>
        <v>19524.080000000002</v>
      </c>
      <c r="K16" s="1422">
        <f>+'Secteur d''activité déc. 14 '!K23+'Secteur d''activité déc. 14 '!K24+'Secteur d''activité déc. 14 '!K25+'Secteur d''activité déc. 14 '!K26+'Secteur d''activité déc. 14 '!K27+'Secteur d''activité déc. 14 '!K28+'Secteur d''activité déc. 14 '!K29+'Secteur d''activité déc. 14 '!K30+'Secteur d''activité déc. 14 '!K31+'Secteur d''activité déc. 14 '!K32</f>
        <v>967727.5</v>
      </c>
      <c r="L16" s="1422">
        <f>+'Secteur d''activité déc. 14 '!L23+'Secteur d''activité déc. 14 '!L24+'Secteur d''activité déc. 14 '!L25+'Secteur d''activité déc. 14 '!L26+'Secteur d''activité déc. 14 '!L27+'Secteur d''activité déc. 14 '!L28+'Secteur d''activité déc. 14 '!L29+'Secteur d''activité déc. 14 '!L30+'Secteur d''activité déc. 14 '!L31+'Secteur d''activité déc. 14 '!L32</f>
        <v>294931</v>
      </c>
      <c r="M16" s="1491">
        <f t="shared" si="0"/>
        <v>11936863</v>
      </c>
      <c r="O16" s="938"/>
      <c r="P16" s="936"/>
    </row>
    <row r="17" spans="1:16" ht="24" customHeight="1">
      <c r="A17" s="936"/>
      <c r="B17" s="1489" t="s">
        <v>926</v>
      </c>
      <c r="C17" s="932"/>
      <c r="D17" s="1422">
        <f>+'Secteur d''activité déc. 14 '!D51</f>
        <v>2859309</v>
      </c>
      <c r="E17" s="1422">
        <f>+'Secteur d''activité déc. 14 '!E51</f>
        <v>221131.58</v>
      </c>
      <c r="F17" s="1422">
        <f>+'Secteur d''activité déc. 14 '!F51</f>
        <v>664814.15</v>
      </c>
      <c r="G17" s="1422">
        <f>+'Secteur d''activité déc. 14 '!G51</f>
        <v>2680305.5</v>
      </c>
      <c r="H17" s="1422">
        <f>+'Secteur d''activité déc. 14 '!H51</f>
        <v>1430080.49</v>
      </c>
      <c r="I17" s="1422">
        <f>+'Secteur d''activité déc. 14 '!I51</f>
        <v>269228.46000000002</v>
      </c>
      <c r="J17" s="1422">
        <f>+'Secteur d''activité déc. 14 '!J51</f>
        <v>394607.37</v>
      </c>
      <c r="K17" s="1422">
        <f>+'Secteur d''activité déc. 14 '!K51</f>
        <v>9788.43</v>
      </c>
      <c r="L17" s="1422">
        <f>+'Secteur d''activité déc. 14 '!L51</f>
        <v>553444</v>
      </c>
      <c r="M17" s="1491">
        <f t="shared" si="0"/>
        <v>9082708.9800000004</v>
      </c>
      <c r="O17" s="938"/>
      <c r="P17" s="936"/>
    </row>
    <row r="18" spans="1:16" ht="24" customHeight="1">
      <c r="A18" s="936"/>
      <c r="B18" s="1489" t="s">
        <v>927</v>
      </c>
      <c r="C18" s="932"/>
      <c r="D18" s="1422">
        <f>+'Secteur d''activité déc. 14 '!D42+'Secteur d''activité déc. 14 '!D43</f>
        <v>1636714</v>
      </c>
      <c r="E18" s="1422">
        <f>+'Secteur d''activité déc. 14 '!E42+'Secteur d''activité déc. 14 '!E43</f>
        <v>278220.34999999998</v>
      </c>
      <c r="F18" s="1422">
        <f>+'Secteur d''activité déc. 14 '!F42+'Secteur d''activité déc. 14 '!F43</f>
        <v>237757.51</v>
      </c>
      <c r="G18" s="1422">
        <f>+'Secteur d''activité déc. 14 '!G42+'Secteur d''activité déc. 14 '!G43</f>
        <v>848262.29</v>
      </c>
      <c r="H18" s="1422">
        <f>+'Secteur d''activité déc. 14 '!H42+'Secteur d''activité déc. 14 '!H43</f>
        <v>5167576.3</v>
      </c>
      <c r="I18" s="1422">
        <f>+'Secteur d''activité déc. 14 '!I42+'Secteur d''activité déc. 14 '!I43</f>
        <v>635201.02</v>
      </c>
      <c r="J18" s="1422">
        <f>+'Secteur d''activité déc. 14 '!J42+'Secteur d''activité déc. 14 '!J43</f>
        <v>2961658.48</v>
      </c>
      <c r="K18" s="1422">
        <f>+'Secteur d''activité déc. 14 '!K42+'Secteur d''activité déc. 14 '!K43</f>
        <v>0</v>
      </c>
      <c r="L18" s="1422">
        <f>+'Secteur d''activité déc. 14 '!L42+'Secteur d''activité déc. 14 '!L43</f>
        <v>833837</v>
      </c>
      <c r="M18" s="1491">
        <f t="shared" si="0"/>
        <v>12599226.950000001</v>
      </c>
      <c r="O18" s="938"/>
      <c r="P18" s="936"/>
    </row>
    <row r="19" spans="1:16" ht="24" customHeight="1">
      <c r="A19" s="936"/>
      <c r="B19" s="1489" t="s">
        <v>928</v>
      </c>
      <c r="C19" s="932"/>
      <c r="D19" s="1422">
        <f>+'Secteur d''activité déc. 14 '!D41+'Secteur d''activité déc. 14 '!D44</f>
        <v>600722</v>
      </c>
      <c r="E19" s="1422">
        <f>+'Secteur d''activité déc. 14 '!E41+'Secteur d''activité déc. 14 '!E44</f>
        <v>56150.11</v>
      </c>
      <c r="F19" s="1422">
        <f>+'Secteur d''activité déc. 14 '!F41+'Secteur d''activité déc. 14 '!F44</f>
        <v>104808.9</v>
      </c>
      <c r="G19" s="1422">
        <f>+'Secteur d''activité déc. 14 '!G41+'Secteur d''activité déc. 14 '!G44</f>
        <v>384304.19</v>
      </c>
      <c r="H19" s="1422">
        <f>+'Secteur d''activité déc. 14 '!H41+'Secteur d''activité déc. 14 '!H44</f>
        <v>1080011.3899999999</v>
      </c>
      <c r="I19" s="1422">
        <f>+'Secteur d''activité déc. 14 '!I41+'Secteur d''activité déc. 14 '!I44</f>
        <v>27331.55</v>
      </c>
      <c r="J19" s="1422">
        <f>+'Secteur d''activité déc. 14 '!J41+'Secteur d''activité déc. 14 '!J44</f>
        <v>0</v>
      </c>
      <c r="K19" s="1422">
        <f>+'Secteur d''activité déc. 14 '!K41+'Secteur d''activité déc. 14 '!K44</f>
        <v>24794.49</v>
      </c>
      <c r="L19" s="1422">
        <f>+'Secteur d''activité déc. 14 '!L41+'Secteur d''activité déc. 14 '!L44</f>
        <v>437332</v>
      </c>
      <c r="M19" s="1491">
        <f t="shared" si="0"/>
        <v>2715454.63</v>
      </c>
      <c r="O19" s="938"/>
      <c r="P19" s="936"/>
    </row>
    <row r="20" spans="1:16" ht="24" customHeight="1">
      <c r="A20" s="936"/>
      <c r="B20" s="1489" t="s">
        <v>929</v>
      </c>
      <c r="C20" s="932"/>
      <c r="D20" s="1422">
        <f>+'Secteur d''activité déc. 14 '!D36</f>
        <v>5</v>
      </c>
      <c r="E20" s="1422">
        <f>+'Secteur d''activité déc. 14 '!E36</f>
        <v>177972.31</v>
      </c>
      <c r="F20" s="1422">
        <f>+'Secteur d''activité déc. 14 '!F36</f>
        <v>1494.79</v>
      </c>
      <c r="G20" s="1422">
        <f>+'Secteur d''activité déc. 14 '!G36</f>
        <v>2648405.7000000002</v>
      </c>
      <c r="H20" s="1422">
        <f>+'Secteur d''activité déc. 14 '!H36</f>
        <v>665520.36</v>
      </c>
      <c r="I20" s="1422">
        <f>+'Secteur d''activité déc. 14 '!I36</f>
        <v>224859.57</v>
      </c>
      <c r="J20" s="1422">
        <f>+'Secteur d''activité déc. 14 '!J36</f>
        <v>0</v>
      </c>
      <c r="K20" s="1422">
        <f>+'Secteur d''activité déc. 14 '!K36</f>
        <v>22486.61</v>
      </c>
      <c r="L20" s="1422">
        <f>+'Secteur d''activité déc. 14 '!L36</f>
        <v>387055</v>
      </c>
      <c r="M20" s="1491">
        <f t="shared" si="0"/>
        <v>4127799.34</v>
      </c>
      <c r="O20" s="938"/>
      <c r="P20" s="936"/>
    </row>
    <row r="21" spans="1:16" ht="24" customHeight="1">
      <c r="A21" s="936"/>
      <c r="B21" s="1489" t="s">
        <v>930</v>
      </c>
      <c r="C21" s="932"/>
      <c r="D21" s="1422">
        <f>+'Secteur d''activité déc. 14 '!D33+'Secteur d''activité déc. 14 '!D34+'Secteur d''activité déc. 14 '!D35</f>
        <v>1396964</v>
      </c>
      <c r="E21" s="1422">
        <f>+'Secteur d''activité déc. 14 '!E33+'Secteur d''activité déc. 14 '!E34+'Secteur d''activité déc. 14 '!E35</f>
        <v>15859.26</v>
      </c>
      <c r="F21" s="1422">
        <f>+'Secteur d''activité déc. 14 '!F33+'Secteur d''activité déc. 14 '!F34+'Secteur d''activité déc. 14 '!F35</f>
        <v>292776.02</v>
      </c>
      <c r="G21" s="1422">
        <f>+'Secteur d''activité déc. 14 '!G33+'Secteur d''activité déc. 14 '!G34+'Secteur d''activité déc. 14 '!G35</f>
        <v>1207151.4100000001</v>
      </c>
      <c r="H21" s="1422">
        <f>+'Secteur d''activité déc. 14 '!H33+'Secteur d''activité déc. 14 '!H34+'Secteur d''activité déc. 14 '!H35</f>
        <v>2483791.59</v>
      </c>
      <c r="I21" s="1422">
        <f>+'Secteur d''activité déc. 14 '!I33+'Secteur d''activité déc. 14 '!I34+'Secteur d''activité déc. 14 '!I35</f>
        <v>99503.93</v>
      </c>
      <c r="J21" s="1422">
        <f>+'Secteur d''activité déc. 14 '!J33+'Secteur d''activité déc. 14 '!J34+'Secteur d''activité déc. 14 '!J35</f>
        <v>0</v>
      </c>
      <c r="K21" s="1422">
        <f>+'Secteur d''activité déc. 14 '!K33+'Secteur d''activité déc. 14 '!K34+'Secteur d''activité déc. 14 '!K35</f>
        <v>70606.48</v>
      </c>
      <c r="L21" s="1422">
        <f>+'Secteur d''activité déc. 14 '!L33+'Secteur d''activité déc. 14 '!L34+'Secteur d''activité déc. 14 '!L35</f>
        <v>0</v>
      </c>
      <c r="M21" s="1491">
        <f t="shared" si="0"/>
        <v>5566652.6900000004</v>
      </c>
      <c r="O21" s="938"/>
      <c r="P21" s="936"/>
    </row>
    <row r="22" spans="1:16" ht="24" customHeight="1" thickBot="1">
      <c r="A22" s="936"/>
      <c r="B22" s="1490" t="s">
        <v>931</v>
      </c>
      <c r="C22" s="946"/>
      <c r="D22" s="1473">
        <f>+'Secteur d''activité déc. 14 '!D22</f>
        <v>0</v>
      </c>
      <c r="E22" s="1473">
        <f>+'Secteur d''activité déc. 14 '!E22</f>
        <v>0</v>
      </c>
      <c r="F22" s="1473">
        <f>+'Secteur d''activité déc. 14 '!F22</f>
        <v>0</v>
      </c>
      <c r="G22" s="1473">
        <f>+'Secteur d''activité déc. 14 '!G22</f>
        <v>1617.89</v>
      </c>
      <c r="H22" s="1473">
        <f>+'Secteur d''activité déc. 14 '!H22</f>
        <v>93254.85</v>
      </c>
      <c r="I22" s="1473">
        <f>+'Secteur d''activité déc. 14 '!I22</f>
        <v>0</v>
      </c>
      <c r="J22" s="1473">
        <f>+'Secteur d''activité déc. 14 '!J22</f>
        <v>0</v>
      </c>
      <c r="K22" s="1473">
        <f>+'Secteur d''activité déc. 14 '!K22</f>
        <v>0</v>
      </c>
      <c r="L22" s="1473">
        <f>+'Secteur d''activité déc. 14 '!L22</f>
        <v>0</v>
      </c>
      <c r="M22" s="1492">
        <f t="shared" si="0"/>
        <v>94872.74</v>
      </c>
      <c r="O22" s="938"/>
      <c r="P22" s="936"/>
    </row>
    <row r="23" spans="1:16" ht="18" customHeight="1">
      <c r="A23" s="936"/>
      <c r="B23" s="1565" t="s">
        <v>295</v>
      </c>
      <c r="C23" s="1565"/>
      <c r="D23" s="1428">
        <f t="shared" ref="D23:J23" si="1">SUM(D14:D22)</f>
        <v>10812016</v>
      </c>
      <c r="E23" s="1428">
        <f t="shared" si="1"/>
        <v>1380453.28</v>
      </c>
      <c r="F23" s="1428">
        <f t="shared" si="1"/>
        <v>2325991.63</v>
      </c>
      <c r="G23" s="1428">
        <f t="shared" si="1"/>
        <v>22556594.559999999</v>
      </c>
      <c r="H23" s="1428">
        <f t="shared" si="1"/>
        <v>25162945.940000001</v>
      </c>
      <c r="I23" s="1428">
        <f t="shared" si="1"/>
        <v>5672059.3400000008</v>
      </c>
      <c r="J23" s="1428">
        <f t="shared" si="1"/>
        <v>3411437.51</v>
      </c>
      <c r="K23" s="1428">
        <f>SUM(K14:K22)</f>
        <v>1798984.0599999998</v>
      </c>
      <c r="L23" s="1428">
        <f>SUM(L14:L22)</f>
        <v>3549306</v>
      </c>
      <c r="M23" s="1443">
        <f>SUM(M14:M22)</f>
        <v>76669788.319999993</v>
      </c>
      <c r="O23" s="938"/>
      <c r="P23" s="936"/>
    </row>
    <row r="24" spans="1:16" ht="15.75">
      <c r="A24" s="936"/>
      <c r="B24" s="1074"/>
      <c r="C24" s="907"/>
      <c r="D24" s="947"/>
      <c r="E24" s="1080"/>
      <c r="F24" s="1080"/>
      <c r="G24" s="1080"/>
      <c r="H24" s="1080"/>
      <c r="I24" s="1080"/>
      <c r="J24" s="947"/>
      <c r="K24" s="1081"/>
      <c r="L24" s="1080"/>
      <c r="M24" s="1079"/>
      <c r="O24" s="938"/>
      <c r="P24" s="936"/>
    </row>
    <row r="25" spans="1:16" ht="15.75">
      <c r="A25" s="936"/>
      <c r="B25" s="1074"/>
      <c r="C25" s="907"/>
      <c r="D25" s="947"/>
      <c r="E25" s="1080"/>
      <c r="F25" s="1080"/>
      <c r="G25" s="1080"/>
      <c r="H25" s="1080"/>
      <c r="I25" s="1080"/>
      <c r="J25" s="947"/>
      <c r="K25" s="1081"/>
      <c r="L25" s="1080"/>
      <c r="M25" s="1079"/>
      <c r="O25" s="938"/>
      <c r="P25" s="936"/>
    </row>
    <row r="26" spans="1:16" ht="15.75">
      <c r="A26" s="936"/>
      <c r="B26" s="1074"/>
      <c r="C26" s="907"/>
      <c r="D26" s="947"/>
      <c r="E26" s="1080"/>
      <c r="F26" s="1080"/>
      <c r="G26" s="1080"/>
      <c r="H26" s="1080"/>
      <c r="I26" s="1080"/>
      <c r="J26" s="947"/>
      <c r="K26" s="1081"/>
      <c r="L26" s="1080"/>
      <c r="M26" s="1079"/>
      <c r="O26" s="938"/>
      <c r="P26" s="936"/>
    </row>
    <row r="27" spans="1:16" ht="15.75">
      <c r="A27" s="936"/>
      <c r="B27" s="1074"/>
      <c r="C27" s="907"/>
      <c r="D27" s="947"/>
      <c r="E27" s="1080"/>
      <c r="F27" s="1080"/>
      <c r="G27" s="1080"/>
      <c r="H27" s="1080"/>
      <c r="I27" s="1080"/>
      <c r="J27" s="947"/>
      <c r="K27" s="1081"/>
      <c r="L27" s="1080"/>
      <c r="M27" s="1079"/>
      <c r="O27" s="938"/>
      <c r="P27" s="936"/>
    </row>
    <row r="28" spans="1:16" ht="15.75">
      <c r="A28" s="936"/>
      <c r="B28" s="1074"/>
      <c r="C28" s="907"/>
      <c r="D28" s="947"/>
      <c r="E28" s="1080"/>
      <c r="F28" s="1080"/>
      <c r="G28" s="1080"/>
      <c r="H28" s="1080"/>
      <c r="I28" s="1080"/>
      <c r="J28" s="947"/>
      <c r="K28" s="1081"/>
      <c r="L28" s="1080"/>
      <c r="M28" s="1079"/>
      <c r="O28" s="938"/>
      <c r="P28" s="936"/>
    </row>
    <row r="29" spans="1:16" ht="15.75">
      <c r="A29" s="936"/>
      <c r="B29" s="1074"/>
      <c r="C29" s="907"/>
      <c r="D29" s="947"/>
      <c r="E29" s="1080"/>
      <c r="F29" s="1080"/>
      <c r="G29" s="1080"/>
      <c r="H29" s="1080"/>
      <c r="I29" s="1080"/>
      <c r="J29" s="947"/>
      <c r="K29" s="1081"/>
      <c r="L29" s="1080"/>
      <c r="M29" s="1079"/>
      <c r="O29" s="938"/>
      <c r="P29" s="936"/>
    </row>
    <row r="30" spans="1:16" ht="15.75">
      <c r="A30" s="936"/>
      <c r="B30" s="1074"/>
      <c r="C30" s="907"/>
      <c r="D30" s="947"/>
      <c r="E30" s="1080"/>
      <c r="F30" s="1080"/>
      <c r="G30" s="1080"/>
      <c r="H30" s="1080"/>
      <c r="I30" s="1080"/>
      <c r="J30" s="947"/>
      <c r="K30" s="1081"/>
      <c r="L30" s="1080"/>
      <c r="M30" s="1079"/>
      <c r="O30" s="938"/>
      <c r="P30" s="936"/>
    </row>
    <row r="31" spans="1:16" ht="15">
      <c r="A31" s="936"/>
      <c r="B31" s="936"/>
      <c r="C31" s="936"/>
      <c r="D31" s="948"/>
      <c r="E31" s="938"/>
      <c r="F31" s="938"/>
      <c r="G31" s="938"/>
      <c r="H31" s="938"/>
      <c r="I31" s="938"/>
      <c r="J31" s="938"/>
      <c r="K31" s="939"/>
      <c r="L31" s="938"/>
      <c r="M31" s="938"/>
      <c r="O31" s="938"/>
      <c r="P31" s="936"/>
    </row>
    <row r="32" spans="1:16" ht="18.75" thickBot="1">
      <c r="A32" s="936"/>
      <c r="B32" s="1563" t="s">
        <v>922</v>
      </c>
      <c r="C32" s="1564"/>
      <c r="D32" s="929"/>
      <c r="E32" s="941"/>
      <c r="F32" s="941"/>
      <c r="G32" s="941"/>
      <c r="H32" s="941"/>
      <c r="I32" s="941"/>
      <c r="J32" s="941"/>
      <c r="K32" s="942"/>
      <c r="L32" s="941"/>
      <c r="M32" s="941"/>
      <c r="O32" s="938"/>
      <c r="P32" s="936"/>
    </row>
    <row r="33" spans="1:16" ht="24" customHeight="1">
      <c r="A33" s="936"/>
      <c r="B33" s="1489" t="s">
        <v>923</v>
      </c>
      <c r="C33" s="932"/>
      <c r="D33" s="917">
        <f t="shared" ref="D33:D41" si="2">+D14/$D$23</f>
        <v>0.11745247139848849</v>
      </c>
      <c r="E33" s="917">
        <f t="shared" ref="E33:E41" si="3">+E14/$E$23</f>
        <v>0.3990340187391202</v>
      </c>
      <c r="F33" s="917">
        <f t="shared" ref="F33:F41" si="4">+F14/$F$23</f>
        <v>0.25511979593838868</v>
      </c>
      <c r="G33" s="917">
        <f t="shared" ref="G33:G41" si="5">+G14/$G$23</f>
        <v>0.33162145199279586</v>
      </c>
      <c r="H33" s="917">
        <f t="shared" ref="H33:H41" si="6">+H14/$H$23</f>
        <v>0.29786379575236649</v>
      </c>
      <c r="I33" s="917">
        <f t="shared" ref="I33:I41" si="7">+I14/$I$23</f>
        <v>0.19362423313434518</v>
      </c>
      <c r="J33" s="1521">
        <f t="shared" ref="J33:J41" si="8">+J14/$J$23</f>
        <v>3.8695711005417186E-3</v>
      </c>
      <c r="K33" s="917">
        <f t="shared" ref="K33:K41" si="9">+K14/$K$23</f>
        <v>0.3676904174459445</v>
      </c>
      <c r="L33" s="917">
        <f t="shared" ref="L33:L41" si="10">+L14/$L$23</f>
        <v>1.0414993804422611E-2</v>
      </c>
      <c r="M33" s="1482">
        <f t="shared" ref="M33:M41" si="11">+M14/$M$23</f>
        <v>0.25041699110823895</v>
      </c>
      <c r="O33" s="938"/>
      <c r="P33" s="936"/>
    </row>
    <row r="34" spans="1:16" ht="24" customHeight="1">
      <c r="A34" s="936"/>
      <c r="B34" s="1489" t="s">
        <v>924</v>
      </c>
      <c r="C34" s="932"/>
      <c r="D34" s="917">
        <f t="shared" si="2"/>
        <v>0.1678972728120269</v>
      </c>
      <c r="E34" s="917">
        <f t="shared" si="3"/>
        <v>5.2651705822307861E-2</v>
      </c>
      <c r="F34" s="917">
        <f t="shared" si="4"/>
        <v>8.0610363159389353E-2</v>
      </c>
      <c r="G34" s="917">
        <f t="shared" si="5"/>
        <v>0.16297477796222798</v>
      </c>
      <c r="H34" s="917">
        <f t="shared" si="6"/>
        <v>7.6912676465417065E-2</v>
      </c>
      <c r="I34" s="917">
        <f t="shared" si="7"/>
        <v>0.45653566804891715</v>
      </c>
      <c r="J34" s="1500">
        <f t="shared" si="8"/>
        <v>6.5798596439774742E-3</v>
      </c>
      <c r="K34" s="917">
        <f t="shared" si="9"/>
        <v>2.3408406409115155E-2</v>
      </c>
      <c r="L34" s="917">
        <f t="shared" si="10"/>
        <v>0.28336271935978469</v>
      </c>
      <c r="M34" s="1482">
        <f t="shared" si="11"/>
        <v>0.14799561259568639</v>
      </c>
      <c r="O34" s="938"/>
      <c r="P34" s="936"/>
    </row>
    <row r="35" spans="1:16" ht="24" customHeight="1">
      <c r="A35" s="936"/>
      <c r="B35" s="1489" t="s">
        <v>925</v>
      </c>
      <c r="C35" s="932"/>
      <c r="D35" s="917">
        <f t="shared" si="2"/>
        <v>0.11404866585473052</v>
      </c>
      <c r="E35" s="917">
        <f t="shared" si="3"/>
        <v>5.4972016148203146E-3</v>
      </c>
      <c r="F35" s="917">
        <f t="shared" si="4"/>
        <v>0.10465846775209592</v>
      </c>
      <c r="G35" s="917">
        <f t="shared" si="5"/>
        <v>0.16093479626740251</v>
      </c>
      <c r="H35" s="917">
        <f t="shared" si="6"/>
        <v>0.19124274484690962</v>
      </c>
      <c r="I35" s="917">
        <f t="shared" si="7"/>
        <v>0.12838181449632011</v>
      </c>
      <c r="J35" s="1500">
        <f t="shared" si="8"/>
        <v>5.723124032836235E-3</v>
      </c>
      <c r="K35" s="917">
        <f t="shared" si="9"/>
        <v>0.53793000255933343</v>
      </c>
      <c r="L35" s="917">
        <f t="shared" si="10"/>
        <v>8.3095399494999861E-2</v>
      </c>
      <c r="M35" s="1482">
        <f t="shared" si="11"/>
        <v>0.15569187370361062</v>
      </c>
      <c r="O35" s="938"/>
      <c r="P35" s="936"/>
    </row>
    <row r="36" spans="1:16" ht="24" customHeight="1">
      <c r="A36" s="936"/>
      <c r="B36" s="1489" t="s">
        <v>926</v>
      </c>
      <c r="C36" s="932"/>
      <c r="D36" s="917">
        <f t="shared" si="2"/>
        <v>0.26445660087813411</v>
      </c>
      <c r="E36" s="917">
        <f t="shared" si="3"/>
        <v>0.16018765952006719</v>
      </c>
      <c r="F36" s="917">
        <f t="shared" si="4"/>
        <v>0.28581966565374101</v>
      </c>
      <c r="G36" s="917">
        <f t="shared" si="5"/>
        <v>0.11882580470515848</v>
      </c>
      <c r="H36" s="917">
        <f t="shared" si="6"/>
        <v>5.6832792686912235E-2</v>
      </c>
      <c r="I36" s="917">
        <f t="shared" si="7"/>
        <v>4.7465734023861603E-2</v>
      </c>
      <c r="J36" s="1500">
        <f t="shared" si="8"/>
        <v>0.1156718740540553</v>
      </c>
      <c r="K36" s="917">
        <f t="shared" si="9"/>
        <v>5.4410876770081005E-3</v>
      </c>
      <c r="L36" s="917">
        <f t="shared" si="10"/>
        <v>0.15593020156616533</v>
      </c>
      <c r="M36" s="1482">
        <f t="shared" si="11"/>
        <v>0.11846529355332386</v>
      </c>
      <c r="O36" s="938"/>
      <c r="P36" s="936"/>
    </row>
    <row r="37" spans="1:16" ht="24" customHeight="1">
      <c r="A37" s="936"/>
      <c r="B37" s="1489" t="s">
        <v>927</v>
      </c>
      <c r="C37" s="932"/>
      <c r="D37" s="917">
        <f t="shared" si="2"/>
        <v>0.151379169250212</v>
      </c>
      <c r="E37" s="917">
        <f t="shared" si="3"/>
        <v>0.20154274978433168</v>
      </c>
      <c r="F37" s="917">
        <f t="shared" si="4"/>
        <v>0.1022176980060758</v>
      </c>
      <c r="G37" s="917">
        <f t="shared" si="5"/>
        <v>3.7605955444366512E-2</v>
      </c>
      <c r="H37" s="917">
        <f t="shared" si="6"/>
        <v>0.20536451941365971</v>
      </c>
      <c r="I37" s="917">
        <f t="shared" si="7"/>
        <v>0.11198772472644829</v>
      </c>
      <c r="J37" s="1500">
        <f t="shared" si="8"/>
        <v>0.86815557116858932</v>
      </c>
      <c r="K37" s="918">
        <f t="shared" si="9"/>
        <v>0</v>
      </c>
      <c r="L37" s="917">
        <f t="shared" si="10"/>
        <v>0.23492958905205694</v>
      </c>
      <c r="M37" s="1482">
        <f t="shared" si="11"/>
        <v>0.16433105172292983</v>
      </c>
      <c r="O37" s="938"/>
      <c r="P37" s="936"/>
    </row>
    <row r="38" spans="1:16" ht="24" customHeight="1">
      <c r="A38" s="936"/>
      <c r="B38" s="1489" t="s">
        <v>928</v>
      </c>
      <c r="C38" s="932"/>
      <c r="D38" s="917">
        <f t="shared" si="2"/>
        <v>5.5560591105303578E-2</v>
      </c>
      <c r="E38" s="917">
        <f t="shared" si="3"/>
        <v>4.0675125202353821E-2</v>
      </c>
      <c r="F38" s="917">
        <f t="shared" si="4"/>
        <v>4.5059878396896895E-2</v>
      </c>
      <c r="G38" s="917">
        <f t="shared" si="5"/>
        <v>1.7037331986340408E-2</v>
      </c>
      <c r="H38" s="917">
        <f t="shared" si="6"/>
        <v>4.2920705412444242E-2</v>
      </c>
      <c r="I38" s="917">
        <f t="shared" si="7"/>
        <v>4.8186290660351232E-3</v>
      </c>
      <c r="J38" s="1499">
        <f t="shared" si="8"/>
        <v>0</v>
      </c>
      <c r="K38" s="917">
        <f t="shared" si="9"/>
        <v>1.3782495660356215E-2</v>
      </c>
      <c r="L38" s="917">
        <f t="shared" si="10"/>
        <v>0.12321620057554913</v>
      </c>
      <c r="M38" s="1482">
        <f t="shared" si="11"/>
        <v>3.5417531331459924E-2</v>
      </c>
      <c r="O38" s="938"/>
      <c r="P38" s="936"/>
    </row>
    <row r="39" spans="1:16" ht="24" customHeight="1">
      <c r="A39" s="936"/>
      <c r="B39" s="1489" t="s">
        <v>929</v>
      </c>
      <c r="C39" s="932"/>
      <c r="D39" s="917">
        <f t="shared" si="2"/>
        <v>4.6244844624721238E-7</v>
      </c>
      <c r="E39" s="917">
        <f t="shared" si="3"/>
        <v>0.12892309546325248</v>
      </c>
      <c r="F39" s="918">
        <f t="shared" si="4"/>
        <v>6.4264633660784064E-4</v>
      </c>
      <c r="G39" s="917">
        <f t="shared" si="5"/>
        <v>0.11741159300245012</v>
      </c>
      <c r="H39" s="917">
        <f t="shared" si="6"/>
        <v>2.6448427842546959E-2</v>
      </c>
      <c r="I39" s="917">
        <f t="shared" si="7"/>
        <v>3.9643374041287795E-2</v>
      </c>
      <c r="J39" s="1499">
        <f t="shared" si="8"/>
        <v>0</v>
      </c>
      <c r="K39" s="917">
        <f t="shared" si="9"/>
        <v>1.2499616033284922E-2</v>
      </c>
      <c r="L39" s="917">
        <f t="shared" si="10"/>
        <v>0.10905089614702142</v>
      </c>
      <c r="M39" s="1482">
        <f t="shared" si="11"/>
        <v>5.3838668795740327E-2</v>
      </c>
      <c r="O39" s="938"/>
      <c r="P39" s="936"/>
    </row>
    <row r="40" spans="1:16" ht="24" customHeight="1">
      <c r="A40" s="936"/>
      <c r="B40" s="1489" t="s">
        <v>930</v>
      </c>
      <c r="C40" s="932"/>
      <c r="D40" s="917">
        <f t="shared" si="2"/>
        <v>0.12920476625265814</v>
      </c>
      <c r="E40" s="917">
        <f t="shared" si="3"/>
        <v>1.1488443853746358E-2</v>
      </c>
      <c r="F40" s="917">
        <f t="shared" si="4"/>
        <v>0.12587148475680457</v>
      </c>
      <c r="G40" s="917">
        <f t="shared" si="5"/>
        <v>5.3516562829952298E-2</v>
      </c>
      <c r="H40" s="917">
        <f t="shared" si="6"/>
        <v>9.8708298937751474E-2</v>
      </c>
      <c r="I40" s="917">
        <f t="shared" si="7"/>
        <v>1.7542822462784737E-2</v>
      </c>
      <c r="J40" s="1499">
        <f t="shared" si="8"/>
        <v>0</v>
      </c>
      <c r="K40" s="917">
        <f t="shared" si="9"/>
        <v>3.9247974214957751E-2</v>
      </c>
      <c r="L40" s="918">
        <f t="shared" si="10"/>
        <v>0</v>
      </c>
      <c r="M40" s="1482">
        <f t="shared" si="11"/>
        <v>7.2605557051575814E-2</v>
      </c>
      <c r="O40" s="938"/>
      <c r="P40" s="936"/>
    </row>
    <row r="41" spans="1:16" ht="24" customHeight="1" thickBot="1">
      <c r="A41" s="936"/>
      <c r="B41" s="1490" t="s">
        <v>931</v>
      </c>
      <c r="C41" s="946"/>
      <c r="D41" s="1493">
        <f t="shared" si="2"/>
        <v>0</v>
      </c>
      <c r="E41" s="1485">
        <f t="shared" si="3"/>
        <v>0</v>
      </c>
      <c r="F41" s="1485">
        <f t="shared" si="4"/>
        <v>0</v>
      </c>
      <c r="G41" s="931">
        <f t="shared" si="5"/>
        <v>7.172580930585296E-5</v>
      </c>
      <c r="H41" s="931">
        <f t="shared" si="6"/>
        <v>3.7060386419921704E-3</v>
      </c>
      <c r="I41" s="1485">
        <f t="shared" si="7"/>
        <v>0</v>
      </c>
      <c r="J41" s="1485">
        <f t="shared" si="8"/>
        <v>0</v>
      </c>
      <c r="K41" s="1485">
        <f t="shared" si="9"/>
        <v>0</v>
      </c>
      <c r="L41" s="1485">
        <f t="shared" si="10"/>
        <v>0</v>
      </c>
      <c r="M41" s="1486">
        <f t="shared" si="11"/>
        <v>1.2374201374343904E-3</v>
      </c>
      <c r="O41" s="938"/>
      <c r="P41" s="936"/>
    </row>
    <row r="42" spans="1:16" ht="18">
      <c r="A42" s="936"/>
      <c r="B42" s="1565" t="s">
        <v>295</v>
      </c>
      <c r="C42" s="1565"/>
      <c r="D42" s="1494">
        <f t="shared" ref="D42:J42" si="12">SUM(D33:D41)</f>
        <v>1</v>
      </c>
      <c r="E42" s="1494">
        <f t="shared" si="12"/>
        <v>1</v>
      </c>
      <c r="F42" s="1494">
        <f t="shared" si="12"/>
        <v>1</v>
      </c>
      <c r="G42" s="1494">
        <f t="shared" si="12"/>
        <v>0.99999999999999989</v>
      </c>
      <c r="H42" s="1494">
        <f t="shared" si="12"/>
        <v>0.99999999999999989</v>
      </c>
      <c r="I42" s="1495">
        <f t="shared" si="12"/>
        <v>1</v>
      </c>
      <c r="J42" s="1495">
        <f t="shared" si="12"/>
        <v>1</v>
      </c>
      <c r="K42" s="1495">
        <f>SUM(K33:K41)</f>
        <v>1.0000000000000002</v>
      </c>
      <c r="L42" s="1495">
        <f>SUM(L33:L41)</f>
        <v>1</v>
      </c>
      <c r="M42" s="1496">
        <f>SUM(M33:M41)</f>
        <v>1</v>
      </c>
      <c r="O42" s="938"/>
      <c r="P42" s="936"/>
    </row>
    <row r="43" spans="1:16" ht="15">
      <c r="A43" s="936"/>
      <c r="B43" s="936"/>
      <c r="C43" s="936"/>
      <c r="D43" s="936"/>
      <c r="E43" s="936"/>
      <c r="F43" s="938"/>
      <c r="G43" s="938"/>
      <c r="H43" s="938"/>
      <c r="I43" s="1487" t="s">
        <v>0</v>
      </c>
      <c r="J43" s="938"/>
      <c r="K43" s="938"/>
      <c r="L43" s="938"/>
      <c r="M43" s="938"/>
      <c r="N43" s="938"/>
      <c r="O43" s="938"/>
      <c r="P43" s="936"/>
    </row>
    <row r="44" spans="1:16" ht="15">
      <c r="A44" s="936"/>
      <c r="B44" s="936"/>
      <c r="C44" s="936"/>
      <c r="D44" s="936"/>
      <c r="E44" s="936"/>
      <c r="F44" s="938"/>
      <c r="G44" s="938"/>
      <c r="H44" s="938"/>
      <c r="I44" s="938" t="s">
        <v>0</v>
      </c>
      <c r="J44" s="938"/>
      <c r="K44" s="938"/>
      <c r="L44" s="938"/>
      <c r="M44" s="938"/>
      <c r="N44" s="938"/>
      <c r="O44" s="938"/>
      <c r="P44" s="936"/>
    </row>
    <row r="45" spans="1:16" ht="15">
      <c r="A45" s="936"/>
      <c r="B45" s="936"/>
      <c r="C45" s="936"/>
      <c r="D45" s="936"/>
      <c r="E45" s="936"/>
      <c r="F45" s="938"/>
      <c r="G45" s="938"/>
      <c r="H45" s="938"/>
      <c r="I45" s="938"/>
      <c r="J45" s="938"/>
      <c r="K45" s="938"/>
      <c r="L45" s="938"/>
      <c r="M45" s="938"/>
      <c r="N45" s="938"/>
      <c r="O45" s="938"/>
      <c r="P45" s="936"/>
    </row>
    <row r="46" spans="1:16" ht="15">
      <c r="A46" s="936"/>
      <c r="B46" s="936"/>
      <c r="C46" s="936"/>
      <c r="D46" s="936"/>
      <c r="E46" s="936"/>
      <c r="F46" s="938"/>
      <c r="G46" s="938"/>
      <c r="H46" s="938"/>
      <c r="I46" s="938"/>
      <c r="J46" s="938"/>
      <c r="K46" s="938"/>
      <c r="L46" s="938"/>
      <c r="M46" s="938"/>
      <c r="N46" s="938"/>
      <c r="O46" s="938"/>
      <c r="P46" s="936"/>
    </row>
    <row r="47" spans="1:16" ht="15">
      <c r="A47" s="936"/>
      <c r="B47" s="936"/>
      <c r="C47" s="936"/>
      <c r="D47" s="936"/>
      <c r="E47" s="936"/>
      <c r="F47" s="938"/>
      <c r="G47" s="938"/>
      <c r="H47" s="938"/>
      <c r="I47" s="938"/>
      <c r="J47" s="938"/>
      <c r="K47" s="938"/>
      <c r="L47" s="938"/>
      <c r="M47" s="938"/>
      <c r="N47" s="938"/>
      <c r="O47" s="938"/>
      <c r="P47" s="936"/>
    </row>
    <row r="48" spans="1:16" ht="15">
      <c r="A48" s="936"/>
      <c r="B48" s="936"/>
      <c r="C48" s="936"/>
      <c r="D48" s="936"/>
      <c r="E48" s="936"/>
      <c r="F48" s="938"/>
      <c r="G48" s="938"/>
      <c r="H48" s="938"/>
      <c r="I48" s="938"/>
      <c r="J48" s="938"/>
      <c r="K48" s="938"/>
      <c r="L48" s="938"/>
      <c r="M48" s="938"/>
      <c r="N48" s="938"/>
      <c r="O48" s="938"/>
      <c r="P48" s="936"/>
    </row>
    <row r="49" spans="1:16" ht="15">
      <c r="A49" s="936"/>
      <c r="B49" s="936"/>
      <c r="C49" s="936"/>
      <c r="D49" s="936"/>
      <c r="E49" s="936"/>
      <c r="F49" s="938"/>
      <c r="G49" s="938"/>
      <c r="H49" s="938"/>
      <c r="I49" s="938"/>
      <c r="J49" s="938"/>
      <c r="K49" s="938"/>
      <c r="L49" s="938"/>
      <c r="M49" s="938"/>
      <c r="N49" s="938"/>
      <c r="O49" s="938"/>
      <c r="P49" s="936"/>
    </row>
    <row r="50" spans="1:16" ht="15">
      <c r="A50" s="936"/>
      <c r="B50" s="936"/>
      <c r="C50" s="936"/>
      <c r="D50" s="936"/>
      <c r="E50" s="936"/>
      <c r="F50" s="938"/>
      <c r="G50" s="938"/>
      <c r="H50" s="938"/>
      <c r="I50" s="938"/>
      <c r="J50" s="938"/>
      <c r="K50" s="938"/>
      <c r="L50" s="938"/>
      <c r="M50" s="938"/>
      <c r="N50" s="938"/>
      <c r="O50" s="938"/>
      <c r="P50" s="936"/>
    </row>
    <row r="51" spans="1:16" ht="15">
      <c r="A51" s="936"/>
      <c r="B51" s="936"/>
      <c r="C51" s="936"/>
      <c r="D51" s="936"/>
      <c r="E51" s="936"/>
      <c r="F51" s="938"/>
      <c r="G51" s="938"/>
      <c r="H51" s="938"/>
      <c r="I51" s="938"/>
      <c r="J51" s="938"/>
      <c r="K51" s="938"/>
      <c r="L51" s="938"/>
      <c r="M51" s="938"/>
      <c r="N51" s="938"/>
      <c r="O51" s="938"/>
      <c r="P51" s="936"/>
    </row>
    <row r="52" spans="1:16" ht="15">
      <c r="A52" s="936"/>
      <c r="B52" s="936"/>
      <c r="C52" s="936"/>
      <c r="D52" s="936"/>
      <c r="E52" s="936"/>
      <c r="F52" s="938"/>
      <c r="G52" s="938"/>
      <c r="H52" s="938"/>
      <c r="I52" s="938"/>
      <c r="J52" s="938"/>
      <c r="K52" s="938"/>
      <c r="L52" s="938"/>
      <c r="M52" s="938"/>
      <c r="N52" s="938"/>
      <c r="O52" s="938"/>
      <c r="P52" s="936"/>
    </row>
    <row r="53" spans="1:16" ht="15">
      <c r="A53" s="936"/>
      <c r="B53" s="936"/>
      <c r="C53" s="936"/>
      <c r="D53" s="936"/>
      <c r="E53" s="936"/>
      <c r="F53" s="938"/>
      <c r="G53" s="938"/>
      <c r="H53" s="938"/>
      <c r="I53" s="938"/>
      <c r="J53" s="938"/>
      <c r="K53" s="938"/>
      <c r="L53" s="938"/>
      <c r="M53" s="938"/>
      <c r="N53" s="938"/>
      <c r="O53" s="938"/>
      <c r="P53" s="936"/>
    </row>
    <row r="54" spans="1:16" ht="15">
      <c r="A54" s="936"/>
      <c r="B54" s="936"/>
      <c r="C54" s="936"/>
      <c r="D54" s="936"/>
      <c r="E54" s="936"/>
      <c r="F54" s="938"/>
      <c r="G54" s="938"/>
      <c r="H54" s="938"/>
      <c r="I54" s="938"/>
      <c r="J54" s="938"/>
      <c r="K54" s="938"/>
      <c r="L54" s="938"/>
      <c r="M54" s="938"/>
      <c r="N54" s="938"/>
      <c r="O54" s="938"/>
      <c r="P54" s="936"/>
    </row>
    <row r="55" spans="1:16" ht="15">
      <c r="A55" s="936"/>
      <c r="B55" s="936"/>
      <c r="C55" s="936"/>
      <c r="D55" s="936"/>
      <c r="E55" s="936"/>
      <c r="F55" s="938"/>
      <c r="G55" s="938"/>
      <c r="H55" s="938"/>
      <c r="I55" s="938"/>
      <c r="J55" s="938"/>
      <c r="K55" s="938"/>
      <c r="L55" s="938"/>
      <c r="M55" s="938"/>
      <c r="N55" s="938"/>
      <c r="O55" s="938"/>
      <c r="P55" s="936"/>
    </row>
    <row r="56" spans="1:16" ht="15">
      <c r="A56" s="936"/>
      <c r="B56" s="936"/>
      <c r="C56" s="936"/>
      <c r="D56" s="936"/>
      <c r="E56" s="936"/>
      <c r="F56" s="938"/>
      <c r="G56" s="938"/>
      <c r="H56" s="938"/>
      <c r="I56" s="938"/>
      <c r="J56" s="938"/>
      <c r="K56" s="938"/>
      <c r="L56" s="938"/>
      <c r="M56" s="938"/>
      <c r="N56" s="938"/>
      <c r="O56" s="938"/>
      <c r="P56" s="936"/>
    </row>
    <row r="57" spans="1:16" ht="15">
      <c r="A57" s="936"/>
      <c r="B57" s="936"/>
      <c r="C57" s="936"/>
      <c r="D57" s="936"/>
      <c r="E57" s="936"/>
      <c r="F57" s="938"/>
      <c r="G57" s="938"/>
      <c r="H57" s="938"/>
      <c r="I57" s="938"/>
      <c r="J57" s="938"/>
      <c r="K57" s="938"/>
      <c r="L57" s="938"/>
      <c r="M57" s="938"/>
      <c r="N57" s="938"/>
      <c r="O57" s="938"/>
      <c r="P57" s="936"/>
    </row>
    <row r="58" spans="1:16" ht="15">
      <c r="A58" s="936"/>
      <c r="B58" s="936"/>
      <c r="C58" s="936"/>
      <c r="D58" s="936"/>
      <c r="E58" s="936"/>
      <c r="F58" s="938"/>
      <c r="G58" s="938"/>
      <c r="H58" s="938"/>
      <c r="I58" s="938"/>
      <c r="J58" s="938"/>
      <c r="K58" s="938"/>
      <c r="L58" s="938"/>
      <c r="M58" s="938"/>
      <c r="N58" s="938"/>
      <c r="O58" s="938"/>
      <c r="P58" s="936"/>
    </row>
    <row r="59" spans="1:16" ht="15">
      <c r="A59" s="936"/>
      <c r="B59" s="936"/>
      <c r="C59" s="936"/>
      <c r="D59" s="936"/>
      <c r="E59" s="936"/>
      <c r="F59" s="938"/>
      <c r="G59" s="938"/>
      <c r="H59" s="938"/>
      <c r="I59" s="938"/>
      <c r="J59" s="938"/>
      <c r="K59" s="938"/>
      <c r="L59" s="938"/>
      <c r="M59" s="938"/>
      <c r="N59" s="938"/>
      <c r="O59" s="938"/>
      <c r="P59" s="936"/>
    </row>
    <row r="60" spans="1:16" ht="15">
      <c r="A60" s="936"/>
      <c r="B60" s="936"/>
      <c r="C60" s="936"/>
      <c r="D60" s="936"/>
      <c r="E60" s="936"/>
      <c r="F60" s="938"/>
      <c r="G60" s="938"/>
      <c r="H60" s="938"/>
      <c r="I60" s="938"/>
      <c r="J60" s="938"/>
      <c r="K60" s="938"/>
      <c r="L60" s="938"/>
      <c r="M60" s="938"/>
      <c r="N60" s="938"/>
      <c r="O60" s="938"/>
      <c r="P60" s="936"/>
    </row>
    <row r="61" spans="1:16" ht="15">
      <c r="A61" s="936"/>
      <c r="B61" s="936"/>
      <c r="C61" s="936"/>
      <c r="D61" s="936"/>
      <c r="E61" s="936"/>
      <c r="F61" s="938"/>
      <c r="G61" s="938"/>
      <c r="H61" s="938"/>
      <c r="I61" s="938"/>
      <c r="J61" s="938"/>
      <c r="K61" s="938"/>
      <c r="L61" s="938"/>
      <c r="M61" s="938"/>
      <c r="N61" s="938"/>
      <c r="O61" s="938"/>
      <c r="P61" s="936"/>
    </row>
    <row r="62" spans="1:16" ht="15">
      <c r="A62" s="936"/>
      <c r="B62" s="936"/>
      <c r="C62" s="936"/>
      <c r="D62" s="936"/>
      <c r="E62" s="936"/>
      <c r="F62" s="938"/>
      <c r="G62" s="938"/>
      <c r="H62" s="938"/>
      <c r="I62" s="938"/>
      <c r="J62" s="938"/>
      <c r="K62" s="938"/>
      <c r="L62" s="938"/>
      <c r="M62" s="938"/>
      <c r="N62" s="938"/>
      <c r="O62" s="938"/>
      <c r="P62" s="936"/>
    </row>
    <row r="63" spans="1:16" ht="15">
      <c r="A63" s="936"/>
      <c r="B63" s="936"/>
      <c r="C63" s="936"/>
      <c r="D63" s="936"/>
      <c r="E63" s="936"/>
      <c r="F63" s="938"/>
      <c r="G63" s="938"/>
      <c r="H63" s="938"/>
      <c r="I63" s="938"/>
      <c r="J63" s="938"/>
      <c r="K63" s="938"/>
      <c r="L63" s="938"/>
      <c r="M63" s="938"/>
      <c r="N63" s="938"/>
      <c r="O63" s="938"/>
      <c r="P63" s="936"/>
    </row>
    <row r="64" spans="1:16" ht="15">
      <c r="A64" s="936"/>
      <c r="B64" s="936"/>
      <c r="C64" s="936"/>
      <c r="D64" s="936"/>
      <c r="E64" s="936"/>
      <c r="F64" s="938"/>
      <c r="G64" s="938"/>
      <c r="H64" s="938"/>
      <c r="I64" s="938"/>
      <c r="J64" s="938"/>
      <c r="K64" s="938"/>
      <c r="L64" s="938"/>
      <c r="M64" s="938"/>
      <c r="N64" s="938"/>
      <c r="O64" s="938"/>
      <c r="P64" s="936"/>
    </row>
    <row r="65" spans="1:16" ht="15">
      <c r="A65" s="936"/>
      <c r="B65" s="936"/>
      <c r="C65" s="936"/>
      <c r="D65" s="936"/>
      <c r="E65" s="936"/>
      <c r="F65" s="938"/>
      <c r="G65" s="938"/>
      <c r="H65" s="938"/>
      <c r="I65" s="938"/>
      <c r="J65" s="938"/>
      <c r="K65" s="938"/>
      <c r="L65" s="938"/>
      <c r="M65" s="938"/>
      <c r="N65" s="938"/>
      <c r="O65" s="938"/>
      <c r="P65" s="936"/>
    </row>
    <row r="66" spans="1:16" ht="15">
      <c r="A66" s="936"/>
      <c r="B66" s="936"/>
      <c r="C66" s="936"/>
      <c r="D66" s="936"/>
      <c r="E66" s="936"/>
      <c r="F66" s="938"/>
      <c r="G66" s="938"/>
      <c r="H66" s="938"/>
      <c r="I66" s="938"/>
      <c r="J66" s="938"/>
      <c r="K66" s="938"/>
      <c r="L66" s="938"/>
      <c r="M66" s="938"/>
      <c r="N66" s="938"/>
      <c r="O66" s="938"/>
      <c r="P66" s="936"/>
    </row>
    <row r="67" spans="1:16" ht="15">
      <c r="A67" s="936"/>
      <c r="B67" s="936"/>
      <c r="C67" s="936"/>
      <c r="D67" s="936"/>
      <c r="E67" s="936"/>
      <c r="F67" s="938"/>
      <c r="G67" s="938"/>
      <c r="H67" s="938"/>
      <c r="I67" s="938"/>
      <c r="J67" s="938"/>
      <c r="K67" s="938"/>
      <c r="L67" s="938"/>
      <c r="M67" s="938"/>
      <c r="N67" s="938"/>
      <c r="O67" s="938"/>
      <c r="P67" s="936"/>
    </row>
    <row r="68" spans="1:16" ht="15">
      <c r="A68" s="936"/>
      <c r="B68" s="936"/>
      <c r="C68" s="936"/>
      <c r="D68" s="936"/>
      <c r="E68" s="936"/>
      <c r="F68" s="938"/>
      <c r="G68" s="938"/>
      <c r="H68" s="938"/>
      <c r="I68" s="938"/>
      <c r="J68" s="938"/>
      <c r="K68" s="938"/>
      <c r="L68" s="938"/>
      <c r="M68" s="938"/>
      <c r="N68" s="938"/>
      <c r="O68" s="938"/>
      <c r="P68" s="936"/>
    </row>
    <row r="69" spans="1:16" ht="15">
      <c r="A69" s="936"/>
      <c r="B69" s="936"/>
      <c r="C69" s="936"/>
      <c r="D69" s="936"/>
      <c r="E69" s="936"/>
      <c r="F69" s="938"/>
      <c r="G69" s="938"/>
      <c r="H69" s="938"/>
      <c r="I69" s="938"/>
      <c r="J69" s="938"/>
      <c r="K69" s="938"/>
      <c r="L69" s="938"/>
      <c r="M69" s="938"/>
      <c r="N69" s="938"/>
      <c r="O69" s="938"/>
      <c r="P69" s="936"/>
    </row>
    <row r="70" spans="1:16" ht="15">
      <c r="A70" s="936"/>
      <c r="B70" s="936"/>
      <c r="C70" s="936"/>
      <c r="D70" s="936"/>
      <c r="E70" s="936"/>
      <c r="F70" s="938"/>
      <c r="G70" s="938"/>
      <c r="H70" s="938"/>
      <c r="I70" s="938"/>
      <c r="J70" s="938"/>
      <c r="K70" s="938"/>
      <c r="L70" s="938"/>
      <c r="M70" s="938"/>
      <c r="N70" s="938"/>
      <c r="O70" s="938"/>
      <c r="P70" s="936"/>
    </row>
    <row r="71" spans="1:16" ht="15">
      <c r="A71" s="936"/>
      <c r="B71" s="936"/>
      <c r="C71" s="936"/>
      <c r="D71" s="936"/>
      <c r="E71" s="936"/>
      <c r="F71" s="938"/>
      <c r="G71" s="938"/>
      <c r="H71" s="938"/>
      <c r="I71" s="938"/>
      <c r="J71" s="938"/>
      <c r="K71" s="938"/>
      <c r="L71" s="938"/>
      <c r="M71" s="938"/>
      <c r="N71" s="938"/>
      <c r="O71" s="938"/>
      <c r="P71" s="936"/>
    </row>
    <row r="72" spans="1:16" ht="15">
      <c r="A72" s="936"/>
      <c r="B72" s="936"/>
      <c r="C72" s="936"/>
      <c r="D72" s="936"/>
      <c r="E72" s="936"/>
      <c r="F72" s="938"/>
      <c r="G72" s="938"/>
      <c r="H72" s="938"/>
      <c r="I72" s="938"/>
      <c r="J72" s="938"/>
      <c r="K72" s="938"/>
      <c r="L72" s="938"/>
      <c r="M72" s="938"/>
      <c r="N72" s="938"/>
      <c r="O72" s="938"/>
      <c r="P72" s="936"/>
    </row>
    <row r="73" spans="1:16" ht="15">
      <c r="A73" s="936"/>
      <c r="B73" s="936"/>
      <c r="C73" s="936"/>
      <c r="D73" s="936"/>
      <c r="E73" s="936"/>
      <c r="F73" s="938"/>
      <c r="G73" s="938"/>
      <c r="H73" s="938"/>
      <c r="I73" s="938"/>
      <c r="J73" s="938"/>
      <c r="K73" s="938"/>
      <c r="L73" s="938"/>
      <c r="M73" s="938"/>
      <c r="N73" s="938"/>
      <c r="O73" s="938"/>
      <c r="P73" s="936"/>
    </row>
    <row r="74" spans="1:16" ht="15">
      <c r="A74" s="936"/>
      <c r="B74" s="936"/>
      <c r="C74" s="936"/>
      <c r="D74" s="936"/>
      <c r="E74" s="936"/>
      <c r="F74" s="938"/>
      <c r="G74" s="938"/>
      <c r="H74" s="938"/>
      <c r="I74" s="938"/>
      <c r="J74" s="938"/>
      <c r="K74" s="938"/>
      <c r="L74" s="938"/>
      <c r="M74" s="938"/>
      <c r="N74" s="938"/>
      <c r="O74" s="938"/>
      <c r="P74" s="936"/>
    </row>
    <row r="75" spans="1:16" ht="15">
      <c r="A75" s="936"/>
      <c r="B75" s="936"/>
      <c r="C75" s="936"/>
      <c r="D75" s="936"/>
      <c r="E75" s="936"/>
      <c r="F75" s="938"/>
      <c r="G75" s="938"/>
      <c r="H75" s="938"/>
      <c r="I75" s="938"/>
      <c r="J75" s="938"/>
      <c r="K75" s="938"/>
      <c r="L75" s="938"/>
      <c r="M75" s="938"/>
      <c r="N75" s="938"/>
      <c r="O75" s="938"/>
      <c r="P75" s="936"/>
    </row>
    <row r="76" spans="1:16" ht="15">
      <c r="A76" s="936"/>
      <c r="B76" s="936"/>
      <c r="C76" s="936"/>
      <c r="D76" s="936"/>
      <c r="E76" s="936"/>
      <c r="F76" s="938"/>
      <c r="G76" s="938"/>
      <c r="H76" s="938"/>
      <c r="I76" s="938"/>
      <c r="J76" s="938"/>
      <c r="K76" s="938"/>
      <c r="L76" s="938"/>
      <c r="M76" s="938"/>
      <c r="N76" s="938"/>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6"/>
      <c r="G80" s="936"/>
      <c r="H80" s="936"/>
      <c r="I80" s="936"/>
      <c r="J80" s="936"/>
      <c r="K80" s="936"/>
      <c r="L80" s="936"/>
      <c r="M80" s="936"/>
      <c r="N80" s="936"/>
      <c r="O80" s="936"/>
      <c r="P80" s="936"/>
    </row>
    <row r="81" spans="1:16" ht="15">
      <c r="A81" s="936"/>
      <c r="B81" s="936"/>
      <c r="C81" s="936"/>
      <c r="D81" s="936"/>
      <c r="E81" s="936"/>
      <c r="F81" s="936"/>
      <c r="G81" s="936"/>
      <c r="H81" s="936"/>
      <c r="I81" s="936"/>
      <c r="J81" s="936"/>
      <c r="K81" s="936"/>
      <c r="L81" s="936"/>
      <c r="M81" s="936"/>
      <c r="N81" s="936"/>
      <c r="O81" s="936"/>
      <c r="P81" s="936"/>
    </row>
    <row r="82" spans="1:16" ht="15">
      <c r="A82" s="936"/>
      <c r="B82" s="936"/>
      <c r="C82" s="936"/>
      <c r="D82" s="936"/>
      <c r="E82" s="936"/>
      <c r="F82" s="936"/>
      <c r="G82" s="936"/>
      <c r="H82" s="936"/>
      <c r="I82" s="936"/>
      <c r="J82" s="936"/>
      <c r="K82" s="936"/>
      <c r="L82" s="936"/>
      <c r="M82" s="936"/>
      <c r="N82" s="936"/>
      <c r="O82" s="936"/>
      <c r="P82" s="936"/>
    </row>
    <row r="83" spans="1:16" ht="15">
      <c r="A83" s="936"/>
      <c r="B83" s="936"/>
      <c r="C83" s="936"/>
      <c r="D83" s="936"/>
      <c r="E83" s="936"/>
      <c r="F83" s="936"/>
      <c r="G83" s="936"/>
      <c r="H83" s="936"/>
      <c r="I83" s="936"/>
      <c r="J83" s="936"/>
      <c r="K83" s="936"/>
      <c r="L83" s="936"/>
      <c r="M83" s="936"/>
      <c r="N83" s="936"/>
      <c r="O83" s="936"/>
      <c r="P83" s="936"/>
    </row>
    <row r="84" spans="1:16" ht="15">
      <c r="A84" s="936"/>
      <c r="B84" s="936"/>
      <c r="C84" s="936"/>
      <c r="D84" s="936"/>
      <c r="E84" s="936"/>
      <c r="F84" s="936"/>
      <c r="G84" s="936"/>
      <c r="H84" s="936"/>
      <c r="I84" s="936"/>
      <c r="J84" s="936"/>
      <c r="K84" s="936"/>
      <c r="L84" s="936"/>
      <c r="M84" s="936"/>
      <c r="N84" s="936"/>
      <c r="O84" s="936"/>
      <c r="P84" s="936"/>
    </row>
    <row r="85" spans="1:16" ht="15">
      <c r="A85" s="936"/>
      <c r="B85" s="936"/>
      <c r="C85" s="936"/>
      <c r="D85" s="936"/>
      <c r="E85" s="936"/>
      <c r="F85" s="936"/>
      <c r="G85" s="936"/>
      <c r="H85" s="936"/>
      <c r="I85" s="936"/>
      <c r="J85" s="936"/>
      <c r="K85" s="936"/>
      <c r="L85" s="936"/>
      <c r="M85" s="936"/>
      <c r="N85" s="936"/>
      <c r="O85" s="936"/>
      <c r="P85" s="936"/>
    </row>
    <row r="86" spans="1:16" ht="15">
      <c r="A86" s="936"/>
      <c r="B86" s="936"/>
      <c r="C86" s="936"/>
      <c r="D86" s="936"/>
      <c r="E86" s="936"/>
      <c r="F86" s="936"/>
      <c r="G86" s="936"/>
      <c r="H86" s="936"/>
      <c r="I86" s="936"/>
      <c r="J86" s="936"/>
      <c r="K86" s="936"/>
      <c r="L86" s="936"/>
      <c r="M86" s="936"/>
      <c r="N86" s="936"/>
      <c r="O86" s="936"/>
      <c r="P86" s="936"/>
    </row>
    <row r="87" spans="1:16" ht="15">
      <c r="A87" s="936"/>
      <c r="B87" s="936"/>
      <c r="C87" s="936"/>
      <c r="D87" s="936"/>
      <c r="E87" s="936"/>
      <c r="F87" s="936"/>
      <c r="G87" s="936"/>
      <c r="H87" s="936"/>
      <c r="I87" s="936"/>
      <c r="J87" s="936"/>
      <c r="K87" s="936"/>
      <c r="L87" s="936"/>
      <c r="M87" s="936"/>
      <c r="N87" s="936"/>
      <c r="O87" s="936"/>
      <c r="P87" s="936"/>
    </row>
    <row r="88" spans="1:16" ht="15">
      <c r="A88" s="936"/>
      <c r="B88" s="936"/>
      <c r="C88" s="936"/>
      <c r="D88" s="936"/>
      <c r="E88" s="936"/>
      <c r="F88" s="936"/>
      <c r="G88" s="936"/>
      <c r="H88" s="936"/>
      <c r="I88" s="936"/>
      <c r="J88" s="936"/>
      <c r="K88" s="936"/>
      <c r="L88" s="936"/>
      <c r="M88" s="936"/>
      <c r="N88" s="936"/>
      <c r="O88" s="936"/>
      <c r="P88" s="936"/>
    </row>
    <row r="89" spans="1:16" ht="15">
      <c r="A89" s="936"/>
      <c r="B89" s="936"/>
      <c r="C89" s="936"/>
      <c r="D89" s="936"/>
      <c r="E89" s="936"/>
      <c r="F89" s="936"/>
      <c r="G89" s="936"/>
      <c r="H89" s="936"/>
      <c r="I89" s="936"/>
      <c r="J89" s="936"/>
      <c r="K89" s="936"/>
      <c r="L89" s="936"/>
      <c r="M89" s="936"/>
      <c r="N89" s="936"/>
      <c r="O89" s="936"/>
      <c r="P89" s="936"/>
    </row>
    <row r="90" spans="1:16" ht="15">
      <c r="A90" s="936"/>
      <c r="B90" s="936"/>
      <c r="C90" s="936"/>
      <c r="D90" s="936"/>
      <c r="E90" s="936"/>
      <c r="F90" s="936"/>
      <c r="G90" s="936"/>
      <c r="H90" s="936"/>
      <c r="I90" s="936"/>
      <c r="J90" s="936"/>
      <c r="K90" s="936"/>
      <c r="L90" s="936"/>
      <c r="M90" s="936"/>
      <c r="N90" s="936"/>
      <c r="O90" s="936"/>
      <c r="P90" s="936"/>
    </row>
    <row r="91" spans="1:16" ht="15">
      <c r="A91" s="936"/>
      <c r="B91" s="936"/>
      <c r="C91" s="936"/>
      <c r="D91" s="936"/>
      <c r="E91" s="936"/>
      <c r="F91" s="936"/>
      <c r="G91" s="936"/>
      <c r="H91" s="936"/>
      <c r="I91" s="936"/>
      <c r="J91" s="936"/>
      <c r="K91" s="936"/>
      <c r="L91" s="936"/>
      <c r="M91" s="936"/>
      <c r="N91" s="936"/>
      <c r="O91" s="936"/>
      <c r="P91" s="936"/>
    </row>
    <row r="92" spans="1:16" ht="15">
      <c r="A92" s="936"/>
      <c r="B92" s="936"/>
      <c r="C92" s="936"/>
      <c r="D92" s="936"/>
      <c r="E92" s="936"/>
      <c r="F92" s="936"/>
      <c r="G92" s="936"/>
      <c r="H92" s="936"/>
      <c r="I92" s="936"/>
      <c r="J92" s="936"/>
      <c r="K92" s="936"/>
      <c r="L92" s="936"/>
      <c r="M92" s="936"/>
      <c r="N92" s="936"/>
      <c r="O92" s="936"/>
      <c r="P92" s="936"/>
    </row>
    <row r="93" spans="1:16" ht="15">
      <c r="A93" s="936"/>
      <c r="B93" s="936"/>
      <c r="C93" s="936"/>
      <c r="D93" s="936"/>
      <c r="E93" s="936"/>
      <c r="F93" s="936"/>
      <c r="G93" s="936"/>
      <c r="H93" s="936"/>
      <c r="I93" s="936"/>
      <c r="J93" s="936"/>
      <c r="K93" s="936"/>
      <c r="L93" s="936"/>
      <c r="M93" s="936"/>
      <c r="N93" s="936"/>
      <c r="O93" s="936"/>
      <c r="P93" s="936"/>
    </row>
    <row r="94" spans="1:16" ht="15">
      <c r="A94" s="936"/>
      <c r="B94" s="936"/>
      <c r="C94" s="936"/>
      <c r="D94" s="936"/>
      <c r="E94" s="936"/>
      <c r="F94" s="936"/>
      <c r="G94" s="936"/>
      <c r="H94" s="936"/>
      <c r="I94" s="936"/>
      <c r="J94" s="936"/>
      <c r="K94" s="936"/>
      <c r="L94" s="936"/>
      <c r="M94" s="936"/>
      <c r="N94" s="936"/>
      <c r="O94" s="936"/>
      <c r="P94" s="936"/>
    </row>
    <row r="95" spans="1:16" ht="15">
      <c r="A95" s="936"/>
      <c r="B95" s="936"/>
      <c r="C95" s="936"/>
      <c r="D95" s="936"/>
      <c r="E95" s="936"/>
      <c r="F95" s="936"/>
      <c r="G95" s="936"/>
      <c r="H95" s="936"/>
      <c r="I95" s="936"/>
      <c r="J95" s="936"/>
      <c r="K95" s="936"/>
      <c r="L95" s="936"/>
      <c r="M95" s="936"/>
      <c r="N95" s="936"/>
      <c r="O95" s="936"/>
      <c r="P95" s="936"/>
    </row>
    <row r="96" spans="1:16" ht="15">
      <c r="A96" s="936"/>
      <c r="B96" s="936"/>
      <c r="C96" s="936"/>
      <c r="D96" s="936"/>
      <c r="E96" s="936"/>
      <c r="F96" s="936"/>
      <c r="G96" s="936"/>
      <c r="H96" s="936"/>
      <c r="I96" s="936"/>
      <c r="J96" s="936"/>
      <c r="K96" s="936"/>
      <c r="L96" s="936"/>
      <c r="M96" s="936"/>
      <c r="N96" s="936"/>
      <c r="O96" s="936"/>
      <c r="P96" s="936"/>
    </row>
    <row r="97" spans="1:16" ht="15">
      <c r="A97" s="936"/>
      <c r="B97" s="936"/>
      <c r="C97" s="936"/>
      <c r="D97" s="936"/>
      <c r="E97" s="936"/>
      <c r="F97" s="936"/>
      <c r="G97" s="936"/>
      <c r="H97" s="936"/>
      <c r="I97" s="936"/>
      <c r="J97" s="936"/>
      <c r="K97" s="936"/>
      <c r="L97" s="936"/>
      <c r="M97" s="936"/>
      <c r="N97" s="936"/>
      <c r="O97" s="936"/>
      <c r="P97" s="936"/>
    </row>
    <row r="98" spans="1:16" ht="15">
      <c r="A98" s="936"/>
      <c r="B98" s="936"/>
      <c r="C98" s="936"/>
      <c r="D98" s="936"/>
      <c r="E98" s="936"/>
      <c r="F98" s="936"/>
      <c r="G98" s="936"/>
      <c r="H98" s="936"/>
      <c r="I98" s="936"/>
      <c r="J98" s="936"/>
      <c r="K98" s="936"/>
      <c r="L98" s="936"/>
      <c r="M98" s="936"/>
      <c r="N98" s="936"/>
      <c r="O98" s="936"/>
      <c r="P98" s="936"/>
    </row>
    <row r="99" spans="1:16" ht="15">
      <c r="A99" s="936"/>
      <c r="B99" s="936"/>
      <c r="C99" s="936"/>
      <c r="D99" s="936"/>
      <c r="E99" s="936"/>
      <c r="F99" s="936"/>
      <c r="G99" s="936"/>
      <c r="H99" s="936"/>
      <c r="I99" s="936"/>
      <c r="J99" s="936"/>
      <c r="K99" s="936"/>
      <c r="L99" s="936"/>
      <c r="M99" s="936"/>
      <c r="N99" s="936"/>
      <c r="O99" s="936"/>
      <c r="P99" s="936"/>
    </row>
    <row r="100" spans="1:16" ht="15">
      <c r="A100" s="936"/>
      <c r="B100" s="936"/>
      <c r="C100" s="936"/>
      <c r="D100" s="936"/>
      <c r="E100" s="936"/>
      <c r="F100" s="936"/>
      <c r="G100" s="936"/>
      <c r="H100" s="936"/>
      <c r="I100" s="936"/>
      <c r="J100" s="936"/>
      <c r="K100" s="936"/>
      <c r="L100" s="936"/>
      <c r="M100" s="936"/>
      <c r="N100" s="936"/>
      <c r="O100" s="936"/>
      <c r="P100" s="936"/>
    </row>
    <row r="101" spans="1:16" ht="15">
      <c r="A101" s="936"/>
      <c r="B101" s="936"/>
      <c r="C101" s="936"/>
      <c r="D101" s="936"/>
      <c r="E101" s="936"/>
      <c r="F101" s="936"/>
      <c r="G101" s="936"/>
      <c r="H101" s="936"/>
      <c r="I101" s="936"/>
      <c r="J101" s="936"/>
      <c r="K101" s="936"/>
      <c r="L101" s="936"/>
      <c r="M101" s="936"/>
      <c r="N101" s="936"/>
      <c r="O101" s="936"/>
      <c r="P101" s="936"/>
    </row>
    <row r="102" spans="1:16" ht="15">
      <c r="A102" s="936"/>
      <c r="B102" s="936"/>
      <c r="C102" s="936"/>
      <c r="D102" s="936"/>
      <c r="E102" s="936"/>
      <c r="F102" s="936"/>
      <c r="G102" s="936"/>
      <c r="H102" s="936"/>
      <c r="I102" s="936"/>
      <c r="J102" s="936"/>
      <c r="K102" s="936"/>
      <c r="L102" s="936"/>
      <c r="M102" s="936"/>
      <c r="N102" s="936"/>
      <c r="O102" s="936"/>
      <c r="P102" s="936"/>
    </row>
    <row r="103" spans="1:16" ht="15">
      <c r="A103" s="936"/>
      <c r="B103" s="936"/>
      <c r="C103" s="936"/>
      <c r="D103" s="936"/>
      <c r="E103" s="936"/>
      <c r="F103" s="936"/>
      <c r="G103" s="936"/>
      <c r="H103" s="936"/>
      <c r="I103" s="936"/>
      <c r="J103" s="936"/>
      <c r="K103" s="936"/>
      <c r="L103" s="936"/>
      <c r="M103" s="936"/>
      <c r="N103" s="936"/>
      <c r="O103" s="936"/>
      <c r="P103" s="936"/>
    </row>
    <row r="104" spans="1:16" ht="15">
      <c r="A104" s="936"/>
      <c r="B104" s="936"/>
      <c r="C104" s="936"/>
      <c r="D104" s="936"/>
      <c r="E104" s="936"/>
      <c r="F104" s="936"/>
      <c r="G104" s="936"/>
      <c r="H104" s="936"/>
      <c r="I104" s="936"/>
      <c r="J104" s="936"/>
      <c r="K104" s="936"/>
      <c r="L104" s="936"/>
      <c r="M104" s="936"/>
      <c r="N104" s="936"/>
      <c r="O104" s="936"/>
      <c r="P104" s="936"/>
    </row>
    <row r="105" spans="1:16" ht="15">
      <c r="A105" s="936"/>
      <c r="B105" s="936"/>
      <c r="C105" s="936"/>
      <c r="D105" s="936"/>
      <c r="E105" s="936"/>
      <c r="F105" s="936"/>
      <c r="G105" s="936"/>
      <c r="H105" s="936"/>
      <c r="I105" s="936"/>
      <c r="J105" s="936"/>
      <c r="K105" s="936"/>
      <c r="L105" s="936"/>
      <c r="M105" s="936"/>
      <c r="N105" s="936"/>
      <c r="O105" s="936"/>
      <c r="P105" s="936"/>
    </row>
    <row r="106" spans="1:16" ht="15">
      <c r="A106" s="936"/>
      <c r="B106" s="936"/>
      <c r="C106" s="936"/>
      <c r="D106" s="936"/>
      <c r="E106" s="936"/>
      <c r="F106" s="936"/>
      <c r="G106" s="936"/>
      <c r="H106" s="936"/>
      <c r="I106" s="936"/>
      <c r="J106" s="936"/>
      <c r="K106" s="936"/>
      <c r="L106" s="936"/>
      <c r="M106" s="936"/>
      <c r="N106" s="936"/>
      <c r="O106" s="936"/>
      <c r="P106" s="936"/>
    </row>
    <row r="107" spans="1:16" ht="15">
      <c r="A107" s="936"/>
      <c r="B107" s="936"/>
      <c r="C107" s="936"/>
      <c r="D107" s="936"/>
      <c r="E107" s="936"/>
      <c r="F107" s="936"/>
      <c r="G107" s="936"/>
      <c r="H107" s="936"/>
      <c r="I107" s="936"/>
      <c r="J107" s="936"/>
      <c r="K107" s="936"/>
      <c r="L107" s="936"/>
      <c r="M107" s="936"/>
      <c r="N107" s="936"/>
      <c r="O107" s="936"/>
      <c r="P107" s="936"/>
    </row>
    <row r="108" spans="1:16" ht="15">
      <c r="A108" s="936"/>
      <c r="B108" s="936"/>
      <c r="C108" s="936"/>
      <c r="D108" s="936"/>
      <c r="E108" s="936"/>
      <c r="F108" s="936"/>
      <c r="G108" s="936"/>
      <c r="H108" s="936"/>
      <c r="I108" s="936"/>
      <c r="J108" s="936"/>
      <c r="K108" s="936"/>
      <c r="L108" s="936"/>
      <c r="M108" s="936"/>
      <c r="N108" s="936"/>
      <c r="O108" s="936"/>
      <c r="P108" s="936"/>
    </row>
    <row r="109" spans="1:16" ht="15">
      <c r="A109" s="936"/>
      <c r="B109" s="936"/>
      <c r="C109" s="936"/>
      <c r="D109" s="936"/>
      <c r="E109" s="936"/>
      <c r="F109" s="936"/>
      <c r="G109" s="936"/>
      <c r="H109" s="936"/>
      <c r="I109" s="936"/>
      <c r="J109" s="936"/>
      <c r="K109" s="936"/>
      <c r="L109" s="936"/>
      <c r="M109" s="936"/>
      <c r="N109" s="936"/>
      <c r="O109" s="936"/>
      <c r="P109" s="936"/>
    </row>
    <row r="110" spans="1:16" ht="15">
      <c r="A110" s="936"/>
      <c r="B110" s="936"/>
      <c r="C110" s="936"/>
      <c r="D110" s="936"/>
      <c r="E110" s="936"/>
      <c r="F110" s="936"/>
      <c r="G110" s="936"/>
      <c r="H110" s="936"/>
      <c r="I110" s="936"/>
      <c r="J110" s="936"/>
      <c r="K110" s="936"/>
      <c r="L110" s="936"/>
      <c r="M110" s="936"/>
      <c r="N110" s="936"/>
      <c r="O110" s="936"/>
      <c r="P110" s="936"/>
    </row>
    <row r="111" spans="1:16" ht="15">
      <c r="A111" s="936"/>
      <c r="B111" s="936"/>
      <c r="C111" s="936"/>
      <c r="D111" s="936"/>
      <c r="E111" s="936"/>
      <c r="F111" s="936"/>
      <c r="G111" s="936"/>
      <c r="H111" s="936"/>
      <c r="I111" s="936"/>
      <c r="J111" s="936"/>
      <c r="K111" s="936"/>
      <c r="L111" s="936"/>
      <c r="M111" s="936"/>
      <c r="N111" s="936"/>
      <c r="O111" s="936"/>
      <c r="P111" s="936"/>
    </row>
    <row r="112" spans="1:16" ht="15">
      <c r="A112" s="936"/>
      <c r="B112" s="936"/>
      <c r="C112" s="936"/>
      <c r="D112" s="936"/>
      <c r="E112" s="936"/>
      <c r="F112" s="936"/>
      <c r="G112" s="936"/>
      <c r="H112" s="936"/>
      <c r="I112" s="936"/>
      <c r="J112" s="936"/>
      <c r="K112" s="936"/>
      <c r="L112" s="936"/>
      <c r="M112" s="936"/>
      <c r="N112" s="936"/>
      <c r="O112" s="936"/>
      <c r="P112" s="936"/>
    </row>
    <row r="113" spans="1:16" ht="15">
      <c r="A113" s="936"/>
      <c r="B113" s="936"/>
      <c r="C113" s="936"/>
      <c r="D113" s="936"/>
      <c r="E113" s="936"/>
      <c r="F113" s="936"/>
      <c r="G113" s="936"/>
      <c r="H113" s="936"/>
      <c r="I113" s="936"/>
      <c r="J113" s="936"/>
      <c r="K113" s="936"/>
      <c r="L113" s="936"/>
      <c r="M113" s="936"/>
      <c r="N113" s="936"/>
      <c r="O113" s="936"/>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sheetData>
  <mergeCells count="4">
    <mergeCell ref="B13:C13"/>
    <mergeCell ref="B23:C23"/>
    <mergeCell ref="B32:C32"/>
    <mergeCell ref="B42:C42"/>
  </mergeCells>
  <pageMargins left="0.7" right="0.2" top="0.46" bottom="0.35" header="0.27" footer="0.17"/>
  <pageSetup scale="50" orientation="landscape" r:id="rId1"/>
  <headerFooter alignWithMargins="0">
    <oddFooter>&amp;R&amp;P</oddFooter>
  </headerFooter>
</worksheet>
</file>

<file path=xl/worksheets/sheet143.xml><?xml version="1.0" encoding="utf-8"?>
<worksheet xmlns="http://schemas.openxmlformats.org/spreadsheetml/2006/main" xmlns:r="http://schemas.openxmlformats.org/officeDocument/2006/relationships">
  <sheetPr>
    <pageSetUpPr fitToPage="1"/>
  </sheetPr>
  <dimension ref="A1:BC239"/>
  <sheetViews>
    <sheetView topLeftCell="A20" workbookViewId="0">
      <pane xSplit="3" ySplit="2" topLeftCell="D22" activePane="bottomRight" state="frozen"/>
      <selection activeCell="E46" sqref="E46"/>
      <selection pane="topRight" activeCell="E46" sqref="E46"/>
      <selection pane="bottomLeft" activeCell="E46" sqref="E46"/>
      <selection pane="bottomRight" activeCell="D38" sqref="D38"/>
    </sheetView>
  </sheetViews>
  <sheetFormatPr baseColWidth="10" defaultColWidth="9" defaultRowHeight="12.75"/>
  <cols>
    <col min="1" max="2" width="18.125" style="889" customWidth="1"/>
    <col min="3" max="3" width="28.25" style="889" customWidth="1"/>
    <col min="4" max="6" width="14.625" style="889" customWidth="1"/>
    <col min="7" max="7" width="20"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942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918">
        <v>1825.16</v>
      </c>
      <c r="H22" s="1422">
        <v>98565.68</v>
      </c>
      <c r="I22" s="1422">
        <v>0</v>
      </c>
      <c r="J22" s="1422">
        <v>0</v>
      </c>
      <c r="K22" s="1422">
        <v>0</v>
      </c>
      <c r="L22" s="1422">
        <v>0</v>
      </c>
      <c r="M22" s="1432">
        <f t="shared" ref="M22:M51" si="0">SUM(D22:L22)</f>
        <v>100390.84</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334535</v>
      </c>
      <c r="E23" s="1423">
        <v>22143.37</v>
      </c>
      <c r="F23" s="1422">
        <v>3612.97</v>
      </c>
      <c r="G23" s="1422">
        <v>351551.03</v>
      </c>
      <c r="H23" s="1423">
        <v>1186357.1399999999</v>
      </c>
      <c r="I23" s="1422">
        <v>228978.03</v>
      </c>
      <c r="J23" s="1422">
        <v>21168.66</v>
      </c>
      <c r="K23" s="1423">
        <v>354780.98</v>
      </c>
      <c r="L23" s="1423">
        <v>153155</v>
      </c>
      <c r="M23" s="1432">
        <f t="shared" si="0"/>
        <v>2656282.1799999997</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3906</v>
      </c>
      <c r="E24" s="1422">
        <v>0</v>
      </c>
      <c r="F24" s="1422">
        <v>8948.4699999999993</v>
      </c>
      <c r="G24" s="1422">
        <v>601418.91</v>
      </c>
      <c r="H24" s="1423">
        <v>2131987.9900000002</v>
      </c>
      <c r="I24" s="1422">
        <v>110013.03</v>
      </c>
      <c r="J24" s="1422">
        <v>0</v>
      </c>
      <c r="K24" s="1423">
        <v>120744.08</v>
      </c>
      <c r="L24" s="1422">
        <v>70042</v>
      </c>
      <c r="M24" s="1432">
        <f t="shared" si="0"/>
        <v>3047060.48</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9360</v>
      </c>
      <c r="E25" s="1422">
        <v>535.04999999999995</v>
      </c>
      <c r="F25" s="1422">
        <v>0</v>
      </c>
      <c r="G25" s="1422">
        <v>2167.1999999999998</v>
      </c>
      <c r="H25" s="1422">
        <v>0</v>
      </c>
      <c r="I25" s="1422">
        <v>0</v>
      </c>
      <c r="J25" s="1422">
        <v>0</v>
      </c>
      <c r="K25" s="1422">
        <v>0</v>
      </c>
      <c r="L25" s="1422">
        <v>0</v>
      </c>
      <c r="M25" s="1432">
        <f t="shared" si="0"/>
        <v>12062.25</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505.24</v>
      </c>
      <c r="F26" s="1422">
        <v>0</v>
      </c>
      <c r="G26" s="1422">
        <v>473361.57</v>
      </c>
      <c r="H26" s="1422">
        <v>96753.39</v>
      </c>
      <c r="I26" s="1422">
        <v>74056.070000000007</v>
      </c>
      <c r="J26" s="1422">
        <v>0</v>
      </c>
      <c r="K26" s="1422">
        <v>0</v>
      </c>
      <c r="L26" s="1422">
        <v>0</v>
      </c>
      <c r="M26" s="1432">
        <f t="shared" si="0"/>
        <v>644676.27</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293147</v>
      </c>
      <c r="E27" s="1423">
        <v>0</v>
      </c>
      <c r="F27" s="1422">
        <v>0</v>
      </c>
      <c r="G27" s="1422">
        <v>599776.96</v>
      </c>
      <c r="H27" s="1422">
        <v>252840.84</v>
      </c>
      <c r="I27" s="1422">
        <v>90253.04</v>
      </c>
      <c r="J27" s="1422">
        <v>0</v>
      </c>
      <c r="K27" s="1422">
        <v>0</v>
      </c>
      <c r="L27" s="1422">
        <v>7816</v>
      </c>
      <c r="M27" s="1432">
        <f t="shared" si="0"/>
        <v>1243833.8400000001</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13741.24</v>
      </c>
      <c r="G28" s="1422">
        <v>7086.11</v>
      </c>
      <c r="H28" s="1422">
        <v>18136.48</v>
      </c>
      <c r="I28" s="1422">
        <v>0</v>
      </c>
      <c r="J28" s="1422">
        <v>0</v>
      </c>
      <c r="K28" s="1422">
        <v>0</v>
      </c>
      <c r="L28" s="1422">
        <v>0</v>
      </c>
      <c r="M28" s="1432">
        <f t="shared" si="0"/>
        <v>38963.83</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170483</v>
      </c>
      <c r="E29" s="1422">
        <v>0</v>
      </c>
      <c r="F29" s="1422">
        <v>4139.9399999999996</v>
      </c>
      <c r="G29" s="1422">
        <v>242155.17</v>
      </c>
      <c r="H29" s="1423">
        <v>86636.88</v>
      </c>
      <c r="I29" s="1422">
        <v>56682</v>
      </c>
      <c r="J29" s="1422">
        <v>0</v>
      </c>
      <c r="K29" s="1422">
        <v>0</v>
      </c>
      <c r="L29" s="1422">
        <v>4533</v>
      </c>
      <c r="M29" s="1432">
        <f t="shared" si="0"/>
        <v>564629.99</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431148</v>
      </c>
      <c r="E30" s="1422">
        <v>0</v>
      </c>
      <c r="F30" s="1422">
        <v>22654.58</v>
      </c>
      <c r="G30" s="1422">
        <v>546259.30000000005</v>
      </c>
      <c r="H30" s="1423">
        <v>394550.14</v>
      </c>
      <c r="I30" s="1422">
        <v>64975</v>
      </c>
      <c r="J30" s="1422">
        <v>0</v>
      </c>
      <c r="K30" s="1423">
        <v>184082.63</v>
      </c>
      <c r="L30" s="1422">
        <v>45940</v>
      </c>
      <c r="M30" s="1432">
        <f t="shared" si="0"/>
        <v>1689609.65</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70545</v>
      </c>
      <c r="E31" s="1423">
        <v>0</v>
      </c>
      <c r="F31" s="1422">
        <v>177724.75</v>
      </c>
      <c r="G31" s="1422">
        <v>849460.16</v>
      </c>
      <c r="H31" s="1423">
        <v>561869.64</v>
      </c>
      <c r="I31" s="1422">
        <v>75161.539999999994</v>
      </c>
      <c r="J31" s="1422">
        <v>0</v>
      </c>
      <c r="K31" s="1422">
        <v>0</v>
      </c>
      <c r="L31" s="1423">
        <v>8852</v>
      </c>
      <c r="M31" s="1432">
        <f t="shared" si="0"/>
        <v>1743613.0900000003</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83131.05</v>
      </c>
      <c r="G32" s="1422">
        <v>153898.81</v>
      </c>
      <c r="H32" s="1422">
        <v>108962</v>
      </c>
      <c r="I32" s="1422">
        <v>45108.36</v>
      </c>
      <c r="J32" s="1422">
        <v>0</v>
      </c>
      <c r="K32" s="1422">
        <v>13821.5</v>
      </c>
      <c r="L32" s="1423">
        <v>1355</v>
      </c>
      <c r="M32" s="1432">
        <f t="shared" si="0"/>
        <v>406276.72</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1626641</v>
      </c>
      <c r="E33" s="1422">
        <v>0</v>
      </c>
      <c r="F33" s="1422">
        <v>356620.26</v>
      </c>
      <c r="G33" s="1422">
        <v>931540.88</v>
      </c>
      <c r="H33" s="1422">
        <v>93722.46</v>
      </c>
      <c r="I33" s="1422">
        <v>1662.85</v>
      </c>
      <c r="J33" s="1422">
        <v>0</v>
      </c>
      <c r="K33" s="1422">
        <v>68794.75</v>
      </c>
      <c r="L33" s="1422">
        <v>0</v>
      </c>
      <c r="M33" s="1432">
        <f t="shared" si="0"/>
        <v>3078982.2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3401.19</v>
      </c>
      <c r="F34" s="1422">
        <v>4661.25</v>
      </c>
      <c r="G34" s="1422">
        <v>1618.71</v>
      </c>
      <c r="H34" s="1422">
        <v>1441022.63</v>
      </c>
      <c r="I34" s="1422">
        <v>90111.48</v>
      </c>
      <c r="J34" s="1422">
        <v>0</v>
      </c>
      <c r="K34" s="1423">
        <v>47.55</v>
      </c>
      <c r="L34" s="1422">
        <v>0</v>
      </c>
      <c r="M34" s="1432">
        <f t="shared" si="0"/>
        <v>1540862.8099999998</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15644.45</v>
      </c>
      <c r="F35" s="1422">
        <v>7609.61</v>
      </c>
      <c r="G35" s="1422">
        <v>282251.81</v>
      </c>
      <c r="H35" s="1422">
        <v>52871.59</v>
      </c>
      <c r="I35" s="1422">
        <v>0.02</v>
      </c>
      <c r="J35" s="1422">
        <v>0</v>
      </c>
      <c r="K35" s="1422">
        <v>0</v>
      </c>
      <c r="L35" s="1422">
        <v>0</v>
      </c>
      <c r="M35" s="1432">
        <f t="shared" si="0"/>
        <v>358377.48</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28731</v>
      </c>
      <c r="E36" s="1423">
        <v>150634.82999999999</v>
      </c>
      <c r="F36" s="1423">
        <v>0</v>
      </c>
      <c r="G36" s="1422">
        <v>2463149.0499999998</v>
      </c>
      <c r="H36" s="1423">
        <v>806048.35</v>
      </c>
      <c r="I36" s="1422">
        <v>198093.7</v>
      </c>
      <c r="J36" s="1422">
        <v>0</v>
      </c>
      <c r="K36" s="1422">
        <v>5561.7</v>
      </c>
      <c r="L36" s="1423">
        <v>445208</v>
      </c>
      <c r="M36" s="1432">
        <f t="shared" si="0"/>
        <v>4097426.6300000004</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1036115</v>
      </c>
      <c r="E37" s="1423">
        <v>132151.79999999999</v>
      </c>
      <c r="F37" s="1478">
        <v>452499.95</v>
      </c>
      <c r="G37" s="1422">
        <v>3948676.91</v>
      </c>
      <c r="H37" s="1423">
        <v>3383162.53</v>
      </c>
      <c r="I37" s="1423">
        <v>464549.86</v>
      </c>
      <c r="J37" s="1422">
        <v>6713.53</v>
      </c>
      <c r="K37" s="1423">
        <v>279574.38</v>
      </c>
      <c r="L37" s="1423">
        <v>14138</v>
      </c>
      <c r="M37" s="1432">
        <f t="shared" si="0"/>
        <v>9717581.959999999</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101583</v>
      </c>
      <c r="E38" s="1422">
        <v>400241.74</v>
      </c>
      <c r="F38" s="1423">
        <v>112969.67</v>
      </c>
      <c r="G38" s="1422">
        <v>3327649.59</v>
      </c>
      <c r="H38" s="1423">
        <v>3683975.55</v>
      </c>
      <c r="I38" s="1423">
        <v>606566.62</v>
      </c>
      <c r="J38" s="1422">
        <v>6814.8</v>
      </c>
      <c r="K38" s="1423">
        <v>351991.98</v>
      </c>
      <c r="L38" s="1423">
        <v>7524</v>
      </c>
      <c r="M38" s="1432">
        <f t="shared" si="0"/>
        <v>8599316.9499999993</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61471</v>
      </c>
      <c r="E39" s="1422">
        <v>2401.36</v>
      </c>
      <c r="F39" s="1422">
        <v>5557.96</v>
      </c>
      <c r="G39" s="1422">
        <v>9456.31</v>
      </c>
      <c r="H39" s="1422">
        <v>18428.689999999999</v>
      </c>
      <c r="I39" s="1422">
        <v>16657.45</v>
      </c>
      <c r="J39" s="1422">
        <v>0</v>
      </c>
      <c r="K39" s="1422">
        <v>0</v>
      </c>
      <c r="L39" s="1422">
        <v>5565</v>
      </c>
      <c r="M39" s="1432">
        <f t="shared" si="0"/>
        <v>119537.77</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155724</v>
      </c>
      <c r="E40" s="1422">
        <v>0</v>
      </c>
      <c r="F40" s="1422">
        <v>16162.58</v>
      </c>
      <c r="G40" s="1422">
        <v>1003262.96</v>
      </c>
      <c r="H40" s="1422">
        <v>280261.18</v>
      </c>
      <c r="I40" s="1422">
        <v>559783.82999999996</v>
      </c>
      <c r="J40" s="1422">
        <v>22352.12</v>
      </c>
      <c r="K40" s="1422">
        <v>0</v>
      </c>
      <c r="L40" s="1422">
        <v>0</v>
      </c>
      <c r="M40" s="1432">
        <f t="shared" si="0"/>
        <v>2037546.67</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66627</v>
      </c>
      <c r="E41" s="1422">
        <v>57765.61</v>
      </c>
      <c r="F41" s="1422">
        <v>49061.22</v>
      </c>
      <c r="G41" s="1422">
        <v>241470.02</v>
      </c>
      <c r="H41" s="1423">
        <v>457851.15</v>
      </c>
      <c r="I41" s="1422">
        <v>25091.45</v>
      </c>
      <c r="J41" s="1422">
        <v>0</v>
      </c>
      <c r="K41" s="1422">
        <v>0</v>
      </c>
      <c r="L41" s="1422">
        <v>0</v>
      </c>
      <c r="M41" s="1432">
        <f t="shared" si="0"/>
        <v>897866.45</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1024328</v>
      </c>
      <c r="E42" s="1423">
        <v>196644.01</v>
      </c>
      <c r="F42" s="1423">
        <v>110407.89</v>
      </c>
      <c r="G42" s="1422">
        <v>175289.72</v>
      </c>
      <c r="H42" s="1423">
        <v>987513.74</v>
      </c>
      <c r="I42" s="1423">
        <v>622498.52</v>
      </c>
      <c r="J42" s="1423">
        <v>1792708.15</v>
      </c>
      <c r="K42" s="1422">
        <v>0</v>
      </c>
      <c r="L42" s="1423">
        <v>810855</v>
      </c>
      <c r="M42" s="1432">
        <f t="shared" si="0"/>
        <v>5720245.0299999993</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522551</v>
      </c>
      <c r="E43" s="1422">
        <v>111498.37</v>
      </c>
      <c r="F43" s="1423">
        <v>95202.35</v>
      </c>
      <c r="G43" s="1422">
        <v>657601.64</v>
      </c>
      <c r="H43" s="1423">
        <v>4036654.06</v>
      </c>
      <c r="I43" s="1423">
        <v>2973.24</v>
      </c>
      <c r="J43" s="1423">
        <v>1136279.55</v>
      </c>
      <c r="K43" s="1423">
        <v>0</v>
      </c>
      <c r="L43" s="1423">
        <v>29320</v>
      </c>
      <c r="M43" s="1432">
        <f t="shared" si="0"/>
        <v>6592080.21</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550079</v>
      </c>
      <c r="E44" s="1422">
        <v>0</v>
      </c>
      <c r="F44" s="1423">
        <v>9398.6200000000008</v>
      </c>
      <c r="G44" s="1422">
        <v>121550.73</v>
      </c>
      <c r="H44" s="1422">
        <v>679719.22</v>
      </c>
      <c r="I44" s="1422">
        <v>4376.57</v>
      </c>
      <c r="J44" s="1422">
        <v>0</v>
      </c>
      <c r="K44" s="1422">
        <v>2020.3</v>
      </c>
      <c r="L44" s="1423">
        <v>443433</v>
      </c>
      <c r="M44" s="1432">
        <f t="shared" si="0"/>
        <v>1810577.44</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6154</v>
      </c>
      <c r="E45" s="1423">
        <v>0</v>
      </c>
      <c r="F45" s="1422">
        <v>27678.12</v>
      </c>
      <c r="G45" s="1422">
        <v>1456312.66</v>
      </c>
      <c r="H45" s="1423">
        <v>925196.06</v>
      </c>
      <c r="I45" s="1423">
        <v>849051.55</v>
      </c>
      <c r="J45" s="1422">
        <v>0</v>
      </c>
      <c r="K45" s="1423">
        <v>2157.11</v>
      </c>
      <c r="L45" s="1422">
        <v>1099483</v>
      </c>
      <c r="M45" s="1432">
        <f t="shared" si="0"/>
        <v>4366032.5</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1072537</v>
      </c>
      <c r="E46" s="1423">
        <v>22871.55</v>
      </c>
      <c r="F46" s="1423">
        <v>106201.57</v>
      </c>
      <c r="G46" s="1422">
        <v>96436.73</v>
      </c>
      <c r="H46" s="1423">
        <v>181769.48</v>
      </c>
      <c r="I46" s="1422">
        <v>127450.77</v>
      </c>
      <c r="J46" s="1422">
        <v>0</v>
      </c>
      <c r="K46" s="1422">
        <v>133.97999999999999</v>
      </c>
      <c r="L46" s="1423">
        <v>22638</v>
      </c>
      <c r="M46" s="1432">
        <f t="shared" si="0"/>
        <v>1630039.08</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182027</v>
      </c>
      <c r="E47" s="1423">
        <v>0</v>
      </c>
      <c r="F47" s="1422">
        <v>1535.02</v>
      </c>
      <c r="G47" s="1422">
        <v>6637.42</v>
      </c>
      <c r="H47" s="1422">
        <v>40593.800000000003</v>
      </c>
      <c r="I47" s="1422">
        <v>18113.849999999999</v>
      </c>
      <c r="J47" s="1422">
        <v>0</v>
      </c>
      <c r="K47" s="1423">
        <v>0</v>
      </c>
      <c r="L47" s="1423">
        <v>1132</v>
      </c>
      <c r="M47" s="1432">
        <f t="shared" si="0"/>
        <v>250039.09</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363</v>
      </c>
      <c r="E48" s="1422">
        <v>0</v>
      </c>
      <c r="F48" s="1422">
        <v>10518.08</v>
      </c>
      <c r="G48" s="1422">
        <v>112290.7</v>
      </c>
      <c r="H48" s="1422">
        <v>26755.21</v>
      </c>
      <c r="I48" s="1422">
        <v>503.81</v>
      </c>
      <c r="J48" s="1422">
        <v>0</v>
      </c>
      <c r="K48" s="1422">
        <v>0</v>
      </c>
      <c r="L48" s="1423">
        <v>1005</v>
      </c>
      <c r="M48" s="1432">
        <f t="shared" si="0"/>
        <v>151435.79999999999</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24848</v>
      </c>
      <c r="E49" s="1422">
        <v>0</v>
      </c>
      <c r="F49" s="1422">
        <v>7465.06</v>
      </c>
      <c r="G49" s="1423">
        <v>144572.01</v>
      </c>
      <c r="H49" s="1422">
        <v>7119.52</v>
      </c>
      <c r="I49" s="1422">
        <v>21665.64</v>
      </c>
      <c r="J49" s="1422">
        <v>0</v>
      </c>
      <c r="K49" s="1422">
        <v>0</v>
      </c>
      <c r="L49" s="1423">
        <v>6261</v>
      </c>
      <c r="M49" s="1432">
        <f t="shared" si="0"/>
        <v>211931.22999999998</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322835</v>
      </c>
      <c r="E50" s="1423">
        <v>72558.78</v>
      </c>
      <c r="F50" s="1423">
        <v>7639.34</v>
      </c>
      <c r="G50" s="1422">
        <v>623825.99</v>
      </c>
      <c r="H50" s="1423">
        <v>232285.33</v>
      </c>
      <c r="I50" s="1422">
        <v>816860.69</v>
      </c>
      <c r="J50" s="1422">
        <v>0</v>
      </c>
      <c r="K50" s="1422">
        <v>47412.33</v>
      </c>
      <c r="L50" s="1423">
        <v>24216</v>
      </c>
      <c r="M50" s="1432">
        <f t="shared" si="0"/>
        <v>2147633.46</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3424875</v>
      </c>
      <c r="E51" s="1433">
        <v>246919.2</v>
      </c>
      <c r="F51" s="1433">
        <v>596564.32999999996</v>
      </c>
      <c r="G51" s="1424">
        <v>2528974.91</v>
      </c>
      <c r="H51" s="1433">
        <v>1295206.6200000001</v>
      </c>
      <c r="I51" s="1433">
        <v>272281.28999999998</v>
      </c>
      <c r="J51" s="1433">
        <v>262756.40000000002</v>
      </c>
      <c r="K51" s="1434">
        <v>16256.33</v>
      </c>
      <c r="L51" s="1433">
        <v>593787</v>
      </c>
      <c r="M51" s="1435">
        <f t="shared" si="0"/>
        <v>9237621.0800000001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11520613</v>
      </c>
      <c r="E52" s="1428">
        <f t="shared" ref="E52:L52" si="1">SUM(E22:E51)</f>
        <v>1435916.55</v>
      </c>
      <c r="F52" s="1428">
        <f t="shared" si="1"/>
        <v>2291705.8800000004</v>
      </c>
      <c r="G52" s="1428">
        <f t="shared" si="1"/>
        <v>21961529.130000003</v>
      </c>
      <c r="H52" s="1428">
        <f t="shared" si="1"/>
        <v>23566817.349999998</v>
      </c>
      <c r="I52" s="1428">
        <f t="shared" si="1"/>
        <v>5443520.2599999988</v>
      </c>
      <c r="J52" s="1428">
        <f t="shared" si="1"/>
        <v>3248793.21</v>
      </c>
      <c r="K52" s="1428">
        <f t="shared" si="1"/>
        <v>1447379.6</v>
      </c>
      <c r="L52" s="1428">
        <f t="shared" si="1"/>
        <v>3796258</v>
      </c>
      <c r="M52" s="1428">
        <f>SUM(M22:M51)</f>
        <v>74712532.980000004</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0</v>
      </c>
      <c r="E56" s="1426">
        <v>35569.42</v>
      </c>
      <c r="F56" s="1479">
        <v>37082.86</v>
      </c>
      <c r="G56" s="1426">
        <v>820918.35</v>
      </c>
      <c r="H56" s="1427">
        <v>1357868.59</v>
      </c>
      <c r="I56" s="1426">
        <v>171607</v>
      </c>
      <c r="J56" s="1426">
        <v>0</v>
      </c>
      <c r="K56" s="1426">
        <v>0</v>
      </c>
      <c r="L56" s="1427">
        <v>0</v>
      </c>
      <c r="M56" s="1440">
        <f t="shared" ref="M56:M62" si="2">SUM(D56:L56)</f>
        <v>2423046.2200000002</v>
      </c>
      <c r="O56" s="938"/>
      <c r="P56" s="936"/>
    </row>
    <row r="57" spans="1:55" ht="15.75">
      <c r="A57" s="936"/>
      <c r="B57" s="936" t="s">
        <v>598</v>
      </c>
      <c r="C57" s="932"/>
      <c r="D57" s="1427">
        <v>232625</v>
      </c>
      <c r="E57" s="1426">
        <v>0</v>
      </c>
      <c r="F57" s="1480">
        <v>751.29</v>
      </c>
      <c r="G57" s="1427">
        <v>4483.1899999999996</v>
      </c>
      <c r="H57" s="1426">
        <v>50939.21</v>
      </c>
      <c r="I57" s="1426">
        <v>12710</v>
      </c>
      <c r="J57" s="1426">
        <v>0</v>
      </c>
      <c r="K57" s="1426">
        <v>0</v>
      </c>
      <c r="L57" s="1426">
        <v>0</v>
      </c>
      <c r="M57" s="1440">
        <f t="shared" si="2"/>
        <v>301508.69</v>
      </c>
      <c r="O57" s="938"/>
      <c r="P57" s="936"/>
    </row>
    <row r="58" spans="1:55" ht="15.75">
      <c r="A58" s="936"/>
      <c r="B58" s="936" t="s">
        <v>599</v>
      </c>
      <c r="C58" s="932"/>
      <c r="D58" s="1426">
        <v>0</v>
      </c>
      <c r="E58" s="1426">
        <v>2190.4299999999998</v>
      </c>
      <c r="F58" s="1480">
        <v>0</v>
      </c>
      <c r="G58" s="1426">
        <v>117053.56</v>
      </c>
      <c r="H58" s="1427">
        <v>86122.47</v>
      </c>
      <c r="I58" s="1426">
        <v>30950</v>
      </c>
      <c r="J58" s="1426">
        <v>0</v>
      </c>
      <c r="K58" s="1426">
        <v>0</v>
      </c>
      <c r="L58" s="1426">
        <v>0</v>
      </c>
      <c r="M58" s="1440">
        <f t="shared" si="2"/>
        <v>236316.46</v>
      </c>
      <c r="O58" s="938"/>
      <c r="P58" s="936"/>
    </row>
    <row r="59" spans="1:55" ht="15.75">
      <c r="A59" s="936"/>
      <c r="B59" s="936" t="s">
        <v>600</v>
      </c>
      <c r="C59" s="932"/>
      <c r="D59" s="1426">
        <v>495967</v>
      </c>
      <c r="E59" s="1427">
        <v>16523.150000000001</v>
      </c>
      <c r="F59" s="1479">
        <v>202478.96</v>
      </c>
      <c r="G59" s="1426">
        <v>1813347.99</v>
      </c>
      <c r="H59" s="1427">
        <v>899364.39</v>
      </c>
      <c r="I59" s="1427">
        <v>183615</v>
      </c>
      <c r="J59" s="1426">
        <v>0</v>
      </c>
      <c r="K59" s="1426">
        <v>63902.51</v>
      </c>
      <c r="L59" s="1426">
        <v>3933</v>
      </c>
      <c r="M59" s="1440">
        <f t="shared" si="2"/>
        <v>3679132</v>
      </c>
      <c r="O59" s="938"/>
      <c r="P59" s="936"/>
    </row>
    <row r="60" spans="1:55" ht="15.75">
      <c r="A60" s="936"/>
      <c r="B60" s="936" t="s">
        <v>601</v>
      </c>
      <c r="C60" s="932"/>
      <c r="D60" s="1426">
        <v>0</v>
      </c>
      <c r="E60" s="1426">
        <v>0</v>
      </c>
      <c r="F60" s="1480">
        <v>53123.68</v>
      </c>
      <c r="G60" s="1426">
        <v>418762.2</v>
      </c>
      <c r="H60" s="1426">
        <v>610267.47</v>
      </c>
      <c r="I60" s="1426">
        <v>56846</v>
      </c>
      <c r="J60" s="1426">
        <v>0</v>
      </c>
      <c r="K60" s="1426">
        <v>0</v>
      </c>
      <c r="L60" s="1426">
        <v>4642</v>
      </c>
      <c r="M60" s="1440">
        <f t="shared" si="2"/>
        <v>1143641.3500000001</v>
      </c>
      <c r="O60" s="938"/>
      <c r="P60" s="936"/>
    </row>
    <row r="61" spans="1:55" ht="15.75">
      <c r="A61" s="936"/>
      <c r="B61" s="936" t="s">
        <v>602</v>
      </c>
      <c r="C61" s="932"/>
      <c r="D61" s="1426">
        <v>0</v>
      </c>
      <c r="E61" s="1426">
        <v>0</v>
      </c>
      <c r="F61" s="1480">
        <v>0</v>
      </c>
      <c r="G61" s="1426">
        <v>0</v>
      </c>
      <c r="H61" s="1426">
        <v>0</v>
      </c>
      <c r="I61" s="1426">
        <v>0</v>
      </c>
      <c r="J61" s="1426">
        <v>0</v>
      </c>
      <c r="K61" s="1426">
        <v>0</v>
      </c>
      <c r="L61" s="1426">
        <v>0</v>
      </c>
      <c r="M61" s="1440">
        <f t="shared" si="2"/>
        <v>0</v>
      </c>
      <c r="O61" s="938"/>
      <c r="P61" s="936"/>
    </row>
    <row r="62" spans="1:55" ht="16.5" thickBot="1">
      <c r="A62" s="936"/>
      <c r="B62" s="929" t="s">
        <v>603</v>
      </c>
      <c r="C62" s="946"/>
      <c r="D62" s="1424">
        <v>307523</v>
      </c>
      <c r="E62" s="1424">
        <v>77868.800000000003</v>
      </c>
      <c r="F62" s="1481">
        <v>159063.15</v>
      </c>
      <c r="G62" s="1424">
        <v>774111.63</v>
      </c>
      <c r="H62" s="1433">
        <v>378600.39</v>
      </c>
      <c r="I62" s="1424">
        <v>8822</v>
      </c>
      <c r="J62" s="1424">
        <v>0</v>
      </c>
      <c r="K62" s="1451">
        <v>215671.86</v>
      </c>
      <c r="L62" s="1424">
        <v>5563</v>
      </c>
      <c r="M62" s="1442">
        <f t="shared" si="2"/>
        <v>1927223.83</v>
      </c>
      <c r="O62" s="938"/>
      <c r="P62" s="936"/>
    </row>
    <row r="63" spans="1:55" ht="15.75">
      <c r="A63" s="936"/>
      <c r="B63" s="1074" t="s">
        <v>0</v>
      </c>
      <c r="C63" s="1074" t="s">
        <v>604</v>
      </c>
      <c r="D63" s="1428">
        <f t="shared" ref="D63:I63" si="3">SUM(D56:D62)</f>
        <v>1036115</v>
      </c>
      <c r="E63" s="1428">
        <f t="shared" si="3"/>
        <v>132151.79999999999</v>
      </c>
      <c r="F63" s="1428">
        <f t="shared" si="3"/>
        <v>452499.93999999994</v>
      </c>
      <c r="G63" s="1428">
        <f t="shared" si="3"/>
        <v>3948676.92</v>
      </c>
      <c r="H63" s="1428">
        <f t="shared" si="3"/>
        <v>3383162.52</v>
      </c>
      <c r="I63" s="1428">
        <f t="shared" si="3"/>
        <v>464550</v>
      </c>
      <c r="J63" s="1426" t="s">
        <v>566</v>
      </c>
      <c r="K63" s="1428">
        <f>SUM(K56:K62)</f>
        <v>279574.37</v>
      </c>
      <c r="L63" s="1428">
        <f>SUM(L56:L62)</f>
        <v>14138</v>
      </c>
      <c r="M63" s="1443">
        <f>SUM(M56:M62)</f>
        <v>9710868.5500000007</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22236</v>
      </c>
      <c r="E68" s="1427">
        <v>5886.8</v>
      </c>
      <c r="F68" s="1427">
        <v>0</v>
      </c>
      <c r="G68" s="1426">
        <v>99849.23</v>
      </c>
      <c r="H68" s="1427">
        <v>100309.17</v>
      </c>
      <c r="I68" s="1427">
        <v>33976</v>
      </c>
      <c r="J68" s="1426">
        <v>0</v>
      </c>
      <c r="K68" s="1426">
        <v>0</v>
      </c>
      <c r="L68" s="1426">
        <v>0</v>
      </c>
      <c r="M68" s="1443">
        <f t="shared" ref="M68:M75" si="4">SUM(D68:L68)</f>
        <v>262257.2</v>
      </c>
      <c r="O68" s="938"/>
      <c r="P68" s="936"/>
    </row>
    <row r="69" spans="1:16" ht="15.75">
      <c r="A69" s="936"/>
      <c r="B69" s="936" t="s">
        <v>599</v>
      </c>
      <c r="C69" s="932"/>
      <c r="D69" s="1426">
        <v>0</v>
      </c>
      <c r="E69" s="1426">
        <v>0</v>
      </c>
      <c r="F69" s="1426">
        <v>0</v>
      </c>
      <c r="G69" s="1426">
        <v>9472.6</v>
      </c>
      <c r="H69" s="1426">
        <v>0</v>
      </c>
      <c r="I69" s="1426">
        <v>18026</v>
      </c>
      <c r="J69" s="1426">
        <v>0</v>
      </c>
      <c r="K69" s="1426">
        <v>0</v>
      </c>
      <c r="L69" s="1426">
        <v>308</v>
      </c>
      <c r="M69" s="1443">
        <f t="shared" si="4"/>
        <v>27806.6</v>
      </c>
      <c r="O69" s="938"/>
      <c r="P69" s="936"/>
    </row>
    <row r="70" spans="1:16" ht="15.75">
      <c r="A70" s="936"/>
      <c r="B70" s="936" t="s">
        <v>607</v>
      </c>
      <c r="C70" s="932"/>
      <c r="D70" s="1426">
        <v>0</v>
      </c>
      <c r="E70" s="1427">
        <v>35535.01</v>
      </c>
      <c r="F70" s="1426">
        <v>34168.28</v>
      </c>
      <c r="G70" s="1426">
        <v>869268.15</v>
      </c>
      <c r="H70" s="1426">
        <v>1905391.22</v>
      </c>
      <c r="I70" s="1426">
        <v>122864</v>
      </c>
      <c r="J70" s="1426">
        <v>0</v>
      </c>
      <c r="K70" s="1426">
        <v>106361.8</v>
      </c>
      <c r="L70" s="1426">
        <v>0</v>
      </c>
      <c r="M70" s="1443">
        <f t="shared" si="4"/>
        <v>3073588.46</v>
      </c>
      <c r="O70" s="938"/>
      <c r="P70" s="936"/>
    </row>
    <row r="71" spans="1:16" ht="15.75">
      <c r="A71" s="936"/>
      <c r="B71" s="936" t="s">
        <v>600</v>
      </c>
      <c r="C71" s="932"/>
      <c r="D71" s="1426">
        <v>1201</v>
      </c>
      <c r="E71" s="1427">
        <v>0</v>
      </c>
      <c r="F71" s="1427">
        <v>8413.09</v>
      </c>
      <c r="G71" s="1426">
        <v>683474.84</v>
      </c>
      <c r="H71" s="1427">
        <v>451976.99</v>
      </c>
      <c r="I71" s="1426">
        <v>148249</v>
      </c>
      <c r="J71" s="1426">
        <v>0</v>
      </c>
      <c r="K71" s="1426">
        <v>0</v>
      </c>
      <c r="L71" s="1427">
        <v>4982</v>
      </c>
      <c r="M71" s="1443">
        <f t="shared" si="4"/>
        <v>1298296.92</v>
      </c>
      <c r="O71" s="938"/>
      <c r="P71" s="936"/>
    </row>
    <row r="72" spans="1:16" ht="15.75">
      <c r="A72" s="936"/>
      <c r="B72" s="936" t="s">
        <v>608</v>
      </c>
      <c r="C72" s="932"/>
      <c r="D72" s="1426">
        <v>1743</v>
      </c>
      <c r="E72" s="1426">
        <v>0</v>
      </c>
      <c r="F72" s="1426">
        <v>0</v>
      </c>
      <c r="G72" s="1426">
        <v>45597.13</v>
      </c>
      <c r="H72" s="1426">
        <v>22381.53</v>
      </c>
      <c r="I72" s="1426">
        <v>8704</v>
      </c>
      <c r="J72" s="1426">
        <v>0</v>
      </c>
      <c r="K72" s="1426">
        <v>0</v>
      </c>
      <c r="L72" s="1426">
        <v>0</v>
      </c>
      <c r="M72" s="1443">
        <f t="shared" si="4"/>
        <v>78425.66</v>
      </c>
      <c r="O72" s="938"/>
      <c r="P72" s="936"/>
    </row>
    <row r="73" spans="1:16" ht="15.75">
      <c r="A73" s="936"/>
      <c r="B73" s="936" t="s">
        <v>609</v>
      </c>
      <c r="C73" s="932"/>
      <c r="D73" s="1426">
        <v>13592</v>
      </c>
      <c r="E73" s="1426">
        <v>0</v>
      </c>
      <c r="F73" s="1426">
        <v>6094.6</v>
      </c>
      <c r="G73" s="1426">
        <v>317938.38</v>
      </c>
      <c r="H73" s="1426">
        <v>168892.13</v>
      </c>
      <c r="I73" s="1426">
        <v>169566</v>
      </c>
      <c r="J73" s="1426">
        <v>0</v>
      </c>
      <c r="K73" s="1426">
        <v>0</v>
      </c>
      <c r="L73" s="1426">
        <v>0</v>
      </c>
      <c r="M73" s="1443">
        <f t="shared" si="4"/>
        <v>676083.11</v>
      </c>
      <c r="O73" s="938"/>
      <c r="P73" s="936"/>
    </row>
    <row r="74" spans="1:16" ht="15.75">
      <c r="A74" s="936"/>
      <c r="B74" s="936" t="s">
        <v>601</v>
      </c>
      <c r="C74" s="932"/>
      <c r="D74" s="1426">
        <v>0</v>
      </c>
      <c r="E74" s="1426">
        <v>0</v>
      </c>
      <c r="F74" s="1426">
        <v>0</v>
      </c>
      <c r="G74" s="1426">
        <v>200750.56</v>
      </c>
      <c r="H74" s="1426">
        <v>261595.69</v>
      </c>
      <c r="I74" s="1426">
        <v>319</v>
      </c>
      <c r="J74" s="1426">
        <v>0</v>
      </c>
      <c r="K74" s="1426">
        <v>65010.1</v>
      </c>
      <c r="L74" s="1426">
        <v>0</v>
      </c>
      <c r="M74" s="1443">
        <f t="shared" si="4"/>
        <v>527675.35</v>
      </c>
      <c r="O74" s="938"/>
      <c r="P74" s="936"/>
    </row>
    <row r="75" spans="1:16" ht="16.5" thickBot="1">
      <c r="A75" s="936"/>
      <c r="B75" s="929" t="s">
        <v>603</v>
      </c>
      <c r="C75" s="946"/>
      <c r="D75" s="1424">
        <v>62812</v>
      </c>
      <c r="E75" s="1433">
        <v>358819.93</v>
      </c>
      <c r="F75" s="1433">
        <v>64293.7</v>
      </c>
      <c r="G75" s="1424">
        <v>1101298.71</v>
      </c>
      <c r="H75" s="1433">
        <v>773428.82</v>
      </c>
      <c r="I75" s="1424">
        <v>104862</v>
      </c>
      <c r="J75" s="1424">
        <v>0</v>
      </c>
      <c r="K75" s="1424">
        <v>180620.08</v>
      </c>
      <c r="L75" s="1433">
        <v>2234</v>
      </c>
      <c r="M75" s="1447">
        <f t="shared" si="4"/>
        <v>2648369.2399999998</v>
      </c>
      <c r="O75" s="938"/>
      <c r="P75" s="936"/>
    </row>
    <row r="76" spans="1:16" ht="15.75">
      <c r="A76" s="936"/>
      <c r="C76" s="1074" t="s">
        <v>604</v>
      </c>
      <c r="D76" s="1428">
        <f t="shared" ref="D76:I76" si="5">SUM(D68:D75)</f>
        <v>101584</v>
      </c>
      <c r="E76" s="1428">
        <f t="shared" si="5"/>
        <v>400241.74</v>
      </c>
      <c r="F76" s="1428">
        <f t="shared" si="5"/>
        <v>112969.66999999998</v>
      </c>
      <c r="G76" s="1428">
        <f t="shared" si="5"/>
        <v>3327649.5999999996</v>
      </c>
      <c r="H76" s="1428">
        <f t="shared" si="5"/>
        <v>3683975.5499999993</v>
      </c>
      <c r="I76" s="1428">
        <f t="shared" si="5"/>
        <v>606566</v>
      </c>
      <c r="J76" s="1426" t="s">
        <v>566</v>
      </c>
      <c r="K76" s="1428">
        <f>SUM(K68:K75)</f>
        <v>351991.98</v>
      </c>
      <c r="L76" s="1428">
        <f>SUM(L68:L75)</f>
        <v>7524</v>
      </c>
      <c r="M76" s="1443">
        <f>SUM(M68:M75)</f>
        <v>8592502.5399999991</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44.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D22" sqref="D22"/>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942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918">
        <v>0</v>
      </c>
      <c r="F22" s="918">
        <v>0</v>
      </c>
      <c r="G22" s="917">
        <v>8.3107145645281387E-5</v>
      </c>
      <c r="H22" s="917">
        <v>4.1823924943348361E-3</v>
      </c>
      <c r="I22" s="918">
        <v>0</v>
      </c>
      <c r="J22" s="918">
        <v>0</v>
      </c>
      <c r="K22" s="918">
        <v>0</v>
      </c>
      <c r="L22" s="918">
        <v>0</v>
      </c>
      <c r="M22" s="1482">
        <v>1.3436947724269218E-3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v>2.9037951365955959E-2</v>
      </c>
      <c r="E23" s="917">
        <v>1.5421070256485307E-2</v>
      </c>
      <c r="F23" s="917">
        <v>1.5765417506368659E-3</v>
      </c>
      <c r="G23" s="917">
        <v>1.6007584349842584E-2</v>
      </c>
      <c r="H23" s="917">
        <v>5.0340150830761203E-2</v>
      </c>
      <c r="I23" s="917">
        <v>4.2064329526349566E-2</v>
      </c>
      <c r="J23" s="917">
        <v>6.5158533128059576E-3</v>
      </c>
      <c r="K23" s="917">
        <v>0.24511951114966657</v>
      </c>
      <c r="L23" s="917">
        <v>4.0343675271807135E-2</v>
      </c>
      <c r="M23" s="1482">
        <v>3.5553368010037445E-2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v>3.3904445883218193E-4</v>
      </c>
      <c r="E24" s="918">
        <v>0</v>
      </c>
      <c r="F24" s="917">
        <v>3.90472009436045E-3</v>
      </c>
      <c r="G24" s="917">
        <v>2.7385110865456388E-2</v>
      </c>
      <c r="H24" s="917">
        <v>9.0465672913614723E-2</v>
      </c>
      <c r="I24" s="917">
        <v>2.020990549229627E-2</v>
      </c>
      <c r="J24" s="917" t="s">
        <v>566</v>
      </c>
      <c r="K24" s="917">
        <v>8.34225382201048E-2</v>
      </c>
      <c r="L24" s="917">
        <v>1.8450273927641377E-2</v>
      </c>
      <c r="M24" s="1482">
        <v>4.0783793005862559E-2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v>8.1245676770845445E-4</v>
      </c>
      <c r="E25" s="917">
        <v>3.7261914698315853E-4</v>
      </c>
      <c r="F25" s="918">
        <v>0</v>
      </c>
      <c r="G25" s="917">
        <v>9.8681653138603625E-5</v>
      </c>
      <c r="H25" s="918">
        <v>0</v>
      </c>
      <c r="I25" s="918">
        <v>0</v>
      </c>
      <c r="J25" s="917" t="s">
        <v>566</v>
      </c>
      <c r="K25" s="918">
        <v>0</v>
      </c>
      <c r="L25" s="918">
        <v>0</v>
      </c>
      <c r="M25" s="1482">
        <v>1.6144881613408793E-4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8">
        <v>0</v>
      </c>
      <c r="E26" s="917">
        <v>3.5185888762128971E-4</v>
      </c>
      <c r="F26" s="918">
        <v>0</v>
      </c>
      <c r="G26" s="917">
        <v>2.1554126181194559E-2</v>
      </c>
      <c r="H26" s="917">
        <v>4.1054924202567388E-3</v>
      </c>
      <c r="I26" s="917">
        <v>1.3604444635611593E-2</v>
      </c>
      <c r="J26" s="917" t="s">
        <v>566</v>
      </c>
      <c r="K26" s="918">
        <v>0</v>
      </c>
      <c r="L26" s="918">
        <v>0</v>
      </c>
      <c r="M26" s="1482">
        <v>8.6287567063557478E-3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2.544543419694768E-2</v>
      </c>
      <c r="E27" s="918">
        <v>0</v>
      </c>
      <c r="F27" s="918">
        <v>0</v>
      </c>
      <c r="G27" s="917">
        <v>2.7310346035089583E-2</v>
      </c>
      <c r="H27" s="917">
        <v>1.0728679916552245E-2</v>
      </c>
      <c r="I27" s="917">
        <v>1.6579903387739025E-2</v>
      </c>
      <c r="J27" s="917" t="s">
        <v>566</v>
      </c>
      <c r="K27" s="918">
        <v>0</v>
      </c>
      <c r="L27" s="917">
        <v>2.0588695499620942E-3</v>
      </c>
      <c r="M27" s="1482">
        <v>1.6648262217705365E-2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8">
        <v>0</v>
      </c>
      <c r="E28" s="918">
        <v>0</v>
      </c>
      <c r="F28" s="917">
        <v>5.9960748540733326E-3</v>
      </c>
      <c r="G28" s="917">
        <v>3.2266013709947885E-4</v>
      </c>
      <c r="H28" s="917">
        <v>7.6957697472034774E-4</v>
      </c>
      <c r="I28" s="918">
        <v>0</v>
      </c>
      <c r="J28" s="917" t="s">
        <v>566</v>
      </c>
      <c r="K28" s="918">
        <v>0</v>
      </c>
      <c r="L28" s="918">
        <v>0</v>
      </c>
      <c r="M28" s="1482">
        <v>5.2151665116788814E-4</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1.479808409500432E-2</v>
      </c>
      <c r="E29" s="918">
        <v>0</v>
      </c>
      <c r="F29" s="917">
        <v>1.8064883614122415E-3</v>
      </c>
      <c r="G29" s="917">
        <v>1.1026334667617018E-2</v>
      </c>
      <c r="H29" s="917">
        <v>3.6762231706268141E-3</v>
      </c>
      <c r="I29" s="917">
        <v>1.041274713653771E-2</v>
      </c>
      <c r="J29" s="917" t="s">
        <v>566</v>
      </c>
      <c r="K29" s="918">
        <v>0</v>
      </c>
      <c r="L29" s="917">
        <v>1.1940705821364092E-3</v>
      </c>
      <c r="M29" s="1482">
        <v>7.5573664481586684E-3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3.7424050265380843E-2</v>
      </c>
      <c r="E30" s="918">
        <v>0</v>
      </c>
      <c r="F30" s="917">
        <v>9.8854657561903182E-3</v>
      </c>
      <c r="G30" s="917">
        <v>2.4873463808756196E-2</v>
      </c>
      <c r="H30" s="917">
        <v>1.6741765938963329E-2</v>
      </c>
      <c r="I30" s="917">
        <v>1.1936209823163221E-2</v>
      </c>
      <c r="J30" s="917" t="s">
        <v>566</v>
      </c>
      <c r="K30" s="917">
        <v>0.12718338022727416</v>
      </c>
      <c r="L30" s="917">
        <v>1.2101390369147725E-2</v>
      </c>
      <c r="M30" s="1482">
        <v>2.2614808822668295E-2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6.1233720809821491E-3</v>
      </c>
      <c r="E31" s="918">
        <v>0</v>
      </c>
      <c r="F31" s="917">
        <v>7.7551291180524423E-2</v>
      </c>
      <c r="G31" s="917">
        <v>3.8679463300195067E-2</v>
      </c>
      <c r="H31" s="917">
        <v>2.3841557884353021E-2</v>
      </c>
      <c r="I31" s="917">
        <v>1.3807524618269723E-2</v>
      </c>
      <c r="J31" s="917" t="s">
        <v>566</v>
      </c>
      <c r="K31" s="918">
        <v>0</v>
      </c>
      <c r="L31" s="917">
        <v>2.3317698639028221E-3</v>
      </c>
      <c r="M31" s="1482">
        <v>2.3337625167476957E-2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8">
        <v>0</v>
      </c>
      <c r="E32" s="918">
        <v>0</v>
      </c>
      <c r="F32" s="917">
        <v>3.6274746565645673E-2</v>
      </c>
      <c r="G32" s="917">
        <v>7.0076545712734707E-3</v>
      </c>
      <c r="H32" s="917">
        <v>4.6235347939334714E-3</v>
      </c>
      <c r="I32" s="917">
        <v>8.2866156173725738E-3</v>
      </c>
      <c r="J32" s="917" t="s">
        <v>566</v>
      </c>
      <c r="K32" s="917">
        <v>9.5493262444765695E-3</v>
      </c>
      <c r="L32" s="917">
        <v>3.5693042991282467E-4</v>
      </c>
      <c r="M32" s="1482">
        <v>5.4378656939493304E-3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0.14119396250876581</v>
      </c>
      <c r="E33" s="918">
        <v>0</v>
      </c>
      <c r="F33" s="917">
        <v>0.15561345071035029</v>
      </c>
      <c r="G33" s="917">
        <v>4.2416940755163161E-2</v>
      </c>
      <c r="H33" s="917">
        <v>3.9768823514898591E-3</v>
      </c>
      <c r="I33" s="917">
        <v>3.054732820999917E-4</v>
      </c>
      <c r="J33" s="917" t="s">
        <v>566</v>
      </c>
      <c r="K33" s="917">
        <v>4.7530551073125524E-2</v>
      </c>
      <c r="L33" s="918">
        <v>0</v>
      </c>
      <c r="M33" s="1482">
        <v>4.1211053583529569E-2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8">
        <v>0</v>
      </c>
      <c r="E34" s="917">
        <v>2.3686543622608151E-3</v>
      </c>
      <c r="F34" s="917">
        <v>2.0339651962668088E-3</v>
      </c>
      <c r="G34" s="917">
        <v>7.3706616256916349E-5</v>
      </c>
      <c r="H34" s="917">
        <v>6.1146255287627967E-2</v>
      </c>
      <c r="I34" s="917">
        <v>1.6553898157072353E-2</v>
      </c>
      <c r="J34" s="917" t="s">
        <v>566</v>
      </c>
      <c r="K34" s="918">
        <v>0</v>
      </c>
      <c r="L34" s="918">
        <v>0</v>
      </c>
      <c r="M34" s="1482">
        <v>2.0623886629736906E-2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8">
        <v>0</v>
      </c>
      <c r="E35" s="917">
        <v>1.0895096933035558E-2</v>
      </c>
      <c r="F35" s="917">
        <v>3.3205002729233294E-3</v>
      </c>
      <c r="G35" s="917">
        <v>1.2852101888225848E-2</v>
      </c>
      <c r="H35" s="917">
        <v>2.2434760372935974E-3</v>
      </c>
      <c r="I35" s="918">
        <v>0</v>
      </c>
      <c r="J35" s="917" t="s">
        <v>566</v>
      </c>
      <c r="K35" s="918">
        <v>0</v>
      </c>
      <c r="L35" s="918">
        <v>0</v>
      </c>
      <c r="M35" s="1482">
        <v>4.7967518394261242E-3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v>2.4938777129307269E-3</v>
      </c>
      <c r="E36" s="917">
        <v>0.10490500301009831</v>
      </c>
      <c r="F36" s="918">
        <v>0</v>
      </c>
      <c r="G36" s="917">
        <v>0.11215744748098055</v>
      </c>
      <c r="H36" s="917">
        <v>3.4202681593745198E-2</v>
      </c>
      <c r="I36" s="917">
        <v>3.6390734403181968E-2</v>
      </c>
      <c r="J36" s="917" t="s">
        <v>566</v>
      </c>
      <c r="K36" s="917">
        <v>3.8425994120685407E-3</v>
      </c>
      <c r="L36" s="917">
        <v>0.11727548549123901</v>
      </c>
      <c r="M36" s="1482">
        <v>5.4842560766837488E-2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8.9935752550667228E-2</v>
      </c>
      <c r="E37" s="917">
        <v>9.2033064177719781E-2</v>
      </c>
      <c r="F37" s="917">
        <v>0.19745114499597127</v>
      </c>
      <c r="G37" s="917">
        <v>0.17979972553942103</v>
      </c>
      <c r="H37" s="917">
        <v>0.14355619088294075</v>
      </c>
      <c r="I37" s="917">
        <v>8.5339970793091177E-2</v>
      </c>
      <c r="J37" s="917">
        <v>2.0664688596785143E-3</v>
      </c>
      <c r="K37" s="917">
        <v>0.19315898883748256</v>
      </c>
      <c r="L37" s="917">
        <v>3.7241936665000112E-3</v>
      </c>
      <c r="M37" s="1482">
        <v>0.13006628971609521</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8.8174995549281966E-3</v>
      </c>
      <c r="E38" s="917">
        <v>0.27873607278918816</v>
      </c>
      <c r="F38" s="917">
        <v>4.9295012499597016E-2</v>
      </c>
      <c r="G38" s="917">
        <v>0.15152176200036757</v>
      </c>
      <c r="H38" s="917">
        <v>0.15632045240932799</v>
      </c>
      <c r="I38" s="917">
        <v>0.11142911039702828</v>
      </c>
      <c r="J38" s="917">
        <v>2.0976404343076055E-3</v>
      </c>
      <c r="K38" s="917">
        <v>0.24319258057803217</v>
      </c>
      <c r="L38" s="917">
        <v>1.9819517008591091E-3</v>
      </c>
      <c r="M38" s="1482">
        <v>0.11509872048243865</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5.3357403811758975E-3</v>
      </c>
      <c r="E39" s="917">
        <v>1.6723534525735497E-3</v>
      </c>
      <c r="F39" s="917">
        <v>2.4252501372471059E-3</v>
      </c>
      <c r="G39" s="917">
        <v>4.3058522674008351E-4</v>
      </c>
      <c r="H39" s="917">
        <v>7.8197618822721515E-4</v>
      </c>
      <c r="I39" s="917">
        <v>3.0600510707018119E-3</v>
      </c>
      <c r="J39" s="917" t="s">
        <v>566</v>
      </c>
      <c r="K39" s="918">
        <v>0</v>
      </c>
      <c r="L39" s="917">
        <v>1.4659172269113428E-3</v>
      </c>
      <c r="M39" s="1482">
        <v>1.5999694459830373E-3</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1.3516989069939247E-2</v>
      </c>
      <c r="E40" s="918">
        <v>0</v>
      </c>
      <c r="F40" s="917">
        <v>7.0526415021459898E-3</v>
      </c>
      <c r="G40" s="917">
        <v>4.5682746135810616E-2</v>
      </c>
      <c r="H40" s="917">
        <v>1.1892194683640641E-2</v>
      </c>
      <c r="I40" s="917">
        <v>0.10283489419767496</v>
      </c>
      <c r="J40" s="917">
        <v>6.8801301145295117E-3</v>
      </c>
      <c r="K40" s="918">
        <v>0</v>
      </c>
      <c r="L40" s="918">
        <v>0</v>
      </c>
      <c r="M40" s="1482">
        <v>2.7271818913507273E-2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5.7832860109093154E-3</v>
      </c>
      <c r="E41" s="917">
        <v>4.0229085736214962E-2</v>
      </c>
      <c r="F41" s="917">
        <v>2.1408166042668614E-2</v>
      </c>
      <c r="G41" s="917">
        <v>1.0995136931068513E-2</v>
      </c>
      <c r="H41" s="917">
        <v>1.9427788793042099E-2</v>
      </c>
      <c r="I41" s="917">
        <v>4.6094161133883619E-3</v>
      </c>
      <c r="J41" s="917" t="s">
        <v>566</v>
      </c>
      <c r="K41" s="918">
        <v>0</v>
      </c>
      <c r="L41" s="918">
        <v>0</v>
      </c>
      <c r="M41" s="1482">
        <v>1.2017614905926857E-2</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8.8912629909536925E-2</v>
      </c>
      <c r="E42" s="917">
        <v>0.136946683983829</v>
      </c>
      <c r="F42" s="917">
        <v>4.8177163991044075E-2</v>
      </c>
      <c r="G42" s="917">
        <v>7.9816719028252825E-3</v>
      </c>
      <c r="H42" s="917">
        <v>4.190271963048927E-2</v>
      </c>
      <c r="I42" s="917">
        <v>0.1143558745568075</v>
      </c>
      <c r="J42" s="917">
        <v>0.55180740481786461</v>
      </c>
      <c r="K42" s="918">
        <v>0</v>
      </c>
      <c r="L42" s="917">
        <v>0.21359322785753759</v>
      </c>
      <c r="M42" s="1482">
        <v>7.656339307263571E-2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4.5357916284489375E-2</v>
      </c>
      <c r="E43" s="917">
        <v>7.764961689451938E-2</v>
      </c>
      <c r="F43" s="917">
        <v>4.1542132797599662E-2</v>
      </c>
      <c r="G43" s="917">
        <v>2.994334484212666E-2</v>
      </c>
      <c r="H43" s="917">
        <v>0.17128549859109424</v>
      </c>
      <c r="I43" s="917">
        <v>5.4619802223350238E-4</v>
      </c>
      <c r="J43" s="917">
        <v>0.34975434770746766</v>
      </c>
      <c r="K43" s="918">
        <v>0</v>
      </c>
      <c r="L43" s="917">
        <v>7.7233949852723392E-3</v>
      </c>
      <c r="M43" s="1482">
        <v>8.8232588925403602E-2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4.7747372470544752E-2</v>
      </c>
      <c r="E44" s="918">
        <v>0</v>
      </c>
      <c r="F44" s="917">
        <v>4.1011458241753083E-3</v>
      </c>
      <c r="G44" s="917">
        <v>5.5347115986545143E-3</v>
      </c>
      <c r="H44" s="917">
        <v>2.8842215302356051E-2</v>
      </c>
      <c r="I44" s="917">
        <v>8.039962728089489E-4</v>
      </c>
      <c r="J44" s="917" t="s">
        <v>566</v>
      </c>
      <c r="K44" s="917">
        <v>1.3958328554582362E-3</v>
      </c>
      <c r="L44" s="917">
        <v>0.11680791979891778</v>
      </c>
      <c r="M44" s="1482">
        <v>2.4233918564702903E-2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5.3417296458096455E-4</v>
      </c>
      <c r="E45" s="918">
        <v>0</v>
      </c>
      <c r="F45" s="917">
        <v>1.2077518429197378E-2</v>
      </c>
      <c r="G45" s="917">
        <v>6.6311988176207648E-2</v>
      </c>
      <c r="H45" s="917">
        <v>3.9258421969311869E-2</v>
      </c>
      <c r="I45" s="917">
        <v>0.15597472029983778</v>
      </c>
      <c r="J45" s="917" t="s">
        <v>566</v>
      </c>
      <c r="K45" s="917">
        <v>1.4903553981277613E-3</v>
      </c>
      <c r="L45" s="917">
        <v>0.28962283385375809</v>
      </c>
      <c r="M45" s="1482">
        <v>5.8437752353661394E-2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9.3097216267919072E-2</v>
      </c>
      <c r="E46" s="917">
        <v>1.5928188863064501E-2</v>
      </c>
      <c r="F46" s="917">
        <v>4.6341710307083554E-2</v>
      </c>
      <c r="G46" s="917">
        <v>4.3911664542641065E-3</v>
      </c>
      <c r="H46" s="917">
        <v>7.7129413488665251E-3</v>
      </c>
      <c r="I46" s="917">
        <v>2.3413299466621261E-2</v>
      </c>
      <c r="J46" s="917">
        <v>0</v>
      </c>
      <c r="K46" s="917">
        <v>9.256728504395114E-5</v>
      </c>
      <c r="L46" s="917">
        <v>5.9632406438129334E-3</v>
      </c>
      <c r="M46" s="1482">
        <v>2.1817478473609635E-2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1.5800114108511412E-2</v>
      </c>
      <c r="E47" s="918">
        <v>0</v>
      </c>
      <c r="F47" s="917">
        <v>6.6981544769610646E-4</v>
      </c>
      <c r="G47" s="917">
        <v>3.0222941037985905E-4</v>
      </c>
      <c r="H47" s="917">
        <v>1.7224981802644644E-3</v>
      </c>
      <c r="I47" s="917">
        <v>3.3275985272074658E-3</v>
      </c>
      <c r="J47" s="917" t="s">
        <v>566</v>
      </c>
      <c r="K47" s="918">
        <v>0</v>
      </c>
      <c r="L47" s="917">
        <v>2.9818837391979152E-4</v>
      </c>
      <c r="M47" s="1482">
        <v>3.3466820093883531E-3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3.1508740029718905E-5</v>
      </c>
      <c r="E48" s="918">
        <v>0</v>
      </c>
      <c r="F48" s="917">
        <v>4.5896291019683552E-3</v>
      </c>
      <c r="G48" s="917">
        <v>5.1130638187942964E-3</v>
      </c>
      <c r="H48" s="917">
        <v>1.1352916094968591E-3</v>
      </c>
      <c r="I48" s="917">
        <v>9.2552241185192197E-5</v>
      </c>
      <c r="J48" s="917" t="s">
        <v>566</v>
      </c>
      <c r="K48" s="917">
        <v>0</v>
      </c>
      <c r="L48" s="917">
        <v>2.6473437790582201E-4</v>
      </c>
      <c r="M48" s="1482">
        <v>2.0269129416417755E-3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v>2.1568296756431277E-3</v>
      </c>
      <c r="E49" s="918">
        <v>0</v>
      </c>
      <c r="F49" s="917">
        <v>3.2574249885853586E-3</v>
      </c>
      <c r="G49" s="917">
        <v>6.5829664748849838E-3</v>
      </c>
      <c r="H49" s="917">
        <v>3.0209934138603577E-4</v>
      </c>
      <c r="I49" s="917">
        <v>3.9800788763850407E-3</v>
      </c>
      <c r="J49" s="917" t="s">
        <v>566</v>
      </c>
      <c r="K49" s="918">
        <v>0</v>
      </c>
      <c r="L49" s="917">
        <v>1.6492556617595537E-3</v>
      </c>
      <c r="M49" s="1482">
        <v>2.8366222044262962E-3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2.8022380406320394E-2</v>
      </c>
      <c r="E50" s="917">
        <v>5.0531334846722113E-2</v>
      </c>
      <c r="F50" s="917">
        <v>3.3334731418501219E-3</v>
      </c>
      <c r="G50" s="917">
        <v>2.8405398654497056E-2</v>
      </c>
      <c r="H50" s="917">
        <v>9.8564573463713803E-3</v>
      </c>
      <c r="I50" s="917">
        <v>0.1500611095364969</v>
      </c>
      <c r="J50" s="917" t="s">
        <v>566</v>
      </c>
      <c r="K50" s="917">
        <v>3.2757356812269565E-2</v>
      </c>
      <c r="L50" s="917">
        <v>6.3789131297187912E-3</v>
      </c>
      <c r="M50" s="1482">
        <v>2.8745290439756682E-2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v>0.29728235815229626</v>
      </c>
      <c r="E51" s="1013">
        <v>0.17195929665968401</v>
      </c>
      <c r="F51" s="1013">
        <v>0.2603145260507862</v>
      </c>
      <c r="G51" s="1013">
        <v>0.11515477337802296</v>
      </c>
      <c r="H51" s="1013">
        <v>5.495891111491133E-2</v>
      </c>
      <c r="I51" s="1013">
        <v>5.001933987474496E-2</v>
      </c>
      <c r="J51" s="1013">
        <v>8.0878154753346101E-2</v>
      </c>
      <c r="K51" s="1013">
        <v>1.1231559433337321E-2</v>
      </c>
      <c r="L51" s="1013">
        <v>0.15641376323737743</v>
      </c>
      <c r="M51" s="1483">
        <v>0.12364218841934918</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1.0000000000000002</v>
      </c>
      <c r="E52" s="934">
        <f t="shared" ref="E52:M52" si="0">SUM(E22:E51)</f>
        <v>1</v>
      </c>
      <c r="F52" s="934">
        <f t="shared" si="0"/>
        <v>1</v>
      </c>
      <c r="G52" s="934">
        <f t="shared" si="0"/>
        <v>0.99999999999999978</v>
      </c>
      <c r="H52" s="934">
        <f t="shared" si="0"/>
        <v>1.0000000000000002</v>
      </c>
      <c r="I52" s="935">
        <f t="shared" si="0"/>
        <v>0.99999999632590708</v>
      </c>
      <c r="J52" s="934">
        <f t="shared" si="0"/>
        <v>1</v>
      </c>
      <c r="K52" s="935">
        <f t="shared" si="0"/>
        <v>0.99996714752646765</v>
      </c>
      <c r="L52" s="934">
        <f t="shared" si="0"/>
        <v>1</v>
      </c>
      <c r="M52" s="934">
        <f t="shared" si="0"/>
        <v>1</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18">
        <v>0</v>
      </c>
      <c r="E56" s="917">
        <v>2.47712306122525E-2</v>
      </c>
      <c r="F56" s="917">
        <v>1.6181334753131583E-2</v>
      </c>
      <c r="G56" s="917">
        <v>3.7379835672672029E-2</v>
      </c>
      <c r="H56" s="917">
        <v>5.7617817876455861E-2</v>
      </c>
      <c r="I56" s="917">
        <v>3.1525004372813713E-2</v>
      </c>
      <c r="J56" s="944" t="s">
        <v>566</v>
      </c>
      <c r="K56" s="918">
        <v>0</v>
      </c>
      <c r="L56" s="918">
        <v>0</v>
      </c>
      <c r="M56" s="1482">
        <v>3.2431589766185973E-2</v>
      </c>
      <c r="O56" s="938"/>
      <c r="P56" s="936"/>
    </row>
    <row r="57" spans="1:55" ht="15.75">
      <c r="A57" s="936"/>
      <c r="B57" s="936" t="s">
        <v>598</v>
      </c>
      <c r="C57" s="932"/>
      <c r="D57" s="917">
        <v>2.0192067904720001E-2</v>
      </c>
      <c r="E57" s="918">
        <v>0</v>
      </c>
      <c r="F57" s="917">
        <v>3.2783002677463994E-4</v>
      </c>
      <c r="G57" s="917">
        <v>2.0413833542564435E-4</v>
      </c>
      <c r="H57" s="917">
        <v>2.1614802390786132E-3</v>
      </c>
      <c r="I57" s="917">
        <v>2.3348861385518206E-3</v>
      </c>
      <c r="J57" s="944" t="s">
        <v>566</v>
      </c>
      <c r="K57" s="918">
        <v>0</v>
      </c>
      <c r="L57" s="918">
        <v>0</v>
      </c>
      <c r="M57" s="1482">
        <v>4.0355838301013251E-3</v>
      </c>
      <c r="O57" s="938"/>
      <c r="P57" s="936"/>
    </row>
    <row r="58" spans="1:55" ht="15.75">
      <c r="A58" s="936"/>
      <c r="B58" s="936" t="s">
        <v>599</v>
      </c>
      <c r="C58" s="932"/>
      <c r="D58" s="918">
        <v>0</v>
      </c>
      <c r="E58" s="917">
        <v>1.5254577294202785E-3</v>
      </c>
      <c r="F58" s="918">
        <v>0</v>
      </c>
      <c r="G58" s="917">
        <v>5.329936695532821E-3</v>
      </c>
      <c r="H58" s="917">
        <v>3.6543954459765018E-3</v>
      </c>
      <c r="I58" s="917">
        <v>5.6856590077245354E-3</v>
      </c>
      <c r="J58" s="944" t="s">
        <v>566</v>
      </c>
      <c r="K58" s="918">
        <v>0</v>
      </c>
      <c r="L58" s="918">
        <v>0</v>
      </c>
      <c r="M58" s="1482">
        <v>3.1630096126343378E-3</v>
      </c>
      <c r="O58" s="938"/>
      <c r="P58" s="936"/>
    </row>
    <row r="59" spans="1:55" ht="15.75">
      <c r="A59" s="936"/>
      <c r="B59" s="936" t="s">
        <v>600</v>
      </c>
      <c r="C59" s="932"/>
      <c r="D59" s="917">
        <v>4.3050400182698609E-2</v>
      </c>
      <c r="E59" s="917">
        <v>1.1507040572796518E-2</v>
      </c>
      <c r="F59" s="917">
        <v>8.8352943441415768E-2</v>
      </c>
      <c r="G59" s="917">
        <v>8.2569295574365126E-2</v>
      </c>
      <c r="H59" s="917">
        <v>3.8162318510946501E-2</v>
      </c>
      <c r="I59" s="917">
        <v>3.3730929845019082E-2</v>
      </c>
      <c r="J59" s="944" t="s">
        <v>566</v>
      </c>
      <c r="K59" s="917">
        <v>4.4150484088624709E-2</v>
      </c>
      <c r="L59" s="917">
        <v>1.0360202072672616E-3</v>
      </c>
      <c r="M59" s="1482">
        <v>4.9243839731479541E-2</v>
      </c>
      <c r="O59" s="938"/>
      <c r="P59" s="936"/>
    </row>
    <row r="60" spans="1:55" ht="15.75">
      <c r="A60" s="936"/>
      <c r="B60" s="936" t="s">
        <v>601</v>
      </c>
      <c r="C60" s="932"/>
      <c r="D60" s="918">
        <v>0</v>
      </c>
      <c r="E60" s="918">
        <v>0</v>
      </c>
      <c r="F60" s="917">
        <v>2.3180845528048298E-2</v>
      </c>
      <c r="G60" s="917">
        <v>1.9067989187873093E-2</v>
      </c>
      <c r="H60" s="917">
        <v>2.5895200906286144E-2</v>
      </c>
      <c r="I60" s="917">
        <v>1.0442874699615799E-2</v>
      </c>
      <c r="J60" s="944" t="s">
        <v>566</v>
      </c>
      <c r="K60" s="918">
        <v>0</v>
      </c>
      <c r="L60" s="917">
        <v>1.2227830669043042E-3</v>
      </c>
      <c r="M60" s="1482">
        <v>1.5307222287673535E-2</v>
      </c>
      <c r="O60" s="938"/>
      <c r="P60" s="936"/>
    </row>
    <row r="61" spans="1:55" ht="15.75">
      <c r="A61" s="936"/>
      <c r="B61" s="936" t="s">
        <v>602</v>
      </c>
      <c r="C61" s="932"/>
      <c r="D61" s="918">
        <v>0</v>
      </c>
      <c r="E61" s="918">
        <v>0</v>
      </c>
      <c r="F61" s="918">
        <v>0</v>
      </c>
      <c r="G61" s="918">
        <v>0</v>
      </c>
      <c r="H61" s="918">
        <v>0</v>
      </c>
      <c r="I61" s="918">
        <v>0</v>
      </c>
      <c r="J61" s="944" t="s">
        <v>566</v>
      </c>
      <c r="K61" s="918">
        <v>0</v>
      </c>
      <c r="L61" s="918">
        <v>0</v>
      </c>
      <c r="M61" s="1484">
        <v>0</v>
      </c>
      <c r="O61" s="938"/>
      <c r="P61" s="936"/>
    </row>
    <row r="62" spans="1:55" ht="16.5" thickBot="1">
      <c r="A62" s="936"/>
      <c r="B62" s="929" t="s">
        <v>603</v>
      </c>
      <c r="C62" s="946"/>
      <c r="D62" s="1416">
        <v>2.6693284463248614E-2</v>
      </c>
      <c r="E62" s="1013">
        <v>5.4229335263250501E-2</v>
      </c>
      <c r="F62" s="1013">
        <v>6.9408186883039277E-2</v>
      </c>
      <c r="G62" s="1013">
        <v>3.5248530528893998E-2</v>
      </c>
      <c r="H62" s="1013">
        <v>1.6064977479871716E-2</v>
      </c>
      <c r="I62" s="1013">
        <v>1.6206424480176367E-3</v>
      </c>
      <c r="J62" s="931" t="s">
        <v>566</v>
      </c>
      <c r="K62" s="1416">
        <v>0.14900849783982031</v>
      </c>
      <c r="L62" s="1013">
        <v>1.4653903923284456E-3</v>
      </c>
      <c r="M62" s="1483">
        <v>2.579518794411513E-2</v>
      </c>
      <c r="O62" s="938"/>
      <c r="P62" s="936"/>
    </row>
    <row r="63" spans="1:55" ht="15.75">
      <c r="A63" s="936"/>
      <c r="B63" s="1074" t="s">
        <v>0</v>
      </c>
      <c r="C63" s="1074" t="s">
        <v>604</v>
      </c>
      <c r="D63" s="934">
        <f t="shared" ref="D63:I63" si="1">SUM(D56:D62)</f>
        <v>8.9935752550667228E-2</v>
      </c>
      <c r="E63" s="934">
        <f t="shared" si="1"/>
        <v>9.2033064177719809E-2</v>
      </c>
      <c r="F63" s="934">
        <f t="shared" si="1"/>
        <v>0.19745114063240959</v>
      </c>
      <c r="G63" s="934">
        <f t="shared" si="1"/>
        <v>0.17979972599476268</v>
      </c>
      <c r="H63" s="934">
        <f t="shared" si="1"/>
        <v>0.14355619045861531</v>
      </c>
      <c r="I63" s="935">
        <f t="shared" si="1"/>
        <v>8.5339996511742608E-2</v>
      </c>
      <c r="J63" s="944" t="s">
        <v>566</v>
      </c>
      <c r="K63" s="935">
        <f>SUM(K56:K62)</f>
        <v>0.19315898192844502</v>
      </c>
      <c r="L63" s="934">
        <f>SUM(L56:L62)</f>
        <v>3.7241936665000112E-3</v>
      </c>
      <c r="M63" s="1079">
        <f>SUM(M56:M62)</f>
        <v>0.12997643317218982</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17">
        <v>1.9301056289279051E-3</v>
      </c>
      <c r="E68" s="917">
        <v>4.0996811409409551E-3</v>
      </c>
      <c r="F68" s="918">
        <v>0</v>
      </c>
      <c r="G68" s="917">
        <v>4.5465518092546401E-3</v>
      </c>
      <c r="H68" s="917">
        <v>4.2563732094270251E-3</v>
      </c>
      <c r="I68" s="917">
        <v>6.2415492874458422E-3</v>
      </c>
      <c r="J68" s="944" t="s">
        <v>566</v>
      </c>
      <c r="K68" s="918">
        <v>0</v>
      </c>
      <c r="L68" s="918">
        <v>0</v>
      </c>
      <c r="M68" s="1482">
        <v>3.5102169547672054E-3</v>
      </c>
      <c r="O68" s="938"/>
      <c r="P68" s="936"/>
    </row>
    <row r="69" spans="1:16" ht="15.75">
      <c r="A69" s="936"/>
      <c r="B69" s="936" t="s">
        <v>599</v>
      </c>
      <c r="C69" s="932"/>
      <c r="D69" s="918">
        <v>0</v>
      </c>
      <c r="E69" s="918">
        <v>0</v>
      </c>
      <c r="F69" s="918">
        <v>0</v>
      </c>
      <c r="G69" s="917">
        <v>4.3132697836874165E-4</v>
      </c>
      <c r="H69" s="918">
        <v>0</v>
      </c>
      <c r="I69" s="917">
        <v>3.3114600734488685E-3</v>
      </c>
      <c r="J69" s="944" t="s">
        <v>566</v>
      </c>
      <c r="K69" s="918">
        <v>0</v>
      </c>
      <c r="L69" s="917">
        <v>8.1132525766162359E-5</v>
      </c>
      <c r="M69" s="1482">
        <v>3.721811975969764E-4</v>
      </c>
      <c r="O69" s="938"/>
      <c r="P69" s="936"/>
    </row>
    <row r="70" spans="1:16" ht="15.75">
      <c r="A70" s="936"/>
      <c r="B70" s="936" t="s">
        <v>607</v>
      </c>
      <c r="C70" s="932"/>
      <c r="D70" s="918">
        <v>0</v>
      </c>
      <c r="E70" s="917">
        <v>2.474726682410618E-2</v>
      </c>
      <c r="F70" s="917">
        <v>1.4909539787889357E-2</v>
      </c>
      <c r="G70" s="917">
        <v>3.9581403683432853E-2</v>
      </c>
      <c r="H70" s="917">
        <v>8.0850595636325934E-2</v>
      </c>
      <c r="I70" s="917">
        <v>2.2570688475769544E-2</v>
      </c>
      <c r="J70" s="944" t="s">
        <v>566</v>
      </c>
      <c r="K70" s="917">
        <v>7.3485766968112584E-2</v>
      </c>
      <c r="L70" s="918">
        <v>0</v>
      </c>
      <c r="M70" s="1482">
        <v>4.1138860341179667E-2</v>
      </c>
      <c r="O70" s="938"/>
      <c r="P70" s="936"/>
    </row>
    <row r="71" spans="1:16" ht="15.75">
      <c r="A71" s="936"/>
      <c r="B71" s="936" t="s">
        <v>600</v>
      </c>
      <c r="C71" s="932"/>
      <c r="D71" s="917">
        <v>1.0424792500190745E-4</v>
      </c>
      <c r="E71" s="918">
        <v>0</v>
      </c>
      <c r="F71" s="917">
        <v>3.6711037281974418E-3</v>
      </c>
      <c r="G71" s="917">
        <v>3.1121459528351152E-2</v>
      </c>
      <c r="H71" s="917">
        <v>1.9178533243904488E-2</v>
      </c>
      <c r="I71" s="917">
        <v>2.7234031090021153E-2</v>
      </c>
      <c r="J71" s="944" t="s">
        <v>566</v>
      </c>
      <c r="K71" s="918">
        <v>0</v>
      </c>
      <c r="L71" s="917">
        <v>1.312344945996821E-3</v>
      </c>
      <c r="M71" s="1482">
        <v>1.73772306762447E-2</v>
      </c>
      <c r="O71" s="938"/>
      <c r="P71" s="936"/>
    </row>
    <row r="72" spans="1:16" ht="15.75">
      <c r="A72" s="936"/>
      <c r="B72" s="936" t="s">
        <v>608</v>
      </c>
      <c r="C72" s="932"/>
      <c r="D72" s="917">
        <v>1.5129403270468334E-4</v>
      </c>
      <c r="E72" s="918">
        <v>0</v>
      </c>
      <c r="F72" s="918">
        <v>0</v>
      </c>
      <c r="G72" s="917">
        <v>2.0762274671353902E-3</v>
      </c>
      <c r="H72" s="917">
        <v>9.4970524307984251E-4</v>
      </c>
      <c r="I72" s="917">
        <v>1.5989652989736466E-3</v>
      </c>
      <c r="J72" s="944" t="s">
        <v>566</v>
      </c>
      <c r="K72" s="918">
        <v>0</v>
      </c>
      <c r="L72" s="918">
        <v>0</v>
      </c>
      <c r="M72" s="1482">
        <v>1.0496988506733399E-3</v>
      </c>
      <c r="O72" s="938"/>
      <c r="P72" s="936"/>
    </row>
    <row r="73" spans="1:16" ht="15.75">
      <c r="A73" s="936"/>
      <c r="B73" s="936" t="s">
        <v>609</v>
      </c>
      <c r="C73" s="932"/>
      <c r="D73" s="917">
        <v>1.1797983319116786E-3</v>
      </c>
      <c r="E73" s="918">
        <v>0</v>
      </c>
      <c r="F73" s="917">
        <v>2.6594163121840047E-3</v>
      </c>
      <c r="G73" s="917">
        <v>1.4477060231916554E-2</v>
      </c>
      <c r="H73" s="917">
        <v>7.1665226361165828E-3</v>
      </c>
      <c r="I73" s="917">
        <v>3.1150063176213848E-2</v>
      </c>
      <c r="J73" s="944" t="s">
        <v>566</v>
      </c>
      <c r="K73" s="918">
        <v>0</v>
      </c>
      <c r="L73" s="918">
        <v>0</v>
      </c>
      <c r="M73" s="1482">
        <v>9.0491258030427433E-3</v>
      </c>
      <c r="O73" s="938"/>
      <c r="P73" s="936"/>
    </row>
    <row r="74" spans="1:16" ht="15.75">
      <c r="A74" s="936"/>
      <c r="B74" s="936" t="s">
        <v>601</v>
      </c>
      <c r="C74" s="932"/>
      <c r="D74" s="918">
        <v>0</v>
      </c>
      <c r="E74" s="918">
        <v>0</v>
      </c>
      <c r="F74" s="918">
        <v>0</v>
      </c>
      <c r="G74" s="917">
        <v>9.1410101187248231E-3</v>
      </c>
      <c r="H74" s="917">
        <v>1.1100170469136344E-2</v>
      </c>
      <c r="I74" s="918">
        <v>0</v>
      </c>
      <c r="J74" s="944" t="s">
        <v>566</v>
      </c>
      <c r="K74" s="917">
        <v>4.4915722178203971E-2</v>
      </c>
      <c r="L74" s="918">
        <v>0</v>
      </c>
      <c r="M74" s="1482">
        <v>7.0627420722203967E-3</v>
      </c>
      <c r="O74" s="938"/>
      <c r="P74" s="936"/>
    </row>
    <row r="75" spans="1:16" ht="16.5" thickBot="1">
      <c r="A75" s="936"/>
      <c r="B75" s="929" t="s">
        <v>603</v>
      </c>
      <c r="C75" s="946"/>
      <c r="D75" s="1416">
        <v>5.4521404373187431E-3</v>
      </c>
      <c r="E75" s="1013">
        <v>0.24988912482414105</v>
      </c>
      <c r="F75" s="1013">
        <v>2.8054952671326211E-2</v>
      </c>
      <c r="G75" s="1013">
        <v>5.0146722638525119E-2</v>
      </c>
      <c r="H75" s="1013">
        <v>3.2818551971337782E-2</v>
      </c>
      <c r="I75" s="1013">
        <v>1.9263637313990639E-2</v>
      </c>
      <c r="J75" s="931" t="s">
        <v>566</v>
      </c>
      <c r="K75" s="1416">
        <v>0.12479109143171561</v>
      </c>
      <c r="L75" s="1013">
        <v>5.8847422909612571E-4</v>
      </c>
      <c r="M75" s="1483">
        <v>3.5447456194651422E-2</v>
      </c>
      <c r="O75" s="938"/>
      <c r="P75" s="936"/>
    </row>
    <row r="76" spans="1:16" ht="15.75">
      <c r="A76" s="936"/>
      <c r="C76" s="1074" t="s">
        <v>604</v>
      </c>
      <c r="D76" s="934">
        <f t="shared" ref="D76:I76" si="2">SUM(D68:D75)</f>
        <v>8.8175863558649179E-3</v>
      </c>
      <c r="E76" s="934">
        <f t="shared" si="2"/>
        <v>0.27873607278918816</v>
      </c>
      <c r="F76" s="934">
        <f t="shared" si="2"/>
        <v>4.9295012499597016E-2</v>
      </c>
      <c r="G76" s="934">
        <f t="shared" si="2"/>
        <v>0.15152176245570928</v>
      </c>
      <c r="H76" s="934">
        <f t="shared" si="2"/>
        <v>0.15632045240932801</v>
      </c>
      <c r="I76" s="935">
        <f t="shared" si="2"/>
        <v>0.11137039471586355</v>
      </c>
      <c r="J76" s="944" t="s">
        <v>566</v>
      </c>
      <c r="K76" s="935">
        <f>SUM(K68:K75)</f>
        <v>0.24319258057803217</v>
      </c>
      <c r="L76" s="935">
        <f>SUM(L68:L75)</f>
        <v>1.9819517008591091E-3</v>
      </c>
      <c r="M76" s="1079">
        <f>SUM(M68:M75)</f>
        <v>0.11500751209037645</v>
      </c>
      <c r="O76" s="938"/>
      <c r="P76" s="936"/>
    </row>
    <row r="77" spans="1:16" ht="15">
      <c r="A77" s="936"/>
      <c r="B77" s="936"/>
      <c r="C77" s="936"/>
      <c r="D77" s="936"/>
      <c r="E77" s="936"/>
      <c r="F77" s="938"/>
      <c r="G77" s="938"/>
      <c r="H77" s="938"/>
      <c r="I77" s="967" t="s">
        <v>0</v>
      </c>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45.xml><?xml version="1.0" encoding="utf-8"?>
<worksheet xmlns="http://schemas.openxmlformats.org/spreadsheetml/2006/main" xmlns:r="http://schemas.openxmlformats.org/officeDocument/2006/relationships">
  <sheetPr>
    <pageSetUpPr fitToPage="1"/>
  </sheetPr>
  <dimension ref="A1:BC205"/>
  <sheetViews>
    <sheetView topLeftCell="A7" workbookViewId="0">
      <pane xSplit="3" ySplit="7" topLeftCell="D14" activePane="bottomRight" state="frozen"/>
      <selection activeCell="E46" sqref="E46"/>
      <selection pane="topRight" activeCell="E46" sqref="E46"/>
      <selection pane="bottomLeft" activeCell="E46" sqref="E46"/>
      <selection pane="bottomRight" activeCell="D14" sqref="D14"/>
    </sheetView>
  </sheetViews>
  <sheetFormatPr baseColWidth="10" defaultColWidth="9" defaultRowHeight="12.75"/>
  <cols>
    <col min="1" max="1" width="5.875" style="889" customWidth="1"/>
    <col min="2" max="2" width="33.75" style="889" customWidth="1"/>
    <col min="3" max="3" width="28.25" style="889" customWidth="1"/>
    <col min="4" max="4" width="16.625" style="889" customWidth="1"/>
    <col min="5" max="5" width="17.125" style="889" customWidth="1"/>
    <col min="6" max="6" width="15.5" style="889" customWidth="1"/>
    <col min="7" max="7" width="18.5" style="889" customWidth="1"/>
    <col min="8" max="8" width="15.875" style="889" customWidth="1"/>
    <col min="9" max="9" width="16.125" style="889" customWidth="1"/>
    <col min="10" max="10" width="15.25" style="889" customWidth="1"/>
    <col min="11" max="11" width="13.875" style="889" customWidth="1"/>
    <col min="12" max="12" width="16.875" style="889" customWidth="1"/>
    <col min="13" max="13" width="14.625" style="889" customWidth="1"/>
    <col min="14" max="14" width="13.625" style="889" customWidth="1"/>
    <col min="15" max="16384" width="9" style="889"/>
  </cols>
  <sheetData>
    <row r="1" spans="1:55" ht="18">
      <c r="A1" s="888"/>
      <c r="B1" s="888"/>
      <c r="C1" s="888"/>
      <c r="D1" s="888"/>
      <c r="E1" s="888"/>
      <c r="F1" s="888"/>
    </row>
    <row r="2" spans="1:55" ht="30">
      <c r="A2" s="890" t="s">
        <v>515</v>
      </c>
      <c r="B2" s="891"/>
      <c r="C2" s="892"/>
      <c r="D2" s="892"/>
      <c r="E2" s="892"/>
      <c r="F2" s="892"/>
      <c r="G2" s="893"/>
      <c r="H2" s="893"/>
      <c r="I2" s="893"/>
      <c r="J2" s="893"/>
      <c r="K2" s="893"/>
      <c r="L2" s="893"/>
      <c r="M2" s="893"/>
      <c r="N2" s="893"/>
    </row>
    <row r="3" spans="1:55" ht="30">
      <c r="A3" s="894"/>
      <c r="B3" s="891"/>
      <c r="C3" s="892"/>
      <c r="D3" s="892"/>
      <c r="E3" s="892"/>
      <c r="F3" s="892"/>
      <c r="G3" s="893"/>
      <c r="H3" s="893"/>
      <c r="I3" s="893"/>
      <c r="J3" s="893"/>
      <c r="K3" s="893"/>
      <c r="L3" s="893"/>
      <c r="M3" s="893"/>
      <c r="N3" s="893"/>
    </row>
    <row r="4" spans="1:55" ht="30">
      <c r="A4" s="890" t="s">
        <v>560</v>
      </c>
      <c r="B4" s="891"/>
      <c r="C4" s="892"/>
      <c r="D4" s="892"/>
      <c r="E4" s="892"/>
      <c r="F4" s="892"/>
      <c r="G4" s="893"/>
      <c r="H4" s="893"/>
      <c r="I4" s="893"/>
      <c r="J4" s="893"/>
      <c r="K4" s="893"/>
      <c r="L4" s="893"/>
      <c r="M4" s="893"/>
      <c r="N4" s="893"/>
    </row>
    <row r="5" spans="1:55" ht="30">
      <c r="A5" s="890"/>
      <c r="B5" s="890" t="s">
        <v>942</v>
      </c>
      <c r="C5" s="892"/>
      <c r="D5" s="892"/>
      <c r="E5" s="892"/>
      <c r="F5" s="892"/>
      <c r="G5" s="893"/>
      <c r="H5" s="893"/>
      <c r="I5" s="893"/>
      <c r="J5" s="893"/>
      <c r="K5" s="893"/>
      <c r="L5" s="893"/>
      <c r="M5" s="893"/>
      <c r="N5" s="893"/>
    </row>
    <row r="6" spans="1:55" ht="18">
      <c r="A6" s="895"/>
      <c r="B6" s="891"/>
      <c r="C6" s="892"/>
      <c r="D6" s="892"/>
      <c r="E6" s="892"/>
      <c r="F6" s="892"/>
    </row>
    <row r="7" spans="1:55" ht="18">
      <c r="A7" s="895"/>
      <c r="B7" s="891"/>
      <c r="C7" s="892"/>
      <c r="D7" s="892"/>
      <c r="E7" s="892"/>
      <c r="F7" s="892"/>
    </row>
    <row r="8" spans="1:55" ht="18">
      <c r="A8" s="895"/>
      <c r="B8" s="891"/>
      <c r="C8" s="892"/>
      <c r="D8" s="892"/>
      <c r="E8" s="892"/>
      <c r="F8" s="892"/>
    </row>
    <row r="9" spans="1:55" ht="18">
      <c r="A9" s="895"/>
      <c r="D9" s="900"/>
      <c r="E9" s="900"/>
      <c r="F9" s="900"/>
      <c r="G9" s="900"/>
      <c r="H9" s="900"/>
      <c r="I9" s="901"/>
      <c r="J9" s="901"/>
      <c r="K9" s="901"/>
      <c r="L9" s="901"/>
      <c r="M9" s="901"/>
      <c r="N9" s="901"/>
    </row>
    <row r="10" spans="1:55" ht="18">
      <c r="A10" s="895"/>
      <c r="D10" s="900"/>
      <c r="E10" s="900"/>
      <c r="F10" s="900"/>
      <c r="G10" s="900"/>
      <c r="H10" s="900"/>
      <c r="I10" s="901"/>
      <c r="J10" s="901"/>
      <c r="K10" s="901"/>
      <c r="L10" s="901"/>
      <c r="M10" s="901"/>
      <c r="N10" s="901"/>
    </row>
    <row r="11" spans="1:55" ht="18">
      <c r="A11" s="908" t="s">
        <v>0</v>
      </c>
      <c r="B11" s="888"/>
      <c r="C11" s="909"/>
      <c r="D11" s="909"/>
      <c r="E11" s="909"/>
      <c r="F11" s="909"/>
      <c r="G11" s="901"/>
      <c r="H11" s="901" t="s">
        <v>0</v>
      </c>
      <c r="I11" s="901"/>
      <c r="J11" s="901" t="s">
        <v>0</v>
      </c>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1"/>
      <c r="AJ11" s="901"/>
      <c r="AK11" s="901"/>
      <c r="AL11" s="901"/>
      <c r="AM11" s="901"/>
      <c r="AN11" s="901"/>
      <c r="AO11" s="901"/>
      <c r="AP11" s="901"/>
      <c r="AQ11" s="901"/>
      <c r="AR11" s="901"/>
      <c r="AS11" s="901"/>
      <c r="AT11" s="901"/>
      <c r="AU11" s="901"/>
      <c r="AV11" s="901"/>
      <c r="AW11" s="901"/>
      <c r="AX11" s="901"/>
      <c r="AY11" s="901"/>
      <c r="AZ11" s="901"/>
      <c r="BA11" s="901"/>
      <c r="BB11" s="901"/>
      <c r="BC11" s="901"/>
    </row>
    <row r="12" spans="1:55" ht="18">
      <c r="A12" s="891"/>
      <c r="B12" s="888"/>
      <c r="C12" s="909"/>
      <c r="D12" s="909"/>
      <c r="E12" s="909"/>
      <c r="F12" s="909"/>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1"/>
      <c r="AJ12" s="901"/>
      <c r="AK12" s="901"/>
      <c r="AL12" s="901"/>
      <c r="AM12" s="901"/>
      <c r="AN12" s="901"/>
      <c r="AO12" s="901"/>
      <c r="AP12" s="901"/>
      <c r="AQ12" s="901"/>
      <c r="AR12" s="901"/>
      <c r="AS12" s="901"/>
      <c r="AT12" s="901"/>
      <c r="AU12" s="901"/>
      <c r="AV12" s="901"/>
      <c r="AW12" s="901"/>
      <c r="AX12" s="901"/>
      <c r="AY12" s="901"/>
      <c r="AZ12" s="901"/>
      <c r="BA12" s="901"/>
      <c r="BB12" s="901"/>
      <c r="BC12" s="901"/>
    </row>
    <row r="13" spans="1:55" ht="18.75" thickBot="1">
      <c r="A13" s="1488" t="s">
        <v>0</v>
      </c>
      <c r="B13" s="1563" t="s">
        <v>922</v>
      </c>
      <c r="C13" s="1564"/>
      <c r="D13" s="913" t="s">
        <v>59</v>
      </c>
      <c r="E13" s="913" t="s">
        <v>60</v>
      </c>
      <c r="F13" s="913" t="s">
        <v>61</v>
      </c>
      <c r="G13" s="1208" t="s">
        <v>64</v>
      </c>
      <c r="H13" s="913" t="s">
        <v>65</v>
      </c>
      <c r="I13" s="913" t="s">
        <v>66</v>
      </c>
      <c r="J13" s="913" t="s">
        <v>564</v>
      </c>
      <c r="K13" s="913" t="s">
        <v>68</v>
      </c>
      <c r="L13" s="913" t="s">
        <v>69</v>
      </c>
      <c r="M13" s="911" t="s">
        <v>621</v>
      </c>
      <c r="O13" s="907"/>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c r="AZ13" s="901"/>
      <c r="BA13" s="901"/>
      <c r="BB13" s="901"/>
      <c r="BC13" s="901"/>
    </row>
    <row r="14" spans="1:55" ht="24" customHeight="1">
      <c r="A14" s="936"/>
      <c r="B14" s="1489" t="s">
        <v>923</v>
      </c>
      <c r="C14" s="943"/>
      <c r="D14" s="1422">
        <v>1137698</v>
      </c>
      <c r="E14" s="1422">
        <v>532393.54</v>
      </c>
      <c r="F14" s="1422">
        <v>565469.62</v>
      </c>
      <c r="G14" s="1422">
        <v>7276326.5</v>
      </c>
      <c r="H14" s="1422">
        <v>7067138.0800000001</v>
      </c>
      <c r="I14" s="1422">
        <v>1071116.48</v>
      </c>
      <c r="J14" s="1422">
        <v>13528.33</v>
      </c>
      <c r="K14" s="1422">
        <v>631566.36</v>
      </c>
      <c r="L14" s="1422">
        <v>21662</v>
      </c>
      <c r="M14" s="1491">
        <f t="shared" ref="M14:M22" si="0">SUM(D14:L14)</f>
        <v>18316898.909999996</v>
      </c>
      <c r="O14" s="938"/>
      <c r="P14" s="936"/>
    </row>
    <row r="15" spans="1:55" ht="24" customHeight="1">
      <c r="A15" s="936"/>
      <c r="B15" s="1489" t="s">
        <v>924</v>
      </c>
      <c r="C15" s="932"/>
      <c r="D15" s="1422">
        <v>1825959</v>
      </c>
      <c r="E15" s="1422">
        <v>97831.69</v>
      </c>
      <c r="F15" s="1422">
        <v>182757.72999999995</v>
      </c>
      <c r="G15" s="1422">
        <v>3452794.78</v>
      </c>
      <c r="H15" s="1422">
        <v>1712409.27</v>
      </c>
      <c r="I15" s="1422">
        <v>2410087.59</v>
      </c>
      <c r="J15" s="1422">
        <v>22352.12</v>
      </c>
      <c r="K15" s="1422">
        <v>49703.42</v>
      </c>
      <c r="L15" s="1422">
        <v>1160300</v>
      </c>
      <c r="M15" s="1491">
        <f t="shared" si="0"/>
        <v>10914195.599999998</v>
      </c>
      <c r="O15" s="938"/>
      <c r="P15" s="936"/>
    </row>
    <row r="16" spans="1:55" ht="24" customHeight="1">
      <c r="A16" s="936"/>
      <c r="B16" s="1489" t="s">
        <v>925</v>
      </c>
      <c r="C16" s="932"/>
      <c r="D16" s="1422">
        <v>1313124</v>
      </c>
      <c r="E16" s="1422">
        <v>23183.66</v>
      </c>
      <c r="F16" s="1422">
        <v>313953</v>
      </c>
      <c r="G16" s="1422">
        <v>3827135.22</v>
      </c>
      <c r="H16" s="1422">
        <v>4838094.5</v>
      </c>
      <c r="I16" s="1422">
        <v>745227.07</v>
      </c>
      <c r="J16" s="1422">
        <v>21168.66</v>
      </c>
      <c r="K16" s="1422">
        <v>673429.19</v>
      </c>
      <c r="L16" s="1422">
        <v>291693</v>
      </c>
      <c r="M16" s="1491">
        <f t="shared" si="0"/>
        <v>12047008.299999999</v>
      </c>
      <c r="O16" s="938"/>
      <c r="P16" s="936"/>
    </row>
    <row r="17" spans="1:16" ht="24" customHeight="1">
      <c r="A17" s="936"/>
      <c r="B17" s="1489" t="s">
        <v>926</v>
      </c>
      <c r="C17" s="932"/>
      <c r="D17" s="1422">
        <v>3424875</v>
      </c>
      <c r="E17" s="1422">
        <v>246919.2</v>
      </c>
      <c r="F17" s="1422">
        <v>596564.32999999996</v>
      </c>
      <c r="G17" s="1422">
        <v>2528974.91</v>
      </c>
      <c r="H17" s="1422">
        <v>1295206.6200000001</v>
      </c>
      <c r="I17" s="1422">
        <v>272281.28999999998</v>
      </c>
      <c r="J17" s="1422">
        <v>262756.40000000002</v>
      </c>
      <c r="K17" s="1422">
        <v>16256.33</v>
      </c>
      <c r="L17" s="1422">
        <v>593787</v>
      </c>
      <c r="M17" s="1491">
        <f t="shared" si="0"/>
        <v>9237621.0800000001</v>
      </c>
      <c r="O17" s="938"/>
      <c r="P17" s="936"/>
    </row>
    <row r="18" spans="1:16" ht="24" customHeight="1">
      <c r="A18" s="936"/>
      <c r="B18" s="1489" t="s">
        <v>927</v>
      </c>
      <c r="C18" s="932"/>
      <c r="D18" s="1422">
        <v>1546879</v>
      </c>
      <c r="E18" s="1422">
        <v>308142.38</v>
      </c>
      <c r="F18" s="1422">
        <v>205610.23999999999</v>
      </c>
      <c r="G18" s="1422">
        <v>832891.36</v>
      </c>
      <c r="H18" s="1422">
        <v>5024167.8</v>
      </c>
      <c r="I18" s="1422">
        <v>625471.76</v>
      </c>
      <c r="J18" s="1422">
        <v>2928987.7</v>
      </c>
      <c r="K18" s="1422">
        <v>0</v>
      </c>
      <c r="L18" s="1422">
        <v>840175</v>
      </c>
      <c r="M18" s="1491">
        <f t="shared" si="0"/>
        <v>12312325.239999998</v>
      </c>
      <c r="O18" s="938"/>
      <c r="P18" s="936"/>
    </row>
    <row r="19" spans="1:16" ht="24" customHeight="1">
      <c r="A19" s="936"/>
      <c r="B19" s="1489" t="s">
        <v>928</v>
      </c>
      <c r="C19" s="932"/>
      <c r="D19" s="1422">
        <v>616706</v>
      </c>
      <c r="E19" s="1422">
        <v>57765.61</v>
      </c>
      <c r="F19" s="1422">
        <v>58459.840000000004</v>
      </c>
      <c r="G19" s="1422">
        <v>363020.75</v>
      </c>
      <c r="H19" s="1422">
        <v>1137570.3700000001</v>
      </c>
      <c r="I19" s="1422">
        <v>29468.02</v>
      </c>
      <c r="J19" s="1422">
        <v>0</v>
      </c>
      <c r="K19" s="1422">
        <v>2020.3</v>
      </c>
      <c r="L19" s="1422">
        <v>443433</v>
      </c>
      <c r="M19" s="1491">
        <f t="shared" si="0"/>
        <v>2708443.89</v>
      </c>
      <c r="O19" s="938"/>
      <c r="P19" s="936"/>
    </row>
    <row r="20" spans="1:16" ht="24" customHeight="1">
      <c r="A20" s="936"/>
      <c r="B20" s="1489" t="s">
        <v>929</v>
      </c>
      <c r="C20" s="932"/>
      <c r="D20" s="1422">
        <v>28731</v>
      </c>
      <c r="E20" s="1422">
        <v>150634.82999999999</v>
      </c>
      <c r="F20" s="1422">
        <v>0</v>
      </c>
      <c r="G20" s="1422">
        <v>2463149.0499999998</v>
      </c>
      <c r="H20" s="1422">
        <v>806048.35</v>
      </c>
      <c r="I20" s="1422">
        <v>198093.7</v>
      </c>
      <c r="J20" s="1422">
        <v>0</v>
      </c>
      <c r="K20" s="1422">
        <v>5561.7</v>
      </c>
      <c r="L20" s="1422">
        <v>445208</v>
      </c>
      <c r="M20" s="1491">
        <f t="shared" si="0"/>
        <v>4097426.6300000004</v>
      </c>
      <c r="O20" s="938"/>
      <c r="P20" s="936"/>
    </row>
    <row r="21" spans="1:16" ht="24" customHeight="1">
      <c r="A21" s="936"/>
      <c r="B21" s="1489" t="s">
        <v>930</v>
      </c>
      <c r="C21" s="932"/>
      <c r="D21" s="1422">
        <v>1626641</v>
      </c>
      <c r="E21" s="1422">
        <v>19045.64</v>
      </c>
      <c r="F21" s="1422">
        <v>368891.12</v>
      </c>
      <c r="G21" s="1422">
        <v>1215411.3999999999</v>
      </c>
      <c r="H21" s="1422">
        <v>1587616.68</v>
      </c>
      <c r="I21" s="1422">
        <v>91774.35</v>
      </c>
      <c r="J21" s="1422">
        <v>0</v>
      </c>
      <c r="K21" s="1422">
        <v>68842.3</v>
      </c>
      <c r="L21" s="1422">
        <v>0</v>
      </c>
      <c r="M21" s="1491">
        <f t="shared" si="0"/>
        <v>4978222.4899999993</v>
      </c>
      <c r="O21" s="938"/>
      <c r="P21" s="936"/>
    </row>
    <row r="22" spans="1:16" ht="24" customHeight="1" thickBot="1">
      <c r="A22" s="936"/>
      <c r="B22" s="1490" t="s">
        <v>931</v>
      </c>
      <c r="C22" s="946"/>
      <c r="D22" s="1473">
        <v>0</v>
      </c>
      <c r="E22" s="1473">
        <v>0</v>
      </c>
      <c r="F22" s="1473">
        <v>0</v>
      </c>
      <c r="G22" s="1473">
        <v>1825.16</v>
      </c>
      <c r="H22" s="1473">
        <v>98565.68</v>
      </c>
      <c r="I22" s="1473">
        <v>0</v>
      </c>
      <c r="J22" s="1473">
        <v>0</v>
      </c>
      <c r="K22" s="1473">
        <v>0</v>
      </c>
      <c r="L22" s="1473">
        <v>0</v>
      </c>
      <c r="M22" s="1492">
        <f t="shared" si="0"/>
        <v>100390.84</v>
      </c>
      <c r="O22" s="938"/>
      <c r="P22" s="936"/>
    </row>
    <row r="23" spans="1:16" ht="18" customHeight="1">
      <c r="A23" s="936"/>
      <c r="B23" s="1565" t="s">
        <v>295</v>
      </c>
      <c r="C23" s="1565"/>
      <c r="D23" s="1428">
        <f t="shared" ref="D23:J23" si="1">SUM(D14:D22)</f>
        <v>11520613</v>
      </c>
      <c r="E23" s="1428">
        <f t="shared" si="1"/>
        <v>1435916.5500000003</v>
      </c>
      <c r="F23" s="1428">
        <f t="shared" si="1"/>
        <v>2291705.8800000004</v>
      </c>
      <c r="G23" s="1428">
        <f t="shared" si="1"/>
        <v>21961529.129999999</v>
      </c>
      <c r="H23" s="1428">
        <f t="shared" si="1"/>
        <v>23566817.350000001</v>
      </c>
      <c r="I23" s="1428">
        <f t="shared" si="1"/>
        <v>5443520.2599999988</v>
      </c>
      <c r="J23" s="1428">
        <f t="shared" si="1"/>
        <v>3248793.21</v>
      </c>
      <c r="K23" s="1428">
        <f>SUM(K14:K22)</f>
        <v>1447379.6</v>
      </c>
      <c r="L23" s="1428">
        <f>SUM(L14:L22)</f>
        <v>3796258</v>
      </c>
      <c r="M23" s="1443">
        <f>SUM(M14:M22)</f>
        <v>74712532.979999989</v>
      </c>
      <c r="O23" s="938"/>
      <c r="P23" s="936"/>
    </row>
    <row r="24" spans="1:16" ht="15.75">
      <c r="A24" s="936"/>
      <c r="B24" s="1074"/>
      <c r="C24" s="907"/>
      <c r="D24" s="947"/>
      <c r="E24" s="1080"/>
      <c r="F24" s="1080"/>
      <c r="G24" s="1080"/>
      <c r="H24" s="1080"/>
      <c r="I24" s="1080"/>
      <c r="J24" s="947"/>
      <c r="K24" s="1081"/>
      <c r="L24" s="1080"/>
      <c r="M24" s="1079"/>
      <c r="O24" s="938"/>
      <c r="P24" s="936"/>
    </row>
    <row r="25" spans="1:16" ht="15.75">
      <c r="A25" s="936"/>
      <c r="B25" s="1074"/>
      <c r="C25" s="907"/>
      <c r="D25" s="947"/>
      <c r="E25" s="1080"/>
      <c r="F25" s="1080"/>
      <c r="G25" s="1080"/>
      <c r="H25" s="1080"/>
      <c r="I25" s="1080"/>
      <c r="J25" s="947"/>
      <c r="K25" s="1081"/>
      <c r="L25" s="1080"/>
      <c r="M25" s="1079"/>
      <c r="O25" s="938"/>
      <c r="P25" s="936"/>
    </row>
    <row r="26" spans="1:16" ht="15.75">
      <c r="A26" s="936"/>
      <c r="B26" s="1074"/>
      <c r="C26" s="907"/>
      <c r="D26" s="947"/>
      <c r="E26" s="1080"/>
      <c r="F26" s="1080"/>
      <c r="G26" s="1080"/>
      <c r="H26" s="1080"/>
      <c r="I26" s="1080"/>
      <c r="J26" s="947"/>
      <c r="K26" s="1081"/>
      <c r="L26" s="1080"/>
      <c r="M26" s="1079"/>
      <c r="O26" s="938"/>
      <c r="P26" s="936"/>
    </row>
    <row r="27" spans="1:16" ht="15.75">
      <c r="A27" s="936"/>
      <c r="B27" s="1074"/>
      <c r="C27" s="907"/>
      <c r="D27" s="947"/>
      <c r="E27" s="1080"/>
      <c r="F27" s="1080"/>
      <c r="G27" s="1080"/>
      <c r="H27" s="1080"/>
      <c r="I27" s="1080"/>
      <c r="J27" s="947"/>
      <c r="K27" s="1081"/>
      <c r="L27" s="1080"/>
      <c r="M27" s="1079"/>
      <c r="O27" s="938"/>
      <c r="P27" s="936"/>
    </row>
    <row r="28" spans="1:16" ht="15.75">
      <c r="A28" s="936"/>
      <c r="B28" s="1074"/>
      <c r="C28" s="907"/>
      <c r="D28" s="947"/>
      <c r="E28" s="1080"/>
      <c r="F28" s="1080"/>
      <c r="G28" s="1080"/>
      <c r="H28" s="1080"/>
      <c r="I28" s="1080"/>
      <c r="J28" s="947"/>
      <c r="K28" s="1081"/>
      <c r="L28" s="1080"/>
      <c r="M28" s="1079"/>
      <c r="O28" s="938"/>
      <c r="P28" s="936"/>
    </row>
    <row r="29" spans="1:16" ht="15.75">
      <c r="A29" s="936"/>
      <c r="B29" s="1074"/>
      <c r="C29" s="907"/>
      <c r="D29" s="947"/>
      <c r="E29" s="1080"/>
      <c r="F29" s="1080"/>
      <c r="G29" s="1080"/>
      <c r="H29" s="1080"/>
      <c r="I29" s="1080"/>
      <c r="J29" s="947"/>
      <c r="K29" s="1081"/>
      <c r="L29" s="1080"/>
      <c r="M29" s="1079"/>
      <c r="O29" s="938"/>
      <c r="P29" s="936"/>
    </row>
    <row r="30" spans="1:16" ht="15.75">
      <c r="A30" s="936"/>
      <c r="B30" s="1074"/>
      <c r="C30" s="907"/>
      <c r="D30" s="947"/>
      <c r="E30" s="1080"/>
      <c r="F30" s="1080"/>
      <c r="G30" s="1080"/>
      <c r="H30" s="1080"/>
      <c r="I30" s="1080"/>
      <c r="J30" s="947"/>
      <c r="K30" s="1081"/>
      <c r="L30" s="1080"/>
      <c r="M30" s="1079"/>
      <c r="O30" s="938"/>
      <c r="P30" s="936"/>
    </row>
    <row r="31" spans="1:16" ht="15">
      <c r="A31" s="936"/>
      <c r="B31" s="936"/>
      <c r="C31" s="936"/>
      <c r="D31" s="948"/>
      <c r="E31" s="938"/>
      <c r="F31" s="938"/>
      <c r="G31" s="938"/>
      <c r="H31" s="938"/>
      <c r="I31" s="938"/>
      <c r="J31" s="938"/>
      <c r="K31" s="939"/>
      <c r="L31" s="938"/>
      <c r="M31" s="938"/>
      <c r="O31" s="938"/>
      <c r="P31" s="936"/>
    </row>
    <row r="32" spans="1:16" ht="18.75" thickBot="1">
      <c r="A32" s="936"/>
      <c r="B32" s="1563" t="s">
        <v>922</v>
      </c>
      <c r="C32" s="1564"/>
      <c r="D32" s="929"/>
      <c r="E32" s="941"/>
      <c r="F32" s="941"/>
      <c r="G32" s="941"/>
      <c r="H32" s="941"/>
      <c r="I32" s="941"/>
      <c r="J32" s="941"/>
      <c r="K32" s="942"/>
      <c r="L32" s="941"/>
      <c r="M32" s="941"/>
      <c r="O32" s="938"/>
      <c r="P32" s="936"/>
    </row>
    <row r="33" spans="1:16" ht="24" customHeight="1">
      <c r="A33" s="936"/>
      <c r="B33" s="1489" t="s">
        <v>923</v>
      </c>
      <c r="C33" s="932"/>
      <c r="D33" s="917">
        <v>9.8753252105595421E-2</v>
      </c>
      <c r="E33" s="917">
        <v>0.37076913696690794</v>
      </c>
      <c r="F33" s="917">
        <v>0.24674615749556827</v>
      </c>
      <c r="G33" s="917">
        <v>0.33132148753978863</v>
      </c>
      <c r="H33" s="917">
        <v>0.29987664329226871</v>
      </c>
      <c r="I33" s="917">
        <v>0.19676908119011946</v>
      </c>
      <c r="J33" s="1521">
        <v>4.1641092939861202E-3</v>
      </c>
      <c r="K33" s="917">
        <v>0.43635156941551473</v>
      </c>
      <c r="L33" s="917">
        <v>5.7061453673591207E-3</v>
      </c>
      <c r="M33" s="1482">
        <f t="shared" ref="M33:M41" si="2">+M14/$M$23</f>
        <v>0.24516501019853387</v>
      </c>
      <c r="O33" s="938"/>
      <c r="P33" s="936"/>
    </row>
    <row r="34" spans="1:16" ht="24" customHeight="1">
      <c r="A34" s="936"/>
      <c r="B34" s="1489" t="s">
        <v>924</v>
      </c>
      <c r="C34" s="932"/>
      <c r="D34" s="917">
        <v>0.15849495161411983</v>
      </c>
      <c r="E34" s="917">
        <v>6.813187716236016E-2</v>
      </c>
      <c r="F34" s="917">
        <v>7.9747463055773946E-2</v>
      </c>
      <c r="G34" s="917">
        <v>0.15722014435157866</v>
      </c>
      <c r="H34" s="917">
        <v>7.2661880667564974E-2</v>
      </c>
      <c r="I34" s="917">
        <v>0.44274430421611038</v>
      </c>
      <c r="J34" s="1500">
        <v>6.8801301145295117E-3</v>
      </c>
      <c r="K34" s="917">
        <v>3.4340279495441273E-2</v>
      </c>
      <c r="L34" s="917">
        <v>0.30564308326778633</v>
      </c>
      <c r="M34" s="1482">
        <f t="shared" si="2"/>
        <v>0.14608252678197445</v>
      </c>
      <c r="O34" s="938"/>
      <c r="P34" s="936"/>
    </row>
    <row r="35" spans="1:16" ht="24" customHeight="1">
      <c r="A35" s="936"/>
      <c r="B35" s="1489" t="s">
        <v>925</v>
      </c>
      <c r="C35" s="932"/>
      <c r="D35" s="917">
        <v>0.11398039323081159</v>
      </c>
      <c r="E35" s="917">
        <v>1.6145548291089756E-2</v>
      </c>
      <c r="F35" s="917">
        <v>0.1369953285628433</v>
      </c>
      <c r="G35" s="917">
        <v>0.17426542556966299</v>
      </c>
      <c r="H35" s="917">
        <v>0.20529265484378184</v>
      </c>
      <c r="I35" s="917">
        <v>0.13690168023733967</v>
      </c>
      <c r="J35" s="1500">
        <v>6.5158533128059576E-3</v>
      </c>
      <c r="K35" s="917">
        <v>0.46527475584152211</v>
      </c>
      <c r="L35" s="917">
        <v>7.683697999451039E-2</v>
      </c>
      <c r="M35" s="1482">
        <f t="shared" si="2"/>
        <v>0.16124481153951636</v>
      </c>
      <c r="O35" s="938"/>
      <c r="P35" s="936"/>
    </row>
    <row r="36" spans="1:16" ht="24" customHeight="1">
      <c r="A36" s="936"/>
      <c r="B36" s="1489" t="s">
        <v>926</v>
      </c>
      <c r="C36" s="932"/>
      <c r="D36" s="917">
        <v>0.29728235815229626</v>
      </c>
      <c r="E36" s="917">
        <v>0.17195929665968399</v>
      </c>
      <c r="F36" s="917">
        <v>0.2603145260507862</v>
      </c>
      <c r="G36" s="917">
        <v>0.11515477337802299</v>
      </c>
      <c r="H36" s="917">
        <v>5.4958911114911323E-2</v>
      </c>
      <c r="I36" s="917">
        <v>5.001933987474496E-2</v>
      </c>
      <c r="J36" s="1500">
        <v>8.0878154753346101E-2</v>
      </c>
      <c r="K36" s="917">
        <v>1.1231559433337321E-2</v>
      </c>
      <c r="L36" s="917">
        <v>0.15641376323737743</v>
      </c>
      <c r="M36" s="1482">
        <f t="shared" si="2"/>
        <v>0.12364218841934921</v>
      </c>
      <c r="O36" s="938"/>
      <c r="P36" s="936"/>
    </row>
    <row r="37" spans="1:16" ht="24" customHeight="1">
      <c r="A37" s="936"/>
      <c r="B37" s="1489" t="s">
        <v>927</v>
      </c>
      <c r="C37" s="932"/>
      <c r="D37" s="917">
        <v>0.13427054619402631</v>
      </c>
      <c r="E37" s="917">
        <v>0.21459630087834836</v>
      </c>
      <c r="F37" s="917">
        <v>8.9719296788643738E-2</v>
      </c>
      <c r="G37" s="917">
        <v>3.7925016744951953E-2</v>
      </c>
      <c r="H37" s="917">
        <v>0.21318821822158346</v>
      </c>
      <c r="I37" s="917">
        <v>0.114902072579041</v>
      </c>
      <c r="J37" s="1500">
        <v>0.90156175252533244</v>
      </c>
      <c r="K37" s="918">
        <v>0</v>
      </c>
      <c r="L37" s="917">
        <v>0.22131662284280995</v>
      </c>
      <c r="M37" s="1482">
        <f t="shared" si="2"/>
        <v>0.16479598199803933</v>
      </c>
      <c r="O37" s="938"/>
      <c r="P37" s="936"/>
    </row>
    <row r="38" spans="1:16" ht="24" customHeight="1">
      <c r="A38" s="936"/>
      <c r="B38" s="1489" t="s">
        <v>928</v>
      </c>
      <c r="C38" s="932"/>
      <c r="D38" s="917">
        <v>5.3530658481454066E-2</v>
      </c>
      <c r="E38" s="917">
        <v>4.0229085736214955E-2</v>
      </c>
      <c r="F38" s="917">
        <v>2.5509311866843923E-2</v>
      </c>
      <c r="G38" s="917">
        <v>1.6529848529723033E-2</v>
      </c>
      <c r="H38" s="917">
        <v>4.8270004095398146E-2</v>
      </c>
      <c r="I38" s="917">
        <v>5.4134123861973114E-3</v>
      </c>
      <c r="J38" s="1499">
        <v>0</v>
      </c>
      <c r="K38" s="917">
        <v>1.3958328554582362E-3</v>
      </c>
      <c r="L38" s="917">
        <v>0.11680791979891778</v>
      </c>
      <c r="M38" s="1482">
        <f t="shared" si="2"/>
        <v>3.6251533470629767E-2</v>
      </c>
      <c r="O38" s="938"/>
      <c r="P38" s="936"/>
    </row>
    <row r="39" spans="1:16" ht="24" customHeight="1">
      <c r="A39" s="936"/>
      <c r="B39" s="1489" t="s">
        <v>929</v>
      </c>
      <c r="C39" s="932"/>
      <c r="D39" s="917">
        <v>2.4938777129307269E-3</v>
      </c>
      <c r="E39" s="917">
        <v>0.10490500301009829</v>
      </c>
      <c r="F39" s="918">
        <v>0</v>
      </c>
      <c r="G39" s="917">
        <v>0.11215744748098057</v>
      </c>
      <c r="H39" s="917">
        <v>3.4202681593745198E-2</v>
      </c>
      <c r="I39" s="917">
        <v>3.6390734403181968E-2</v>
      </c>
      <c r="J39" s="1499">
        <v>0</v>
      </c>
      <c r="K39" s="917">
        <v>3.8425994120685407E-3</v>
      </c>
      <c r="L39" s="917">
        <v>0.11727548549123901</v>
      </c>
      <c r="M39" s="1482">
        <f t="shared" si="2"/>
        <v>5.4842560766837502E-2</v>
      </c>
      <c r="O39" s="938"/>
      <c r="P39" s="936"/>
    </row>
    <row r="40" spans="1:16" ht="24" customHeight="1">
      <c r="A40" s="936"/>
      <c r="B40" s="1489" t="s">
        <v>930</v>
      </c>
      <c r="C40" s="932"/>
      <c r="D40" s="917">
        <v>0.14119396250876581</v>
      </c>
      <c r="E40" s="917">
        <v>1.3263751295296371E-2</v>
      </c>
      <c r="F40" s="917">
        <v>0.16096791617954043</v>
      </c>
      <c r="G40" s="917">
        <v>5.5342749259645926E-2</v>
      </c>
      <c r="H40" s="917">
        <v>6.7366613676411419E-2</v>
      </c>
      <c r="I40" s="917">
        <v>1.6859375113265403E-2</v>
      </c>
      <c r="J40" s="1499">
        <v>0</v>
      </c>
      <c r="K40" s="917">
        <v>4.7563403546657695E-2</v>
      </c>
      <c r="L40" s="918">
        <v>0</v>
      </c>
      <c r="M40" s="1482">
        <f t="shared" si="2"/>
        <v>6.6631692052692607E-2</v>
      </c>
      <c r="O40" s="938"/>
      <c r="P40" s="936"/>
    </row>
    <row r="41" spans="1:16" ht="24" customHeight="1" thickBot="1">
      <c r="A41" s="936"/>
      <c r="B41" s="1490" t="s">
        <v>931</v>
      </c>
      <c r="C41" s="946"/>
      <c r="D41" s="1493">
        <v>0</v>
      </c>
      <c r="E41" s="1485">
        <v>0</v>
      </c>
      <c r="F41" s="1485">
        <v>0</v>
      </c>
      <c r="G41" s="931">
        <v>8.3107145645281401E-5</v>
      </c>
      <c r="H41" s="931">
        <v>4.1823924943348361E-3</v>
      </c>
      <c r="I41" s="1485">
        <v>0</v>
      </c>
      <c r="J41" s="1485">
        <v>0</v>
      </c>
      <c r="K41" s="1485">
        <v>0</v>
      </c>
      <c r="L41" s="1485">
        <v>0</v>
      </c>
      <c r="M41" s="1486">
        <f t="shared" si="2"/>
        <v>1.343694772426922E-3</v>
      </c>
      <c r="O41" s="938"/>
      <c r="P41" s="936"/>
    </row>
    <row r="42" spans="1:16" ht="18">
      <c r="A42" s="936"/>
      <c r="B42" s="1565" t="s">
        <v>295</v>
      </c>
      <c r="C42" s="1565"/>
      <c r="D42" s="1494">
        <f t="shared" ref="D42:J42" si="3">SUM(D33:D41)</f>
        <v>1</v>
      </c>
      <c r="E42" s="1494">
        <f t="shared" si="3"/>
        <v>0.99999999999999978</v>
      </c>
      <c r="F42" s="1494">
        <f t="shared" si="3"/>
        <v>0.99999999999999989</v>
      </c>
      <c r="G42" s="1494">
        <f t="shared" si="3"/>
        <v>1</v>
      </c>
      <c r="H42" s="1494">
        <f t="shared" si="3"/>
        <v>0.99999999999999978</v>
      </c>
      <c r="I42" s="1495">
        <f t="shared" si="3"/>
        <v>1</v>
      </c>
      <c r="J42" s="1495">
        <f t="shared" si="3"/>
        <v>1.0000000000000002</v>
      </c>
      <c r="K42" s="1495">
        <f>SUM(K33:K41)</f>
        <v>0.99999999999999989</v>
      </c>
      <c r="L42" s="1495">
        <f>SUM(L33:L41)</f>
        <v>1</v>
      </c>
      <c r="M42" s="1496">
        <f>SUM(M33:M41)</f>
        <v>1</v>
      </c>
      <c r="O42" s="938"/>
      <c r="P42" s="936"/>
    </row>
    <row r="43" spans="1:16" ht="15">
      <c r="A43" s="936"/>
      <c r="B43" s="936"/>
      <c r="C43" s="936"/>
      <c r="D43" s="936"/>
      <c r="E43" s="936"/>
      <c r="F43" s="938"/>
      <c r="G43" s="938"/>
      <c r="H43" s="938"/>
      <c r="I43" s="1487" t="s">
        <v>0</v>
      </c>
      <c r="J43" s="938"/>
      <c r="K43" s="938"/>
      <c r="L43" s="938"/>
      <c r="M43" s="938"/>
      <c r="N43" s="938"/>
      <c r="O43" s="938"/>
      <c r="P43" s="936"/>
    </row>
    <row r="44" spans="1:16" ht="15">
      <c r="A44" s="936"/>
      <c r="B44" s="936"/>
      <c r="C44" s="936"/>
      <c r="D44" s="936"/>
      <c r="E44" s="936"/>
      <c r="F44" s="938"/>
      <c r="G44" s="938"/>
      <c r="H44" s="938"/>
      <c r="I44" s="938" t="s">
        <v>0</v>
      </c>
      <c r="J44" s="938"/>
      <c r="K44" s="938"/>
      <c r="L44" s="938"/>
      <c r="M44" s="938"/>
      <c r="N44" s="938"/>
      <c r="O44" s="938"/>
      <c r="P44" s="936"/>
    </row>
    <row r="45" spans="1:16" ht="15">
      <c r="A45" s="936"/>
      <c r="B45" s="936"/>
      <c r="C45" s="936"/>
      <c r="D45" s="936"/>
      <c r="E45" s="936"/>
      <c r="F45" s="938"/>
      <c r="G45" s="938"/>
      <c r="H45" s="938"/>
      <c r="I45" s="938"/>
      <c r="J45" s="938"/>
      <c r="K45" s="938"/>
      <c r="L45" s="938"/>
      <c r="M45" s="938"/>
      <c r="N45" s="938"/>
      <c r="O45" s="938"/>
      <c r="P45" s="936"/>
    </row>
    <row r="46" spans="1:16" ht="15">
      <c r="A46" s="936"/>
      <c r="B46" s="936"/>
      <c r="C46" s="936"/>
      <c r="D46" s="936"/>
      <c r="E46" s="936"/>
      <c r="F46" s="938"/>
      <c r="G46" s="938"/>
      <c r="H46" s="938"/>
      <c r="I46" s="938"/>
      <c r="J46" s="938"/>
      <c r="K46" s="938"/>
      <c r="L46" s="938"/>
      <c r="M46" s="938"/>
      <c r="N46" s="938"/>
      <c r="O46" s="938"/>
      <c r="P46" s="936"/>
    </row>
    <row r="47" spans="1:16" ht="15">
      <c r="A47" s="936"/>
      <c r="B47" s="936"/>
      <c r="C47" s="936"/>
      <c r="D47" s="936"/>
      <c r="E47" s="936"/>
      <c r="F47" s="938"/>
      <c r="G47" s="938"/>
      <c r="H47" s="938"/>
      <c r="I47" s="938"/>
      <c r="J47" s="938"/>
      <c r="K47" s="938"/>
      <c r="L47" s="938"/>
      <c r="M47" s="938"/>
      <c r="N47" s="938"/>
      <c r="O47" s="938"/>
      <c r="P47" s="936"/>
    </row>
    <row r="48" spans="1:16" ht="15">
      <c r="A48" s="936"/>
      <c r="B48" s="936"/>
      <c r="C48" s="936"/>
      <c r="D48" s="936"/>
      <c r="E48" s="936"/>
      <c r="F48" s="938"/>
      <c r="G48" s="938"/>
      <c r="H48" s="938"/>
      <c r="I48" s="938"/>
      <c r="J48" s="938"/>
      <c r="K48" s="938"/>
      <c r="L48" s="938"/>
      <c r="M48" s="938"/>
      <c r="N48" s="938"/>
      <c r="O48" s="938"/>
      <c r="P48" s="936"/>
    </row>
    <row r="49" spans="1:16" ht="15">
      <c r="A49" s="936"/>
      <c r="B49" s="936"/>
      <c r="C49" s="936"/>
      <c r="D49" s="936"/>
      <c r="E49" s="936"/>
      <c r="F49" s="938"/>
      <c r="G49" s="938"/>
      <c r="H49" s="938"/>
      <c r="I49" s="938"/>
      <c r="J49" s="938"/>
      <c r="K49" s="938"/>
      <c r="L49" s="938"/>
      <c r="M49" s="938"/>
      <c r="N49" s="938"/>
      <c r="O49" s="938"/>
      <c r="P49" s="936"/>
    </row>
    <row r="50" spans="1:16" ht="15">
      <c r="A50" s="936"/>
      <c r="B50" s="936"/>
      <c r="C50" s="936"/>
      <c r="D50" s="936"/>
      <c r="E50" s="936"/>
      <c r="F50" s="938"/>
      <c r="G50" s="938"/>
      <c r="H50" s="938"/>
      <c r="I50" s="938"/>
      <c r="J50" s="938"/>
      <c r="K50" s="938"/>
      <c r="L50" s="938"/>
      <c r="M50" s="938"/>
      <c r="N50" s="938"/>
      <c r="O50" s="938"/>
      <c r="P50" s="936"/>
    </row>
    <row r="51" spans="1:16" ht="15">
      <c r="A51" s="936"/>
      <c r="B51" s="936"/>
      <c r="C51" s="936"/>
      <c r="D51" s="936"/>
      <c r="E51" s="936"/>
      <c r="F51" s="938"/>
      <c r="G51" s="938"/>
      <c r="H51" s="938"/>
      <c r="I51" s="938"/>
      <c r="J51" s="938"/>
      <c r="K51" s="938"/>
      <c r="L51" s="938"/>
      <c r="M51" s="938"/>
      <c r="N51" s="938"/>
      <c r="O51" s="938"/>
      <c r="P51" s="936"/>
    </row>
    <row r="52" spans="1:16" ht="15">
      <c r="A52" s="936"/>
      <c r="B52" s="936"/>
      <c r="C52" s="936"/>
      <c r="D52" s="936"/>
      <c r="E52" s="936"/>
      <c r="F52" s="938"/>
      <c r="G52" s="938"/>
      <c r="H52" s="938"/>
      <c r="I52" s="938"/>
      <c r="J52" s="938"/>
      <c r="K52" s="938"/>
      <c r="L52" s="938"/>
      <c r="M52" s="938"/>
      <c r="N52" s="938"/>
      <c r="O52" s="938"/>
      <c r="P52" s="936"/>
    </row>
    <row r="53" spans="1:16" ht="15">
      <c r="A53" s="936"/>
      <c r="B53" s="936"/>
      <c r="C53" s="936"/>
      <c r="D53" s="936"/>
      <c r="E53" s="936"/>
      <c r="F53" s="938"/>
      <c r="G53" s="938"/>
      <c r="H53" s="938"/>
      <c r="I53" s="938"/>
      <c r="J53" s="938"/>
      <c r="K53" s="938"/>
      <c r="L53" s="938"/>
      <c r="M53" s="938"/>
      <c r="N53" s="938"/>
      <c r="O53" s="938"/>
      <c r="P53" s="936"/>
    </row>
    <row r="54" spans="1:16" ht="15">
      <c r="A54" s="936"/>
      <c r="B54" s="936"/>
      <c r="C54" s="936"/>
      <c r="D54" s="936"/>
      <c r="E54" s="936"/>
      <c r="F54" s="938"/>
      <c r="G54" s="938"/>
      <c r="H54" s="938"/>
      <c r="I54" s="938"/>
      <c r="J54" s="938"/>
      <c r="K54" s="938"/>
      <c r="L54" s="938"/>
      <c r="M54" s="938"/>
      <c r="N54" s="938"/>
      <c r="O54" s="938"/>
      <c r="P54" s="936"/>
    </row>
    <row r="55" spans="1:16" ht="15">
      <c r="A55" s="936"/>
      <c r="B55" s="936"/>
      <c r="C55" s="936"/>
      <c r="D55" s="936"/>
      <c r="E55" s="936"/>
      <c r="F55" s="938"/>
      <c r="G55" s="938"/>
      <c r="H55" s="938"/>
      <c r="I55" s="938"/>
      <c r="J55" s="938"/>
      <c r="K55" s="938"/>
      <c r="L55" s="938"/>
      <c r="M55" s="938"/>
      <c r="N55" s="938"/>
      <c r="O55" s="938"/>
      <c r="P55" s="936"/>
    </row>
    <row r="56" spans="1:16" ht="15">
      <c r="A56" s="936"/>
      <c r="B56" s="936"/>
      <c r="C56" s="936"/>
      <c r="D56" s="936"/>
      <c r="E56" s="936"/>
      <c r="F56" s="938"/>
      <c r="G56" s="938"/>
      <c r="H56" s="938"/>
      <c r="I56" s="938"/>
      <c r="J56" s="938"/>
      <c r="K56" s="938"/>
      <c r="L56" s="938"/>
      <c r="M56" s="938"/>
      <c r="N56" s="938"/>
      <c r="O56" s="938"/>
      <c r="P56" s="936"/>
    </row>
    <row r="57" spans="1:16" ht="15">
      <c r="A57" s="936"/>
      <c r="B57" s="936"/>
      <c r="C57" s="936"/>
      <c r="D57" s="936"/>
      <c r="E57" s="936"/>
      <c r="F57" s="938"/>
      <c r="G57" s="938"/>
      <c r="H57" s="938"/>
      <c r="I57" s="938"/>
      <c r="J57" s="938"/>
      <c r="K57" s="938"/>
      <c r="L57" s="938"/>
      <c r="M57" s="938"/>
      <c r="N57" s="938"/>
      <c r="O57" s="938"/>
      <c r="P57" s="936"/>
    </row>
    <row r="58" spans="1:16" ht="15">
      <c r="A58" s="936"/>
      <c r="B58" s="936"/>
      <c r="C58" s="936"/>
      <c r="D58" s="936"/>
      <c r="E58" s="936"/>
      <c r="F58" s="938"/>
      <c r="G58" s="938"/>
      <c r="H58" s="938"/>
      <c r="I58" s="938"/>
      <c r="J58" s="938"/>
      <c r="K58" s="938"/>
      <c r="L58" s="938"/>
      <c r="M58" s="938"/>
      <c r="N58" s="938"/>
      <c r="O58" s="938"/>
      <c r="P58" s="936"/>
    </row>
    <row r="59" spans="1:16" ht="15">
      <c r="A59" s="936"/>
      <c r="B59" s="936"/>
      <c r="C59" s="936"/>
      <c r="D59" s="936"/>
      <c r="E59" s="936"/>
      <c r="F59" s="938"/>
      <c r="G59" s="938"/>
      <c r="H59" s="938"/>
      <c r="I59" s="938"/>
      <c r="J59" s="938"/>
      <c r="K59" s="938"/>
      <c r="L59" s="938"/>
      <c r="M59" s="938"/>
      <c r="N59" s="938"/>
      <c r="O59" s="938"/>
      <c r="P59" s="936"/>
    </row>
    <row r="60" spans="1:16" ht="15">
      <c r="A60" s="936"/>
      <c r="B60" s="936"/>
      <c r="C60" s="936"/>
      <c r="D60" s="936"/>
      <c r="E60" s="936"/>
      <c r="F60" s="938"/>
      <c r="G60" s="938"/>
      <c r="H60" s="938"/>
      <c r="I60" s="938"/>
      <c r="J60" s="938"/>
      <c r="K60" s="938"/>
      <c r="L60" s="938"/>
      <c r="M60" s="938"/>
      <c r="N60" s="938"/>
      <c r="O60" s="938"/>
      <c r="P60" s="936"/>
    </row>
    <row r="61" spans="1:16" ht="15">
      <c r="A61" s="936"/>
      <c r="B61" s="936"/>
      <c r="C61" s="936"/>
      <c r="D61" s="936"/>
      <c r="E61" s="936"/>
      <c r="F61" s="938"/>
      <c r="G61" s="938"/>
      <c r="H61" s="938"/>
      <c r="I61" s="938"/>
      <c r="J61" s="938"/>
      <c r="K61" s="938"/>
      <c r="L61" s="938"/>
      <c r="M61" s="938"/>
      <c r="N61" s="938"/>
      <c r="O61" s="938"/>
      <c r="P61" s="936"/>
    </row>
    <row r="62" spans="1:16" ht="15">
      <c r="A62" s="936"/>
      <c r="B62" s="936"/>
      <c r="C62" s="936"/>
      <c r="D62" s="936"/>
      <c r="E62" s="936"/>
      <c r="F62" s="938"/>
      <c r="G62" s="938"/>
      <c r="H62" s="938"/>
      <c r="I62" s="938"/>
      <c r="J62" s="938"/>
      <c r="K62" s="938"/>
      <c r="L62" s="938"/>
      <c r="M62" s="938"/>
      <c r="N62" s="938"/>
      <c r="O62" s="938"/>
      <c r="P62" s="936"/>
    </row>
    <row r="63" spans="1:16" ht="15">
      <c r="A63" s="936"/>
      <c r="B63" s="936"/>
      <c r="C63" s="936"/>
      <c r="D63" s="936"/>
      <c r="E63" s="936"/>
      <c r="F63" s="938"/>
      <c r="G63" s="938"/>
      <c r="H63" s="938"/>
      <c r="I63" s="938"/>
      <c r="J63" s="938"/>
      <c r="K63" s="938"/>
      <c r="L63" s="938"/>
      <c r="M63" s="938"/>
      <c r="N63" s="938"/>
      <c r="O63" s="938"/>
      <c r="P63" s="936"/>
    </row>
    <row r="64" spans="1:16" ht="15">
      <c r="A64" s="936"/>
      <c r="B64" s="936"/>
      <c r="C64" s="936"/>
      <c r="D64" s="936"/>
      <c r="E64" s="936"/>
      <c r="F64" s="938"/>
      <c r="G64" s="938"/>
      <c r="H64" s="938"/>
      <c r="I64" s="938"/>
      <c r="J64" s="938"/>
      <c r="K64" s="938"/>
      <c r="L64" s="938"/>
      <c r="M64" s="938"/>
      <c r="N64" s="938"/>
      <c r="O64" s="938"/>
      <c r="P64" s="936"/>
    </row>
    <row r="65" spans="1:16" ht="15">
      <c r="A65" s="936"/>
      <c r="B65" s="936"/>
      <c r="C65" s="936"/>
      <c r="D65" s="936"/>
      <c r="E65" s="936"/>
      <c r="F65" s="938"/>
      <c r="G65" s="938"/>
      <c r="H65" s="938"/>
      <c r="I65" s="938"/>
      <c r="J65" s="938"/>
      <c r="K65" s="938"/>
      <c r="L65" s="938"/>
      <c r="M65" s="938"/>
      <c r="N65" s="938"/>
      <c r="O65" s="938"/>
      <c r="P65" s="936"/>
    </row>
    <row r="66" spans="1:16" ht="15">
      <c r="A66" s="936"/>
      <c r="B66" s="936"/>
      <c r="C66" s="936"/>
      <c r="D66" s="936"/>
      <c r="E66" s="936"/>
      <c r="F66" s="938"/>
      <c r="G66" s="938"/>
      <c r="H66" s="938"/>
      <c r="I66" s="938"/>
      <c r="J66" s="938"/>
      <c r="K66" s="938"/>
      <c r="L66" s="938"/>
      <c r="M66" s="938"/>
      <c r="N66" s="938"/>
      <c r="O66" s="938"/>
      <c r="P66" s="936"/>
    </row>
    <row r="67" spans="1:16" ht="15">
      <c r="A67" s="936"/>
      <c r="B67" s="936"/>
      <c r="C67" s="936"/>
      <c r="D67" s="936"/>
      <c r="E67" s="936"/>
      <c r="F67" s="938"/>
      <c r="G67" s="938"/>
      <c r="H67" s="938"/>
      <c r="I67" s="938"/>
      <c r="J67" s="938"/>
      <c r="K67" s="938"/>
      <c r="L67" s="938"/>
      <c r="M67" s="938"/>
      <c r="N67" s="938"/>
      <c r="O67" s="938"/>
      <c r="P67" s="936"/>
    </row>
    <row r="68" spans="1:16" ht="15">
      <c r="A68" s="936"/>
      <c r="B68" s="936"/>
      <c r="C68" s="936"/>
      <c r="D68" s="936"/>
      <c r="E68" s="936"/>
      <c r="F68" s="938"/>
      <c r="G68" s="938"/>
      <c r="H68" s="938"/>
      <c r="I68" s="938"/>
      <c r="J68" s="938"/>
      <c r="K68" s="938"/>
      <c r="L68" s="938"/>
      <c r="M68" s="938"/>
      <c r="N68" s="938"/>
      <c r="O68" s="938"/>
      <c r="P68" s="936"/>
    </row>
    <row r="69" spans="1:16" ht="15">
      <c r="A69" s="936"/>
      <c r="B69" s="936"/>
      <c r="C69" s="936"/>
      <c r="D69" s="936"/>
      <c r="E69" s="936"/>
      <c r="F69" s="938"/>
      <c r="G69" s="938"/>
      <c r="H69" s="938"/>
      <c r="I69" s="938"/>
      <c r="J69" s="938"/>
      <c r="K69" s="938"/>
      <c r="L69" s="938"/>
      <c r="M69" s="938"/>
      <c r="N69" s="938"/>
      <c r="O69" s="938"/>
      <c r="P69" s="936"/>
    </row>
    <row r="70" spans="1:16" ht="15">
      <c r="A70" s="936"/>
      <c r="B70" s="936"/>
      <c r="C70" s="936"/>
      <c r="D70" s="936"/>
      <c r="E70" s="936"/>
      <c r="F70" s="938"/>
      <c r="G70" s="938"/>
      <c r="H70" s="938"/>
      <c r="I70" s="938"/>
      <c r="J70" s="938"/>
      <c r="K70" s="938"/>
      <c r="L70" s="938"/>
      <c r="M70" s="938"/>
      <c r="N70" s="938"/>
      <c r="O70" s="938"/>
      <c r="P70" s="936"/>
    </row>
    <row r="71" spans="1:16" ht="15">
      <c r="A71" s="936"/>
      <c r="B71" s="936"/>
      <c r="C71" s="936"/>
      <c r="D71" s="936"/>
      <c r="E71" s="936"/>
      <c r="F71" s="938"/>
      <c r="G71" s="938"/>
      <c r="H71" s="938"/>
      <c r="I71" s="938"/>
      <c r="J71" s="938"/>
      <c r="K71" s="938"/>
      <c r="L71" s="938"/>
      <c r="M71" s="938"/>
      <c r="N71" s="938"/>
      <c r="O71" s="938"/>
      <c r="P71" s="936"/>
    </row>
    <row r="72" spans="1:16" ht="15">
      <c r="A72" s="936"/>
      <c r="B72" s="936"/>
      <c r="C72" s="936"/>
      <c r="D72" s="936"/>
      <c r="E72" s="936"/>
      <c r="F72" s="938"/>
      <c r="G72" s="938"/>
      <c r="H72" s="938"/>
      <c r="I72" s="938"/>
      <c r="J72" s="938"/>
      <c r="K72" s="938"/>
      <c r="L72" s="938"/>
      <c r="M72" s="938"/>
      <c r="N72" s="938"/>
      <c r="O72" s="938"/>
      <c r="P72" s="936"/>
    </row>
    <row r="73" spans="1:16" ht="15">
      <c r="A73" s="936"/>
      <c r="B73" s="936"/>
      <c r="C73" s="936"/>
      <c r="D73" s="936"/>
      <c r="E73" s="936"/>
      <c r="F73" s="938"/>
      <c r="G73" s="938"/>
      <c r="H73" s="938"/>
      <c r="I73" s="938"/>
      <c r="J73" s="938"/>
      <c r="K73" s="938"/>
      <c r="L73" s="938"/>
      <c r="M73" s="938"/>
      <c r="N73" s="938"/>
      <c r="O73" s="938"/>
      <c r="P73" s="936"/>
    </row>
    <row r="74" spans="1:16" ht="15">
      <c r="A74" s="936"/>
      <c r="B74" s="936"/>
      <c r="C74" s="936"/>
      <c r="D74" s="936"/>
      <c r="E74" s="936"/>
      <c r="F74" s="938"/>
      <c r="G74" s="938"/>
      <c r="H74" s="938"/>
      <c r="I74" s="938"/>
      <c r="J74" s="938"/>
      <c r="K74" s="938"/>
      <c r="L74" s="938"/>
      <c r="M74" s="938"/>
      <c r="N74" s="938"/>
      <c r="O74" s="938"/>
      <c r="P74" s="936"/>
    </row>
    <row r="75" spans="1:16" ht="15">
      <c r="A75" s="936"/>
      <c r="B75" s="936"/>
      <c r="C75" s="936"/>
      <c r="D75" s="936"/>
      <c r="E75" s="936"/>
      <c r="F75" s="938"/>
      <c r="G75" s="938"/>
      <c r="H75" s="938"/>
      <c r="I75" s="938"/>
      <c r="J75" s="938"/>
      <c r="K75" s="938"/>
      <c r="L75" s="938"/>
      <c r="M75" s="938"/>
      <c r="N75" s="938"/>
      <c r="O75" s="938"/>
      <c r="P75" s="936"/>
    </row>
    <row r="76" spans="1:16" ht="15">
      <c r="A76" s="936"/>
      <c r="B76" s="936"/>
      <c r="C76" s="936"/>
      <c r="D76" s="936"/>
      <c r="E76" s="936"/>
      <c r="F76" s="938"/>
      <c r="G76" s="938"/>
      <c r="H76" s="938"/>
      <c r="I76" s="938"/>
      <c r="J76" s="938"/>
      <c r="K76" s="938"/>
      <c r="L76" s="938"/>
      <c r="M76" s="938"/>
      <c r="N76" s="938"/>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6"/>
      <c r="G80" s="936"/>
      <c r="H80" s="936"/>
      <c r="I80" s="936"/>
      <c r="J80" s="936"/>
      <c r="K80" s="936"/>
      <c r="L80" s="936"/>
      <c r="M80" s="936"/>
      <c r="N80" s="936"/>
      <c r="O80" s="936"/>
      <c r="P80" s="936"/>
    </row>
    <row r="81" spans="1:16" ht="15">
      <c r="A81" s="936"/>
      <c r="B81" s="936"/>
      <c r="C81" s="936"/>
      <c r="D81" s="936"/>
      <c r="E81" s="936"/>
      <c r="F81" s="936"/>
      <c r="G81" s="936"/>
      <c r="H81" s="936"/>
      <c r="I81" s="936"/>
      <c r="J81" s="936"/>
      <c r="K81" s="936"/>
      <c r="L81" s="936"/>
      <c r="M81" s="936"/>
      <c r="N81" s="936"/>
      <c r="O81" s="936"/>
      <c r="P81" s="936"/>
    </row>
    <row r="82" spans="1:16" ht="15">
      <c r="A82" s="936"/>
      <c r="B82" s="936"/>
      <c r="C82" s="936"/>
      <c r="D82" s="936"/>
      <c r="E82" s="936"/>
      <c r="F82" s="936"/>
      <c r="G82" s="936"/>
      <c r="H82" s="936"/>
      <c r="I82" s="936"/>
      <c r="J82" s="936"/>
      <c r="K82" s="936"/>
      <c r="L82" s="936"/>
      <c r="M82" s="936"/>
      <c r="N82" s="936"/>
      <c r="O82" s="936"/>
      <c r="P82" s="936"/>
    </row>
    <row r="83" spans="1:16" ht="15">
      <c r="A83" s="936"/>
      <c r="B83" s="936"/>
      <c r="C83" s="936"/>
      <c r="D83" s="936"/>
      <c r="E83" s="936"/>
      <c r="F83" s="936"/>
      <c r="G83" s="936"/>
      <c r="H83" s="936"/>
      <c r="I83" s="936"/>
      <c r="J83" s="936"/>
      <c r="K83" s="936"/>
      <c r="L83" s="936"/>
      <c r="M83" s="936"/>
      <c r="N83" s="936"/>
      <c r="O83" s="936"/>
      <c r="P83" s="936"/>
    </row>
    <row r="84" spans="1:16" ht="15">
      <c r="A84" s="936"/>
      <c r="B84" s="936"/>
      <c r="C84" s="936"/>
      <c r="D84" s="936"/>
      <c r="E84" s="936"/>
      <c r="F84" s="936"/>
      <c r="G84" s="936"/>
      <c r="H84" s="936"/>
      <c r="I84" s="936"/>
      <c r="J84" s="936"/>
      <c r="K84" s="936"/>
      <c r="L84" s="936"/>
      <c r="M84" s="936"/>
      <c r="N84" s="936"/>
      <c r="O84" s="936"/>
      <c r="P84" s="936"/>
    </row>
    <row r="85" spans="1:16" ht="15">
      <c r="A85" s="936"/>
      <c r="B85" s="936"/>
      <c r="C85" s="936"/>
      <c r="D85" s="936"/>
      <c r="E85" s="936"/>
      <c r="F85" s="936"/>
      <c r="G85" s="936"/>
      <c r="H85" s="936"/>
      <c r="I85" s="936"/>
      <c r="J85" s="936"/>
      <c r="K85" s="936"/>
      <c r="L85" s="936"/>
      <c r="M85" s="936"/>
      <c r="N85" s="936"/>
      <c r="O85" s="936"/>
      <c r="P85" s="936"/>
    </row>
    <row r="86" spans="1:16" ht="15">
      <c r="A86" s="936"/>
      <c r="B86" s="936"/>
      <c r="C86" s="936"/>
      <c r="D86" s="936"/>
      <c r="E86" s="936"/>
      <c r="F86" s="936"/>
      <c r="G86" s="936"/>
      <c r="H86" s="936"/>
      <c r="I86" s="936"/>
      <c r="J86" s="936"/>
      <c r="K86" s="936"/>
      <c r="L86" s="936"/>
      <c r="M86" s="936"/>
      <c r="N86" s="936"/>
      <c r="O86" s="936"/>
      <c r="P86" s="936"/>
    </row>
    <row r="87" spans="1:16" ht="15">
      <c r="A87" s="936"/>
      <c r="B87" s="936"/>
      <c r="C87" s="936"/>
      <c r="D87" s="936"/>
      <c r="E87" s="936"/>
      <c r="F87" s="936"/>
      <c r="G87" s="936"/>
      <c r="H87" s="936"/>
      <c r="I87" s="936"/>
      <c r="J87" s="936"/>
      <c r="K87" s="936"/>
      <c r="L87" s="936"/>
      <c r="M87" s="936"/>
      <c r="N87" s="936"/>
      <c r="O87" s="936"/>
      <c r="P87" s="936"/>
    </row>
    <row r="88" spans="1:16" ht="15">
      <c r="A88" s="936"/>
      <c r="B88" s="936"/>
      <c r="C88" s="936"/>
      <c r="D88" s="936"/>
      <c r="E88" s="936"/>
      <c r="F88" s="936"/>
      <c r="G88" s="936"/>
      <c r="H88" s="936"/>
      <c r="I88" s="936"/>
      <c r="J88" s="936"/>
      <c r="K88" s="936"/>
      <c r="L88" s="936"/>
      <c r="M88" s="936"/>
      <c r="N88" s="936"/>
      <c r="O88" s="936"/>
      <c r="P88" s="936"/>
    </row>
    <row r="89" spans="1:16" ht="15">
      <c r="A89" s="936"/>
      <c r="B89" s="936"/>
      <c r="C89" s="936"/>
      <c r="D89" s="936"/>
      <c r="E89" s="936"/>
      <c r="F89" s="936"/>
      <c r="G89" s="936"/>
      <c r="H89" s="936"/>
      <c r="I89" s="936"/>
      <c r="J89" s="936"/>
      <c r="K89" s="936"/>
      <c r="L89" s="936"/>
      <c r="M89" s="936"/>
      <c r="N89" s="936"/>
      <c r="O89" s="936"/>
      <c r="P89" s="936"/>
    </row>
    <row r="90" spans="1:16" ht="15">
      <c r="A90" s="936"/>
      <c r="B90" s="936"/>
      <c r="C90" s="936"/>
      <c r="D90" s="936"/>
      <c r="E90" s="936"/>
      <c r="F90" s="936"/>
      <c r="G90" s="936"/>
      <c r="H90" s="936"/>
      <c r="I90" s="936"/>
      <c r="J90" s="936"/>
      <c r="K90" s="936"/>
      <c r="L90" s="936"/>
      <c r="M90" s="936"/>
      <c r="N90" s="936"/>
      <c r="O90" s="936"/>
      <c r="P90" s="936"/>
    </row>
    <row r="91" spans="1:16" ht="15">
      <c r="A91" s="936"/>
      <c r="B91" s="936"/>
      <c r="C91" s="936"/>
      <c r="D91" s="936"/>
      <c r="E91" s="936"/>
      <c r="F91" s="936"/>
      <c r="G91" s="936"/>
      <c r="H91" s="936"/>
      <c r="I91" s="936"/>
      <c r="J91" s="936"/>
      <c r="K91" s="936"/>
      <c r="L91" s="936"/>
      <c r="M91" s="936"/>
      <c r="N91" s="936"/>
      <c r="O91" s="936"/>
      <c r="P91" s="936"/>
    </row>
    <row r="92" spans="1:16" ht="15">
      <c r="A92" s="936"/>
      <c r="B92" s="936"/>
      <c r="C92" s="936"/>
      <c r="D92" s="936"/>
      <c r="E92" s="936"/>
      <c r="F92" s="936"/>
      <c r="G92" s="936"/>
      <c r="H92" s="936"/>
      <c r="I92" s="936"/>
      <c r="J92" s="936"/>
      <c r="K92" s="936"/>
      <c r="L92" s="936"/>
      <c r="M92" s="936"/>
      <c r="N92" s="936"/>
      <c r="O92" s="936"/>
      <c r="P92" s="936"/>
    </row>
    <row r="93" spans="1:16" ht="15">
      <c r="A93" s="936"/>
      <c r="B93" s="936"/>
      <c r="C93" s="936"/>
      <c r="D93" s="936"/>
      <c r="E93" s="936"/>
      <c r="F93" s="936"/>
      <c r="G93" s="936"/>
      <c r="H93" s="936"/>
      <c r="I93" s="936"/>
      <c r="J93" s="936"/>
      <c r="K93" s="936"/>
      <c r="L93" s="936"/>
      <c r="M93" s="936"/>
      <c r="N93" s="936"/>
      <c r="O93" s="936"/>
      <c r="P93" s="936"/>
    </row>
    <row r="94" spans="1:16" ht="15">
      <c r="A94" s="936"/>
      <c r="B94" s="936"/>
      <c r="C94" s="936"/>
      <c r="D94" s="936"/>
      <c r="E94" s="936"/>
      <c r="F94" s="936"/>
      <c r="G94" s="936"/>
      <c r="H94" s="936"/>
      <c r="I94" s="936"/>
      <c r="J94" s="936"/>
      <c r="K94" s="936"/>
      <c r="L94" s="936"/>
      <c r="M94" s="936"/>
      <c r="N94" s="936"/>
      <c r="O94" s="936"/>
      <c r="P94" s="936"/>
    </row>
    <row r="95" spans="1:16" ht="15">
      <c r="A95" s="936"/>
      <c r="B95" s="936"/>
      <c r="C95" s="936"/>
      <c r="D95" s="936"/>
      <c r="E95" s="936"/>
      <c r="F95" s="936"/>
      <c r="G95" s="936"/>
      <c r="H95" s="936"/>
      <c r="I95" s="936"/>
      <c r="J95" s="936"/>
      <c r="K95" s="936"/>
      <c r="L95" s="936"/>
      <c r="M95" s="936"/>
      <c r="N95" s="936"/>
      <c r="O95" s="936"/>
      <c r="P95" s="936"/>
    </row>
    <row r="96" spans="1:16" ht="15">
      <c r="A96" s="936"/>
      <c r="B96" s="936"/>
      <c r="C96" s="936"/>
      <c r="D96" s="936"/>
      <c r="E96" s="936"/>
      <c r="F96" s="936"/>
      <c r="G96" s="936"/>
      <c r="H96" s="936"/>
      <c r="I96" s="936"/>
      <c r="J96" s="936"/>
      <c r="K96" s="936"/>
      <c r="L96" s="936"/>
      <c r="M96" s="936"/>
      <c r="N96" s="936"/>
      <c r="O96" s="936"/>
      <c r="P96" s="936"/>
    </row>
    <row r="97" spans="1:16" ht="15">
      <c r="A97" s="936"/>
      <c r="B97" s="936"/>
      <c r="C97" s="936"/>
      <c r="D97" s="936"/>
      <c r="E97" s="936"/>
      <c r="F97" s="936"/>
      <c r="G97" s="936"/>
      <c r="H97" s="936"/>
      <c r="I97" s="936"/>
      <c r="J97" s="936"/>
      <c r="K97" s="936"/>
      <c r="L97" s="936"/>
      <c r="M97" s="936"/>
      <c r="N97" s="936"/>
      <c r="O97" s="936"/>
      <c r="P97" s="936"/>
    </row>
    <row r="98" spans="1:16" ht="15">
      <c r="A98" s="936"/>
      <c r="B98" s="936"/>
      <c r="C98" s="936"/>
      <c r="D98" s="936"/>
      <c r="E98" s="936"/>
      <c r="F98" s="936"/>
      <c r="G98" s="936"/>
      <c r="H98" s="936"/>
      <c r="I98" s="936"/>
      <c r="J98" s="936"/>
      <c r="K98" s="936"/>
      <c r="L98" s="936"/>
      <c r="M98" s="936"/>
      <c r="N98" s="936"/>
      <c r="O98" s="936"/>
      <c r="P98" s="936"/>
    </row>
    <row r="99" spans="1:16" ht="15">
      <c r="A99" s="936"/>
      <c r="B99" s="936"/>
      <c r="C99" s="936"/>
      <c r="D99" s="936"/>
      <c r="E99" s="936"/>
      <c r="F99" s="936"/>
      <c r="G99" s="936"/>
      <c r="H99" s="936"/>
      <c r="I99" s="936"/>
      <c r="J99" s="936"/>
      <c r="K99" s="936"/>
      <c r="L99" s="936"/>
      <c r="M99" s="936"/>
      <c r="N99" s="936"/>
      <c r="O99" s="936"/>
      <c r="P99" s="936"/>
    </row>
    <row r="100" spans="1:16" ht="15">
      <c r="A100" s="936"/>
      <c r="B100" s="936"/>
      <c r="C100" s="936"/>
      <c r="D100" s="936"/>
      <c r="E100" s="936"/>
      <c r="F100" s="936"/>
      <c r="G100" s="936"/>
      <c r="H100" s="936"/>
      <c r="I100" s="936"/>
      <c r="J100" s="936"/>
      <c r="K100" s="936"/>
      <c r="L100" s="936"/>
      <c r="M100" s="936"/>
      <c r="N100" s="936"/>
      <c r="O100" s="936"/>
      <c r="P100" s="936"/>
    </row>
    <row r="101" spans="1:16" ht="15">
      <c r="A101" s="936"/>
      <c r="B101" s="936"/>
      <c r="C101" s="936"/>
      <c r="D101" s="936"/>
      <c r="E101" s="936"/>
      <c r="F101" s="936"/>
      <c r="G101" s="936"/>
      <c r="H101" s="936"/>
      <c r="I101" s="936"/>
      <c r="J101" s="936"/>
      <c r="K101" s="936"/>
      <c r="L101" s="936"/>
      <c r="M101" s="936"/>
      <c r="N101" s="936"/>
      <c r="O101" s="936"/>
      <c r="P101" s="936"/>
    </row>
    <row r="102" spans="1:16" ht="15">
      <c r="A102" s="936"/>
      <c r="B102" s="936"/>
      <c r="C102" s="936"/>
      <c r="D102" s="936"/>
      <c r="E102" s="936"/>
      <c r="F102" s="936"/>
      <c r="G102" s="936"/>
      <c r="H102" s="936"/>
      <c r="I102" s="936"/>
      <c r="J102" s="936"/>
      <c r="K102" s="936"/>
      <c r="L102" s="936"/>
      <c r="M102" s="936"/>
      <c r="N102" s="936"/>
      <c r="O102" s="936"/>
      <c r="P102" s="936"/>
    </row>
    <row r="103" spans="1:16" ht="15">
      <c r="A103" s="936"/>
      <c r="B103" s="936"/>
      <c r="C103" s="936"/>
      <c r="D103" s="936"/>
      <c r="E103" s="936"/>
      <c r="F103" s="936"/>
      <c r="G103" s="936"/>
      <c r="H103" s="936"/>
      <c r="I103" s="936"/>
      <c r="J103" s="936"/>
      <c r="K103" s="936"/>
      <c r="L103" s="936"/>
      <c r="M103" s="936"/>
      <c r="N103" s="936"/>
      <c r="O103" s="936"/>
      <c r="P103" s="936"/>
    </row>
    <row r="104" spans="1:16" ht="15">
      <c r="A104" s="936"/>
      <c r="B104" s="936"/>
      <c r="C104" s="936"/>
      <c r="D104" s="936"/>
      <c r="E104" s="936"/>
      <c r="F104" s="936"/>
      <c r="G104" s="936"/>
      <c r="H104" s="936"/>
      <c r="I104" s="936"/>
      <c r="J104" s="936"/>
      <c r="K104" s="936"/>
      <c r="L104" s="936"/>
      <c r="M104" s="936"/>
      <c r="N104" s="936"/>
      <c r="O104" s="936"/>
      <c r="P104" s="936"/>
    </row>
    <row r="105" spans="1:16" ht="15">
      <c r="A105" s="936"/>
      <c r="B105" s="936"/>
      <c r="C105" s="936"/>
      <c r="D105" s="936"/>
      <c r="E105" s="936"/>
      <c r="F105" s="936"/>
      <c r="G105" s="936"/>
      <c r="H105" s="936"/>
      <c r="I105" s="936"/>
      <c r="J105" s="936"/>
      <c r="K105" s="936"/>
      <c r="L105" s="936"/>
      <c r="M105" s="936"/>
      <c r="N105" s="936"/>
      <c r="O105" s="936"/>
      <c r="P105" s="936"/>
    </row>
    <row r="106" spans="1:16" ht="15">
      <c r="A106" s="936"/>
      <c r="B106" s="936"/>
      <c r="C106" s="936"/>
      <c r="D106" s="936"/>
      <c r="E106" s="936"/>
      <c r="F106" s="936"/>
      <c r="G106" s="936"/>
      <c r="H106" s="936"/>
      <c r="I106" s="936"/>
      <c r="J106" s="936"/>
      <c r="K106" s="936"/>
      <c r="L106" s="936"/>
      <c r="M106" s="936"/>
      <c r="N106" s="936"/>
      <c r="O106" s="936"/>
      <c r="P106" s="936"/>
    </row>
    <row r="107" spans="1:16" ht="15">
      <c r="A107" s="936"/>
      <c r="B107" s="936"/>
      <c r="C107" s="936"/>
      <c r="D107" s="936"/>
      <c r="E107" s="936"/>
      <c r="F107" s="936"/>
      <c r="G107" s="936"/>
      <c r="H107" s="936"/>
      <c r="I107" s="936"/>
      <c r="J107" s="936"/>
      <c r="K107" s="936"/>
      <c r="L107" s="936"/>
      <c r="M107" s="936"/>
      <c r="N107" s="936"/>
      <c r="O107" s="936"/>
      <c r="P107" s="936"/>
    </row>
    <row r="108" spans="1:16" ht="15">
      <c r="A108" s="936"/>
      <c r="B108" s="936"/>
      <c r="C108" s="936"/>
      <c r="D108" s="936"/>
      <c r="E108" s="936"/>
      <c r="F108" s="936"/>
      <c r="G108" s="936"/>
      <c r="H108" s="936"/>
      <c r="I108" s="936"/>
      <c r="J108" s="936"/>
      <c r="K108" s="936"/>
      <c r="L108" s="936"/>
      <c r="M108" s="936"/>
      <c r="N108" s="936"/>
      <c r="O108" s="936"/>
      <c r="P108" s="936"/>
    </row>
    <row r="109" spans="1:16" ht="15">
      <c r="A109" s="936"/>
      <c r="B109" s="936"/>
      <c r="C109" s="936"/>
      <c r="D109" s="936"/>
      <c r="E109" s="936"/>
      <c r="F109" s="936"/>
      <c r="G109" s="936"/>
      <c r="H109" s="936"/>
      <c r="I109" s="936"/>
      <c r="J109" s="936"/>
      <c r="K109" s="936"/>
      <c r="L109" s="936"/>
      <c r="M109" s="936"/>
      <c r="N109" s="936"/>
      <c r="O109" s="936"/>
      <c r="P109" s="936"/>
    </row>
    <row r="110" spans="1:16" ht="15">
      <c r="A110" s="936"/>
      <c r="B110" s="936"/>
      <c r="C110" s="936"/>
      <c r="D110" s="936"/>
      <c r="E110" s="936"/>
      <c r="F110" s="936"/>
      <c r="G110" s="936"/>
      <c r="H110" s="936"/>
      <c r="I110" s="936"/>
      <c r="J110" s="936"/>
      <c r="K110" s="936"/>
      <c r="L110" s="936"/>
      <c r="M110" s="936"/>
      <c r="N110" s="936"/>
      <c r="O110" s="936"/>
      <c r="P110" s="936"/>
    </row>
    <row r="111" spans="1:16" ht="15">
      <c r="A111" s="936"/>
      <c r="B111" s="936"/>
      <c r="C111" s="936"/>
      <c r="D111" s="936"/>
      <c r="E111" s="936"/>
      <c r="F111" s="936"/>
      <c r="G111" s="936"/>
      <c r="H111" s="936"/>
      <c r="I111" s="936"/>
      <c r="J111" s="936"/>
      <c r="K111" s="936"/>
      <c r="L111" s="936"/>
      <c r="M111" s="936"/>
      <c r="N111" s="936"/>
      <c r="O111" s="936"/>
      <c r="P111" s="936"/>
    </row>
    <row r="112" spans="1:16" ht="15">
      <c r="A112" s="936"/>
      <c r="B112" s="936"/>
      <c r="C112" s="936"/>
      <c r="D112" s="936"/>
      <c r="E112" s="936"/>
      <c r="F112" s="936"/>
      <c r="G112" s="936"/>
      <c r="H112" s="936"/>
      <c r="I112" s="936"/>
      <c r="J112" s="936"/>
      <c r="K112" s="936"/>
      <c r="L112" s="936"/>
      <c r="M112" s="936"/>
      <c r="N112" s="936"/>
      <c r="O112" s="936"/>
      <c r="P112" s="936"/>
    </row>
    <row r="113" spans="1:16" ht="15">
      <c r="A113" s="936"/>
      <c r="B113" s="936"/>
      <c r="C113" s="936"/>
      <c r="D113" s="936"/>
      <c r="E113" s="936"/>
      <c r="F113" s="936"/>
      <c r="G113" s="936"/>
      <c r="H113" s="936"/>
      <c r="I113" s="936"/>
      <c r="J113" s="936"/>
      <c r="K113" s="936"/>
      <c r="L113" s="936"/>
      <c r="M113" s="936"/>
      <c r="N113" s="936"/>
      <c r="O113" s="936"/>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sheetData>
  <mergeCells count="4">
    <mergeCell ref="B23:C23"/>
    <mergeCell ref="B42:C42"/>
    <mergeCell ref="B13:C13"/>
    <mergeCell ref="B32:C32"/>
  </mergeCells>
  <pageMargins left="0.7" right="0.2" top="0.46" bottom="0.35" header="0.27" footer="0.17"/>
  <pageSetup scale="50" orientation="landscape" r:id="rId1"/>
  <headerFooter alignWithMargins="0">
    <oddFooter>&amp;R&amp;P</oddFooter>
  </headerFooter>
</worksheet>
</file>

<file path=xl/worksheets/sheet146.xml><?xml version="1.0" encoding="utf-8"?>
<worksheet xmlns="http://schemas.openxmlformats.org/spreadsheetml/2006/main" xmlns:r="http://schemas.openxmlformats.org/officeDocument/2006/relationships">
  <sheetPr>
    <pageSetUpPr fitToPage="1"/>
  </sheetPr>
  <dimension ref="A1:BC239"/>
  <sheetViews>
    <sheetView topLeftCell="A20" workbookViewId="0">
      <pane xSplit="3" ySplit="2" topLeftCell="I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20"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933</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918">
        <v>2047.63</v>
      </c>
      <c r="H22" s="1422">
        <v>100958.68</v>
      </c>
      <c r="I22" s="1422">
        <v>0</v>
      </c>
      <c r="J22" s="1422">
        <v>0</v>
      </c>
      <c r="K22" s="1422">
        <v>0</v>
      </c>
      <c r="L22" s="1422">
        <v>0</v>
      </c>
      <c r="M22" s="1432">
        <v>103006.31</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175355</v>
      </c>
      <c r="E23" s="1423">
        <v>21647.54</v>
      </c>
      <c r="F23" s="1422">
        <v>3853.78</v>
      </c>
      <c r="G23" s="1422">
        <v>365879.14</v>
      </c>
      <c r="H23" s="1423">
        <v>1044804.42</v>
      </c>
      <c r="I23" s="1422">
        <v>234585.21</v>
      </c>
      <c r="J23" s="1422">
        <v>0</v>
      </c>
      <c r="K23" s="1423">
        <v>329481.61</v>
      </c>
      <c r="L23" s="1423">
        <v>164052</v>
      </c>
      <c r="M23" s="1432">
        <v>2339658.6999999997</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3923</v>
      </c>
      <c r="E24" s="1422">
        <v>0</v>
      </c>
      <c r="F24" s="1422">
        <v>9464.2199999999993</v>
      </c>
      <c r="G24" s="1422">
        <v>656348.93000000005</v>
      </c>
      <c r="H24" s="1423">
        <v>1150654.99</v>
      </c>
      <c r="I24" s="1422">
        <v>110005.88</v>
      </c>
      <c r="J24" s="1422">
        <v>0</v>
      </c>
      <c r="K24" s="1423">
        <v>209649.24</v>
      </c>
      <c r="L24" s="1422">
        <v>72604</v>
      </c>
      <c r="M24" s="1432">
        <v>2212650.2599999998</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13969</v>
      </c>
      <c r="E25" s="1422">
        <v>0</v>
      </c>
      <c r="F25" s="1422">
        <v>0</v>
      </c>
      <c r="G25" s="1422">
        <v>2433.4</v>
      </c>
      <c r="H25" s="1422">
        <v>0</v>
      </c>
      <c r="I25" s="1422">
        <v>0</v>
      </c>
      <c r="J25" s="1422">
        <v>0</v>
      </c>
      <c r="K25" s="1422">
        <v>0</v>
      </c>
      <c r="L25" s="1422">
        <v>0</v>
      </c>
      <c r="M25" s="1432">
        <v>16402.400000000001</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0</v>
      </c>
      <c r="G26" s="1422">
        <v>470541.41</v>
      </c>
      <c r="H26" s="1422">
        <v>69914.34</v>
      </c>
      <c r="I26" s="1422">
        <v>73403.38</v>
      </c>
      <c r="J26" s="1422">
        <v>0</v>
      </c>
      <c r="K26" s="1422">
        <v>0</v>
      </c>
      <c r="L26" s="1422">
        <v>0</v>
      </c>
      <c r="M26" s="1432">
        <v>613859.13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288970</v>
      </c>
      <c r="E27" s="1423">
        <v>0</v>
      </c>
      <c r="F27" s="1422">
        <v>0</v>
      </c>
      <c r="G27" s="1422">
        <v>614771.88</v>
      </c>
      <c r="H27" s="1422">
        <v>252586.35</v>
      </c>
      <c r="I27" s="1422">
        <v>101474.68</v>
      </c>
      <c r="J27" s="1422">
        <v>0</v>
      </c>
      <c r="K27" s="1422">
        <v>0</v>
      </c>
      <c r="L27" s="1422">
        <v>7785</v>
      </c>
      <c r="M27" s="1432">
        <v>1265587.9099999999</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0</v>
      </c>
      <c r="G28" s="1422">
        <v>0</v>
      </c>
      <c r="H28" s="1422">
        <v>18463.09</v>
      </c>
      <c r="I28" s="1422">
        <v>1.47</v>
      </c>
      <c r="J28" s="1422">
        <v>0</v>
      </c>
      <c r="K28" s="1422">
        <v>0</v>
      </c>
      <c r="L28" s="1422">
        <v>0</v>
      </c>
      <c r="M28" s="1432">
        <v>18464.560000000001</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99256</v>
      </c>
      <c r="E29" s="1422">
        <v>0</v>
      </c>
      <c r="F29" s="1422">
        <v>0</v>
      </c>
      <c r="G29" s="1422">
        <v>188700.79999999999</v>
      </c>
      <c r="H29" s="1423">
        <v>138599.54999999999</v>
      </c>
      <c r="I29" s="1422">
        <v>61303.91</v>
      </c>
      <c r="J29" s="1422">
        <v>0</v>
      </c>
      <c r="K29" s="1422">
        <v>0</v>
      </c>
      <c r="L29" s="1422">
        <v>4479</v>
      </c>
      <c r="M29" s="1432">
        <v>492339.26</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431555</v>
      </c>
      <c r="E30" s="1422">
        <v>0</v>
      </c>
      <c r="F30" s="1422">
        <v>0</v>
      </c>
      <c r="G30" s="1422">
        <v>576663.91</v>
      </c>
      <c r="H30" s="1423">
        <v>409547.13</v>
      </c>
      <c r="I30" s="1422">
        <v>64975</v>
      </c>
      <c r="J30" s="1422">
        <v>0</v>
      </c>
      <c r="K30" s="1423">
        <v>123176.08</v>
      </c>
      <c r="L30" s="1422">
        <v>47509</v>
      </c>
      <c r="M30" s="1432">
        <v>1653426.12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72094</v>
      </c>
      <c r="E31" s="1423">
        <v>0</v>
      </c>
      <c r="F31" s="1422">
        <v>45339.9</v>
      </c>
      <c r="G31" s="1422">
        <v>807237.81</v>
      </c>
      <c r="H31" s="1423">
        <v>536003.32999999996</v>
      </c>
      <c r="I31" s="1422">
        <v>65654.149999999994</v>
      </c>
      <c r="J31" s="1422">
        <v>0</v>
      </c>
      <c r="K31" s="1422">
        <v>0</v>
      </c>
      <c r="L31" s="1423">
        <v>8865</v>
      </c>
      <c r="M31" s="1432">
        <v>1535194.19</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20402.96</v>
      </c>
      <c r="G32" s="1422">
        <v>77748.88</v>
      </c>
      <c r="H32" s="1422">
        <v>118684.96</v>
      </c>
      <c r="I32" s="1422">
        <v>44182.28</v>
      </c>
      <c r="J32" s="1422">
        <v>0</v>
      </c>
      <c r="K32" s="1422">
        <v>0</v>
      </c>
      <c r="L32" s="1423">
        <v>1508</v>
      </c>
      <c r="M32" s="1432">
        <v>262527.07999999996</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1885691</v>
      </c>
      <c r="E33" s="1422">
        <v>0</v>
      </c>
      <c r="F33" s="1422">
        <v>194690.72</v>
      </c>
      <c r="G33" s="1422">
        <v>892425.13</v>
      </c>
      <c r="H33" s="1422">
        <v>93656.42</v>
      </c>
      <c r="I33" s="1422">
        <v>1896.15</v>
      </c>
      <c r="J33" s="1422">
        <v>0</v>
      </c>
      <c r="K33" s="1422">
        <v>68383.83</v>
      </c>
      <c r="L33" s="1422">
        <v>0</v>
      </c>
      <c r="M33" s="1432">
        <v>3136743.25</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1735.16</v>
      </c>
      <c r="F34" s="1422">
        <v>5091</v>
      </c>
      <c r="G34" s="1422">
        <v>1677.26</v>
      </c>
      <c r="H34" s="1422">
        <v>1648869.45</v>
      </c>
      <c r="I34" s="1422">
        <v>91427.62</v>
      </c>
      <c r="J34" s="1422">
        <v>0</v>
      </c>
      <c r="K34" s="1423">
        <v>400.39</v>
      </c>
      <c r="L34" s="1422">
        <v>0</v>
      </c>
      <c r="M34" s="1432">
        <v>1749200.8799999997</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4528.4799999999996</v>
      </c>
      <c r="F35" s="1422">
        <v>0</v>
      </c>
      <c r="G35" s="1422">
        <v>261435.89</v>
      </c>
      <c r="H35" s="1422">
        <v>56519.29</v>
      </c>
      <c r="I35" s="1422">
        <v>0.39</v>
      </c>
      <c r="J35" s="1422">
        <v>0</v>
      </c>
      <c r="K35" s="1422">
        <v>0</v>
      </c>
      <c r="L35" s="1422">
        <v>0</v>
      </c>
      <c r="M35" s="1432">
        <v>322484.05</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0</v>
      </c>
      <c r="E36" s="1423">
        <v>199928.97</v>
      </c>
      <c r="F36" s="1423">
        <v>20000</v>
      </c>
      <c r="G36" s="1422">
        <v>2275310.08</v>
      </c>
      <c r="H36" s="1423">
        <v>687652.13</v>
      </c>
      <c r="I36" s="1422">
        <v>223334.02</v>
      </c>
      <c r="J36" s="1422">
        <v>0</v>
      </c>
      <c r="K36" s="1422">
        <v>13800.93</v>
      </c>
      <c r="L36" s="1423">
        <v>470805</v>
      </c>
      <c r="M36" s="1432">
        <v>3890831.1300000004</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856008</v>
      </c>
      <c r="E37" s="1423">
        <v>115928.27</v>
      </c>
      <c r="F37" s="1478">
        <v>160366.16</v>
      </c>
      <c r="G37" s="1422">
        <v>4085966.62</v>
      </c>
      <c r="H37" s="1423">
        <v>3062102.96</v>
      </c>
      <c r="I37" s="1423">
        <v>558911.26</v>
      </c>
      <c r="J37" s="1422">
        <v>0</v>
      </c>
      <c r="K37" s="1423">
        <v>273399.34999999998</v>
      </c>
      <c r="L37" s="1423">
        <v>30747</v>
      </c>
      <c r="M37" s="1432">
        <v>9143429.6199999992</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346006</v>
      </c>
      <c r="E38" s="1422">
        <v>389129.43</v>
      </c>
      <c r="F38" s="1423">
        <v>105432.92</v>
      </c>
      <c r="G38" s="1422">
        <v>2799559.63</v>
      </c>
      <c r="H38" s="1423">
        <v>3183161.83</v>
      </c>
      <c r="I38" s="1423">
        <v>561865.48</v>
      </c>
      <c r="J38" s="1422">
        <v>0</v>
      </c>
      <c r="K38" s="1423">
        <v>199876.2</v>
      </c>
      <c r="L38" s="1423">
        <v>10007</v>
      </c>
      <c r="M38" s="1432">
        <v>7595038.4900000012</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13944</v>
      </c>
      <c r="E39" s="1422">
        <v>2795.46</v>
      </c>
      <c r="F39" s="1422">
        <v>4557.78</v>
      </c>
      <c r="G39" s="1422">
        <v>11375.69</v>
      </c>
      <c r="H39" s="1422">
        <v>20640.48</v>
      </c>
      <c r="I39" s="1422">
        <v>16846.080000000002</v>
      </c>
      <c r="J39" s="1422">
        <v>0</v>
      </c>
      <c r="K39" s="1422">
        <v>0</v>
      </c>
      <c r="L39" s="1422">
        <v>5603</v>
      </c>
      <c r="M39" s="1432">
        <v>75762.490000000005</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161040</v>
      </c>
      <c r="E40" s="1422">
        <v>0</v>
      </c>
      <c r="F40" s="1422">
        <v>16741.669999999998</v>
      </c>
      <c r="G40" s="1422">
        <v>1043091.98</v>
      </c>
      <c r="H40" s="1422">
        <v>90149.18</v>
      </c>
      <c r="I40" s="1422">
        <v>560589.1</v>
      </c>
      <c r="J40" s="1422">
        <v>107027.54</v>
      </c>
      <c r="K40" s="1422">
        <v>0</v>
      </c>
      <c r="L40" s="1422">
        <v>0</v>
      </c>
      <c r="M40" s="1432">
        <v>1978639.4699999997</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34589</v>
      </c>
      <c r="E41" s="1422">
        <v>48263.26</v>
      </c>
      <c r="F41" s="1422">
        <v>61463.32</v>
      </c>
      <c r="G41" s="1422">
        <v>34599.910000000003</v>
      </c>
      <c r="H41" s="1423">
        <v>431988.23</v>
      </c>
      <c r="I41" s="1422">
        <v>32562.6</v>
      </c>
      <c r="J41" s="1422">
        <v>0</v>
      </c>
      <c r="K41" s="1422">
        <v>4848.6499999999996</v>
      </c>
      <c r="L41" s="1422">
        <v>0</v>
      </c>
      <c r="M41" s="1432">
        <v>648314.97</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935996</v>
      </c>
      <c r="E42" s="1423">
        <v>243779.62</v>
      </c>
      <c r="F42" s="1423">
        <v>66844.25</v>
      </c>
      <c r="G42" s="1422">
        <v>171124.94</v>
      </c>
      <c r="H42" s="1423">
        <v>932112.31</v>
      </c>
      <c r="I42" s="1423">
        <v>597698.51</v>
      </c>
      <c r="J42" s="1423">
        <v>1739389.78</v>
      </c>
      <c r="K42" s="1422">
        <v>0</v>
      </c>
      <c r="L42" s="1423">
        <v>812569</v>
      </c>
      <c r="M42" s="1432">
        <v>5499514.4100000001</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495532</v>
      </c>
      <c r="E43" s="1422">
        <v>98375.37</v>
      </c>
      <c r="F43" s="1423">
        <v>106423.38</v>
      </c>
      <c r="G43" s="1422">
        <v>587354.91</v>
      </c>
      <c r="H43" s="1423">
        <v>4129584.01</v>
      </c>
      <c r="I43" s="1423">
        <v>2590.63</v>
      </c>
      <c r="J43" s="1423">
        <v>991044.82</v>
      </c>
      <c r="K43" s="1423">
        <v>0</v>
      </c>
      <c r="L43" s="1423">
        <v>31474</v>
      </c>
      <c r="M43" s="1432">
        <v>6442379.1200000001</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515888</v>
      </c>
      <c r="E44" s="1422">
        <v>0</v>
      </c>
      <c r="F44" s="1423">
        <v>9592.7000000000007</v>
      </c>
      <c r="G44" s="1422">
        <v>128255.12</v>
      </c>
      <c r="H44" s="1422">
        <v>788316.54</v>
      </c>
      <c r="I44" s="1422">
        <v>2112.5300000000002</v>
      </c>
      <c r="J44" s="1422">
        <v>0</v>
      </c>
      <c r="K44" s="1422">
        <v>36899.81</v>
      </c>
      <c r="L44" s="1423">
        <v>368394</v>
      </c>
      <c r="M44" s="1432">
        <v>1849458.7</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5150</v>
      </c>
      <c r="E45" s="1423">
        <v>51351.65</v>
      </c>
      <c r="F45" s="1422">
        <v>1505.29</v>
      </c>
      <c r="G45" s="1422">
        <v>1494069.36</v>
      </c>
      <c r="H45" s="1423">
        <v>743953.93</v>
      </c>
      <c r="I45" s="1423">
        <v>794518.19</v>
      </c>
      <c r="J45" s="1422">
        <v>0</v>
      </c>
      <c r="K45" s="1423">
        <v>9546.8700000000008</v>
      </c>
      <c r="L45" s="1422">
        <v>638892</v>
      </c>
      <c r="M45" s="1432">
        <v>3738987.29</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402171</v>
      </c>
      <c r="E46" s="1423">
        <v>22055.97</v>
      </c>
      <c r="F46" s="1423">
        <v>80427.820000000007</v>
      </c>
      <c r="G46" s="1422">
        <v>281948.25</v>
      </c>
      <c r="H46" s="1423">
        <v>152575.57999999999</v>
      </c>
      <c r="I46" s="1422">
        <v>133284.78</v>
      </c>
      <c r="J46" s="1422">
        <v>6746.97</v>
      </c>
      <c r="K46" s="1422">
        <v>358.46</v>
      </c>
      <c r="L46" s="1423">
        <v>23249</v>
      </c>
      <c r="M46" s="1432">
        <v>1102817.8299999998</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210936</v>
      </c>
      <c r="E47" s="1423">
        <v>282.35000000000002</v>
      </c>
      <c r="F47" s="1422">
        <v>0</v>
      </c>
      <c r="G47" s="1422">
        <v>6219.77</v>
      </c>
      <c r="H47" s="1422">
        <v>40524.730000000003</v>
      </c>
      <c r="I47" s="1422">
        <v>14078.01</v>
      </c>
      <c r="J47" s="1422">
        <v>0</v>
      </c>
      <c r="K47" s="1423">
        <v>0</v>
      </c>
      <c r="L47" s="1423">
        <v>1242</v>
      </c>
      <c r="M47" s="1432">
        <v>273282.86</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1190</v>
      </c>
      <c r="E48" s="1422">
        <v>0</v>
      </c>
      <c r="F48" s="1422">
        <v>4272.72</v>
      </c>
      <c r="G48" s="1422">
        <v>141033.92000000001</v>
      </c>
      <c r="H48" s="1422">
        <v>32429.11</v>
      </c>
      <c r="I48" s="1422">
        <v>0</v>
      </c>
      <c r="J48" s="1422">
        <v>0</v>
      </c>
      <c r="K48" s="1422">
        <v>0</v>
      </c>
      <c r="L48" s="1423">
        <v>979</v>
      </c>
      <c r="M48" s="1432">
        <v>179904.75</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23271</v>
      </c>
      <c r="E49" s="1422">
        <v>0</v>
      </c>
      <c r="F49" s="1422">
        <v>3227.06</v>
      </c>
      <c r="G49" s="1423">
        <v>148836.65</v>
      </c>
      <c r="H49" s="1422">
        <v>8401.25</v>
      </c>
      <c r="I49" s="1422">
        <v>10650.57</v>
      </c>
      <c r="J49" s="1422">
        <v>0</v>
      </c>
      <c r="K49" s="1422">
        <v>0</v>
      </c>
      <c r="L49" s="1423">
        <v>7045</v>
      </c>
      <c r="M49" s="1432">
        <v>201431.53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400561</v>
      </c>
      <c r="E50" s="1423">
        <v>36792.89</v>
      </c>
      <c r="F50" s="1423">
        <v>5423.63</v>
      </c>
      <c r="G50" s="1422">
        <v>1342962.69</v>
      </c>
      <c r="H50" s="1423">
        <v>148840.95999999999</v>
      </c>
      <c r="I50" s="1422">
        <v>795704.88</v>
      </c>
      <c r="J50" s="1422">
        <v>0</v>
      </c>
      <c r="K50" s="1422">
        <v>50191.5</v>
      </c>
      <c r="L50" s="1423">
        <v>34152</v>
      </c>
      <c r="M50" s="1432">
        <v>2814629.55</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2598189</v>
      </c>
      <c r="E51" s="1433">
        <v>321510.81</v>
      </c>
      <c r="F51" s="1433">
        <v>291240.90000000002</v>
      </c>
      <c r="G51" s="1424">
        <v>2227055.2200000002</v>
      </c>
      <c r="H51" s="1433">
        <v>1165574.74</v>
      </c>
      <c r="I51" s="1433">
        <v>312141.95</v>
      </c>
      <c r="J51" s="1433">
        <v>247070.94</v>
      </c>
      <c r="K51" s="1434">
        <v>18422.02</v>
      </c>
      <c r="L51" s="1433">
        <v>624747</v>
      </c>
      <c r="M51" s="1435">
        <v>7805952.5800000001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9971284</v>
      </c>
      <c r="E52" s="1428">
        <f t="shared" ref="E52:L52" si="0">SUM(E22:E51)</f>
        <v>1558105.23</v>
      </c>
      <c r="F52" s="1428">
        <f t="shared" si="0"/>
        <v>1216362.1800000002</v>
      </c>
      <c r="G52" s="1428">
        <f t="shared" si="0"/>
        <v>21696676.809999999</v>
      </c>
      <c r="H52" s="1428">
        <f t="shared" si="0"/>
        <v>21257269.969999999</v>
      </c>
      <c r="I52" s="1428">
        <f t="shared" si="0"/>
        <v>5465798.71</v>
      </c>
      <c r="J52" s="1428">
        <f t="shared" si="0"/>
        <v>3091280.0500000003</v>
      </c>
      <c r="K52" s="1428">
        <f t="shared" si="0"/>
        <v>1338434.94</v>
      </c>
      <c r="L52" s="1428">
        <f t="shared" si="0"/>
        <v>3366707</v>
      </c>
      <c r="M52" s="1428">
        <f>SUM(M22:M51)</f>
        <v>68961918.889999986</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1413</v>
      </c>
      <c r="E56" s="1426">
        <v>43839.71</v>
      </c>
      <c r="F56" s="1479">
        <v>0</v>
      </c>
      <c r="G56" s="1426">
        <v>877952.76</v>
      </c>
      <c r="H56" s="1427">
        <v>1528065.23</v>
      </c>
      <c r="I56" s="1426">
        <v>176478</v>
      </c>
      <c r="J56" s="1426">
        <v>0</v>
      </c>
      <c r="K56" s="1426">
        <v>0</v>
      </c>
      <c r="L56" s="1427">
        <v>0</v>
      </c>
      <c r="M56" s="1440">
        <f t="shared" ref="M56:M62" si="1">SUM(D56:L56)</f>
        <v>2627748.7000000002</v>
      </c>
      <c r="O56" s="938"/>
      <c r="P56" s="936"/>
    </row>
    <row r="57" spans="1:55" ht="15.75">
      <c r="A57" s="936"/>
      <c r="B57" s="936" t="s">
        <v>598</v>
      </c>
      <c r="C57" s="932"/>
      <c r="D57" s="1427">
        <v>247985</v>
      </c>
      <c r="E57" s="1426">
        <v>0</v>
      </c>
      <c r="F57" s="1480">
        <v>0</v>
      </c>
      <c r="G57" s="1427">
        <v>3365.62</v>
      </c>
      <c r="H57" s="1426">
        <v>2466.71</v>
      </c>
      <c r="I57" s="1426">
        <v>5497</v>
      </c>
      <c r="J57" s="1426">
        <v>0</v>
      </c>
      <c r="K57" s="1426">
        <v>0</v>
      </c>
      <c r="L57" s="1426">
        <v>0</v>
      </c>
      <c r="M57" s="1440">
        <f t="shared" si="1"/>
        <v>259314.33</v>
      </c>
      <c r="O57" s="938"/>
      <c r="P57" s="936"/>
    </row>
    <row r="58" spans="1:55" ht="15.75">
      <c r="A58" s="936"/>
      <c r="B58" s="936" t="s">
        <v>599</v>
      </c>
      <c r="C58" s="932"/>
      <c r="D58" s="1426">
        <v>0</v>
      </c>
      <c r="E58" s="1426">
        <v>0</v>
      </c>
      <c r="F58" s="1480">
        <v>0</v>
      </c>
      <c r="G58" s="1426">
        <v>125966.09</v>
      </c>
      <c r="H58" s="1427">
        <v>86654.88</v>
      </c>
      <c r="I58" s="1426">
        <v>31040</v>
      </c>
      <c r="J58" s="1426">
        <v>0</v>
      </c>
      <c r="K58" s="1426">
        <v>0</v>
      </c>
      <c r="L58" s="1426">
        <v>0</v>
      </c>
      <c r="M58" s="1440">
        <f t="shared" si="1"/>
        <v>243660.97</v>
      </c>
      <c r="O58" s="938"/>
      <c r="P58" s="936"/>
    </row>
    <row r="59" spans="1:55" ht="15.75">
      <c r="A59" s="936"/>
      <c r="B59" s="936" t="s">
        <v>600</v>
      </c>
      <c r="C59" s="932"/>
      <c r="D59" s="1426">
        <v>451644</v>
      </c>
      <c r="E59" s="1427">
        <v>5690.49</v>
      </c>
      <c r="F59" s="1479">
        <v>16301.62</v>
      </c>
      <c r="G59" s="1426">
        <v>1865807.93</v>
      </c>
      <c r="H59" s="1427">
        <v>656849.62</v>
      </c>
      <c r="I59" s="1427">
        <v>192600</v>
      </c>
      <c r="J59" s="1426">
        <v>0</v>
      </c>
      <c r="K59" s="1426">
        <v>71855.39</v>
      </c>
      <c r="L59" s="1426">
        <v>3995</v>
      </c>
      <c r="M59" s="1440">
        <f t="shared" si="1"/>
        <v>3264744.0500000003</v>
      </c>
      <c r="O59" s="938"/>
      <c r="P59" s="936"/>
    </row>
    <row r="60" spans="1:55" ht="15.75">
      <c r="A60" s="936"/>
      <c r="B60" s="936" t="s">
        <v>601</v>
      </c>
      <c r="C60" s="932"/>
      <c r="D60" s="1426">
        <v>0</v>
      </c>
      <c r="E60" s="1426">
        <v>0</v>
      </c>
      <c r="F60" s="1480">
        <v>0</v>
      </c>
      <c r="G60" s="1426">
        <v>422208.66</v>
      </c>
      <c r="H60" s="1426">
        <v>592890.48</v>
      </c>
      <c r="I60" s="1426">
        <v>139708</v>
      </c>
      <c r="J60" s="1426">
        <v>0</v>
      </c>
      <c r="K60" s="1426">
        <v>0</v>
      </c>
      <c r="L60" s="1426">
        <v>15083</v>
      </c>
      <c r="M60" s="1440">
        <f t="shared" si="1"/>
        <v>1169890.1399999999</v>
      </c>
      <c r="O60" s="938"/>
      <c r="P60" s="936"/>
    </row>
    <row r="61" spans="1:55" ht="15.75">
      <c r="A61" s="936"/>
      <c r="B61" s="936" t="s">
        <v>602</v>
      </c>
      <c r="C61" s="932"/>
      <c r="D61" s="1426">
        <v>0</v>
      </c>
      <c r="E61" s="1426">
        <v>0</v>
      </c>
      <c r="F61" s="1480">
        <v>0</v>
      </c>
      <c r="G61" s="1426">
        <v>0</v>
      </c>
      <c r="H61" s="1426">
        <v>0</v>
      </c>
      <c r="I61" s="1426">
        <v>0</v>
      </c>
      <c r="J61" s="1426">
        <v>0</v>
      </c>
      <c r="K61" s="1426">
        <v>0</v>
      </c>
      <c r="L61" s="1426">
        <v>0</v>
      </c>
      <c r="M61" s="1440">
        <f t="shared" si="1"/>
        <v>0</v>
      </c>
      <c r="O61" s="938"/>
      <c r="P61" s="936"/>
    </row>
    <row r="62" spans="1:55" ht="16.5" thickBot="1">
      <c r="A62" s="936"/>
      <c r="B62" s="929" t="s">
        <v>603</v>
      </c>
      <c r="C62" s="946"/>
      <c r="D62" s="1424">
        <v>154965</v>
      </c>
      <c r="E62" s="1424">
        <v>66398.070000000007</v>
      </c>
      <c r="F62" s="1481">
        <v>144064.54</v>
      </c>
      <c r="G62" s="1424">
        <v>790665.56</v>
      </c>
      <c r="H62" s="1433">
        <v>195176.03</v>
      </c>
      <c r="I62" s="1424">
        <v>13588</v>
      </c>
      <c r="J62" s="1424">
        <v>0</v>
      </c>
      <c r="K62" s="1451">
        <v>201543.95</v>
      </c>
      <c r="L62" s="1424">
        <v>11670</v>
      </c>
      <c r="M62" s="1442">
        <f t="shared" si="1"/>
        <v>1578071.15</v>
      </c>
      <c r="O62" s="938"/>
      <c r="P62" s="936"/>
    </row>
    <row r="63" spans="1:55" ht="15.75">
      <c r="A63" s="936"/>
      <c r="B63" s="1074" t="s">
        <v>0</v>
      </c>
      <c r="C63" s="1074" t="s">
        <v>604</v>
      </c>
      <c r="D63" s="1428">
        <f t="shared" ref="D63:I63" si="2">SUM(D56:D62)</f>
        <v>856007</v>
      </c>
      <c r="E63" s="1428">
        <f t="shared" si="2"/>
        <v>115928.27</v>
      </c>
      <c r="F63" s="1428">
        <f t="shared" si="2"/>
        <v>160366.16</v>
      </c>
      <c r="G63" s="1428">
        <f t="shared" si="2"/>
        <v>4085966.62</v>
      </c>
      <c r="H63" s="1428">
        <f t="shared" si="2"/>
        <v>3062102.9499999997</v>
      </c>
      <c r="I63" s="1428">
        <f t="shared" si="2"/>
        <v>558911</v>
      </c>
      <c r="J63" s="1426" t="s">
        <v>566</v>
      </c>
      <c r="K63" s="1428">
        <f>SUM(K56:K62)</f>
        <v>273399.34000000003</v>
      </c>
      <c r="L63" s="1428">
        <f>SUM(L56:L62)</f>
        <v>30748</v>
      </c>
      <c r="M63" s="1443">
        <f>SUM(M56:M62)</f>
        <v>9143429.3399999999</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30838</v>
      </c>
      <c r="E68" s="1427">
        <v>6285.23</v>
      </c>
      <c r="F68" s="1427">
        <v>0</v>
      </c>
      <c r="G68" s="1426">
        <v>113115.28</v>
      </c>
      <c r="H68" s="1427">
        <v>92514.6</v>
      </c>
      <c r="I68" s="1427">
        <v>44944</v>
      </c>
      <c r="J68" s="1426">
        <v>0</v>
      </c>
      <c r="K68" s="1426">
        <v>0</v>
      </c>
      <c r="L68" s="1426">
        <v>0</v>
      </c>
      <c r="M68" s="1443">
        <f t="shared" ref="M68:M75" si="3">SUM(D68:L68)</f>
        <v>287697.11</v>
      </c>
      <c r="O68" s="938"/>
      <c r="P68" s="936"/>
    </row>
    <row r="69" spans="1:16" ht="15.75">
      <c r="A69" s="936"/>
      <c r="B69" s="936" t="s">
        <v>599</v>
      </c>
      <c r="C69" s="932"/>
      <c r="D69" s="1426">
        <v>0</v>
      </c>
      <c r="E69" s="1426">
        <v>0</v>
      </c>
      <c r="F69" s="1426">
        <v>0</v>
      </c>
      <c r="G69" s="1426">
        <v>11339.75</v>
      </c>
      <c r="H69" s="1426">
        <v>0</v>
      </c>
      <c r="I69" s="1426">
        <v>12397</v>
      </c>
      <c r="J69" s="1426">
        <v>0</v>
      </c>
      <c r="K69" s="1426">
        <v>0</v>
      </c>
      <c r="L69" s="1426">
        <v>1925</v>
      </c>
      <c r="M69" s="1443">
        <f t="shared" si="3"/>
        <v>25661.75</v>
      </c>
      <c r="O69" s="938"/>
      <c r="P69" s="936"/>
    </row>
    <row r="70" spans="1:16" ht="15.75">
      <c r="A70" s="936"/>
      <c r="B70" s="936" t="s">
        <v>607</v>
      </c>
      <c r="C70" s="932"/>
      <c r="D70" s="1426">
        <v>19102</v>
      </c>
      <c r="E70" s="1427">
        <v>0</v>
      </c>
      <c r="F70" s="1426">
        <v>34004.93</v>
      </c>
      <c r="G70" s="1426">
        <v>887873.39</v>
      </c>
      <c r="H70" s="1426">
        <v>1397071.53</v>
      </c>
      <c r="I70" s="1426">
        <v>83238</v>
      </c>
      <c r="J70" s="1426">
        <v>0</v>
      </c>
      <c r="K70" s="1426">
        <v>30117.03</v>
      </c>
      <c r="L70" s="1426">
        <v>0</v>
      </c>
      <c r="M70" s="1443">
        <f t="shared" si="3"/>
        <v>2451406.88</v>
      </c>
      <c r="O70" s="938"/>
      <c r="P70" s="936"/>
    </row>
    <row r="71" spans="1:16" ht="15.75">
      <c r="A71" s="936"/>
      <c r="B71" s="936" t="s">
        <v>600</v>
      </c>
      <c r="C71" s="932"/>
      <c r="D71" s="1426">
        <v>13496</v>
      </c>
      <c r="E71" s="1427">
        <v>176.88</v>
      </c>
      <c r="F71" s="1427">
        <v>21.89</v>
      </c>
      <c r="G71" s="1426">
        <v>684620.13</v>
      </c>
      <c r="H71" s="1427">
        <v>436580.32</v>
      </c>
      <c r="I71" s="1426">
        <v>137248</v>
      </c>
      <c r="J71" s="1426">
        <v>0</v>
      </c>
      <c r="K71" s="1426">
        <v>0</v>
      </c>
      <c r="L71" s="1427">
        <v>5110</v>
      </c>
      <c r="M71" s="1443">
        <f t="shared" si="3"/>
        <v>1277253.22</v>
      </c>
      <c r="O71" s="938"/>
      <c r="P71" s="936"/>
    </row>
    <row r="72" spans="1:16" ht="15.75">
      <c r="A72" s="936"/>
      <c r="B72" s="936" t="s">
        <v>608</v>
      </c>
      <c r="C72" s="932"/>
      <c r="D72" s="1426">
        <v>1772</v>
      </c>
      <c r="E72" s="1426">
        <v>1813.6</v>
      </c>
      <c r="F72" s="1426">
        <v>0</v>
      </c>
      <c r="G72" s="1426">
        <v>43769.34</v>
      </c>
      <c r="H72" s="1426">
        <v>17543.59</v>
      </c>
      <c r="I72" s="1426">
        <v>8465</v>
      </c>
      <c r="J72" s="1426">
        <v>0</v>
      </c>
      <c r="K72" s="1426">
        <v>0</v>
      </c>
      <c r="L72" s="1426">
        <v>0</v>
      </c>
      <c r="M72" s="1443">
        <f t="shared" si="3"/>
        <v>73363.53</v>
      </c>
      <c r="O72" s="938"/>
      <c r="P72" s="936"/>
    </row>
    <row r="73" spans="1:16" ht="15.75">
      <c r="A73" s="936"/>
      <c r="B73" s="936" t="s">
        <v>609</v>
      </c>
      <c r="C73" s="932"/>
      <c r="D73" s="1426">
        <v>13518</v>
      </c>
      <c r="E73" s="1426">
        <v>0</v>
      </c>
      <c r="F73" s="1426">
        <v>6196.59</v>
      </c>
      <c r="G73" s="1426">
        <v>376273.31</v>
      </c>
      <c r="H73" s="1426">
        <v>103577.42</v>
      </c>
      <c r="I73" s="1426">
        <v>174131</v>
      </c>
      <c r="J73" s="1426">
        <v>0</v>
      </c>
      <c r="K73" s="1426">
        <v>0</v>
      </c>
      <c r="L73" s="1426">
        <v>0</v>
      </c>
      <c r="M73" s="1443">
        <f t="shared" si="3"/>
        <v>673696.32000000007</v>
      </c>
      <c r="O73" s="938"/>
      <c r="P73" s="936"/>
    </row>
    <row r="74" spans="1:16" ht="15.75">
      <c r="A74" s="936"/>
      <c r="B74" s="936" t="s">
        <v>601</v>
      </c>
      <c r="C74" s="932"/>
      <c r="D74" s="1426">
        <v>0</v>
      </c>
      <c r="E74" s="1426">
        <v>0</v>
      </c>
      <c r="F74" s="1426">
        <v>0</v>
      </c>
      <c r="G74" s="1426">
        <v>175375.35</v>
      </c>
      <c r="H74" s="1426">
        <v>314069.95</v>
      </c>
      <c r="I74" s="1426">
        <v>113</v>
      </c>
      <c r="J74" s="1426">
        <v>0</v>
      </c>
      <c r="K74" s="1426">
        <v>61041.59</v>
      </c>
      <c r="L74" s="1426">
        <v>0</v>
      </c>
      <c r="M74" s="1443">
        <f t="shared" si="3"/>
        <v>550599.89</v>
      </c>
      <c r="O74" s="938"/>
      <c r="P74" s="936"/>
    </row>
    <row r="75" spans="1:16" ht="16.5" thickBot="1">
      <c r="A75" s="936"/>
      <c r="B75" s="929" t="s">
        <v>603</v>
      </c>
      <c r="C75" s="946"/>
      <c r="D75" s="1424">
        <v>267280</v>
      </c>
      <c r="E75" s="1433">
        <v>380853.72</v>
      </c>
      <c r="F75" s="1433">
        <v>65209.52</v>
      </c>
      <c r="G75" s="1424">
        <v>507193.09</v>
      </c>
      <c r="H75" s="1433">
        <v>821804.42</v>
      </c>
      <c r="I75" s="1424">
        <v>101330</v>
      </c>
      <c r="J75" s="1424">
        <v>0</v>
      </c>
      <c r="K75" s="1424">
        <v>108717.58</v>
      </c>
      <c r="L75" s="1433">
        <v>2972</v>
      </c>
      <c r="M75" s="1447">
        <f t="shared" si="3"/>
        <v>2255360.33</v>
      </c>
      <c r="O75" s="938"/>
      <c r="P75" s="936"/>
    </row>
    <row r="76" spans="1:16" ht="15.75">
      <c r="A76" s="936"/>
      <c r="C76" s="1074" t="s">
        <v>604</v>
      </c>
      <c r="D76" s="1428">
        <f t="shared" ref="D76:I76" si="4">SUM(D68:D75)</f>
        <v>346006</v>
      </c>
      <c r="E76" s="1428">
        <f t="shared" si="4"/>
        <v>389129.43</v>
      </c>
      <c r="F76" s="1428">
        <f t="shared" si="4"/>
        <v>105432.93</v>
      </c>
      <c r="G76" s="1428">
        <f t="shared" si="4"/>
        <v>2799559.64</v>
      </c>
      <c r="H76" s="1428">
        <f t="shared" si="4"/>
        <v>3183161.83</v>
      </c>
      <c r="I76" s="1428">
        <f t="shared" si="4"/>
        <v>561866</v>
      </c>
      <c r="J76" s="1426" t="s">
        <v>566</v>
      </c>
      <c r="K76" s="1428">
        <f>SUM(K68:K75)</f>
        <v>199876.2</v>
      </c>
      <c r="L76" s="1428">
        <f>SUM(L68:L75)</f>
        <v>10007</v>
      </c>
      <c r="M76" s="1443">
        <f>SUM(M68:M75)</f>
        <v>7595039.0299999993</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47.xml><?xml version="1.0" encoding="utf-8"?>
<worksheet xmlns="http://schemas.openxmlformats.org/spreadsheetml/2006/main" xmlns:r="http://schemas.openxmlformats.org/officeDocument/2006/relationships">
  <sheetPr>
    <pageSetUpPr fitToPage="1"/>
  </sheetPr>
  <dimension ref="A1:BC239"/>
  <sheetViews>
    <sheetView topLeftCell="B19" zoomScale="110" zoomScaleNormal="110"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933</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918">
        <v>0</v>
      </c>
      <c r="F22" s="918">
        <v>0</v>
      </c>
      <c r="G22" s="917">
        <v>9.4375282349979392E-5</v>
      </c>
      <c r="H22" s="917">
        <v>4.749371868658636E-3</v>
      </c>
      <c r="I22" s="918">
        <v>0</v>
      </c>
      <c r="J22" s="918">
        <v>0</v>
      </c>
      <c r="K22" s="918">
        <v>0</v>
      </c>
      <c r="L22" s="918">
        <v>0</v>
      </c>
      <c r="M22" s="1482">
        <v>1.4936694288380178E-3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v>1.7585999957477894E-2</v>
      </c>
      <c r="E23" s="917">
        <v>1.38935032006792E-2</v>
      </c>
      <c r="F23" s="917">
        <v>3.1682833150895894E-3</v>
      </c>
      <c r="G23" s="917">
        <v>1.6863372359004137E-2</v>
      </c>
      <c r="H23" s="917">
        <v>4.9150451656045847E-2</v>
      </c>
      <c r="I23" s="917">
        <v>4.2918742977272939E-2</v>
      </c>
      <c r="J23" s="917" t="s">
        <v>566</v>
      </c>
      <c r="K23" s="917">
        <v>0.24616931324282373</v>
      </c>
      <c r="L23" s="917">
        <v>4.8727733063792009E-2</v>
      </c>
      <c r="M23" s="1482">
        <v>3.3926821319052197E-2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v>3.9342977293596289E-4</v>
      </c>
      <c r="E24" s="918">
        <v>0</v>
      </c>
      <c r="F24" s="917">
        <v>7.7807581948988232E-3</v>
      </c>
      <c r="G24" s="917">
        <v>3.0251127200156699E-2</v>
      </c>
      <c r="H24" s="917">
        <v>5.4129951382463438E-2</v>
      </c>
      <c r="I24" s="917">
        <v>2.0126222321128984E-2</v>
      </c>
      <c r="J24" s="917" t="s">
        <v>566</v>
      </c>
      <c r="K24" s="917">
        <v>0.15663760242242331</v>
      </c>
      <c r="L24" s="917">
        <v>2.1565286198056439E-2</v>
      </c>
      <c r="M24" s="1482">
        <v>3.208510284537415E-2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v>1.4009228901714162E-3</v>
      </c>
      <c r="E25" s="918">
        <v>0</v>
      </c>
      <c r="F25" s="917">
        <v>0</v>
      </c>
      <c r="G25" s="917">
        <v>1.1215542459840883E-4</v>
      </c>
      <c r="H25" s="918">
        <v>0</v>
      </c>
      <c r="I25" s="918">
        <v>0</v>
      </c>
      <c r="J25" s="917" t="s">
        <v>566</v>
      </c>
      <c r="K25" s="918">
        <v>0</v>
      </c>
      <c r="L25" s="918">
        <v>0</v>
      </c>
      <c r="M25" s="1482">
        <v>2.3784720993862133E-4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8">
        <v>0</v>
      </c>
      <c r="E26" s="918">
        <v>0</v>
      </c>
      <c r="F26" s="917">
        <v>0</v>
      </c>
      <c r="G26" s="917">
        <v>2.1687257183234967E-2</v>
      </c>
      <c r="H26" s="917">
        <v>3.2889613811495477E-3</v>
      </c>
      <c r="I26" s="917">
        <v>1.3429579809754831E-2</v>
      </c>
      <c r="J26" s="917" t="s">
        <v>566</v>
      </c>
      <c r="K26" s="918">
        <v>0</v>
      </c>
      <c r="L26" s="918">
        <v>0</v>
      </c>
      <c r="M26" s="1482">
        <v>8.9014218264308522E-3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2.8980219598599338E-2</v>
      </c>
      <c r="E27" s="918">
        <v>0</v>
      </c>
      <c r="F27" s="918">
        <v>0</v>
      </c>
      <c r="G27" s="917">
        <v>2.8334840647884454E-2</v>
      </c>
      <c r="H27" s="917">
        <v>1.1882351325286387E-2</v>
      </c>
      <c r="I27" s="917">
        <v>1.8565389137793549E-2</v>
      </c>
      <c r="J27" s="917" t="s">
        <v>566</v>
      </c>
      <c r="K27" s="918">
        <v>0</v>
      </c>
      <c r="L27" s="917">
        <v>2.3123485352304195E-3</v>
      </c>
      <c r="M27" s="1482">
        <v>1.8351982229768263E-2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8">
        <v>0</v>
      </c>
      <c r="E28" s="918">
        <v>0</v>
      </c>
      <c r="F28" s="917">
        <v>0</v>
      </c>
      <c r="G28" s="918">
        <v>0</v>
      </c>
      <c r="H28" s="917">
        <v>8.6855414764250652E-4</v>
      </c>
      <c r="I28" s="918">
        <v>0</v>
      </c>
      <c r="J28" s="917" t="s">
        <v>566</v>
      </c>
      <c r="K28" s="918">
        <v>0</v>
      </c>
      <c r="L28" s="918">
        <v>0</v>
      </c>
      <c r="M28" s="1482">
        <v>2.6775009015414021E-4</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9.954184436026494E-3</v>
      </c>
      <c r="E29" s="918">
        <v>0</v>
      </c>
      <c r="F29" s="917">
        <v>0</v>
      </c>
      <c r="G29" s="917">
        <v>8.6972213142349885E-3</v>
      </c>
      <c r="H29" s="917">
        <v>6.5201011322527785E-3</v>
      </c>
      <c r="I29" s="917">
        <v>1.1215910656907453E-2</v>
      </c>
      <c r="J29" s="917" t="s">
        <v>566</v>
      </c>
      <c r="K29" s="918">
        <v>0</v>
      </c>
      <c r="L29" s="917">
        <v>1.3303801013869042E-3</v>
      </c>
      <c r="M29" s="1482">
        <v>7.1392917703656453E-3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4.3279782222630507E-2</v>
      </c>
      <c r="E30" s="918">
        <v>0</v>
      </c>
      <c r="F30" s="917">
        <v>0</v>
      </c>
      <c r="G30" s="917">
        <v>2.6578444019326297E-2</v>
      </c>
      <c r="H30" s="917">
        <v>1.9266214832760108E-2</v>
      </c>
      <c r="I30" s="917">
        <v>1.18875581497585E-2</v>
      </c>
      <c r="J30" s="917" t="s">
        <v>566</v>
      </c>
      <c r="K30" s="917">
        <v>9.2029934604068248E-2</v>
      </c>
      <c r="L30" s="917">
        <v>1.4111415100868593E-2</v>
      </c>
      <c r="M30" s="1482">
        <v>2.3975929710386288E-2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7.2301621335827968E-3</v>
      </c>
      <c r="E31" s="918">
        <v>0</v>
      </c>
      <c r="F31" s="917">
        <v>3.7274999786658936E-2</v>
      </c>
      <c r="G31" s="917">
        <v>3.7205596832596229E-2</v>
      </c>
      <c r="H31" s="917">
        <v>2.5215059636371547E-2</v>
      </c>
      <c r="I31" s="917">
        <v>1.2011812634058745E-2</v>
      </c>
      <c r="J31" s="917" t="s">
        <v>566</v>
      </c>
      <c r="K31" s="918">
        <v>0</v>
      </c>
      <c r="L31" s="917">
        <v>2.6331367713317492E-3</v>
      </c>
      <c r="M31" s="1482">
        <v>2.2261477271952986E-2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8">
        <v>0</v>
      </c>
      <c r="E32" s="918">
        <v>0</v>
      </c>
      <c r="F32" s="917">
        <v>1.6773754014614294E-2</v>
      </c>
      <c r="G32" s="917">
        <v>3.5834464734325372E-3</v>
      </c>
      <c r="H32" s="917">
        <v>5.5832644628166245E-3</v>
      </c>
      <c r="I32" s="917">
        <v>8.0834078136038778E-3</v>
      </c>
      <c r="J32" s="917" t="s">
        <v>566</v>
      </c>
      <c r="K32" s="918">
        <v>0</v>
      </c>
      <c r="L32" s="917">
        <v>4.4791542596370876E-4</v>
      </c>
      <c r="M32" s="1482">
        <v>3.8068412861125942E-3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0.18911215446275526</v>
      </c>
      <c r="E33" s="918">
        <v>0</v>
      </c>
      <c r="F33" s="917">
        <v>0.16005982691767018</v>
      </c>
      <c r="G33" s="917">
        <v>4.1131881062480558E-2</v>
      </c>
      <c r="H33" s="917">
        <v>4.4058536271203031E-3</v>
      </c>
      <c r="I33" s="917">
        <v>3.4691178738998973E-4</v>
      </c>
      <c r="J33" s="917" t="s">
        <v>566</v>
      </c>
      <c r="K33" s="917">
        <v>5.1092382570347428E-2</v>
      </c>
      <c r="L33" s="918">
        <v>0</v>
      </c>
      <c r="M33" s="1482">
        <v>4.5485150362526414E-2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8">
        <v>0</v>
      </c>
      <c r="E34" s="917">
        <v>1.1136346676661885E-3</v>
      </c>
      <c r="F34" s="917">
        <v>4.185431020224584E-3</v>
      </c>
      <c r="G34" s="917">
        <v>7.7304926219251731E-5</v>
      </c>
      <c r="H34" s="917">
        <v>7.7567319431282547E-2</v>
      </c>
      <c r="I34" s="917">
        <v>1.6727220457776425E-2</v>
      </c>
      <c r="J34" s="917" t="s">
        <v>566</v>
      </c>
      <c r="K34" s="917">
        <v>2.991478988138191E-4</v>
      </c>
      <c r="L34" s="918">
        <v>0</v>
      </c>
      <c r="M34" s="1482">
        <v>2.5364736192885252E-2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8">
        <v>0</v>
      </c>
      <c r="E35" s="917">
        <v>2.9064018994403862E-3</v>
      </c>
      <c r="F35" s="918">
        <v>0</v>
      </c>
      <c r="G35" s="917">
        <v>1.2049582168247268E-2</v>
      </c>
      <c r="H35" s="917">
        <v>2.6588216680582528E-3</v>
      </c>
      <c r="I35" s="917">
        <v>7.1352792280197232E-8</v>
      </c>
      <c r="J35" s="917" t="s">
        <v>566</v>
      </c>
      <c r="K35" s="918">
        <v>0</v>
      </c>
      <c r="L35" s="918">
        <v>0</v>
      </c>
      <c r="M35" s="1482">
        <v>4.6762627141276178E-3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8">
        <v>0</v>
      </c>
      <c r="E36" s="917">
        <v>0.1283154476029838</v>
      </c>
      <c r="F36" s="917">
        <v>1.6442471106755389E-2</v>
      </c>
      <c r="G36" s="917">
        <v>0.10486905897733194</v>
      </c>
      <c r="H36" s="917">
        <v>3.2349033105872532E-2</v>
      </c>
      <c r="I36" s="917">
        <v>4.086027163631132E-2</v>
      </c>
      <c r="J36" s="917" t="s">
        <v>566</v>
      </c>
      <c r="K36" s="917">
        <v>1.0311244564491121E-2</v>
      </c>
      <c r="L36" s="917">
        <v>0.13984139397933945</v>
      </c>
      <c r="M36" s="1482">
        <v>5.6419995160027388E-2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8.5847319161704752E-2</v>
      </c>
      <c r="E37" s="917">
        <v>7.4403363629040639E-2</v>
      </c>
      <c r="F37" s="917">
        <v>0.13184079761506559</v>
      </c>
      <c r="G37" s="917">
        <v>0.18832223274472973</v>
      </c>
      <c r="H37" s="917">
        <v>0.14404968108893995</v>
      </c>
      <c r="I37" s="917">
        <v>0.10225610009703413</v>
      </c>
      <c r="J37" s="917" t="s">
        <v>566</v>
      </c>
      <c r="K37" s="917">
        <v>0.2042679414809658</v>
      </c>
      <c r="L37" s="917">
        <v>9.1326628661181387E-3</v>
      </c>
      <c r="M37" s="1482">
        <v>0.13258664734350753</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3.4700245224185772E-2</v>
      </c>
      <c r="E38" s="917">
        <v>0.24974528196661017</v>
      </c>
      <c r="F38" s="917">
        <v>8.6678887040042618E-2</v>
      </c>
      <c r="G38" s="917">
        <v>0.12903172474365673</v>
      </c>
      <c r="H38" s="917">
        <v>0.14974462075762029</v>
      </c>
      <c r="I38" s="917">
        <v>0.10279659200988028</v>
      </c>
      <c r="J38" s="917" t="s">
        <v>566</v>
      </c>
      <c r="K38" s="917">
        <v>0.14933576076548033</v>
      </c>
      <c r="L38" s="917">
        <v>2.9723406283944519E-3</v>
      </c>
      <c r="M38" s="1482">
        <v>0.11013380445684409</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1.3984156904968308E-3</v>
      </c>
      <c r="E39" s="917">
        <v>1.794140694848961E-3</v>
      </c>
      <c r="F39" s="917">
        <v>3.7470582980473786E-3</v>
      </c>
      <c r="G39" s="917">
        <v>5.2430563904408368E-4</v>
      </c>
      <c r="H39" s="917">
        <v>9.7098451631510237E-4</v>
      </c>
      <c r="I39" s="917">
        <v>3.082089351219449E-3</v>
      </c>
      <c r="J39" s="917" t="s">
        <v>566</v>
      </c>
      <c r="K39" s="918">
        <v>0</v>
      </c>
      <c r="L39" s="917">
        <v>1.6642374878479179E-3</v>
      </c>
      <c r="M39" s="1482">
        <v>1.0986134263585023E-3</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1.6150377423810213E-2</v>
      </c>
      <c r="E40" s="918">
        <v>0</v>
      </c>
      <c r="F40" s="917">
        <v>1.3763721262691674E-2</v>
      </c>
      <c r="G40" s="917">
        <v>4.8076117330523117E-2</v>
      </c>
      <c r="H40" s="917">
        <v>4.2408634846913974E-3</v>
      </c>
      <c r="I40" s="917">
        <v>0.10256307078677619</v>
      </c>
      <c r="J40" s="917">
        <v>3.4622401810537995E-2</v>
      </c>
      <c r="K40" s="918">
        <v>0</v>
      </c>
      <c r="L40" s="918">
        <v>0</v>
      </c>
      <c r="M40" s="1482">
        <v>2.8691769339482778E-2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3.4688611817695696E-3</v>
      </c>
      <c r="E41" s="917">
        <v>3.0975610036300311E-2</v>
      </c>
      <c r="F41" s="917">
        <v>5.0530443161263032E-2</v>
      </c>
      <c r="G41" s="917">
        <v>1.5947101163461541E-3</v>
      </c>
      <c r="H41" s="917">
        <v>2.0321905428573716E-2</v>
      </c>
      <c r="I41" s="917">
        <v>5.9575190612901289E-3</v>
      </c>
      <c r="J41" s="917" t="s">
        <v>566</v>
      </c>
      <c r="K41" s="917">
        <v>3.6226265880357246E-3</v>
      </c>
      <c r="L41" s="918">
        <v>0</v>
      </c>
      <c r="M41" s="1482">
        <v>9.4010575754731596E-3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9.3869154664534674E-2</v>
      </c>
      <c r="E42" s="917">
        <v>0.1564590217054852</v>
      </c>
      <c r="F42" s="917">
        <v>5.4954232463886692E-2</v>
      </c>
      <c r="G42" s="917">
        <v>7.8871497925031772E-3</v>
      </c>
      <c r="H42" s="917">
        <v>4.3849107214401162E-2</v>
      </c>
      <c r="I42" s="917">
        <v>0.10935245546208562</v>
      </c>
      <c r="J42" s="917">
        <v>0.56267622210417323</v>
      </c>
      <c r="K42" s="918">
        <v>0</v>
      </c>
      <c r="L42" s="917">
        <v>0.24135423724131622</v>
      </c>
      <c r="M42" s="1482">
        <v>7.9747119838300684E-2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4.9695906765868866E-2</v>
      </c>
      <c r="E43" s="917">
        <v>6.3137821570626515E-2</v>
      </c>
      <c r="F43" s="917">
        <v>8.7493167536662475E-2</v>
      </c>
      <c r="G43" s="917">
        <v>2.7071192291037313E-2</v>
      </c>
      <c r="H43" s="917">
        <v>0.19426690331486626</v>
      </c>
      <c r="I43" s="917">
        <v>4.7397098529448043E-4</v>
      </c>
      <c r="J43" s="917">
        <v>0.32059367122043825</v>
      </c>
      <c r="K43" s="917">
        <v>0</v>
      </c>
      <c r="L43" s="917">
        <v>9.3486008731974591E-3</v>
      </c>
      <c r="M43" s="1482">
        <v>9.3419371498002141E-2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5.1737369028903399E-2</v>
      </c>
      <c r="E44" s="918">
        <v>0</v>
      </c>
      <c r="F44" s="917">
        <v>7.886384629288621E-3</v>
      </c>
      <c r="G44" s="917">
        <v>5.91127946105033E-3</v>
      </c>
      <c r="H44" s="917">
        <v>3.7084561710536534E-2</v>
      </c>
      <c r="I44" s="917">
        <v>3.864997801940643E-4</v>
      </c>
      <c r="J44" s="917" t="s">
        <v>566</v>
      </c>
      <c r="K44" s="917">
        <v>2.7569371433175525E-2</v>
      </c>
      <c r="L44" s="917">
        <v>0.10942264949103085</v>
      </c>
      <c r="M44" s="1482">
        <v>2.681855043723538E-2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5.1648313296462117E-4</v>
      </c>
      <c r="E45" s="917">
        <v>3.2957754721098013E-2</v>
      </c>
      <c r="F45" s="917">
        <v>1.237534366614391E-3</v>
      </c>
      <c r="G45" s="917">
        <v>6.8861668221530753E-2</v>
      </c>
      <c r="H45" s="917">
        <v>3.4997623450703161E-2</v>
      </c>
      <c r="I45" s="917">
        <v>0.14536177275361095</v>
      </c>
      <c r="J45" s="917" t="s">
        <v>566</v>
      </c>
      <c r="K45" s="917">
        <v>7.1328607126768528E-3</v>
      </c>
      <c r="L45" s="917">
        <v>0.18976762753634338</v>
      </c>
      <c r="M45" s="1482">
        <v>5.4218144596063181E-2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4.0332920013109647E-2</v>
      </c>
      <c r="E46" s="917">
        <v>1.4155635688354632E-2</v>
      </c>
      <c r="F46" s="917">
        <v>6.612160532646616E-2</v>
      </c>
      <c r="G46" s="917">
        <v>1.2994996997422667E-2</v>
      </c>
      <c r="H46" s="917">
        <v>7.1775717302987232E-3</v>
      </c>
      <c r="I46" s="917">
        <v>2.4385233901158428E-2</v>
      </c>
      <c r="J46" s="917">
        <v>2.1825812902328276E-3</v>
      </c>
      <c r="K46" s="917">
        <v>2.6782026476385921E-4</v>
      </c>
      <c r="L46" s="917">
        <v>6.9055608343702021E-3</v>
      </c>
      <c r="M46" s="1482">
        <v>1.599169291908896E-2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2.1154346822335017E-2</v>
      </c>
      <c r="E47" s="917">
        <v>1.8121369119594063E-4</v>
      </c>
      <c r="F47" s="918">
        <v>0</v>
      </c>
      <c r="G47" s="917">
        <v>2.8666924683752988E-4</v>
      </c>
      <c r="H47" s="917">
        <v>1.906393909339808E-3</v>
      </c>
      <c r="I47" s="917">
        <v>2.5756546749962552E-3</v>
      </c>
      <c r="J47" s="917" t="s">
        <v>566</v>
      </c>
      <c r="K47" s="918">
        <v>0</v>
      </c>
      <c r="L47" s="917">
        <v>3.6890647151652933E-4</v>
      </c>
      <c r="M47" s="1482">
        <v>3.9628082338588775E-3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1.1934270451027169E-4</v>
      </c>
      <c r="E48" s="918">
        <v>0</v>
      </c>
      <c r="F48" s="917">
        <v>3.5127037573627943E-3</v>
      </c>
      <c r="G48" s="917">
        <v>6.5002544507183459E-3</v>
      </c>
      <c r="H48" s="917">
        <v>1.5255538479666776E-3</v>
      </c>
      <c r="I48" s="918">
        <v>0</v>
      </c>
      <c r="J48" s="917" t="s">
        <v>566</v>
      </c>
      <c r="K48" s="917">
        <v>0</v>
      </c>
      <c r="L48" s="917">
        <v>2.9078859550296475E-4</v>
      </c>
      <c r="M48" s="1482">
        <v>2.608754989648172E-3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v>2.3338017450912039E-3</v>
      </c>
      <c r="E49" s="918">
        <v>0</v>
      </c>
      <c r="F49" s="917">
        <v>2.6530420404883024E-3</v>
      </c>
      <c r="G49" s="917">
        <v>6.8598823360543947E-3</v>
      </c>
      <c r="H49" s="917">
        <v>3.9521773077429661E-4</v>
      </c>
      <c r="I49" s="917">
        <v>1.9485843817325648E-3</v>
      </c>
      <c r="J49" s="917" t="s">
        <v>566</v>
      </c>
      <c r="K49" s="918">
        <v>0</v>
      </c>
      <c r="L49" s="917">
        <v>2.092549188272101E-3</v>
      </c>
      <c r="M49" s="1482">
        <v>2.9209095866560802E-3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4.017145635406634E-2</v>
      </c>
      <c r="E50" s="917">
        <v>2.3613867209726264E-2</v>
      </c>
      <c r="F50" s="917">
        <v>4.4588939784365863E-3</v>
      </c>
      <c r="G50" s="917">
        <v>6.1897160646326652E-2</v>
      </c>
      <c r="H50" s="917">
        <v>7.0018850120479514E-3</v>
      </c>
      <c r="I50" s="917">
        <v>0.14557888466404939</v>
      </c>
      <c r="J50" s="917" t="s">
        <v>566</v>
      </c>
      <c r="K50" s="917">
        <v>3.7500141770058691E-2</v>
      </c>
      <c r="L50" s="917">
        <v>1.0144036888270943E-2</v>
      </c>
      <c r="M50" s="1482">
        <v>4.0814258003602957E-2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v>0.26056714461246916</v>
      </c>
      <c r="E51" s="1013">
        <v>0.20634730171594379</v>
      </c>
      <c r="F51" s="1013">
        <v>0.2394360041677718</v>
      </c>
      <c r="G51" s="1013">
        <v>0.10264499211112138</v>
      </c>
      <c r="H51" s="1013">
        <v>5.4831817145143971E-2</v>
      </c>
      <c r="I51" s="1013">
        <v>5.7108204410989002E-2</v>
      </c>
      <c r="J51" s="1013">
        <v>7.9925123574617576E-2</v>
      </c>
      <c r="K51" s="1013">
        <v>1.376385168187555E-2</v>
      </c>
      <c r="L51" s="1013">
        <v>0.18556619272184957</v>
      </c>
      <c r="M51" s="1483">
        <v>0.11319221833793729</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v>
      </c>
      <c r="E52" s="934">
        <f t="shared" ref="E52:M52" si="0">SUM(E22:E51)</f>
        <v>1</v>
      </c>
      <c r="F52" s="934">
        <f t="shared" si="0"/>
        <v>0.99999999999999989</v>
      </c>
      <c r="G52" s="934">
        <f t="shared" si="0"/>
        <v>0.99999999999999978</v>
      </c>
      <c r="H52" s="934">
        <f t="shared" si="0"/>
        <v>1.0000000000000002</v>
      </c>
      <c r="I52" s="935">
        <f t="shared" si="0"/>
        <v>0.99999973105485984</v>
      </c>
      <c r="J52" s="934">
        <f t="shared" si="0"/>
        <v>0.99999999999999989</v>
      </c>
      <c r="K52" s="935">
        <f t="shared" si="0"/>
        <v>1</v>
      </c>
      <c r="L52" s="934">
        <f t="shared" si="0"/>
        <v>0.99999999999999989</v>
      </c>
      <c r="M52" s="934">
        <f t="shared" si="0"/>
        <v>1.0000000000000002</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17">
        <v>1.4170692560757471E-4</v>
      </c>
      <c r="E56" s="917">
        <v>2.8136552753885564E-2</v>
      </c>
      <c r="F56" s="918">
        <v>0</v>
      </c>
      <c r="G56" s="917">
        <v>4.0464849418568635E-2</v>
      </c>
      <c r="H56" s="917">
        <v>7.1884359193656142E-2</v>
      </c>
      <c r="I56" s="917">
        <v>3.2287687374422176E-2</v>
      </c>
      <c r="J56" s="944" t="s">
        <v>566</v>
      </c>
      <c r="K56" s="918">
        <v>0</v>
      </c>
      <c r="L56" s="918">
        <v>0</v>
      </c>
      <c r="M56" s="1482">
        <v>3.8104344285887382E-2</v>
      </c>
      <c r="O56" s="938"/>
      <c r="P56" s="936"/>
    </row>
    <row r="57" spans="1:55" ht="15.75">
      <c r="A57" s="936"/>
      <c r="B57" s="936" t="s">
        <v>598</v>
      </c>
      <c r="C57" s="932"/>
      <c r="D57" s="917">
        <v>2.4869916452083803E-2</v>
      </c>
      <c r="E57" s="918">
        <v>0</v>
      </c>
      <c r="F57" s="918">
        <v>0</v>
      </c>
      <c r="G57" s="917">
        <v>1.5512145152334045E-4</v>
      </c>
      <c r="H57" s="917">
        <v>1.1604077115646663E-4</v>
      </c>
      <c r="I57" s="917">
        <v>1.0057084593954979E-3</v>
      </c>
      <c r="J57" s="944" t="s">
        <v>566</v>
      </c>
      <c r="K57" s="918">
        <v>0</v>
      </c>
      <c r="L57" s="918">
        <v>0</v>
      </c>
      <c r="M57" s="1482">
        <v>3.7602539803689044E-3</v>
      </c>
      <c r="O57" s="938"/>
      <c r="P57" s="936"/>
    </row>
    <row r="58" spans="1:55" ht="15.75">
      <c r="A58" s="936"/>
      <c r="B58" s="936" t="s">
        <v>599</v>
      </c>
      <c r="C58" s="932"/>
      <c r="D58" s="918">
        <v>0</v>
      </c>
      <c r="E58" s="918">
        <v>0</v>
      </c>
      <c r="F58" s="918">
        <v>0</v>
      </c>
      <c r="G58" s="917">
        <v>5.8057780508553375E-3</v>
      </c>
      <c r="H58" s="917">
        <v>4.0764820751815487E-3</v>
      </c>
      <c r="I58" s="917">
        <v>5.6789504419931334E-3</v>
      </c>
      <c r="J58" s="944" t="s">
        <v>566</v>
      </c>
      <c r="K58" s="918">
        <v>0</v>
      </c>
      <c r="L58" s="918">
        <v>0</v>
      </c>
      <c r="M58" s="1482">
        <v>3.5332684171485943E-3</v>
      </c>
      <c r="O58" s="938"/>
      <c r="P58" s="936"/>
    </row>
    <row r="59" spans="1:55" ht="15.75">
      <c r="A59" s="936"/>
      <c r="B59" s="936" t="s">
        <v>600</v>
      </c>
      <c r="C59" s="932"/>
      <c r="D59" s="917">
        <v>4.5294467593140465E-2</v>
      </c>
      <c r="E59" s="917">
        <v>3.6521859309849051E-3</v>
      </c>
      <c r="F59" s="917">
        <v>1.340194579216529E-2</v>
      </c>
      <c r="G59" s="917">
        <v>8.5995101754018338E-2</v>
      </c>
      <c r="H59" s="917">
        <v>3.0899998961625836E-2</v>
      </c>
      <c r="I59" s="917">
        <v>3.5237302033758945E-2</v>
      </c>
      <c r="J59" s="944" t="s">
        <v>566</v>
      </c>
      <c r="K59" s="917">
        <v>5.3686128367210741E-2</v>
      </c>
      <c r="L59" s="917">
        <v>1.1866194474303823E-3</v>
      </c>
      <c r="M59" s="1482">
        <v>4.734125880701695E-2</v>
      </c>
      <c r="O59" s="938"/>
      <c r="P59" s="936"/>
    </row>
    <row r="60" spans="1:55" ht="15.75">
      <c r="A60" s="936"/>
      <c r="B60" s="936" t="s">
        <v>601</v>
      </c>
      <c r="C60" s="932"/>
      <c r="D60" s="918">
        <v>0</v>
      </c>
      <c r="E60" s="918">
        <v>0</v>
      </c>
      <c r="F60" s="918">
        <v>0</v>
      </c>
      <c r="G60" s="917">
        <v>1.9459600366329096E-2</v>
      </c>
      <c r="H60" s="917">
        <v>2.7891186442884509E-2</v>
      </c>
      <c r="I60" s="917">
        <v>2.5560399753543066E-2</v>
      </c>
      <c r="J60" s="944" t="s">
        <v>566</v>
      </c>
      <c r="K60" s="918">
        <v>0</v>
      </c>
      <c r="L60" s="917">
        <v>4.4800453380707027E-3</v>
      </c>
      <c r="M60" s="1482">
        <v>1.6964292160519378E-2</v>
      </c>
      <c r="O60" s="938"/>
      <c r="P60" s="936"/>
    </row>
    <row r="61" spans="1:55" ht="15.75">
      <c r="A61" s="936"/>
      <c r="B61" s="936" t="s">
        <v>602</v>
      </c>
      <c r="C61" s="932"/>
      <c r="D61" s="918">
        <v>0</v>
      </c>
      <c r="E61" s="918">
        <v>0</v>
      </c>
      <c r="F61" s="918">
        <v>0</v>
      </c>
      <c r="G61" s="918">
        <v>0</v>
      </c>
      <c r="H61" s="918">
        <v>0</v>
      </c>
      <c r="I61" s="918">
        <v>0</v>
      </c>
      <c r="J61" s="944" t="s">
        <v>566</v>
      </c>
      <c r="K61" s="918">
        <v>0</v>
      </c>
      <c r="L61" s="918">
        <v>0</v>
      </c>
      <c r="M61" s="1484">
        <v>0</v>
      </c>
      <c r="O61" s="938"/>
      <c r="P61" s="936"/>
    </row>
    <row r="62" spans="1:55" ht="16.5" thickBot="1">
      <c r="A62" s="936"/>
      <c r="B62" s="929" t="s">
        <v>603</v>
      </c>
      <c r="C62" s="946"/>
      <c r="D62" s="1416">
        <v>1.5541127902885928E-2</v>
      </c>
      <c r="E62" s="1013">
        <v>4.2614624944170176E-2</v>
      </c>
      <c r="F62" s="1013">
        <v>0.1184388518229003</v>
      </c>
      <c r="G62" s="1013">
        <v>3.6441781703434983E-2</v>
      </c>
      <c r="H62" s="1013">
        <v>9.1816131740081585E-3</v>
      </c>
      <c r="I62" s="1013">
        <v>2.4860044653931281E-3</v>
      </c>
      <c r="J62" s="931" t="s">
        <v>566</v>
      </c>
      <c r="K62" s="1416">
        <v>0.15058180564234225</v>
      </c>
      <c r="L62" s="1013">
        <v>3.4662951067615921E-3</v>
      </c>
      <c r="M62" s="1483">
        <v>2.2883225632354502E-2</v>
      </c>
      <c r="O62" s="938"/>
      <c r="P62" s="936"/>
    </row>
    <row r="63" spans="1:55" ht="15.75">
      <c r="A63" s="936"/>
      <c r="B63" s="1074" t="s">
        <v>0</v>
      </c>
      <c r="C63" s="1074" t="s">
        <v>604</v>
      </c>
      <c r="D63" s="934">
        <f t="shared" ref="D63:I63" si="1">SUM(D56:D62)</f>
        <v>8.5847218873717768E-2</v>
      </c>
      <c r="E63" s="934">
        <f t="shared" si="1"/>
        <v>7.4403363629040653E-2</v>
      </c>
      <c r="F63" s="934">
        <f t="shared" si="1"/>
        <v>0.13184079761506559</v>
      </c>
      <c r="G63" s="934">
        <f t="shared" si="1"/>
        <v>0.18832223274472973</v>
      </c>
      <c r="H63" s="934">
        <f t="shared" si="1"/>
        <v>0.14404968061851264</v>
      </c>
      <c r="I63" s="935">
        <f t="shared" si="1"/>
        <v>0.10225605252850595</v>
      </c>
      <c r="J63" s="944" t="s">
        <v>566</v>
      </c>
      <c r="K63" s="935">
        <f>SUM(K56:K62)</f>
        <v>0.20426793400955298</v>
      </c>
      <c r="L63" s="934">
        <f>SUM(L56:L62)</f>
        <v>9.1329598922626765E-3</v>
      </c>
      <c r="M63" s="1079">
        <f>SUM(M56:M62)</f>
        <v>0.1325866432832957</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17">
        <v>3.0926809425947553E-3</v>
      </c>
      <c r="E68" s="917">
        <v>4.0338931408374773E-3</v>
      </c>
      <c r="F68" s="918">
        <v>0</v>
      </c>
      <c r="G68" s="917">
        <v>5.213484119736953E-3</v>
      </c>
      <c r="H68" s="917">
        <v>4.3521392977820851E-3</v>
      </c>
      <c r="I68" s="917">
        <v>8.2227689647209855E-3</v>
      </c>
      <c r="J68" s="944" t="s">
        <v>566</v>
      </c>
      <c r="K68" s="918">
        <v>0</v>
      </c>
      <c r="L68" s="918">
        <v>0</v>
      </c>
      <c r="M68" s="1482">
        <v>4.1718257645774167E-3</v>
      </c>
      <c r="O68" s="938"/>
      <c r="P68" s="936"/>
    </row>
    <row r="69" spans="1:16" ht="15.75">
      <c r="A69" s="936"/>
      <c r="B69" s="936" t="s">
        <v>599</v>
      </c>
      <c r="C69" s="932"/>
      <c r="D69" s="918">
        <v>0</v>
      </c>
      <c r="E69" s="918">
        <v>0</v>
      </c>
      <c r="F69" s="918">
        <v>0</v>
      </c>
      <c r="G69" s="917">
        <v>5.2264916416939523E-4</v>
      </c>
      <c r="H69" s="918">
        <v>0</v>
      </c>
      <c r="I69" s="917">
        <v>2.2681040151220646E-3</v>
      </c>
      <c r="J69" s="944" t="s">
        <v>566</v>
      </c>
      <c r="K69" s="918">
        <v>0</v>
      </c>
      <c r="L69" s="917">
        <v>5.7177532823616671E-4</v>
      </c>
      <c r="M69" s="1482">
        <v>3.7211479049665993E-4</v>
      </c>
      <c r="O69" s="938"/>
      <c r="P69" s="936"/>
    </row>
    <row r="70" spans="1:16" ht="15.75">
      <c r="A70" s="936"/>
      <c r="B70" s="936" t="s">
        <v>607</v>
      </c>
      <c r="C70" s="932"/>
      <c r="D70" s="917">
        <v>1.9157011273573193E-3</v>
      </c>
      <c r="E70" s="918">
        <v>0</v>
      </c>
      <c r="F70" s="917">
        <v>2.7956253950611975E-2</v>
      </c>
      <c r="G70" s="917">
        <v>4.0922091331091731E-2</v>
      </c>
      <c r="H70" s="917">
        <v>6.5722058005174791E-2</v>
      </c>
      <c r="I70" s="917">
        <v>1.5228881343125788E-2</v>
      </c>
      <c r="J70" s="944" t="s">
        <v>566</v>
      </c>
      <c r="K70" s="917">
        <v>2.2501676472970737E-2</v>
      </c>
      <c r="L70" s="918">
        <v>0</v>
      </c>
      <c r="M70" s="1482">
        <v>3.5547254476926582E-2</v>
      </c>
      <c r="O70" s="938"/>
      <c r="P70" s="936"/>
    </row>
    <row r="71" spans="1:16" ht="15.75">
      <c r="A71" s="936"/>
      <c r="B71" s="936" t="s">
        <v>600</v>
      </c>
      <c r="C71" s="932"/>
      <c r="D71" s="917">
        <v>1.3534866723282578E-3</v>
      </c>
      <c r="E71" s="917">
        <v>1.1352249937573215E-4</v>
      </c>
      <c r="F71" s="918">
        <v>0</v>
      </c>
      <c r="G71" s="917">
        <v>3.1554147024232697E-2</v>
      </c>
      <c r="H71" s="917">
        <v>2.0537929876044192E-2</v>
      </c>
      <c r="I71" s="917">
        <v>2.5110328294544897E-2</v>
      </c>
      <c r="J71" s="944" t="s">
        <v>566</v>
      </c>
      <c r="K71" s="918">
        <v>0</v>
      </c>
      <c r="L71" s="917">
        <v>1.5178035985905516E-3</v>
      </c>
      <c r="M71" s="1482">
        <v>1.8521138050658442E-2</v>
      </c>
      <c r="O71" s="938"/>
      <c r="P71" s="936"/>
    </row>
    <row r="72" spans="1:16" ht="15.75">
      <c r="A72" s="936"/>
      <c r="B72" s="936" t="s">
        <v>608</v>
      </c>
      <c r="C72" s="932"/>
      <c r="D72" s="917">
        <v>1.7771031293462307E-4</v>
      </c>
      <c r="E72" s="917">
        <v>1.1639778656028258E-3</v>
      </c>
      <c r="F72" s="918">
        <v>0</v>
      </c>
      <c r="G72" s="917">
        <v>2.0173292151278535E-3</v>
      </c>
      <c r="H72" s="917">
        <v>8.2529835791514861E-4</v>
      </c>
      <c r="I72" s="917">
        <v>1.5487215042355631E-3</v>
      </c>
      <c r="J72" s="944" t="s">
        <v>566</v>
      </c>
      <c r="K72" s="918">
        <v>0</v>
      </c>
      <c r="L72" s="918">
        <v>0</v>
      </c>
      <c r="M72" s="1482">
        <v>1.0638266913225102E-3</v>
      </c>
      <c r="O72" s="938"/>
      <c r="P72" s="936"/>
    </row>
    <row r="73" spans="1:16" ht="15.75">
      <c r="A73" s="936"/>
      <c r="B73" s="936" t="s">
        <v>609</v>
      </c>
      <c r="C73" s="932"/>
      <c r="D73" s="917">
        <v>1.3556930080418932E-3</v>
      </c>
      <c r="E73" s="918">
        <v>0</v>
      </c>
      <c r="F73" s="917">
        <v>5.0943626017704684E-3</v>
      </c>
      <c r="G73" s="917">
        <v>1.7342439733746488E-2</v>
      </c>
      <c r="H73" s="917">
        <v>4.8725645459730691E-3</v>
      </c>
      <c r="I73" s="917">
        <v>3.1858289929597501E-2</v>
      </c>
      <c r="J73" s="944" t="s">
        <v>566</v>
      </c>
      <c r="K73" s="918">
        <v>0</v>
      </c>
      <c r="L73" s="918">
        <v>0</v>
      </c>
      <c r="M73" s="1482">
        <v>9.7691063538211855E-3</v>
      </c>
      <c r="O73" s="938"/>
      <c r="P73" s="936"/>
    </row>
    <row r="74" spans="1:16" ht="15.75">
      <c r="A74" s="936"/>
      <c r="B74" s="936" t="s">
        <v>601</v>
      </c>
      <c r="C74" s="932"/>
      <c r="D74" s="918">
        <v>0</v>
      </c>
      <c r="E74" s="918">
        <v>0</v>
      </c>
      <c r="F74" s="918">
        <v>0</v>
      </c>
      <c r="G74" s="917">
        <v>8.0830512218889438E-3</v>
      </c>
      <c r="H74" s="917">
        <v>1.477470768557022E-2</v>
      </c>
      <c r="I74" s="918">
        <v>0</v>
      </c>
      <c r="J74" s="944" t="s">
        <v>566</v>
      </c>
      <c r="K74" s="917">
        <v>4.5606691947238015E-2</v>
      </c>
      <c r="L74" s="918">
        <v>0</v>
      </c>
      <c r="M74" s="1482">
        <v>7.9841149849419479E-3</v>
      </c>
      <c r="O74" s="938"/>
      <c r="P74" s="936"/>
    </row>
    <row r="75" spans="1:16" ht="16.5" thickBot="1">
      <c r="A75" s="936"/>
      <c r="B75" s="929" t="s">
        <v>603</v>
      </c>
      <c r="C75" s="946"/>
      <c r="D75" s="1416">
        <v>2.6804973160928922E-2</v>
      </c>
      <c r="E75" s="1013">
        <v>0.24443388846079411</v>
      </c>
      <c r="F75" s="1013">
        <v>5.3610282424269379E-2</v>
      </c>
      <c r="G75" s="1013">
        <v>2.3376533394562745E-2</v>
      </c>
      <c r="H75" s="1013">
        <v>3.865992298916078E-2</v>
      </c>
      <c r="I75" s="1013">
        <v>1.8538919081416375E-2</v>
      </c>
      <c r="J75" s="931" t="s">
        <v>566</v>
      </c>
      <c r="K75" s="1416">
        <v>8.1227392345271571E-2</v>
      </c>
      <c r="L75" s="1013">
        <v>8.8276170156773373E-4</v>
      </c>
      <c r="M75" s="1483">
        <v>3.2704431174507893E-2</v>
      </c>
      <c r="O75" s="938"/>
      <c r="P75" s="936"/>
    </row>
    <row r="76" spans="1:16" ht="15.75">
      <c r="A76" s="936"/>
      <c r="C76" s="1074" t="s">
        <v>604</v>
      </c>
      <c r="D76" s="934">
        <f t="shared" ref="D76:I76" si="2">SUM(D68:D75)</f>
        <v>3.4700245224185772E-2</v>
      </c>
      <c r="E76" s="934">
        <f t="shared" si="2"/>
        <v>0.24974528196661014</v>
      </c>
      <c r="F76" s="934">
        <f t="shared" si="2"/>
        <v>8.6660898976651829E-2</v>
      </c>
      <c r="G76" s="934">
        <f t="shared" si="2"/>
        <v>0.1290317252045568</v>
      </c>
      <c r="H76" s="934">
        <f t="shared" si="2"/>
        <v>0.14974462075762029</v>
      </c>
      <c r="I76" s="935">
        <f t="shared" si="2"/>
        <v>0.10277601313276317</v>
      </c>
      <c r="J76" s="944" t="s">
        <v>566</v>
      </c>
      <c r="K76" s="935">
        <f>SUM(K68:K75)</f>
        <v>0.14933576076548033</v>
      </c>
      <c r="L76" s="935">
        <f>SUM(L68:L75)</f>
        <v>2.9723406283944519E-3</v>
      </c>
      <c r="M76" s="1079">
        <f>SUM(M68:M75)</f>
        <v>0.11013381228725264</v>
      </c>
      <c r="O76" s="938"/>
      <c r="P76" s="936"/>
    </row>
    <row r="77" spans="1:16" ht="15">
      <c r="A77" s="936"/>
      <c r="B77" s="936"/>
      <c r="C77" s="936"/>
      <c r="D77" s="936"/>
      <c r="E77" s="936"/>
      <c r="F77" s="938"/>
      <c r="G77" s="938"/>
      <c r="H77" s="938"/>
      <c r="I77" s="967" t="s">
        <v>0</v>
      </c>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48.xml><?xml version="1.0" encoding="utf-8"?>
<worksheet xmlns="http://schemas.openxmlformats.org/spreadsheetml/2006/main" xmlns:r="http://schemas.openxmlformats.org/officeDocument/2006/relationships">
  <sheetPr>
    <pageSetUpPr fitToPage="1"/>
  </sheetPr>
  <dimension ref="A1:BC205"/>
  <sheetViews>
    <sheetView topLeftCell="A7" zoomScale="110" zoomScaleNormal="110" workbookViewId="0">
      <pane xSplit="3" ySplit="7" topLeftCell="D14"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1" width="5.875" style="889" customWidth="1"/>
    <col min="2" max="2" width="33.75" style="889" customWidth="1"/>
    <col min="3" max="3" width="28.25" style="889" customWidth="1"/>
    <col min="4" max="4" width="16.625" style="889" customWidth="1"/>
    <col min="5" max="5" width="17.125" style="889" customWidth="1"/>
    <col min="6" max="6" width="15.5" style="889" customWidth="1"/>
    <col min="7" max="7" width="18.5" style="889" customWidth="1"/>
    <col min="8" max="8" width="15.875" style="889" customWidth="1"/>
    <col min="9" max="9" width="16.125" style="889" customWidth="1"/>
    <col min="10" max="10" width="15.25" style="889" customWidth="1"/>
    <col min="11" max="11" width="13.875" style="889" customWidth="1"/>
    <col min="12" max="12" width="16.875" style="889" customWidth="1"/>
    <col min="13" max="13" width="14.625" style="889" customWidth="1"/>
    <col min="14" max="14" width="13.625" style="889" customWidth="1"/>
    <col min="15" max="16384" width="9" style="889"/>
  </cols>
  <sheetData>
    <row r="1" spans="1:55" ht="18">
      <c r="A1" s="888"/>
      <c r="B1" s="888"/>
      <c r="C1" s="888"/>
      <c r="D1" s="888"/>
      <c r="E1" s="888"/>
      <c r="F1" s="888"/>
    </row>
    <row r="2" spans="1:55" ht="30">
      <c r="A2" s="890" t="s">
        <v>515</v>
      </c>
      <c r="B2" s="891"/>
      <c r="C2" s="892"/>
      <c r="D2" s="892"/>
      <c r="E2" s="892"/>
      <c r="F2" s="892"/>
      <c r="G2" s="893"/>
      <c r="H2" s="893"/>
      <c r="I2" s="893"/>
      <c r="J2" s="893"/>
      <c r="K2" s="893"/>
      <c r="L2" s="893"/>
      <c r="M2" s="893"/>
      <c r="N2" s="893"/>
    </row>
    <row r="3" spans="1:55" ht="30">
      <c r="A3" s="894"/>
      <c r="B3" s="891"/>
      <c r="C3" s="892"/>
      <c r="D3" s="892"/>
      <c r="E3" s="892"/>
      <c r="F3" s="892"/>
      <c r="G3" s="893"/>
      <c r="H3" s="893"/>
      <c r="I3" s="893"/>
      <c r="J3" s="893"/>
      <c r="K3" s="893"/>
      <c r="L3" s="893"/>
      <c r="M3" s="893"/>
      <c r="N3" s="893"/>
    </row>
    <row r="4" spans="1:55" ht="30">
      <c r="A4" s="890" t="s">
        <v>560</v>
      </c>
      <c r="B4" s="891"/>
      <c r="C4" s="892"/>
      <c r="D4" s="892"/>
      <c r="E4" s="892"/>
      <c r="F4" s="892"/>
      <c r="G4" s="893"/>
      <c r="H4" s="893"/>
      <c r="I4" s="893"/>
      <c r="J4" s="893"/>
      <c r="K4" s="893"/>
      <c r="L4" s="893"/>
      <c r="M4" s="893"/>
      <c r="N4" s="893"/>
    </row>
    <row r="5" spans="1:55" ht="30">
      <c r="A5" s="890"/>
      <c r="B5" s="890" t="s">
        <v>933</v>
      </c>
      <c r="C5" s="892"/>
      <c r="D5" s="892"/>
      <c r="E5" s="892"/>
      <c r="F5" s="892"/>
      <c r="G5" s="893"/>
      <c r="H5" s="893"/>
      <c r="I5" s="893"/>
      <c r="J5" s="893"/>
      <c r="K5" s="893"/>
      <c r="L5" s="893"/>
      <c r="M5" s="893"/>
      <c r="N5" s="893"/>
    </row>
    <row r="6" spans="1:55" ht="18">
      <c r="A6" s="895"/>
      <c r="B6" s="891"/>
      <c r="C6" s="892"/>
      <c r="D6" s="892"/>
      <c r="E6" s="892"/>
      <c r="F6" s="892"/>
    </row>
    <row r="7" spans="1:55" ht="18">
      <c r="A7" s="895"/>
      <c r="B7" s="891"/>
      <c r="C7" s="892"/>
      <c r="D7" s="892"/>
      <c r="E7" s="892"/>
      <c r="F7" s="892"/>
    </row>
    <row r="8" spans="1:55" ht="18">
      <c r="A8" s="895"/>
      <c r="B8" s="891"/>
      <c r="C8" s="892"/>
      <c r="D8" s="892"/>
      <c r="E8" s="892"/>
      <c r="F8" s="892"/>
    </row>
    <row r="9" spans="1:55" ht="18">
      <c r="A9" s="895"/>
      <c r="D9" s="900"/>
      <c r="E9" s="900"/>
      <c r="F9" s="900"/>
      <c r="G9" s="900"/>
      <c r="H9" s="900"/>
      <c r="I9" s="901"/>
      <c r="J9" s="901"/>
      <c r="K9" s="901"/>
      <c r="L9" s="901"/>
      <c r="M9" s="901"/>
      <c r="N9" s="901"/>
    </row>
    <row r="10" spans="1:55" ht="18">
      <c r="A10" s="895"/>
      <c r="D10" s="900"/>
      <c r="E10" s="900"/>
      <c r="F10" s="900"/>
      <c r="G10" s="900"/>
      <c r="H10" s="900"/>
      <c r="I10" s="901"/>
      <c r="J10" s="901"/>
      <c r="K10" s="901"/>
      <c r="L10" s="901"/>
      <c r="M10" s="901"/>
      <c r="N10" s="901"/>
    </row>
    <row r="11" spans="1:55" ht="18">
      <c r="A11" s="908" t="s">
        <v>0</v>
      </c>
      <c r="B11" s="888"/>
      <c r="C11" s="909"/>
      <c r="D11" s="909"/>
      <c r="E11" s="909"/>
      <c r="F11" s="909"/>
      <c r="G11" s="901"/>
      <c r="H11" s="901" t="s">
        <v>0</v>
      </c>
      <c r="I11" s="901"/>
      <c r="J11" s="901" t="s">
        <v>0</v>
      </c>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1"/>
      <c r="AJ11" s="901"/>
      <c r="AK11" s="901"/>
      <c r="AL11" s="901"/>
      <c r="AM11" s="901"/>
      <c r="AN11" s="901"/>
      <c r="AO11" s="901"/>
      <c r="AP11" s="901"/>
      <c r="AQ11" s="901"/>
      <c r="AR11" s="901"/>
      <c r="AS11" s="901"/>
      <c r="AT11" s="901"/>
      <c r="AU11" s="901"/>
      <c r="AV11" s="901"/>
      <c r="AW11" s="901"/>
      <c r="AX11" s="901"/>
      <c r="AY11" s="901"/>
      <c r="AZ11" s="901"/>
      <c r="BA11" s="901"/>
      <c r="BB11" s="901"/>
      <c r="BC11" s="901"/>
    </row>
    <row r="12" spans="1:55" ht="18">
      <c r="A12" s="891"/>
      <c r="B12" s="888"/>
      <c r="C12" s="909"/>
      <c r="D12" s="909"/>
      <c r="E12" s="909"/>
      <c r="F12" s="909"/>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1"/>
      <c r="AJ12" s="901"/>
      <c r="AK12" s="901"/>
      <c r="AL12" s="901"/>
      <c r="AM12" s="901"/>
      <c r="AN12" s="901"/>
      <c r="AO12" s="901"/>
      <c r="AP12" s="901"/>
      <c r="AQ12" s="901"/>
      <c r="AR12" s="901"/>
      <c r="AS12" s="901"/>
      <c r="AT12" s="901"/>
      <c r="AU12" s="901"/>
      <c r="AV12" s="901"/>
      <c r="AW12" s="901"/>
      <c r="AX12" s="901"/>
      <c r="AY12" s="901"/>
      <c r="AZ12" s="901"/>
      <c r="BA12" s="901"/>
      <c r="BB12" s="901"/>
      <c r="BC12" s="901"/>
    </row>
    <row r="13" spans="1:55" ht="18.75" thickBot="1">
      <c r="A13" s="1488" t="s">
        <v>0</v>
      </c>
      <c r="B13" s="1563" t="s">
        <v>922</v>
      </c>
      <c r="C13" s="1564"/>
      <c r="D13" s="913" t="s">
        <v>59</v>
      </c>
      <c r="E13" s="913" t="s">
        <v>60</v>
      </c>
      <c r="F13" s="913" t="s">
        <v>61</v>
      </c>
      <c r="G13" s="1208" t="s">
        <v>64</v>
      </c>
      <c r="H13" s="913" t="s">
        <v>65</v>
      </c>
      <c r="I13" s="913" t="s">
        <v>66</v>
      </c>
      <c r="J13" s="913" t="s">
        <v>564</v>
      </c>
      <c r="K13" s="913" t="s">
        <v>68</v>
      </c>
      <c r="L13" s="913" t="s">
        <v>69</v>
      </c>
      <c r="M13" s="911" t="s">
        <v>621</v>
      </c>
      <c r="O13" s="907"/>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c r="AZ13" s="901"/>
      <c r="BA13" s="901"/>
      <c r="BB13" s="901"/>
      <c r="BC13" s="901"/>
    </row>
    <row r="14" spans="1:55" ht="24" customHeight="1">
      <c r="A14" s="936"/>
      <c r="B14" s="1489" t="s">
        <v>923</v>
      </c>
      <c r="C14" s="943"/>
      <c r="D14" s="1422">
        <v>1202014</v>
      </c>
      <c r="E14" s="1422">
        <v>505057.7</v>
      </c>
      <c r="F14" s="1422">
        <v>265799.08</v>
      </c>
      <c r="G14" s="1422">
        <v>6885526.25</v>
      </c>
      <c r="H14" s="1422">
        <v>6245264.79</v>
      </c>
      <c r="I14" s="1422">
        <v>1120776.74</v>
      </c>
      <c r="J14" s="1422">
        <v>0</v>
      </c>
      <c r="K14" s="1422">
        <v>473275.55</v>
      </c>
      <c r="L14" s="1422">
        <v>40754</v>
      </c>
      <c r="M14" s="1491">
        <f t="shared" ref="M14:M22" si="0">SUM(D14:L14)</f>
        <v>16738468.110000001</v>
      </c>
      <c r="O14" s="938"/>
      <c r="P14" s="936"/>
    </row>
    <row r="15" spans="1:55" ht="24" customHeight="1">
      <c r="A15" s="936"/>
      <c r="B15" s="1489" t="s">
        <v>924</v>
      </c>
      <c r="C15" s="932"/>
      <c r="D15" s="1422">
        <v>1218263</v>
      </c>
      <c r="E15" s="1422">
        <v>113278.32</v>
      </c>
      <c r="F15" s="1422">
        <v>116155.97</v>
      </c>
      <c r="G15" s="1422">
        <v>4469538.3099999996</v>
      </c>
      <c r="H15" s="1422">
        <v>1237515.22</v>
      </c>
      <c r="I15" s="1422">
        <v>2325671.61</v>
      </c>
      <c r="J15" s="1422">
        <v>113774.51</v>
      </c>
      <c r="K15" s="1422">
        <v>60096.83</v>
      </c>
      <c r="L15" s="1422">
        <v>711162</v>
      </c>
      <c r="M15" s="1491">
        <f t="shared" si="0"/>
        <v>10365455.77</v>
      </c>
      <c r="O15" s="938"/>
      <c r="P15" s="936"/>
    </row>
    <row r="16" spans="1:55" ht="24" customHeight="1">
      <c r="A16" s="936"/>
      <c r="B16" s="1489" t="s">
        <v>925</v>
      </c>
      <c r="C16" s="932"/>
      <c r="D16" s="1422">
        <v>1085122</v>
      </c>
      <c r="E16" s="1422">
        <v>21647.54</v>
      </c>
      <c r="F16" s="1422">
        <v>79060.86</v>
      </c>
      <c r="G16" s="1422">
        <v>3760326.16</v>
      </c>
      <c r="H16" s="1422">
        <v>3739258.1599999997</v>
      </c>
      <c r="I16" s="1422">
        <v>755585.96</v>
      </c>
      <c r="J16" s="1422">
        <v>0</v>
      </c>
      <c r="K16" s="1422">
        <v>662306.92999999993</v>
      </c>
      <c r="L16" s="1422">
        <v>306802</v>
      </c>
      <c r="M16" s="1491">
        <f t="shared" si="0"/>
        <v>10410109.609999999</v>
      </c>
      <c r="O16" s="938"/>
      <c r="P16" s="936"/>
    </row>
    <row r="17" spans="1:16" ht="24" customHeight="1">
      <c r="A17" s="936"/>
      <c r="B17" s="1489" t="s">
        <v>926</v>
      </c>
      <c r="C17" s="932"/>
      <c r="D17" s="1422">
        <v>2598189</v>
      </c>
      <c r="E17" s="1422">
        <v>321510.81</v>
      </c>
      <c r="F17" s="1422">
        <v>291240.90000000002</v>
      </c>
      <c r="G17" s="1422">
        <v>2227055.2200000002</v>
      </c>
      <c r="H17" s="1422">
        <v>1165574.74</v>
      </c>
      <c r="I17" s="1422">
        <v>312141.95</v>
      </c>
      <c r="J17" s="1422">
        <v>247070.94</v>
      </c>
      <c r="K17" s="1422">
        <v>18422.02</v>
      </c>
      <c r="L17" s="1422">
        <v>624747</v>
      </c>
      <c r="M17" s="1491">
        <f t="shared" si="0"/>
        <v>7805952.5800000001</v>
      </c>
      <c r="O17" s="938"/>
      <c r="P17" s="936"/>
    </row>
    <row r="18" spans="1:16" ht="24" customHeight="1">
      <c r="A18" s="936"/>
      <c r="B18" s="1489" t="s">
        <v>927</v>
      </c>
      <c r="C18" s="932"/>
      <c r="D18" s="1422">
        <v>1431528</v>
      </c>
      <c r="E18" s="1422">
        <v>342154.99</v>
      </c>
      <c r="F18" s="1422">
        <v>173267.63</v>
      </c>
      <c r="G18" s="1422">
        <v>758479.85000000009</v>
      </c>
      <c r="H18" s="1422">
        <v>5061696.32</v>
      </c>
      <c r="I18" s="1422">
        <v>600289.14</v>
      </c>
      <c r="J18" s="1422">
        <v>2730434.6</v>
      </c>
      <c r="K18" s="1422">
        <v>0</v>
      </c>
      <c r="L18" s="1422">
        <v>844043</v>
      </c>
      <c r="M18" s="1491">
        <f t="shared" si="0"/>
        <v>11941893.530000001</v>
      </c>
      <c r="O18" s="938"/>
      <c r="P18" s="936"/>
    </row>
    <row r="19" spans="1:16" ht="24" customHeight="1">
      <c r="A19" s="936"/>
      <c r="B19" s="1489" t="s">
        <v>928</v>
      </c>
      <c r="C19" s="932"/>
      <c r="D19" s="1422">
        <v>550477</v>
      </c>
      <c r="E19" s="1422">
        <v>48263.26</v>
      </c>
      <c r="F19" s="1422">
        <v>71056.02</v>
      </c>
      <c r="G19" s="1422">
        <v>162855.03</v>
      </c>
      <c r="H19" s="1422">
        <v>1220304.77</v>
      </c>
      <c r="I19" s="1422">
        <v>34675.129999999997</v>
      </c>
      <c r="J19" s="1422">
        <v>0</v>
      </c>
      <c r="K19" s="1422">
        <v>41748.46</v>
      </c>
      <c r="L19" s="1422">
        <v>368394</v>
      </c>
      <c r="M19" s="1491">
        <f t="shared" si="0"/>
        <v>2497773.67</v>
      </c>
      <c r="O19" s="938"/>
      <c r="P19" s="936"/>
    </row>
    <row r="20" spans="1:16" ht="24" customHeight="1">
      <c r="A20" s="936"/>
      <c r="B20" s="1489" t="s">
        <v>929</v>
      </c>
      <c r="C20" s="932"/>
      <c r="D20" s="1422">
        <v>0</v>
      </c>
      <c r="E20" s="1422">
        <v>199928.97</v>
      </c>
      <c r="F20" s="1422">
        <v>20000</v>
      </c>
      <c r="G20" s="1422">
        <v>2275310.08</v>
      </c>
      <c r="H20" s="1422">
        <v>687652.13</v>
      </c>
      <c r="I20" s="1422">
        <v>223334.02</v>
      </c>
      <c r="J20" s="1422">
        <v>0</v>
      </c>
      <c r="K20" s="1422">
        <v>13800.93</v>
      </c>
      <c r="L20" s="1422">
        <v>470805</v>
      </c>
      <c r="M20" s="1491">
        <f t="shared" si="0"/>
        <v>3890831.1300000004</v>
      </c>
      <c r="O20" s="938"/>
      <c r="P20" s="936"/>
    </row>
    <row r="21" spans="1:16" ht="24" customHeight="1">
      <c r="A21" s="936"/>
      <c r="B21" s="1489" t="s">
        <v>930</v>
      </c>
      <c r="C21" s="932"/>
      <c r="D21" s="1422">
        <v>1885691</v>
      </c>
      <c r="E21" s="1422">
        <v>6263.6399999999994</v>
      </c>
      <c r="F21" s="1422">
        <v>199781.72</v>
      </c>
      <c r="G21" s="1422">
        <v>1155538.28</v>
      </c>
      <c r="H21" s="1422">
        <v>1799045.16</v>
      </c>
      <c r="I21" s="1422">
        <v>93324.159999999989</v>
      </c>
      <c r="J21" s="1422">
        <v>0</v>
      </c>
      <c r="K21" s="1422">
        <v>68784.22</v>
      </c>
      <c r="L21" s="1422">
        <v>0</v>
      </c>
      <c r="M21" s="1491">
        <f t="shared" si="0"/>
        <v>5208428.18</v>
      </c>
      <c r="O21" s="938"/>
      <c r="P21" s="936"/>
    </row>
    <row r="22" spans="1:16" ht="24" customHeight="1" thickBot="1">
      <c r="A22" s="936"/>
      <c r="B22" s="1490" t="s">
        <v>931</v>
      </c>
      <c r="C22" s="946"/>
      <c r="D22" s="1473">
        <v>0</v>
      </c>
      <c r="E22" s="1473">
        <v>0</v>
      </c>
      <c r="F22" s="1473">
        <v>0</v>
      </c>
      <c r="G22" s="1473">
        <v>2047.63</v>
      </c>
      <c r="H22" s="1473">
        <v>100958.68</v>
      </c>
      <c r="I22" s="1473">
        <v>0</v>
      </c>
      <c r="J22" s="1473">
        <v>0</v>
      </c>
      <c r="K22" s="1473">
        <v>0</v>
      </c>
      <c r="L22" s="1473">
        <v>0</v>
      </c>
      <c r="M22" s="1492">
        <f t="shared" si="0"/>
        <v>103006.31</v>
      </c>
      <c r="O22" s="938"/>
      <c r="P22" s="936"/>
    </row>
    <row r="23" spans="1:16" ht="18" customHeight="1">
      <c r="A23" s="936"/>
      <c r="B23" s="1565" t="s">
        <v>295</v>
      </c>
      <c r="C23" s="1565"/>
      <c r="D23" s="1428">
        <f t="shared" ref="D23:J23" si="1">SUM(D14:D22)</f>
        <v>9971284</v>
      </c>
      <c r="E23" s="1428">
        <f t="shared" si="1"/>
        <v>1558105.23</v>
      </c>
      <c r="F23" s="1428">
        <f t="shared" si="1"/>
        <v>1216362.1800000002</v>
      </c>
      <c r="G23" s="1428">
        <f t="shared" si="1"/>
        <v>21696676.809999999</v>
      </c>
      <c r="H23" s="1428">
        <f t="shared" si="1"/>
        <v>21257269.969999999</v>
      </c>
      <c r="I23" s="1428">
        <f t="shared" si="1"/>
        <v>5465798.709999999</v>
      </c>
      <c r="J23" s="1428">
        <f t="shared" si="1"/>
        <v>3091280.0500000003</v>
      </c>
      <c r="K23" s="1428">
        <f>SUM(K14:K22)</f>
        <v>1338434.94</v>
      </c>
      <c r="L23" s="1428">
        <f>SUM(L14:L22)</f>
        <v>3366707</v>
      </c>
      <c r="M23" s="1443">
        <f>SUM(M14:M22)</f>
        <v>68961918.890000015</v>
      </c>
      <c r="O23" s="938"/>
      <c r="P23" s="936"/>
    </row>
    <row r="24" spans="1:16" ht="15.75">
      <c r="A24" s="936"/>
      <c r="B24" s="1074"/>
      <c r="C24" s="907"/>
      <c r="D24" s="947"/>
      <c r="E24" s="1080"/>
      <c r="F24" s="1080"/>
      <c r="G24" s="1080"/>
      <c r="H24" s="1080"/>
      <c r="I24" s="1080"/>
      <c r="J24" s="947"/>
      <c r="K24" s="1081"/>
      <c r="L24" s="1080"/>
      <c r="M24" s="1079"/>
      <c r="O24" s="938"/>
      <c r="P24" s="936"/>
    </row>
    <row r="25" spans="1:16" ht="15.75">
      <c r="A25" s="936"/>
      <c r="B25" s="1074"/>
      <c r="C25" s="907"/>
      <c r="D25" s="947"/>
      <c r="E25" s="1080"/>
      <c r="F25" s="1080"/>
      <c r="G25" s="1080"/>
      <c r="H25" s="1080"/>
      <c r="I25" s="1080"/>
      <c r="J25" s="947"/>
      <c r="K25" s="1081"/>
      <c r="L25" s="1080"/>
      <c r="M25" s="1079"/>
      <c r="O25" s="938"/>
      <c r="P25" s="936"/>
    </row>
    <row r="26" spans="1:16" ht="15.75">
      <c r="A26" s="936"/>
      <c r="B26" s="1074"/>
      <c r="C26" s="907"/>
      <c r="D26" s="947"/>
      <c r="E26" s="1080"/>
      <c r="F26" s="1080"/>
      <c r="G26" s="1080"/>
      <c r="H26" s="1080"/>
      <c r="I26" s="1080"/>
      <c r="J26" s="947"/>
      <c r="K26" s="1081"/>
      <c r="L26" s="1080"/>
      <c r="M26" s="1079"/>
      <c r="O26" s="938"/>
      <c r="P26" s="936"/>
    </row>
    <row r="27" spans="1:16" ht="15.75">
      <c r="A27" s="936"/>
      <c r="B27" s="1074"/>
      <c r="C27" s="907"/>
      <c r="D27" s="947"/>
      <c r="E27" s="1080"/>
      <c r="F27" s="1080"/>
      <c r="G27" s="1080"/>
      <c r="H27" s="1080"/>
      <c r="I27" s="1080"/>
      <c r="J27" s="947"/>
      <c r="K27" s="1081"/>
      <c r="L27" s="1080"/>
      <c r="M27" s="1079"/>
      <c r="O27" s="938"/>
      <c r="P27" s="936"/>
    </row>
    <row r="28" spans="1:16" ht="15.75">
      <c r="A28" s="936"/>
      <c r="B28" s="1074"/>
      <c r="C28" s="907"/>
      <c r="D28" s="947"/>
      <c r="E28" s="1080"/>
      <c r="F28" s="1080"/>
      <c r="G28" s="1080"/>
      <c r="H28" s="1080"/>
      <c r="I28" s="1080"/>
      <c r="J28" s="947"/>
      <c r="K28" s="1081"/>
      <c r="L28" s="1080"/>
      <c r="M28" s="1079"/>
      <c r="O28" s="938"/>
      <c r="P28" s="936"/>
    </row>
    <row r="29" spans="1:16" ht="15.75">
      <c r="A29" s="936"/>
      <c r="B29" s="1074"/>
      <c r="C29" s="907"/>
      <c r="D29" s="947"/>
      <c r="E29" s="1080"/>
      <c r="F29" s="1080"/>
      <c r="G29" s="1080"/>
      <c r="H29" s="1080"/>
      <c r="I29" s="1080"/>
      <c r="J29" s="947"/>
      <c r="K29" s="1081"/>
      <c r="L29" s="1080"/>
      <c r="M29" s="1079"/>
      <c r="O29" s="938"/>
      <c r="P29" s="936"/>
    </row>
    <row r="30" spans="1:16" ht="15.75">
      <c r="A30" s="936"/>
      <c r="B30" s="1074"/>
      <c r="C30" s="907"/>
      <c r="D30" s="947"/>
      <c r="E30" s="1080"/>
      <c r="F30" s="1080"/>
      <c r="G30" s="1080"/>
      <c r="H30" s="1080"/>
      <c r="I30" s="1080"/>
      <c r="J30" s="947"/>
      <c r="K30" s="1081"/>
      <c r="L30" s="1080"/>
      <c r="M30" s="1079"/>
      <c r="O30" s="938"/>
      <c r="P30" s="936"/>
    </row>
    <row r="31" spans="1:16" ht="15">
      <c r="A31" s="936"/>
      <c r="B31" s="936"/>
      <c r="C31" s="936"/>
      <c r="D31" s="948"/>
      <c r="E31" s="938"/>
      <c r="F31" s="938"/>
      <c r="G31" s="938"/>
      <c r="H31" s="938"/>
      <c r="I31" s="938"/>
      <c r="J31" s="938"/>
      <c r="K31" s="939"/>
      <c r="L31" s="938"/>
      <c r="M31" s="938"/>
      <c r="O31" s="938"/>
      <c r="P31" s="936"/>
    </row>
    <row r="32" spans="1:16" ht="18.75" thickBot="1">
      <c r="A32" s="936"/>
      <c r="B32" s="1563" t="s">
        <v>922</v>
      </c>
      <c r="C32" s="1564"/>
      <c r="D32" s="929"/>
      <c r="E32" s="941"/>
      <c r="F32" s="941"/>
      <c r="G32" s="941"/>
      <c r="H32" s="941"/>
      <c r="I32" s="941"/>
      <c r="J32" s="941"/>
      <c r="K32" s="942"/>
      <c r="L32" s="941"/>
      <c r="M32" s="941"/>
      <c r="O32" s="938"/>
      <c r="P32" s="936"/>
    </row>
    <row r="33" spans="1:16" ht="24" customHeight="1">
      <c r="A33" s="936"/>
      <c r="B33" s="1489" t="s">
        <v>923</v>
      </c>
      <c r="C33" s="932"/>
      <c r="D33" s="917">
        <v>0.12054756438589052</v>
      </c>
      <c r="E33" s="917">
        <v>0.32414864559565082</v>
      </c>
      <c r="F33" s="917">
        <v>0.21851968465510821</v>
      </c>
      <c r="G33" s="917">
        <v>0.31735395748838646</v>
      </c>
      <c r="H33" s="917">
        <v>0.29379430184656025</v>
      </c>
      <c r="I33" s="917">
        <v>0.20505269210691446</v>
      </c>
      <c r="J33" s="1498">
        <v>0</v>
      </c>
      <c r="K33" s="917">
        <v>0.35360370224644616</v>
      </c>
      <c r="L33" s="917">
        <v>1.210500349451259E-2</v>
      </c>
      <c r="M33" s="1482">
        <v>0.24272045180035154</v>
      </c>
      <c r="O33" s="938"/>
      <c r="P33" s="936"/>
    </row>
    <row r="34" spans="1:16" ht="24" customHeight="1">
      <c r="A34" s="936"/>
      <c r="B34" s="1489" t="s">
        <v>924</v>
      </c>
      <c r="C34" s="932"/>
      <c r="D34" s="917">
        <v>0.12217714388638413</v>
      </c>
      <c r="E34" s="917">
        <v>7.2702612005223807E-2</v>
      </c>
      <c r="F34" s="917">
        <v>9.5494559030107284E-2</v>
      </c>
      <c r="G34" s="917">
        <v>0.20600105486845752</v>
      </c>
      <c r="H34" s="917">
        <v>5.8216093682137114E-2</v>
      </c>
      <c r="I34" s="917">
        <v>0.42549529051354329</v>
      </c>
      <c r="J34" s="1500">
        <v>3.6804983100770822E-2</v>
      </c>
      <c r="K34" s="917">
        <v>4.490082274749941E-2</v>
      </c>
      <c r="L34" s="917">
        <v>0.21123370700212404</v>
      </c>
      <c r="M34" s="1482">
        <v>0.15030695109475944</v>
      </c>
      <c r="O34" s="938"/>
      <c r="P34" s="936"/>
    </row>
    <row r="35" spans="1:16" ht="24" customHeight="1">
      <c r="A35" s="936"/>
      <c r="B35" s="1489" t="s">
        <v>925</v>
      </c>
      <c r="C35" s="932"/>
      <c r="D35" s="917">
        <v>0.10882470101142441</v>
      </c>
      <c r="E35" s="917">
        <v>1.38935032006792E-2</v>
      </c>
      <c r="F35" s="917">
        <v>6.4997795311261639E-2</v>
      </c>
      <c r="G35" s="917">
        <v>0.17331346145446871</v>
      </c>
      <c r="H35" s="917">
        <v>0.17590490995678876</v>
      </c>
      <c r="I35" s="917">
        <v>0.13823889244541904</v>
      </c>
      <c r="J35" s="1499">
        <v>0</v>
      </c>
      <c r="K35" s="917">
        <v>0.49483685026931529</v>
      </c>
      <c r="L35" s="917">
        <v>9.1128215196629822E-2</v>
      </c>
      <c r="M35" s="1482">
        <v>0.15095446555953568</v>
      </c>
      <c r="O35" s="938"/>
      <c r="P35" s="936"/>
    </row>
    <row r="36" spans="1:16" ht="24" customHeight="1">
      <c r="A36" s="936"/>
      <c r="B36" s="1489" t="s">
        <v>926</v>
      </c>
      <c r="C36" s="932"/>
      <c r="D36" s="917">
        <v>0.26056714461246916</v>
      </c>
      <c r="E36" s="917">
        <v>0.20634730171594379</v>
      </c>
      <c r="F36" s="917">
        <v>0.2394360041677718</v>
      </c>
      <c r="G36" s="917">
        <v>0.10264499211112138</v>
      </c>
      <c r="H36" s="917">
        <v>5.4831817145143971E-2</v>
      </c>
      <c r="I36" s="917">
        <v>5.7108204410989016E-2</v>
      </c>
      <c r="J36" s="1500">
        <v>7.9925123574617576E-2</v>
      </c>
      <c r="K36" s="917">
        <v>1.376385168187555E-2</v>
      </c>
      <c r="L36" s="917">
        <v>0.18556619272184957</v>
      </c>
      <c r="M36" s="1482">
        <v>0.11319221833793723</v>
      </c>
      <c r="O36" s="938"/>
      <c r="P36" s="936"/>
    </row>
    <row r="37" spans="1:16" ht="24" customHeight="1">
      <c r="A37" s="936"/>
      <c r="B37" s="1489" t="s">
        <v>927</v>
      </c>
      <c r="C37" s="932"/>
      <c r="D37" s="917">
        <v>0.14356506143040354</v>
      </c>
      <c r="E37" s="917">
        <v>0.2195968432761117</v>
      </c>
      <c r="F37" s="917">
        <v>0.14244740000054917</v>
      </c>
      <c r="G37" s="917">
        <v>3.4958342083540497E-2</v>
      </c>
      <c r="H37" s="917">
        <v>0.23811601052926745</v>
      </c>
      <c r="I37" s="917">
        <v>0.10982642644738011</v>
      </c>
      <c r="J37" s="1500">
        <v>0.88326989332461159</v>
      </c>
      <c r="K37" s="918">
        <v>0</v>
      </c>
      <c r="L37" s="917">
        <v>0.25070283811451366</v>
      </c>
      <c r="M37" s="1482">
        <v>0.17316649133630277</v>
      </c>
      <c r="O37" s="938"/>
      <c r="P37" s="936"/>
    </row>
    <row r="38" spans="1:16" ht="24" customHeight="1">
      <c r="A38" s="936"/>
      <c r="B38" s="1489" t="s">
        <v>928</v>
      </c>
      <c r="C38" s="932"/>
      <c r="D38" s="917">
        <v>5.5206230210672967E-2</v>
      </c>
      <c r="E38" s="917">
        <v>3.0975610036300311E-2</v>
      </c>
      <c r="F38" s="917">
        <v>5.8416827790551656E-2</v>
      </c>
      <c r="G38" s="917">
        <v>7.505989577396485E-3</v>
      </c>
      <c r="H38" s="917">
        <v>5.7406467139110247E-2</v>
      </c>
      <c r="I38" s="917">
        <v>6.3440188414841938E-3</v>
      </c>
      <c r="J38" s="1499">
        <v>0</v>
      </c>
      <c r="K38" s="917">
        <v>3.1191998021211254E-2</v>
      </c>
      <c r="L38" s="917">
        <v>0.10942264949103085</v>
      </c>
      <c r="M38" s="1482">
        <v>3.6219608012708522E-2</v>
      </c>
      <c r="O38" s="938"/>
      <c r="P38" s="936"/>
    </row>
    <row r="39" spans="1:16" ht="24" customHeight="1">
      <c r="A39" s="936"/>
      <c r="B39" s="1489" t="s">
        <v>929</v>
      </c>
      <c r="C39" s="932"/>
      <c r="D39" s="918">
        <v>0</v>
      </c>
      <c r="E39" s="917">
        <v>0.1283154476029838</v>
      </c>
      <c r="F39" s="917">
        <v>1.6442471106755389E-2</v>
      </c>
      <c r="G39" s="917">
        <v>0.10486905897733194</v>
      </c>
      <c r="H39" s="917">
        <v>3.2349033105872532E-2</v>
      </c>
      <c r="I39" s="917">
        <v>4.0860271636311327E-2</v>
      </c>
      <c r="J39" s="1499">
        <v>0</v>
      </c>
      <c r="K39" s="917">
        <v>1.0311244564491121E-2</v>
      </c>
      <c r="L39" s="917">
        <v>0.13984139397933945</v>
      </c>
      <c r="M39" s="1482">
        <v>5.641999516002736E-2</v>
      </c>
      <c r="O39" s="938"/>
      <c r="P39" s="936"/>
    </row>
    <row r="40" spans="1:16" ht="24" customHeight="1">
      <c r="A40" s="936"/>
      <c r="B40" s="1489" t="s">
        <v>930</v>
      </c>
      <c r="C40" s="932"/>
      <c r="D40" s="917">
        <v>0.18911215446275526</v>
      </c>
      <c r="E40" s="917">
        <v>4.0200365671065746E-3</v>
      </c>
      <c r="F40" s="917">
        <v>0.16424525793789477</v>
      </c>
      <c r="G40" s="917">
        <v>5.3258768156947078E-2</v>
      </c>
      <c r="H40" s="917">
        <v>8.4631994726461102E-2</v>
      </c>
      <c r="I40" s="917">
        <v>1.7074203597958696E-2</v>
      </c>
      <c r="J40" s="1499">
        <v>0</v>
      </c>
      <c r="K40" s="917">
        <v>5.1391530469161249E-2</v>
      </c>
      <c r="L40" s="918">
        <v>0</v>
      </c>
      <c r="M40" s="1482">
        <v>7.5526149269539253E-2</v>
      </c>
      <c r="O40" s="938"/>
      <c r="P40" s="936"/>
    </row>
    <row r="41" spans="1:16" ht="24" customHeight="1" thickBot="1">
      <c r="A41" s="936"/>
      <c r="B41" s="1490" t="s">
        <v>931</v>
      </c>
      <c r="C41" s="946"/>
      <c r="D41" s="1493">
        <v>0</v>
      </c>
      <c r="E41" s="1485">
        <v>0</v>
      </c>
      <c r="F41" s="1485">
        <v>0</v>
      </c>
      <c r="G41" s="931">
        <v>9.4375282349979392E-5</v>
      </c>
      <c r="H41" s="931">
        <v>4.749371868658636E-3</v>
      </c>
      <c r="I41" s="1485">
        <v>0</v>
      </c>
      <c r="J41" s="1485">
        <v>0</v>
      </c>
      <c r="K41" s="1485">
        <v>0</v>
      </c>
      <c r="L41" s="1485">
        <v>0</v>
      </c>
      <c r="M41" s="1486">
        <v>1.4936694288380174E-3</v>
      </c>
      <c r="O41" s="938"/>
      <c r="P41" s="936"/>
    </row>
    <row r="42" spans="1:16" ht="18">
      <c r="A42" s="936"/>
      <c r="B42" s="1565" t="s">
        <v>295</v>
      </c>
      <c r="C42" s="1565"/>
      <c r="D42" s="1494">
        <f t="shared" ref="D42:J42" si="2">SUM(D33:D41)</f>
        <v>1</v>
      </c>
      <c r="E42" s="1494">
        <f t="shared" si="2"/>
        <v>1</v>
      </c>
      <c r="F42" s="1494">
        <f t="shared" si="2"/>
        <v>0.99999999999999989</v>
      </c>
      <c r="G42" s="1494">
        <f t="shared" si="2"/>
        <v>1</v>
      </c>
      <c r="H42" s="1494">
        <f t="shared" si="2"/>
        <v>1</v>
      </c>
      <c r="I42" s="1495">
        <f t="shared" si="2"/>
        <v>1</v>
      </c>
      <c r="J42" s="1495">
        <f t="shared" si="2"/>
        <v>1</v>
      </c>
      <c r="K42" s="1495">
        <f>SUM(K33:K41)</f>
        <v>1.0000000000000002</v>
      </c>
      <c r="L42" s="1495">
        <f>SUM(L33:L41)</f>
        <v>1</v>
      </c>
      <c r="M42" s="1496">
        <f>SUM(M33:M41)</f>
        <v>0.99999999999999989</v>
      </c>
      <c r="O42" s="938"/>
      <c r="P42" s="936"/>
    </row>
    <row r="43" spans="1:16" ht="15">
      <c r="A43" s="936"/>
      <c r="B43" s="936"/>
      <c r="C43" s="936"/>
      <c r="D43" s="936"/>
      <c r="E43" s="936"/>
      <c r="F43" s="938"/>
      <c r="G43" s="938"/>
      <c r="H43" s="938"/>
      <c r="I43" s="1487" t="s">
        <v>0</v>
      </c>
      <c r="J43" s="938"/>
      <c r="K43" s="938"/>
      <c r="L43" s="938"/>
      <c r="M43" s="938"/>
      <c r="N43" s="938"/>
      <c r="O43" s="938"/>
      <c r="P43" s="936"/>
    </row>
    <row r="44" spans="1:16" ht="15">
      <c r="A44" s="936"/>
      <c r="B44" s="936"/>
      <c r="C44" s="936"/>
      <c r="D44" s="936"/>
      <c r="E44" s="936"/>
      <c r="F44" s="938"/>
      <c r="G44" s="938"/>
      <c r="H44" s="938"/>
      <c r="I44" s="938" t="s">
        <v>0</v>
      </c>
      <c r="J44" s="938"/>
      <c r="K44" s="938"/>
      <c r="L44" s="938"/>
      <c r="M44" s="938"/>
      <c r="N44" s="938"/>
      <c r="O44" s="938"/>
      <c r="P44" s="936"/>
    </row>
    <row r="45" spans="1:16" ht="15">
      <c r="A45" s="936"/>
      <c r="B45" s="936"/>
      <c r="C45" s="936"/>
      <c r="D45" s="936"/>
      <c r="E45" s="936"/>
      <c r="F45" s="938"/>
      <c r="G45" s="938"/>
      <c r="H45" s="938"/>
      <c r="I45" s="938"/>
      <c r="J45" s="938"/>
      <c r="K45" s="938"/>
      <c r="L45" s="938"/>
      <c r="M45" s="938"/>
      <c r="N45" s="938"/>
      <c r="O45" s="938"/>
      <c r="P45" s="936"/>
    </row>
    <row r="46" spans="1:16" ht="15">
      <c r="A46" s="936"/>
      <c r="B46" s="936"/>
      <c r="C46" s="936"/>
      <c r="D46" s="936"/>
      <c r="E46" s="936"/>
      <c r="F46" s="938"/>
      <c r="G46" s="938"/>
      <c r="H46" s="938"/>
      <c r="I46" s="938"/>
      <c r="J46" s="938"/>
      <c r="K46" s="938"/>
      <c r="L46" s="938"/>
      <c r="M46" s="938"/>
      <c r="N46" s="938"/>
      <c r="O46" s="938"/>
      <c r="P46" s="936"/>
    </row>
    <row r="47" spans="1:16" ht="15">
      <c r="A47" s="936"/>
      <c r="B47" s="936"/>
      <c r="C47" s="936"/>
      <c r="D47" s="936"/>
      <c r="E47" s="936"/>
      <c r="F47" s="938"/>
      <c r="G47" s="938"/>
      <c r="H47" s="938"/>
      <c r="I47" s="938"/>
      <c r="J47" s="938"/>
      <c r="K47" s="938"/>
      <c r="L47" s="938"/>
      <c r="M47" s="938"/>
      <c r="N47" s="938"/>
      <c r="O47" s="938"/>
      <c r="P47" s="936"/>
    </row>
    <row r="48" spans="1:16" ht="15">
      <c r="A48" s="936"/>
      <c r="B48" s="936"/>
      <c r="C48" s="936"/>
      <c r="D48" s="936"/>
      <c r="E48" s="936"/>
      <c r="F48" s="938"/>
      <c r="G48" s="938"/>
      <c r="H48" s="938"/>
      <c r="I48" s="938"/>
      <c r="J48" s="938"/>
      <c r="K48" s="938"/>
      <c r="L48" s="938"/>
      <c r="M48" s="938"/>
      <c r="N48" s="938"/>
      <c r="O48" s="938"/>
      <c r="P48" s="936"/>
    </row>
    <row r="49" spans="1:16" ht="15">
      <c r="A49" s="936"/>
      <c r="B49" s="936"/>
      <c r="C49" s="936"/>
      <c r="D49" s="936"/>
      <c r="E49" s="936"/>
      <c r="F49" s="938"/>
      <c r="G49" s="938"/>
      <c r="H49" s="938"/>
      <c r="I49" s="938"/>
      <c r="J49" s="938"/>
      <c r="K49" s="938"/>
      <c r="L49" s="938"/>
      <c r="M49" s="938"/>
      <c r="N49" s="938"/>
      <c r="O49" s="938"/>
      <c r="P49" s="936"/>
    </row>
    <row r="50" spans="1:16" ht="15">
      <c r="A50" s="936"/>
      <c r="B50" s="936"/>
      <c r="C50" s="936"/>
      <c r="D50" s="936"/>
      <c r="E50" s="936"/>
      <c r="F50" s="938"/>
      <c r="G50" s="938"/>
      <c r="H50" s="938"/>
      <c r="I50" s="938"/>
      <c r="J50" s="938"/>
      <c r="K50" s="938"/>
      <c r="L50" s="938"/>
      <c r="M50" s="938"/>
      <c r="N50" s="938"/>
      <c r="O50" s="938"/>
      <c r="P50" s="936"/>
    </row>
    <row r="51" spans="1:16" ht="15">
      <c r="A51" s="936"/>
      <c r="B51" s="936"/>
      <c r="C51" s="936"/>
      <c r="D51" s="936"/>
      <c r="E51" s="936"/>
      <c r="F51" s="938"/>
      <c r="G51" s="938"/>
      <c r="H51" s="938"/>
      <c r="I51" s="938"/>
      <c r="J51" s="938"/>
      <c r="K51" s="938"/>
      <c r="L51" s="938"/>
      <c r="M51" s="938"/>
      <c r="N51" s="938"/>
      <c r="O51" s="938"/>
      <c r="P51" s="936"/>
    </row>
    <row r="52" spans="1:16" ht="15">
      <c r="A52" s="936"/>
      <c r="B52" s="936"/>
      <c r="C52" s="936"/>
      <c r="D52" s="936"/>
      <c r="E52" s="936"/>
      <c r="F52" s="938"/>
      <c r="G52" s="938"/>
      <c r="H52" s="938"/>
      <c r="I52" s="938"/>
      <c r="J52" s="938"/>
      <c r="K52" s="938"/>
      <c r="L52" s="938"/>
      <c r="M52" s="938"/>
      <c r="N52" s="938"/>
      <c r="O52" s="938"/>
      <c r="P52" s="936"/>
    </row>
    <row r="53" spans="1:16" ht="15">
      <c r="A53" s="936"/>
      <c r="B53" s="936"/>
      <c r="C53" s="936"/>
      <c r="D53" s="936"/>
      <c r="E53" s="936"/>
      <c r="F53" s="938"/>
      <c r="G53" s="938"/>
      <c r="H53" s="938"/>
      <c r="I53" s="938"/>
      <c r="J53" s="938"/>
      <c r="K53" s="938"/>
      <c r="L53" s="938"/>
      <c r="M53" s="938"/>
      <c r="N53" s="938"/>
      <c r="O53" s="938"/>
      <c r="P53" s="936"/>
    </row>
    <row r="54" spans="1:16" ht="15">
      <c r="A54" s="936"/>
      <c r="B54" s="936"/>
      <c r="C54" s="936"/>
      <c r="D54" s="936"/>
      <c r="E54" s="936"/>
      <c r="F54" s="938"/>
      <c r="G54" s="938"/>
      <c r="H54" s="938"/>
      <c r="I54" s="938"/>
      <c r="J54" s="938"/>
      <c r="K54" s="938"/>
      <c r="L54" s="938"/>
      <c r="M54" s="938"/>
      <c r="N54" s="938"/>
      <c r="O54" s="938"/>
      <c r="P54" s="936"/>
    </row>
    <row r="55" spans="1:16" ht="15">
      <c r="A55" s="936"/>
      <c r="B55" s="936"/>
      <c r="C55" s="936"/>
      <c r="D55" s="936"/>
      <c r="E55" s="936"/>
      <c r="F55" s="938"/>
      <c r="G55" s="938"/>
      <c r="H55" s="938"/>
      <c r="I55" s="938"/>
      <c r="J55" s="938"/>
      <c r="K55" s="938"/>
      <c r="L55" s="938"/>
      <c r="M55" s="938"/>
      <c r="N55" s="938"/>
      <c r="O55" s="938"/>
      <c r="P55" s="936"/>
    </row>
    <row r="56" spans="1:16" ht="15">
      <c r="A56" s="936"/>
      <c r="B56" s="936"/>
      <c r="C56" s="936"/>
      <c r="D56" s="936"/>
      <c r="E56" s="936"/>
      <c r="F56" s="938"/>
      <c r="G56" s="938"/>
      <c r="H56" s="938"/>
      <c r="I56" s="938"/>
      <c r="J56" s="938"/>
      <c r="K56" s="938"/>
      <c r="L56" s="938"/>
      <c r="M56" s="938"/>
      <c r="N56" s="938"/>
      <c r="O56" s="938"/>
      <c r="P56" s="936"/>
    </row>
    <row r="57" spans="1:16" ht="15">
      <c r="A57" s="936"/>
      <c r="B57" s="936"/>
      <c r="C57" s="936"/>
      <c r="D57" s="936"/>
      <c r="E57" s="936"/>
      <c r="F57" s="938"/>
      <c r="G57" s="938"/>
      <c r="H57" s="938"/>
      <c r="I57" s="938"/>
      <c r="J57" s="938"/>
      <c r="K57" s="938"/>
      <c r="L57" s="938"/>
      <c r="M57" s="938"/>
      <c r="N57" s="938"/>
      <c r="O57" s="938"/>
      <c r="P57" s="936"/>
    </row>
    <row r="58" spans="1:16" ht="15">
      <c r="A58" s="936"/>
      <c r="B58" s="936"/>
      <c r="C58" s="936"/>
      <c r="D58" s="936"/>
      <c r="E58" s="936"/>
      <c r="F58" s="938"/>
      <c r="G58" s="938"/>
      <c r="H58" s="938"/>
      <c r="I58" s="938"/>
      <c r="J58" s="938"/>
      <c r="K58" s="938"/>
      <c r="L58" s="938"/>
      <c r="M58" s="938"/>
      <c r="N58" s="938"/>
      <c r="O58" s="938"/>
      <c r="P58" s="936"/>
    </row>
    <row r="59" spans="1:16" ht="15">
      <c r="A59" s="936"/>
      <c r="B59" s="936"/>
      <c r="C59" s="936"/>
      <c r="D59" s="936"/>
      <c r="E59" s="936"/>
      <c r="F59" s="938"/>
      <c r="G59" s="938"/>
      <c r="H59" s="938"/>
      <c r="I59" s="938"/>
      <c r="J59" s="938"/>
      <c r="K59" s="938"/>
      <c r="L59" s="938"/>
      <c r="M59" s="938"/>
      <c r="N59" s="938"/>
      <c r="O59" s="938"/>
      <c r="P59" s="936"/>
    </row>
    <row r="60" spans="1:16" ht="15">
      <c r="A60" s="936"/>
      <c r="B60" s="936"/>
      <c r="C60" s="936"/>
      <c r="D60" s="936"/>
      <c r="E60" s="936"/>
      <c r="F60" s="938"/>
      <c r="G60" s="938"/>
      <c r="H60" s="938"/>
      <c r="I60" s="938"/>
      <c r="J60" s="938"/>
      <c r="K60" s="938"/>
      <c r="L60" s="938"/>
      <c r="M60" s="938"/>
      <c r="N60" s="938"/>
      <c r="O60" s="938"/>
      <c r="P60" s="936"/>
    </row>
    <row r="61" spans="1:16" ht="15">
      <c r="A61" s="936"/>
      <c r="B61" s="936"/>
      <c r="C61" s="936"/>
      <c r="D61" s="936"/>
      <c r="E61" s="936"/>
      <c r="F61" s="938"/>
      <c r="G61" s="938"/>
      <c r="H61" s="938"/>
      <c r="I61" s="938"/>
      <c r="J61" s="938"/>
      <c r="K61" s="938"/>
      <c r="L61" s="938"/>
      <c r="M61" s="938"/>
      <c r="N61" s="938"/>
      <c r="O61" s="938"/>
      <c r="P61" s="936"/>
    </row>
    <row r="62" spans="1:16" ht="15">
      <c r="A62" s="936"/>
      <c r="B62" s="936"/>
      <c r="C62" s="936"/>
      <c r="D62" s="936"/>
      <c r="E62" s="936"/>
      <c r="F62" s="938"/>
      <c r="G62" s="938"/>
      <c r="H62" s="938"/>
      <c r="I62" s="938"/>
      <c r="J62" s="938"/>
      <c r="K62" s="938"/>
      <c r="L62" s="938"/>
      <c r="M62" s="938"/>
      <c r="N62" s="938"/>
      <c r="O62" s="938"/>
      <c r="P62" s="936"/>
    </row>
    <row r="63" spans="1:16" ht="15">
      <c r="A63" s="936"/>
      <c r="B63" s="936"/>
      <c r="C63" s="936"/>
      <c r="D63" s="936"/>
      <c r="E63" s="936"/>
      <c r="F63" s="938"/>
      <c r="G63" s="938"/>
      <c r="H63" s="938"/>
      <c r="I63" s="938"/>
      <c r="J63" s="938"/>
      <c r="K63" s="938"/>
      <c r="L63" s="938"/>
      <c r="M63" s="938"/>
      <c r="N63" s="938"/>
      <c r="O63" s="938"/>
      <c r="P63" s="936"/>
    </row>
    <row r="64" spans="1:16" ht="15">
      <c r="A64" s="936"/>
      <c r="B64" s="936"/>
      <c r="C64" s="936"/>
      <c r="D64" s="936"/>
      <c r="E64" s="936"/>
      <c r="F64" s="938"/>
      <c r="G64" s="938"/>
      <c r="H64" s="938"/>
      <c r="I64" s="938"/>
      <c r="J64" s="938"/>
      <c r="K64" s="938"/>
      <c r="L64" s="938"/>
      <c r="M64" s="938"/>
      <c r="N64" s="938"/>
      <c r="O64" s="938"/>
      <c r="P64" s="936"/>
    </row>
    <row r="65" spans="1:16" ht="15">
      <c r="A65" s="936"/>
      <c r="B65" s="936"/>
      <c r="C65" s="936"/>
      <c r="D65" s="936"/>
      <c r="E65" s="936"/>
      <c r="F65" s="938"/>
      <c r="G65" s="938"/>
      <c r="H65" s="938"/>
      <c r="I65" s="938"/>
      <c r="J65" s="938"/>
      <c r="K65" s="938"/>
      <c r="L65" s="938"/>
      <c r="M65" s="938"/>
      <c r="N65" s="938"/>
      <c r="O65" s="938"/>
      <c r="P65" s="936"/>
    </row>
    <row r="66" spans="1:16" ht="15">
      <c r="A66" s="936"/>
      <c r="B66" s="936"/>
      <c r="C66" s="936"/>
      <c r="D66" s="936"/>
      <c r="E66" s="936"/>
      <c r="F66" s="938"/>
      <c r="G66" s="938"/>
      <c r="H66" s="938"/>
      <c r="I66" s="938"/>
      <c r="J66" s="938"/>
      <c r="K66" s="938"/>
      <c r="L66" s="938"/>
      <c r="M66" s="938"/>
      <c r="N66" s="938"/>
      <c r="O66" s="938"/>
      <c r="P66" s="936"/>
    </row>
    <row r="67" spans="1:16" ht="15">
      <c r="A67" s="936"/>
      <c r="B67" s="936"/>
      <c r="C67" s="936"/>
      <c r="D67" s="936"/>
      <c r="E67" s="936"/>
      <c r="F67" s="938"/>
      <c r="G67" s="938"/>
      <c r="H67" s="938"/>
      <c r="I67" s="938"/>
      <c r="J67" s="938"/>
      <c r="K67" s="938"/>
      <c r="L67" s="938"/>
      <c r="M67" s="938"/>
      <c r="N67" s="938"/>
      <c r="O67" s="938"/>
      <c r="P67" s="936"/>
    </row>
    <row r="68" spans="1:16" ht="15">
      <c r="A68" s="936"/>
      <c r="B68" s="936"/>
      <c r="C68" s="936"/>
      <c r="D68" s="936"/>
      <c r="E68" s="936"/>
      <c r="F68" s="938"/>
      <c r="G68" s="938"/>
      <c r="H68" s="938"/>
      <c r="I68" s="938"/>
      <c r="J68" s="938"/>
      <c r="K68" s="938"/>
      <c r="L68" s="938"/>
      <c r="M68" s="938"/>
      <c r="N68" s="938"/>
      <c r="O68" s="938"/>
      <c r="P68" s="936"/>
    </row>
    <row r="69" spans="1:16" ht="15">
      <c r="A69" s="936"/>
      <c r="B69" s="936"/>
      <c r="C69" s="936"/>
      <c r="D69" s="936"/>
      <c r="E69" s="936"/>
      <c r="F69" s="938"/>
      <c r="G69" s="938"/>
      <c r="H69" s="938"/>
      <c r="I69" s="938"/>
      <c r="J69" s="938"/>
      <c r="K69" s="938"/>
      <c r="L69" s="938"/>
      <c r="M69" s="938"/>
      <c r="N69" s="938"/>
      <c r="O69" s="938"/>
      <c r="P69" s="936"/>
    </row>
    <row r="70" spans="1:16" ht="15">
      <c r="A70" s="936"/>
      <c r="B70" s="936"/>
      <c r="C70" s="936"/>
      <c r="D70" s="936"/>
      <c r="E70" s="936"/>
      <c r="F70" s="938"/>
      <c r="G70" s="938"/>
      <c r="H70" s="938"/>
      <c r="I70" s="938"/>
      <c r="J70" s="938"/>
      <c r="K70" s="938"/>
      <c r="L70" s="938"/>
      <c r="M70" s="938"/>
      <c r="N70" s="938"/>
      <c r="O70" s="938"/>
      <c r="P70" s="936"/>
    </row>
    <row r="71" spans="1:16" ht="15">
      <c r="A71" s="936"/>
      <c r="B71" s="936"/>
      <c r="C71" s="936"/>
      <c r="D71" s="936"/>
      <c r="E71" s="936"/>
      <c r="F71" s="938"/>
      <c r="G71" s="938"/>
      <c r="H71" s="938"/>
      <c r="I71" s="938"/>
      <c r="J71" s="938"/>
      <c r="K71" s="938"/>
      <c r="L71" s="938"/>
      <c r="M71" s="938"/>
      <c r="N71" s="938"/>
      <c r="O71" s="938"/>
      <c r="P71" s="936"/>
    </row>
    <row r="72" spans="1:16" ht="15">
      <c r="A72" s="936"/>
      <c r="B72" s="936"/>
      <c r="C72" s="936"/>
      <c r="D72" s="936"/>
      <c r="E72" s="936"/>
      <c r="F72" s="938"/>
      <c r="G72" s="938"/>
      <c r="H72" s="938"/>
      <c r="I72" s="938"/>
      <c r="J72" s="938"/>
      <c r="K72" s="938"/>
      <c r="L72" s="938"/>
      <c r="M72" s="938"/>
      <c r="N72" s="938"/>
      <c r="O72" s="938"/>
      <c r="P72" s="936"/>
    </row>
    <row r="73" spans="1:16" ht="15">
      <c r="A73" s="936"/>
      <c r="B73" s="936"/>
      <c r="C73" s="936"/>
      <c r="D73" s="936"/>
      <c r="E73" s="936"/>
      <c r="F73" s="938"/>
      <c r="G73" s="938"/>
      <c r="H73" s="938"/>
      <c r="I73" s="938"/>
      <c r="J73" s="938"/>
      <c r="K73" s="938"/>
      <c r="L73" s="938"/>
      <c r="M73" s="938"/>
      <c r="N73" s="938"/>
      <c r="O73" s="938"/>
      <c r="P73" s="936"/>
    </row>
    <row r="74" spans="1:16" ht="15">
      <c r="A74" s="936"/>
      <c r="B74" s="936"/>
      <c r="C74" s="936"/>
      <c r="D74" s="936"/>
      <c r="E74" s="936"/>
      <c r="F74" s="938"/>
      <c r="G74" s="938"/>
      <c r="H74" s="938"/>
      <c r="I74" s="938"/>
      <c r="J74" s="938"/>
      <c r="K74" s="938"/>
      <c r="L74" s="938"/>
      <c r="M74" s="938"/>
      <c r="N74" s="938"/>
      <c r="O74" s="938"/>
      <c r="P74" s="936"/>
    </row>
    <row r="75" spans="1:16" ht="15">
      <c r="A75" s="936"/>
      <c r="B75" s="936"/>
      <c r="C75" s="936"/>
      <c r="D75" s="936"/>
      <c r="E75" s="936"/>
      <c r="F75" s="938"/>
      <c r="G75" s="938"/>
      <c r="H75" s="938"/>
      <c r="I75" s="938"/>
      <c r="J75" s="938"/>
      <c r="K75" s="938"/>
      <c r="L75" s="938"/>
      <c r="M75" s="938"/>
      <c r="N75" s="938"/>
      <c r="O75" s="938"/>
      <c r="P75" s="936"/>
    </row>
    <row r="76" spans="1:16" ht="15">
      <c r="A76" s="936"/>
      <c r="B76" s="936"/>
      <c r="C76" s="936"/>
      <c r="D76" s="936"/>
      <c r="E76" s="936"/>
      <c r="F76" s="938"/>
      <c r="G76" s="938"/>
      <c r="H76" s="938"/>
      <c r="I76" s="938"/>
      <c r="J76" s="938"/>
      <c r="K76" s="938"/>
      <c r="L76" s="938"/>
      <c r="M76" s="938"/>
      <c r="N76" s="938"/>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6"/>
      <c r="G80" s="936"/>
      <c r="H80" s="936"/>
      <c r="I80" s="936"/>
      <c r="J80" s="936"/>
      <c r="K80" s="936"/>
      <c r="L80" s="936"/>
      <c r="M80" s="936"/>
      <c r="N80" s="936"/>
      <c r="O80" s="936"/>
      <c r="P80" s="936"/>
    </row>
    <row r="81" spans="1:16" ht="15">
      <c r="A81" s="936"/>
      <c r="B81" s="936"/>
      <c r="C81" s="936"/>
      <c r="D81" s="936"/>
      <c r="E81" s="936"/>
      <c r="F81" s="936"/>
      <c r="G81" s="936"/>
      <c r="H81" s="936"/>
      <c r="I81" s="936"/>
      <c r="J81" s="936"/>
      <c r="K81" s="936"/>
      <c r="L81" s="936"/>
      <c r="M81" s="936"/>
      <c r="N81" s="936"/>
      <c r="O81" s="936"/>
      <c r="P81" s="936"/>
    </row>
    <row r="82" spans="1:16" ht="15">
      <c r="A82" s="936"/>
      <c r="B82" s="936"/>
      <c r="C82" s="936"/>
      <c r="D82" s="936"/>
      <c r="E82" s="936"/>
      <c r="F82" s="936"/>
      <c r="G82" s="936"/>
      <c r="H82" s="936"/>
      <c r="I82" s="936"/>
      <c r="J82" s="936"/>
      <c r="K82" s="936"/>
      <c r="L82" s="936"/>
      <c r="M82" s="936"/>
      <c r="N82" s="936"/>
      <c r="O82" s="936"/>
      <c r="P82" s="936"/>
    </row>
    <row r="83" spans="1:16" ht="15">
      <c r="A83" s="936"/>
      <c r="B83" s="936"/>
      <c r="C83" s="936"/>
      <c r="D83" s="936"/>
      <c r="E83" s="936"/>
      <c r="F83" s="936"/>
      <c r="G83" s="936"/>
      <c r="H83" s="936"/>
      <c r="I83" s="936"/>
      <c r="J83" s="936"/>
      <c r="K83" s="936"/>
      <c r="L83" s="936"/>
      <c r="M83" s="936"/>
      <c r="N83" s="936"/>
      <c r="O83" s="936"/>
      <c r="P83" s="936"/>
    </row>
    <row r="84" spans="1:16" ht="15">
      <c r="A84" s="936"/>
      <c r="B84" s="936"/>
      <c r="C84" s="936"/>
      <c r="D84" s="936"/>
      <c r="E84" s="936"/>
      <c r="F84" s="936"/>
      <c r="G84" s="936"/>
      <c r="H84" s="936"/>
      <c r="I84" s="936"/>
      <c r="J84" s="936"/>
      <c r="K84" s="936"/>
      <c r="L84" s="936"/>
      <c r="M84" s="936"/>
      <c r="N84" s="936"/>
      <c r="O84" s="936"/>
      <c r="P84" s="936"/>
    </row>
    <row r="85" spans="1:16" ht="15">
      <c r="A85" s="936"/>
      <c r="B85" s="936"/>
      <c r="C85" s="936"/>
      <c r="D85" s="936"/>
      <c r="E85" s="936"/>
      <c r="F85" s="936"/>
      <c r="G85" s="936"/>
      <c r="H85" s="936"/>
      <c r="I85" s="936"/>
      <c r="J85" s="936"/>
      <c r="K85" s="936"/>
      <c r="L85" s="936"/>
      <c r="M85" s="936"/>
      <c r="N85" s="936"/>
      <c r="O85" s="936"/>
      <c r="P85" s="936"/>
    </row>
    <row r="86" spans="1:16" ht="15">
      <c r="A86" s="936"/>
      <c r="B86" s="936"/>
      <c r="C86" s="936"/>
      <c r="D86" s="936"/>
      <c r="E86" s="936"/>
      <c r="F86" s="936"/>
      <c r="G86" s="936"/>
      <c r="H86" s="936"/>
      <c r="I86" s="936"/>
      <c r="J86" s="936"/>
      <c r="K86" s="936"/>
      <c r="L86" s="936"/>
      <c r="M86" s="936"/>
      <c r="N86" s="936"/>
      <c r="O86" s="936"/>
      <c r="P86" s="936"/>
    </row>
    <row r="87" spans="1:16" ht="15">
      <c r="A87" s="936"/>
      <c r="B87" s="936"/>
      <c r="C87" s="936"/>
      <c r="D87" s="936"/>
      <c r="E87" s="936"/>
      <c r="F87" s="936"/>
      <c r="G87" s="936"/>
      <c r="H87" s="936"/>
      <c r="I87" s="936"/>
      <c r="J87" s="936"/>
      <c r="K87" s="936"/>
      <c r="L87" s="936"/>
      <c r="M87" s="936"/>
      <c r="N87" s="936"/>
      <c r="O87" s="936"/>
      <c r="P87" s="936"/>
    </row>
    <row r="88" spans="1:16" ht="15">
      <c r="A88" s="936"/>
      <c r="B88" s="936"/>
      <c r="C88" s="936"/>
      <c r="D88" s="936"/>
      <c r="E88" s="936"/>
      <c r="F88" s="936"/>
      <c r="G88" s="936"/>
      <c r="H88" s="936"/>
      <c r="I88" s="936"/>
      <c r="J88" s="936"/>
      <c r="K88" s="936"/>
      <c r="L88" s="936"/>
      <c r="M88" s="936"/>
      <c r="N88" s="936"/>
      <c r="O88" s="936"/>
      <c r="P88" s="936"/>
    </row>
    <row r="89" spans="1:16" ht="15">
      <c r="A89" s="936"/>
      <c r="B89" s="936"/>
      <c r="C89" s="936"/>
      <c r="D89" s="936"/>
      <c r="E89" s="936"/>
      <c r="F89" s="936"/>
      <c r="G89" s="936"/>
      <c r="H89" s="936"/>
      <c r="I89" s="936"/>
      <c r="J89" s="936"/>
      <c r="K89" s="936"/>
      <c r="L89" s="936"/>
      <c r="M89" s="936"/>
      <c r="N89" s="936"/>
      <c r="O89" s="936"/>
      <c r="P89" s="936"/>
    </row>
    <row r="90" spans="1:16" ht="15">
      <c r="A90" s="936"/>
      <c r="B90" s="936"/>
      <c r="C90" s="936"/>
      <c r="D90" s="936"/>
      <c r="E90" s="936"/>
      <c r="F90" s="936"/>
      <c r="G90" s="936"/>
      <c r="H90" s="936"/>
      <c r="I90" s="936"/>
      <c r="J90" s="936"/>
      <c r="K90" s="936"/>
      <c r="L90" s="936"/>
      <c r="M90" s="936"/>
      <c r="N90" s="936"/>
      <c r="O90" s="936"/>
      <c r="P90" s="936"/>
    </row>
    <row r="91" spans="1:16" ht="15">
      <c r="A91" s="936"/>
      <c r="B91" s="936"/>
      <c r="C91" s="936"/>
      <c r="D91" s="936"/>
      <c r="E91" s="936"/>
      <c r="F91" s="936"/>
      <c r="G91" s="936"/>
      <c r="H91" s="936"/>
      <c r="I91" s="936"/>
      <c r="J91" s="936"/>
      <c r="K91" s="936"/>
      <c r="L91" s="936"/>
      <c r="M91" s="936"/>
      <c r="N91" s="936"/>
      <c r="O91" s="936"/>
      <c r="P91" s="936"/>
    </row>
    <row r="92" spans="1:16" ht="15">
      <c r="A92" s="936"/>
      <c r="B92" s="936"/>
      <c r="C92" s="936"/>
      <c r="D92" s="936"/>
      <c r="E92" s="936"/>
      <c r="F92" s="936"/>
      <c r="G92" s="936"/>
      <c r="H92" s="936"/>
      <c r="I92" s="936"/>
      <c r="J92" s="936"/>
      <c r="K92" s="936"/>
      <c r="L92" s="936"/>
      <c r="M92" s="936"/>
      <c r="N92" s="936"/>
      <c r="O92" s="936"/>
      <c r="P92" s="936"/>
    </row>
    <row r="93" spans="1:16" ht="15">
      <c r="A93" s="936"/>
      <c r="B93" s="936"/>
      <c r="C93" s="936"/>
      <c r="D93" s="936"/>
      <c r="E93" s="936"/>
      <c r="F93" s="936"/>
      <c r="G93" s="936"/>
      <c r="H93" s="936"/>
      <c r="I93" s="936"/>
      <c r="J93" s="936"/>
      <c r="K93" s="936"/>
      <c r="L93" s="936"/>
      <c r="M93" s="936"/>
      <c r="N93" s="936"/>
      <c r="O93" s="936"/>
      <c r="P93" s="936"/>
    </row>
    <row r="94" spans="1:16" ht="15">
      <c r="A94" s="936"/>
      <c r="B94" s="936"/>
      <c r="C94" s="936"/>
      <c r="D94" s="936"/>
      <c r="E94" s="936"/>
      <c r="F94" s="936"/>
      <c r="G94" s="936"/>
      <c r="H94" s="936"/>
      <c r="I94" s="936"/>
      <c r="J94" s="936"/>
      <c r="K94" s="936"/>
      <c r="L94" s="936"/>
      <c r="M94" s="936"/>
      <c r="N94" s="936"/>
      <c r="O94" s="936"/>
      <c r="P94" s="936"/>
    </row>
    <row r="95" spans="1:16" ht="15">
      <c r="A95" s="936"/>
      <c r="B95" s="936"/>
      <c r="C95" s="936"/>
      <c r="D95" s="936"/>
      <c r="E95" s="936"/>
      <c r="F95" s="936"/>
      <c r="G95" s="936"/>
      <c r="H95" s="936"/>
      <c r="I95" s="936"/>
      <c r="J95" s="936"/>
      <c r="K95" s="936"/>
      <c r="L95" s="936"/>
      <c r="M95" s="936"/>
      <c r="N95" s="936"/>
      <c r="O95" s="936"/>
      <c r="P95" s="936"/>
    </row>
    <row r="96" spans="1:16" ht="15">
      <c r="A96" s="936"/>
      <c r="B96" s="936"/>
      <c r="C96" s="936"/>
      <c r="D96" s="936"/>
      <c r="E96" s="936"/>
      <c r="F96" s="936"/>
      <c r="G96" s="936"/>
      <c r="H96" s="936"/>
      <c r="I96" s="936"/>
      <c r="J96" s="936"/>
      <c r="K96" s="936"/>
      <c r="L96" s="936"/>
      <c r="M96" s="936"/>
      <c r="N96" s="936"/>
      <c r="O96" s="936"/>
      <c r="P96" s="936"/>
    </row>
    <row r="97" spans="1:16" ht="15">
      <c r="A97" s="936"/>
      <c r="B97" s="936"/>
      <c r="C97" s="936"/>
      <c r="D97" s="936"/>
      <c r="E97" s="936"/>
      <c r="F97" s="936"/>
      <c r="G97" s="936"/>
      <c r="H97" s="936"/>
      <c r="I97" s="936"/>
      <c r="J97" s="936"/>
      <c r="K97" s="936"/>
      <c r="L97" s="936"/>
      <c r="M97" s="936"/>
      <c r="N97" s="936"/>
      <c r="O97" s="936"/>
      <c r="P97" s="936"/>
    </row>
    <row r="98" spans="1:16" ht="15">
      <c r="A98" s="936"/>
      <c r="B98" s="936"/>
      <c r="C98" s="936"/>
      <c r="D98" s="936"/>
      <c r="E98" s="936"/>
      <c r="F98" s="936"/>
      <c r="G98" s="936"/>
      <c r="H98" s="936"/>
      <c r="I98" s="936"/>
      <c r="J98" s="936"/>
      <c r="K98" s="936"/>
      <c r="L98" s="936"/>
      <c r="M98" s="936"/>
      <c r="N98" s="936"/>
      <c r="O98" s="936"/>
      <c r="P98" s="936"/>
    </row>
    <row r="99" spans="1:16" ht="15">
      <c r="A99" s="936"/>
      <c r="B99" s="936"/>
      <c r="C99" s="936"/>
      <c r="D99" s="936"/>
      <c r="E99" s="936"/>
      <c r="F99" s="936"/>
      <c r="G99" s="936"/>
      <c r="H99" s="936"/>
      <c r="I99" s="936"/>
      <c r="J99" s="936"/>
      <c r="K99" s="936"/>
      <c r="L99" s="936"/>
      <c r="M99" s="936"/>
      <c r="N99" s="936"/>
      <c r="O99" s="936"/>
      <c r="P99" s="936"/>
    </row>
    <row r="100" spans="1:16" ht="15">
      <c r="A100" s="936"/>
      <c r="B100" s="936"/>
      <c r="C100" s="936"/>
      <c r="D100" s="936"/>
      <c r="E100" s="936"/>
      <c r="F100" s="936"/>
      <c r="G100" s="936"/>
      <c r="H100" s="936"/>
      <c r="I100" s="936"/>
      <c r="J100" s="936"/>
      <c r="K100" s="936"/>
      <c r="L100" s="936"/>
      <c r="M100" s="936"/>
      <c r="N100" s="936"/>
      <c r="O100" s="936"/>
      <c r="P100" s="936"/>
    </row>
    <row r="101" spans="1:16" ht="15">
      <c r="A101" s="936"/>
      <c r="B101" s="936"/>
      <c r="C101" s="936"/>
      <c r="D101" s="936"/>
      <c r="E101" s="936"/>
      <c r="F101" s="936"/>
      <c r="G101" s="936"/>
      <c r="H101" s="936"/>
      <c r="I101" s="936"/>
      <c r="J101" s="936"/>
      <c r="K101" s="936"/>
      <c r="L101" s="936"/>
      <c r="M101" s="936"/>
      <c r="N101" s="936"/>
      <c r="O101" s="936"/>
      <c r="P101" s="936"/>
    </row>
    <row r="102" spans="1:16" ht="15">
      <c r="A102" s="936"/>
      <c r="B102" s="936"/>
      <c r="C102" s="936"/>
      <c r="D102" s="936"/>
      <c r="E102" s="936"/>
      <c r="F102" s="936"/>
      <c r="G102" s="936"/>
      <c r="H102" s="936"/>
      <c r="I102" s="936"/>
      <c r="J102" s="936"/>
      <c r="K102" s="936"/>
      <c r="L102" s="936"/>
      <c r="M102" s="936"/>
      <c r="N102" s="936"/>
      <c r="O102" s="936"/>
      <c r="P102" s="936"/>
    </row>
    <row r="103" spans="1:16" ht="15">
      <c r="A103" s="936"/>
      <c r="B103" s="936"/>
      <c r="C103" s="936"/>
      <c r="D103" s="936"/>
      <c r="E103" s="936"/>
      <c r="F103" s="936"/>
      <c r="G103" s="936"/>
      <c r="H103" s="936"/>
      <c r="I103" s="936"/>
      <c r="J103" s="936"/>
      <c r="K103" s="936"/>
      <c r="L103" s="936"/>
      <c r="M103" s="936"/>
      <c r="N103" s="936"/>
      <c r="O103" s="936"/>
      <c r="P103" s="936"/>
    </row>
    <row r="104" spans="1:16" ht="15">
      <c r="A104" s="936"/>
      <c r="B104" s="936"/>
      <c r="C104" s="936"/>
      <c r="D104" s="936"/>
      <c r="E104" s="936"/>
      <c r="F104" s="936"/>
      <c r="G104" s="936"/>
      <c r="H104" s="936"/>
      <c r="I104" s="936"/>
      <c r="J104" s="936"/>
      <c r="K104" s="936"/>
      <c r="L104" s="936"/>
      <c r="M104" s="936"/>
      <c r="N104" s="936"/>
      <c r="O104" s="936"/>
      <c r="P104" s="936"/>
    </row>
    <row r="105" spans="1:16" ht="15">
      <c r="A105" s="936"/>
      <c r="B105" s="936"/>
      <c r="C105" s="936"/>
      <c r="D105" s="936"/>
      <c r="E105" s="936"/>
      <c r="F105" s="936"/>
      <c r="G105" s="936"/>
      <c r="H105" s="936"/>
      <c r="I105" s="936"/>
      <c r="J105" s="936"/>
      <c r="K105" s="936"/>
      <c r="L105" s="936"/>
      <c r="M105" s="936"/>
      <c r="N105" s="936"/>
      <c r="O105" s="936"/>
      <c r="P105" s="936"/>
    </row>
    <row r="106" spans="1:16" ht="15">
      <c r="A106" s="936"/>
      <c r="B106" s="936"/>
      <c r="C106" s="936"/>
      <c r="D106" s="936"/>
      <c r="E106" s="936"/>
      <c r="F106" s="936"/>
      <c r="G106" s="936"/>
      <c r="H106" s="936"/>
      <c r="I106" s="936"/>
      <c r="J106" s="936"/>
      <c r="K106" s="936"/>
      <c r="L106" s="936"/>
      <c r="M106" s="936"/>
      <c r="N106" s="936"/>
      <c r="O106" s="936"/>
      <c r="P106" s="936"/>
    </row>
    <row r="107" spans="1:16" ht="15">
      <c r="A107" s="936"/>
      <c r="B107" s="936"/>
      <c r="C107" s="936"/>
      <c r="D107" s="936"/>
      <c r="E107" s="936"/>
      <c r="F107" s="936"/>
      <c r="G107" s="936"/>
      <c r="H107" s="936"/>
      <c r="I107" s="936"/>
      <c r="J107" s="936"/>
      <c r="K107" s="936"/>
      <c r="L107" s="936"/>
      <c r="M107" s="936"/>
      <c r="N107" s="936"/>
      <c r="O107" s="936"/>
      <c r="P107" s="936"/>
    </row>
    <row r="108" spans="1:16" ht="15">
      <c r="A108" s="936"/>
      <c r="B108" s="936"/>
      <c r="C108" s="936"/>
      <c r="D108" s="936"/>
      <c r="E108" s="936"/>
      <c r="F108" s="936"/>
      <c r="G108" s="936"/>
      <c r="H108" s="936"/>
      <c r="I108" s="936"/>
      <c r="J108" s="936"/>
      <c r="K108" s="936"/>
      <c r="L108" s="936"/>
      <c r="M108" s="936"/>
      <c r="N108" s="936"/>
      <c r="O108" s="936"/>
      <c r="P108" s="936"/>
    </row>
    <row r="109" spans="1:16" ht="15">
      <c r="A109" s="936"/>
      <c r="B109" s="936"/>
      <c r="C109" s="936"/>
      <c r="D109" s="936"/>
      <c r="E109" s="936"/>
      <c r="F109" s="936"/>
      <c r="G109" s="936"/>
      <c r="H109" s="936"/>
      <c r="I109" s="936"/>
      <c r="J109" s="936"/>
      <c r="K109" s="936"/>
      <c r="L109" s="936"/>
      <c r="M109" s="936"/>
      <c r="N109" s="936"/>
      <c r="O109" s="936"/>
      <c r="P109" s="936"/>
    </row>
    <row r="110" spans="1:16" ht="15">
      <c r="A110" s="936"/>
      <c r="B110" s="936"/>
      <c r="C110" s="936"/>
      <c r="D110" s="936"/>
      <c r="E110" s="936"/>
      <c r="F110" s="936"/>
      <c r="G110" s="936"/>
      <c r="H110" s="936"/>
      <c r="I110" s="936"/>
      <c r="J110" s="936"/>
      <c r="K110" s="936"/>
      <c r="L110" s="936"/>
      <c r="M110" s="936"/>
      <c r="N110" s="936"/>
      <c r="O110" s="936"/>
      <c r="P110" s="936"/>
    </row>
    <row r="111" spans="1:16" ht="15">
      <c r="A111" s="936"/>
      <c r="B111" s="936"/>
      <c r="C111" s="936"/>
      <c r="D111" s="936"/>
      <c r="E111" s="936"/>
      <c r="F111" s="936"/>
      <c r="G111" s="936"/>
      <c r="H111" s="936"/>
      <c r="I111" s="936"/>
      <c r="J111" s="936"/>
      <c r="K111" s="936"/>
      <c r="L111" s="936"/>
      <c r="M111" s="936"/>
      <c r="N111" s="936"/>
      <c r="O111" s="936"/>
      <c r="P111" s="936"/>
    </row>
    <row r="112" spans="1:16" ht="15">
      <c r="A112" s="936"/>
      <c r="B112" s="936"/>
      <c r="C112" s="936"/>
      <c r="D112" s="936"/>
      <c r="E112" s="936"/>
      <c r="F112" s="936"/>
      <c r="G112" s="936"/>
      <c r="H112" s="936"/>
      <c r="I112" s="936"/>
      <c r="J112" s="936"/>
      <c r="K112" s="936"/>
      <c r="L112" s="936"/>
      <c r="M112" s="936"/>
      <c r="N112" s="936"/>
      <c r="O112" s="936"/>
      <c r="P112" s="936"/>
    </row>
    <row r="113" spans="1:16" ht="15">
      <c r="A113" s="936"/>
      <c r="B113" s="936"/>
      <c r="C113" s="936"/>
      <c r="D113" s="936"/>
      <c r="E113" s="936"/>
      <c r="F113" s="936"/>
      <c r="G113" s="936"/>
      <c r="H113" s="936"/>
      <c r="I113" s="936"/>
      <c r="J113" s="936"/>
      <c r="K113" s="936"/>
      <c r="L113" s="936"/>
      <c r="M113" s="936"/>
      <c r="N113" s="936"/>
      <c r="O113" s="936"/>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sheetData>
  <mergeCells count="4">
    <mergeCell ref="B13:C13"/>
    <mergeCell ref="B23:C23"/>
    <mergeCell ref="B32:C32"/>
    <mergeCell ref="B42:C42"/>
  </mergeCells>
  <pageMargins left="0.7" right="0.2" top="0.46" bottom="0.35" header="0.27" footer="0.17"/>
  <pageSetup scale="50" orientation="landscape" r:id="rId1"/>
  <headerFooter alignWithMargins="0">
    <oddFooter>&amp;R&amp;P</oddFooter>
  </headerFooter>
</worksheet>
</file>

<file path=xl/worksheets/sheet149.xml><?xml version="1.0" encoding="utf-8"?>
<worksheet xmlns="http://schemas.openxmlformats.org/spreadsheetml/2006/main" xmlns:r="http://schemas.openxmlformats.org/officeDocument/2006/relationships">
  <sheetPr>
    <pageSetUpPr fitToPage="1"/>
  </sheetPr>
  <dimension ref="A1:BC239"/>
  <sheetViews>
    <sheetView topLeftCell="A20" workbookViewId="0">
      <pane xSplit="3" ySplit="2"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16.375"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913</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1423">
        <v>2532.02</v>
      </c>
      <c r="H22" s="1422">
        <v>105837.15</v>
      </c>
      <c r="I22" s="1422">
        <v>0</v>
      </c>
      <c r="J22" s="1422">
        <v>0</v>
      </c>
      <c r="K22" s="1422">
        <v>0</v>
      </c>
      <c r="L22" s="1422">
        <v>0</v>
      </c>
      <c r="M22" s="1432">
        <f t="shared" ref="M22:M51" si="0">SUM(D22:L22)</f>
        <v>108369.17</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174753</v>
      </c>
      <c r="E23" s="1423">
        <v>21753.16</v>
      </c>
      <c r="F23" s="1422">
        <v>18489.38</v>
      </c>
      <c r="G23" s="1423">
        <v>359734.74</v>
      </c>
      <c r="H23" s="1423">
        <v>1073693.77</v>
      </c>
      <c r="I23" s="1422">
        <v>253118.9</v>
      </c>
      <c r="J23" s="1422">
        <v>0</v>
      </c>
      <c r="K23" s="1423">
        <v>366720.2</v>
      </c>
      <c r="L23" s="1423">
        <v>168820</v>
      </c>
      <c r="M23" s="1432">
        <f t="shared" si="0"/>
        <v>2437083.15</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3927</v>
      </c>
      <c r="E24" s="1422">
        <v>0</v>
      </c>
      <c r="F24" s="1422">
        <v>9464.2199999999993</v>
      </c>
      <c r="G24" s="1423">
        <v>688840.96</v>
      </c>
      <c r="H24" s="1423">
        <v>1144715.9099999999</v>
      </c>
      <c r="I24" s="1422">
        <v>110012.93</v>
      </c>
      <c r="J24" s="1422">
        <v>0</v>
      </c>
      <c r="K24" s="1423">
        <v>347370.5</v>
      </c>
      <c r="L24" s="1422">
        <v>75167</v>
      </c>
      <c r="M24" s="1432">
        <f t="shared" si="0"/>
        <v>2379498.5199999996</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4948</v>
      </c>
      <c r="E25" s="1422">
        <v>0</v>
      </c>
      <c r="F25" s="1422">
        <v>8820.91</v>
      </c>
      <c r="G25" s="1422">
        <v>2850.04</v>
      </c>
      <c r="H25" s="1422">
        <v>0</v>
      </c>
      <c r="I25" s="1422">
        <v>1.19</v>
      </c>
      <c r="J25" s="1422">
        <v>0</v>
      </c>
      <c r="K25" s="1422">
        <v>0</v>
      </c>
      <c r="L25" s="1422">
        <v>0</v>
      </c>
      <c r="M25" s="1432">
        <f t="shared" si="0"/>
        <v>16620.14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487.47</v>
      </c>
      <c r="G26" s="1422">
        <v>523138.59</v>
      </c>
      <c r="H26" s="1422">
        <v>96015.57</v>
      </c>
      <c r="I26" s="1422">
        <v>68607</v>
      </c>
      <c r="J26" s="1422">
        <v>0</v>
      </c>
      <c r="K26" s="1422">
        <v>0</v>
      </c>
      <c r="L26" s="1422">
        <v>0</v>
      </c>
      <c r="M26" s="1432">
        <f t="shared" si="0"/>
        <v>688248.63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213999</v>
      </c>
      <c r="E27" s="1423">
        <v>0</v>
      </c>
      <c r="F27" s="1422">
        <v>0</v>
      </c>
      <c r="G27" s="1422">
        <v>623348.23</v>
      </c>
      <c r="H27" s="1422">
        <v>241025.69</v>
      </c>
      <c r="I27" s="1422">
        <v>35654.43</v>
      </c>
      <c r="J27" s="1422">
        <v>0</v>
      </c>
      <c r="K27" s="1422">
        <v>0</v>
      </c>
      <c r="L27" s="1422">
        <v>7950</v>
      </c>
      <c r="M27" s="1432">
        <f t="shared" si="0"/>
        <v>1121977.3499999999</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9511.73</v>
      </c>
      <c r="G28" s="1422">
        <v>0</v>
      </c>
      <c r="H28" s="1422">
        <v>65367.38</v>
      </c>
      <c r="I28" s="1422">
        <v>179.95</v>
      </c>
      <c r="J28" s="1422">
        <v>0</v>
      </c>
      <c r="K28" s="1422">
        <v>0</v>
      </c>
      <c r="L28" s="1422">
        <v>0</v>
      </c>
      <c r="M28" s="1432">
        <f t="shared" si="0"/>
        <v>75059.06</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57170</v>
      </c>
      <c r="E29" s="1422">
        <v>0</v>
      </c>
      <c r="F29" s="1422">
        <v>3999.91</v>
      </c>
      <c r="G29" s="1423">
        <v>140128.16</v>
      </c>
      <c r="H29" s="1423">
        <v>116931.44</v>
      </c>
      <c r="I29" s="1422">
        <v>47241.67</v>
      </c>
      <c r="J29" s="1422">
        <v>0</v>
      </c>
      <c r="K29" s="1422">
        <v>0</v>
      </c>
      <c r="L29" s="1422">
        <v>4536</v>
      </c>
      <c r="M29" s="1432">
        <f t="shared" si="0"/>
        <v>370007.18</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458122</v>
      </c>
      <c r="E30" s="1422">
        <v>0</v>
      </c>
      <c r="F30" s="1422">
        <v>17019.96</v>
      </c>
      <c r="G30" s="1423">
        <v>611370.78</v>
      </c>
      <c r="H30" s="1423">
        <v>460121.69</v>
      </c>
      <c r="I30" s="1422">
        <v>64975</v>
      </c>
      <c r="J30" s="1422">
        <v>0</v>
      </c>
      <c r="K30" s="1423">
        <v>193045.29</v>
      </c>
      <c r="L30" s="1422">
        <v>49614</v>
      </c>
      <c r="M30" s="1432">
        <f t="shared" si="0"/>
        <v>1854268.72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73993</v>
      </c>
      <c r="E31" s="1423">
        <v>0</v>
      </c>
      <c r="F31" s="1422">
        <v>0</v>
      </c>
      <c r="G31" s="1423">
        <v>790967.15</v>
      </c>
      <c r="H31" s="1423">
        <v>542941.86</v>
      </c>
      <c r="I31" s="1422">
        <v>86402.12</v>
      </c>
      <c r="J31" s="1422">
        <v>0</v>
      </c>
      <c r="K31" s="1422">
        <v>0</v>
      </c>
      <c r="L31" s="1423">
        <v>12783</v>
      </c>
      <c r="M31" s="1432">
        <f t="shared" si="0"/>
        <v>1507087.13</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0</v>
      </c>
      <c r="G32" s="1423">
        <v>81731.11</v>
      </c>
      <c r="H32" s="1422">
        <v>118528.21</v>
      </c>
      <c r="I32" s="1422">
        <v>38579.96</v>
      </c>
      <c r="J32" s="1422">
        <v>0</v>
      </c>
      <c r="K32" s="1422">
        <v>0</v>
      </c>
      <c r="L32" s="1423">
        <v>2387</v>
      </c>
      <c r="M32" s="1432">
        <f t="shared" si="0"/>
        <v>241226.28</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2207081</v>
      </c>
      <c r="E33" s="1422">
        <v>0</v>
      </c>
      <c r="F33" s="1422">
        <v>368512.18</v>
      </c>
      <c r="G33" s="1422">
        <v>897062.67</v>
      </c>
      <c r="H33" s="1422">
        <v>3585.99</v>
      </c>
      <c r="I33" s="1422">
        <v>2063.5300000000002</v>
      </c>
      <c r="J33" s="1422">
        <v>0</v>
      </c>
      <c r="K33" s="1422">
        <v>362.08</v>
      </c>
      <c r="L33" s="1422">
        <v>0</v>
      </c>
      <c r="M33" s="1432">
        <f t="shared" si="0"/>
        <v>3478667.45</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1965.3</v>
      </c>
      <c r="F34" s="1422">
        <v>6127.89</v>
      </c>
      <c r="G34" s="1422">
        <v>811.36</v>
      </c>
      <c r="H34" s="1422">
        <v>2489695.8199999998</v>
      </c>
      <c r="I34" s="1422">
        <v>91949.16</v>
      </c>
      <c r="J34" s="1422">
        <v>0</v>
      </c>
      <c r="K34" s="1423">
        <v>1125.18</v>
      </c>
      <c r="L34" s="1422">
        <v>0</v>
      </c>
      <c r="M34" s="1432">
        <f t="shared" si="0"/>
        <v>2591674.71</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4186.25</v>
      </c>
      <c r="F35" s="1422">
        <v>0</v>
      </c>
      <c r="G35" s="1423">
        <v>262285.64</v>
      </c>
      <c r="H35" s="1422">
        <v>61242.18</v>
      </c>
      <c r="I35" s="1422">
        <v>0</v>
      </c>
      <c r="J35" s="1422">
        <v>0</v>
      </c>
      <c r="K35" s="1422">
        <v>0</v>
      </c>
      <c r="L35" s="1422">
        <v>0</v>
      </c>
      <c r="M35" s="1432">
        <f t="shared" si="0"/>
        <v>327714.07</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0</v>
      </c>
      <c r="E36" s="1423">
        <v>202076</v>
      </c>
      <c r="F36" s="1423">
        <v>129634.45</v>
      </c>
      <c r="G36" s="1423">
        <v>2446875.08</v>
      </c>
      <c r="H36" s="1423">
        <v>639500.68999999994</v>
      </c>
      <c r="I36" s="1422">
        <v>282868.75</v>
      </c>
      <c r="J36" s="1422">
        <v>0</v>
      </c>
      <c r="K36" s="1422">
        <v>0</v>
      </c>
      <c r="L36" s="1423">
        <v>455863</v>
      </c>
      <c r="M36" s="1432">
        <f t="shared" si="0"/>
        <v>4156817.97</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935690</v>
      </c>
      <c r="E37" s="1423">
        <v>129686.48</v>
      </c>
      <c r="F37" s="1478">
        <v>259655.25</v>
      </c>
      <c r="G37" s="1423">
        <v>3943135.1</v>
      </c>
      <c r="H37" s="1423">
        <v>3135128.29</v>
      </c>
      <c r="I37" s="1423">
        <v>559132.5</v>
      </c>
      <c r="J37" s="1422">
        <v>0</v>
      </c>
      <c r="K37" s="1423">
        <v>307979.2</v>
      </c>
      <c r="L37" s="1423">
        <v>20847</v>
      </c>
      <c r="M37" s="1432">
        <f t="shared" si="0"/>
        <v>9291253.8200000003</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311249</v>
      </c>
      <c r="E38" s="1422">
        <v>405901.83</v>
      </c>
      <c r="F38" s="1423">
        <v>123269.38</v>
      </c>
      <c r="G38" s="1423">
        <v>2767818.27</v>
      </c>
      <c r="H38" s="1423">
        <v>3133645.17</v>
      </c>
      <c r="I38" s="1423">
        <v>574643.06999999995</v>
      </c>
      <c r="J38" s="1422">
        <v>0</v>
      </c>
      <c r="K38" s="1423">
        <v>182194.7</v>
      </c>
      <c r="L38" s="1423">
        <v>9824</v>
      </c>
      <c r="M38" s="1432">
        <f t="shared" si="0"/>
        <v>7508545.4200000009</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7649</v>
      </c>
      <c r="E39" s="1422">
        <v>2792.01</v>
      </c>
      <c r="F39" s="1422">
        <v>5108.0600000000004</v>
      </c>
      <c r="G39" s="1422">
        <v>11691.88</v>
      </c>
      <c r="H39" s="1422">
        <v>22896.44</v>
      </c>
      <c r="I39" s="1422">
        <v>15316.66</v>
      </c>
      <c r="J39" s="1422">
        <v>0</v>
      </c>
      <c r="K39" s="1422">
        <v>0</v>
      </c>
      <c r="L39" s="1422">
        <v>5641</v>
      </c>
      <c r="M39" s="1432">
        <f t="shared" si="0"/>
        <v>71095.05</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153202</v>
      </c>
      <c r="E40" s="1422">
        <v>0</v>
      </c>
      <c r="F40" s="1422">
        <v>18882.740000000002</v>
      </c>
      <c r="G40" s="1422">
        <v>1056366.3999999999</v>
      </c>
      <c r="H40" s="1422">
        <v>56635.13</v>
      </c>
      <c r="I40" s="1422">
        <v>559558.31000000006</v>
      </c>
      <c r="J40" s="1422">
        <v>0</v>
      </c>
      <c r="K40" s="1422">
        <v>0</v>
      </c>
      <c r="L40" s="1422">
        <v>0</v>
      </c>
      <c r="M40" s="1432">
        <f t="shared" si="0"/>
        <v>1844644.5799999998</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33933</v>
      </c>
      <c r="E41" s="1422">
        <v>48470.9</v>
      </c>
      <c r="F41" s="1422">
        <v>69188.78</v>
      </c>
      <c r="G41" s="1422">
        <v>34089.870000000003</v>
      </c>
      <c r="H41" s="1423">
        <v>409860.72</v>
      </c>
      <c r="I41" s="1422">
        <v>28820.84</v>
      </c>
      <c r="J41" s="1422">
        <v>0</v>
      </c>
      <c r="K41" s="1422">
        <v>4963.32</v>
      </c>
      <c r="L41" s="1422">
        <v>0</v>
      </c>
      <c r="M41" s="1432">
        <f t="shared" si="0"/>
        <v>629327.42999999993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869208</v>
      </c>
      <c r="E42" s="1423">
        <v>189850.58</v>
      </c>
      <c r="F42" s="1423">
        <v>66854.53</v>
      </c>
      <c r="G42" s="1423">
        <v>178457.55</v>
      </c>
      <c r="H42" s="1423">
        <v>929993.53</v>
      </c>
      <c r="I42" s="1423">
        <v>585314.43999999994</v>
      </c>
      <c r="J42" s="1423">
        <v>1645143.52</v>
      </c>
      <c r="K42" s="1422">
        <v>0</v>
      </c>
      <c r="L42" s="1423">
        <v>812137</v>
      </c>
      <c r="M42" s="1432">
        <f t="shared" si="0"/>
        <v>5276959.1500000004</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468197</v>
      </c>
      <c r="E43" s="1422">
        <v>97936.57</v>
      </c>
      <c r="F43" s="1423">
        <v>114213.47</v>
      </c>
      <c r="G43" s="1423">
        <v>900045.86</v>
      </c>
      <c r="H43" s="1423">
        <v>3853906.06</v>
      </c>
      <c r="I43" s="1423">
        <v>3133.02</v>
      </c>
      <c r="J43" s="1423">
        <v>1064749.53</v>
      </c>
      <c r="K43" s="1423">
        <v>963.26</v>
      </c>
      <c r="L43" s="1423">
        <v>42815</v>
      </c>
      <c r="M43" s="1432">
        <f t="shared" si="0"/>
        <v>6545959.7699999996</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542564</v>
      </c>
      <c r="E44" s="1422">
        <v>0</v>
      </c>
      <c r="F44" s="1423">
        <v>8197.99</v>
      </c>
      <c r="G44" s="1422">
        <v>136136.01999999999</v>
      </c>
      <c r="H44" s="1422">
        <v>844196.86</v>
      </c>
      <c r="I44" s="1422">
        <v>4074.94</v>
      </c>
      <c r="J44" s="1422">
        <v>0</v>
      </c>
      <c r="K44" s="1422">
        <v>62506.01</v>
      </c>
      <c r="L44" s="1423">
        <v>363245</v>
      </c>
      <c r="M44" s="1432">
        <f t="shared" si="0"/>
        <v>1960920.82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8493</v>
      </c>
      <c r="E45" s="1423">
        <v>25282.49</v>
      </c>
      <c r="F45" s="1422">
        <v>8840.2099999999991</v>
      </c>
      <c r="G45" s="1423">
        <v>1402910.68</v>
      </c>
      <c r="H45" s="1423">
        <v>765117.27</v>
      </c>
      <c r="I45" s="1423">
        <v>669708.78</v>
      </c>
      <c r="J45" s="1422">
        <v>0</v>
      </c>
      <c r="K45" s="1423">
        <v>11898.79</v>
      </c>
      <c r="L45" s="1422">
        <v>473163</v>
      </c>
      <c r="M45" s="1432">
        <f t="shared" si="0"/>
        <v>3365414.2199999997</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338333</v>
      </c>
      <c r="E46" s="1423">
        <v>23890.68</v>
      </c>
      <c r="F46" s="1423">
        <v>68083.179999999993</v>
      </c>
      <c r="G46" s="1423">
        <v>179492.06</v>
      </c>
      <c r="H46" s="1423">
        <v>136553.76</v>
      </c>
      <c r="I46" s="1422">
        <v>137764.47</v>
      </c>
      <c r="J46" s="1422">
        <v>0</v>
      </c>
      <c r="K46" s="1422">
        <v>762.99</v>
      </c>
      <c r="L46" s="1423">
        <v>27342</v>
      </c>
      <c r="M46" s="1432">
        <f t="shared" si="0"/>
        <v>912222.1399999999</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253747</v>
      </c>
      <c r="E47" s="1423">
        <v>300.91000000000003</v>
      </c>
      <c r="F47" s="1422">
        <v>0</v>
      </c>
      <c r="G47" s="1422">
        <v>6471.14</v>
      </c>
      <c r="H47" s="1422">
        <v>40884.01</v>
      </c>
      <c r="I47" s="1422">
        <v>15755.38</v>
      </c>
      <c r="J47" s="1422">
        <v>0</v>
      </c>
      <c r="K47" s="1423">
        <v>0</v>
      </c>
      <c r="L47" s="1423">
        <v>1332</v>
      </c>
      <c r="M47" s="1432">
        <f t="shared" si="0"/>
        <v>318490.44</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1778</v>
      </c>
      <c r="E48" s="1422">
        <v>0</v>
      </c>
      <c r="F48" s="1422">
        <v>4310.8599999999997</v>
      </c>
      <c r="G48" s="1422">
        <v>136074.51999999999</v>
      </c>
      <c r="H48" s="1422">
        <v>31972.92</v>
      </c>
      <c r="I48" s="1422">
        <v>55.66</v>
      </c>
      <c r="J48" s="1422">
        <v>0</v>
      </c>
      <c r="K48" s="1422">
        <v>1239.06</v>
      </c>
      <c r="L48" s="1423">
        <v>1025</v>
      </c>
      <c r="M48" s="1432">
        <f t="shared" si="0"/>
        <v>176456.02</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25160</v>
      </c>
      <c r="E49" s="1422">
        <v>0</v>
      </c>
      <c r="F49" s="1422">
        <v>5353.79</v>
      </c>
      <c r="G49" s="1423">
        <v>148456.70000000001</v>
      </c>
      <c r="H49" s="1422">
        <v>7732.17</v>
      </c>
      <c r="I49" s="1422">
        <v>11118.63</v>
      </c>
      <c r="J49" s="1422">
        <v>0</v>
      </c>
      <c r="K49" s="1422">
        <v>0</v>
      </c>
      <c r="L49" s="1423">
        <v>5808</v>
      </c>
      <c r="M49" s="1432">
        <f t="shared" si="0"/>
        <v>203629.29000000004</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209898</v>
      </c>
      <c r="E50" s="1423">
        <v>36813.360000000001</v>
      </c>
      <c r="F50" s="1423">
        <v>1571.65</v>
      </c>
      <c r="G50" s="1423">
        <v>1226710.5900000001</v>
      </c>
      <c r="H50" s="1423">
        <v>139130.51999999999</v>
      </c>
      <c r="I50" s="1422">
        <v>448818.59</v>
      </c>
      <c r="J50" s="1422">
        <v>0</v>
      </c>
      <c r="K50" s="1422">
        <v>46900.72</v>
      </c>
      <c r="L50" s="1423">
        <v>22501</v>
      </c>
      <c r="M50" s="1432">
        <f t="shared" si="0"/>
        <v>2132344.4300000002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2601464</v>
      </c>
      <c r="E51" s="1433">
        <v>374009.55</v>
      </c>
      <c r="F51" s="1433">
        <v>259767.63</v>
      </c>
      <c r="G51" s="1433">
        <v>2234299.89</v>
      </c>
      <c r="H51" s="1433">
        <v>1184838</v>
      </c>
      <c r="I51" s="1433">
        <v>269084.65999999997</v>
      </c>
      <c r="J51" s="1433">
        <v>253560.26</v>
      </c>
      <c r="K51" s="1434">
        <v>22978.81</v>
      </c>
      <c r="L51" s="1433">
        <v>617342</v>
      </c>
      <c r="M51" s="1435">
        <f t="shared" si="0"/>
        <v>7817344.7999999998</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9954558</v>
      </c>
      <c r="E52" s="1428">
        <f t="shared" ref="E52:L52" si="1">SUM(E22:E51)</f>
        <v>1564916.07</v>
      </c>
      <c r="F52" s="1428">
        <f t="shared" si="1"/>
        <v>1585365.62</v>
      </c>
      <c r="G52" s="1428">
        <f t="shared" si="1"/>
        <v>21793833.059999999</v>
      </c>
      <c r="H52" s="1428">
        <f t="shared" si="1"/>
        <v>21851694.200000007</v>
      </c>
      <c r="I52" s="1428">
        <f t="shared" si="1"/>
        <v>4963954.5399999991</v>
      </c>
      <c r="J52" s="1428">
        <f t="shared" si="1"/>
        <v>2963453.3099999996</v>
      </c>
      <c r="K52" s="1428">
        <f t="shared" si="1"/>
        <v>1551010.11</v>
      </c>
      <c r="L52" s="1428">
        <f t="shared" si="1"/>
        <v>3180142</v>
      </c>
      <c r="M52" s="1428">
        <f>SUM(M22:M51)</f>
        <v>69408926.909999982</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2255</v>
      </c>
      <c r="E56" s="1426">
        <v>45618.32</v>
      </c>
      <c r="F56" s="1479">
        <v>120923.07</v>
      </c>
      <c r="G56" s="1427">
        <v>793915.62</v>
      </c>
      <c r="H56" s="1427">
        <v>1357676.34</v>
      </c>
      <c r="I56" s="1426">
        <v>179046</v>
      </c>
      <c r="J56" s="1426">
        <v>0</v>
      </c>
      <c r="K56" s="1426">
        <v>0</v>
      </c>
      <c r="L56" s="1427">
        <v>4404</v>
      </c>
      <c r="M56" s="1440">
        <f t="shared" ref="M56:M62" si="2">SUM(D56:L56)</f>
        <v>2503838.35</v>
      </c>
      <c r="O56" s="938"/>
      <c r="P56" s="936"/>
    </row>
    <row r="57" spans="1:55" ht="15.75">
      <c r="A57" s="936"/>
      <c r="B57" s="936" t="s">
        <v>598</v>
      </c>
      <c r="C57" s="932"/>
      <c r="D57" s="1427">
        <v>396024</v>
      </c>
      <c r="E57" s="1426">
        <v>0</v>
      </c>
      <c r="F57" s="1480">
        <v>0</v>
      </c>
      <c r="G57" s="1426">
        <v>135295.42000000001</v>
      </c>
      <c r="H57" s="1426">
        <v>38403.14</v>
      </c>
      <c r="I57" s="1426">
        <v>5273</v>
      </c>
      <c r="J57" s="1426">
        <v>0</v>
      </c>
      <c r="K57" s="1426">
        <v>0</v>
      </c>
      <c r="L57" s="1426">
        <v>0</v>
      </c>
      <c r="M57" s="1440">
        <f t="shared" si="2"/>
        <v>574995.56000000006</v>
      </c>
      <c r="O57" s="938"/>
      <c r="P57" s="936"/>
    </row>
    <row r="58" spans="1:55" ht="15.75">
      <c r="A58" s="936"/>
      <c r="B58" s="936" t="s">
        <v>599</v>
      </c>
      <c r="C58" s="932"/>
      <c r="D58" s="1426">
        <v>0</v>
      </c>
      <c r="E58" s="1426">
        <v>0</v>
      </c>
      <c r="F58" s="1480">
        <v>0</v>
      </c>
      <c r="G58" s="1427">
        <v>120997.87</v>
      </c>
      <c r="H58" s="1427">
        <v>90309.45</v>
      </c>
      <c r="I58" s="1426">
        <v>31203</v>
      </c>
      <c r="J58" s="1426">
        <v>0</v>
      </c>
      <c r="K58" s="1426">
        <v>0</v>
      </c>
      <c r="L58" s="1426">
        <v>0</v>
      </c>
      <c r="M58" s="1440">
        <f t="shared" si="2"/>
        <v>242510.32</v>
      </c>
      <c r="O58" s="938"/>
      <c r="P58" s="936"/>
    </row>
    <row r="59" spans="1:55" ht="15.75">
      <c r="A59" s="936"/>
      <c r="B59" s="936" t="s">
        <v>600</v>
      </c>
      <c r="C59" s="932"/>
      <c r="D59" s="1426">
        <v>472462</v>
      </c>
      <c r="E59" s="1427">
        <v>16421.86</v>
      </c>
      <c r="F59" s="1479">
        <v>51106.64</v>
      </c>
      <c r="G59" s="1427">
        <v>1775401.72</v>
      </c>
      <c r="H59" s="1427">
        <v>649563.27</v>
      </c>
      <c r="I59" s="1427">
        <v>229806</v>
      </c>
      <c r="J59" s="1426">
        <v>0</v>
      </c>
      <c r="K59" s="1426">
        <v>112290.95</v>
      </c>
      <c r="L59" s="1426">
        <v>3411</v>
      </c>
      <c r="M59" s="1440">
        <f t="shared" si="2"/>
        <v>3310463.44</v>
      </c>
      <c r="O59" s="938"/>
      <c r="P59" s="936"/>
    </row>
    <row r="60" spans="1:55" ht="15.75">
      <c r="A60" s="936"/>
      <c r="B60" s="936" t="s">
        <v>601</v>
      </c>
      <c r="C60" s="932"/>
      <c r="D60" s="1426">
        <v>0</v>
      </c>
      <c r="E60" s="1426">
        <v>0</v>
      </c>
      <c r="F60" s="1480">
        <v>0</v>
      </c>
      <c r="G60" s="1426">
        <v>0</v>
      </c>
      <c r="H60" s="1426">
        <v>625849.12</v>
      </c>
      <c r="I60" s="1426">
        <v>99431</v>
      </c>
      <c r="J60" s="1426">
        <v>0</v>
      </c>
      <c r="K60" s="1426">
        <v>0</v>
      </c>
      <c r="L60" s="1426">
        <v>0</v>
      </c>
      <c r="M60" s="1440">
        <f t="shared" si="2"/>
        <v>725280.12</v>
      </c>
      <c r="O60" s="938"/>
      <c r="P60" s="936"/>
    </row>
    <row r="61" spans="1:55" ht="15.75">
      <c r="A61" s="936"/>
      <c r="B61" s="936" t="s">
        <v>602</v>
      </c>
      <c r="C61" s="932"/>
      <c r="D61" s="1426">
        <v>0</v>
      </c>
      <c r="E61" s="1426">
        <v>0</v>
      </c>
      <c r="F61" s="1480">
        <v>0</v>
      </c>
      <c r="G61" s="1426">
        <v>0</v>
      </c>
      <c r="H61" s="1426">
        <v>0</v>
      </c>
      <c r="I61" s="1426">
        <v>0</v>
      </c>
      <c r="J61" s="1426">
        <v>0</v>
      </c>
      <c r="K61" s="1426">
        <v>0</v>
      </c>
      <c r="L61" s="1426">
        <v>0</v>
      </c>
      <c r="M61" s="1440">
        <f t="shared" si="2"/>
        <v>0</v>
      </c>
      <c r="O61" s="938"/>
      <c r="P61" s="936"/>
    </row>
    <row r="62" spans="1:55" ht="16.5" thickBot="1">
      <c r="A62" s="936"/>
      <c r="B62" s="929" t="s">
        <v>603</v>
      </c>
      <c r="C62" s="946"/>
      <c r="D62" s="1424">
        <v>64950</v>
      </c>
      <c r="E62" s="1424">
        <v>67646.3</v>
      </c>
      <c r="F62" s="1481">
        <v>87625.54</v>
      </c>
      <c r="G62" s="1433">
        <v>1117524.47</v>
      </c>
      <c r="H62" s="1433">
        <v>373326.96</v>
      </c>
      <c r="I62" s="1424">
        <v>14373</v>
      </c>
      <c r="J62" s="1424">
        <v>0</v>
      </c>
      <c r="K62" s="1451">
        <v>195688.25</v>
      </c>
      <c r="L62" s="1424">
        <v>13032</v>
      </c>
      <c r="M62" s="1442">
        <f t="shared" si="2"/>
        <v>1934166.52</v>
      </c>
      <c r="O62" s="938"/>
      <c r="P62" s="936"/>
    </row>
    <row r="63" spans="1:55" ht="15.75">
      <c r="A63" s="936"/>
      <c r="B63" s="1074" t="s">
        <v>0</v>
      </c>
      <c r="C63" s="1074" t="s">
        <v>604</v>
      </c>
      <c r="D63" s="1428">
        <f t="shared" ref="D63:I63" si="3">SUM(D56:D62)</f>
        <v>935691</v>
      </c>
      <c r="E63" s="1428">
        <f t="shared" si="3"/>
        <v>129686.48000000001</v>
      </c>
      <c r="F63" s="1428">
        <f t="shared" si="3"/>
        <v>259655.25</v>
      </c>
      <c r="G63" s="1428">
        <f t="shared" si="3"/>
        <v>3943135.0999999996</v>
      </c>
      <c r="H63" s="1428">
        <f t="shared" si="3"/>
        <v>3135128.2800000003</v>
      </c>
      <c r="I63" s="1428">
        <f t="shared" si="3"/>
        <v>559132</v>
      </c>
      <c r="J63" s="1426" t="s">
        <v>566</v>
      </c>
      <c r="K63" s="1428">
        <f>SUM(K56:K62)</f>
        <v>307979.2</v>
      </c>
      <c r="L63" s="1428">
        <f>SUM(L56:L62)</f>
        <v>20847</v>
      </c>
      <c r="M63" s="1443">
        <f>SUM(M56:M62)</f>
        <v>9291254.3100000005</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27397</v>
      </c>
      <c r="E68" s="1427">
        <v>6556.48</v>
      </c>
      <c r="F68" s="1427">
        <v>822.42</v>
      </c>
      <c r="G68" s="1427">
        <v>147107.45000000001</v>
      </c>
      <c r="H68" s="1427">
        <v>87080.24</v>
      </c>
      <c r="I68" s="1427">
        <v>33911</v>
      </c>
      <c r="J68" s="1426">
        <v>0</v>
      </c>
      <c r="K68" s="1426">
        <v>30329.42</v>
      </c>
      <c r="L68" s="1426">
        <v>0</v>
      </c>
      <c r="M68" s="1443">
        <f t="shared" ref="M68:M75" si="4">SUM(D68:L68)</f>
        <v>333204.01</v>
      </c>
      <c r="O68" s="938"/>
      <c r="P68" s="936"/>
    </row>
    <row r="69" spans="1:16" ht="15.75">
      <c r="A69" s="936"/>
      <c r="B69" s="936" t="s">
        <v>599</v>
      </c>
      <c r="C69" s="932"/>
      <c r="D69" s="1426">
        <v>0</v>
      </c>
      <c r="E69" s="1426">
        <v>0</v>
      </c>
      <c r="F69" s="1426">
        <v>0</v>
      </c>
      <c r="G69" s="1426">
        <v>11635.18</v>
      </c>
      <c r="H69" s="1426">
        <v>13796.9</v>
      </c>
      <c r="I69" s="1426">
        <v>19704</v>
      </c>
      <c r="J69" s="1426">
        <v>0</v>
      </c>
      <c r="K69" s="1426">
        <v>0</v>
      </c>
      <c r="L69" s="1426">
        <v>1697</v>
      </c>
      <c r="M69" s="1443">
        <f t="shared" si="4"/>
        <v>46833.08</v>
      </c>
      <c r="O69" s="938"/>
      <c r="P69" s="936"/>
    </row>
    <row r="70" spans="1:16" ht="15.75">
      <c r="A70" s="936"/>
      <c r="B70" s="936" t="s">
        <v>607</v>
      </c>
      <c r="C70" s="932"/>
      <c r="D70" s="1426">
        <v>17731</v>
      </c>
      <c r="E70" s="1427">
        <v>0</v>
      </c>
      <c r="F70" s="1426">
        <v>0</v>
      </c>
      <c r="G70" s="1426">
        <v>848425.1</v>
      </c>
      <c r="H70" s="1426">
        <v>1219219.99</v>
      </c>
      <c r="I70" s="1426">
        <v>83261</v>
      </c>
      <c r="J70" s="1426">
        <v>0</v>
      </c>
      <c r="K70" s="1426">
        <v>5871.77</v>
      </c>
      <c r="L70" s="1426">
        <v>0</v>
      </c>
      <c r="M70" s="1443">
        <f t="shared" si="4"/>
        <v>2174508.86</v>
      </c>
      <c r="O70" s="938"/>
      <c r="P70" s="936"/>
    </row>
    <row r="71" spans="1:16" ht="15.75">
      <c r="A71" s="936"/>
      <c r="B71" s="936" t="s">
        <v>600</v>
      </c>
      <c r="C71" s="932"/>
      <c r="D71" s="1426">
        <v>13105</v>
      </c>
      <c r="E71" s="1427">
        <v>176.88</v>
      </c>
      <c r="F71" s="1427">
        <v>36829.919999999998</v>
      </c>
      <c r="G71" s="1427">
        <v>667629.57999999996</v>
      </c>
      <c r="H71" s="1427">
        <v>571416.19999999995</v>
      </c>
      <c r="I71" s="1426">
        <v>161709</v>
      </c>
      <c r="J71" s="1426">
        <v>0</v>
      </c>
      <c r="K71" s="1426">
        <v>0</v>
      </c>
      <c r="L71" s="1427">
        <v>5350</v>
      </c>
      <c r="M71" s="1443">
        <f t="shared" si="4"/>
        <v>1456216.58</v>
      </c>
      <c r="O71" s="938"/>
      <c r="P71" s="936"/>
    </row>
    <row r="72" spans="1:16" ht="15.75">
      <c r="A72" s="936"/>
      <c r="B72" s="936" t="s">
        <v>608</v>
      </c>
      <c r="C72" s="932"/>
      <c r="D72" s="1426">
        <v>1800</v>
      </c>
      <c r="E72" s="1426">
        <v>1788.25</v>
      </c>
      <c r="F72" s="1426">
        <v>0</v>
      </c>
      <c r="G72" s="1426">
        <v>59160.42</v>
      </c>
      <c r="H72" s="1426">
        <v>18301.189999999999</v>
      </c>
      <c r="I72" s="1426">
        <v>8235</v>
      </c>
      <c r="J72" s="1426">
        <v>0</v>
      </c>
      <c r="K72" s="1426">
        <v>0</v>
      </c>
      <c r="L72" s="1426">
        <v>0</v>
      </c>
      <c r="M72" s="1443">
        <f t="shared" si="4"/>
        <v>89284.86</v>
      </c>
      <c r="O72" s="938"/>
      <c r="P72" s="936"/>
    </row>
    <row r="73" spans="1:16" ht="15.75">
      <c r="A73" s="936"/>
      <c r="B73" s="936" t="s">
        <v>609</v>
      </c>
      <c r="C73" s="932"/>
      <c r="D73" s="1426">
        <v>13328</v>
      </c>
      <c r="E73" s="1426">
        <v>0</v>
      </c>
      <c r="F73" s="1426">
        <v>6136.44</v>
      </c>
      <c r="G73" s="1426">
        <v>366204.2</v>
      </c>
      <c r="H73" s="1426">
        <v>155242.65</v>
      </c>
      <c r="I73" s="1426">
        <v>174159</v>
      </c>
      <c r="J73" s="1426">
        <v>0</v>
      </c>
      <c r="K73" s="1426">
        <v>3135.23</v>
      </c>
      <c r="L73" s="1426">
        <v>0</v>
      </c>
      <c r="M73" s="1443">
        <f t="shared" si="4"/>
        <v>718205.52</v>
      </c>
      <c r="O73" s="938"/>
      <c r="P73" s="936"/>
    </row>
    <row r="74" spans="1:16" ht="15.75">
      <c r="A74" s="936"/>
      <c r="B74" s="936" t="s">
        <v>601</v>
      </c>
      <c r="C74" s="932"/>
      <c r="D74" s="1426">
        <v>0</v>
      </c>
      <c r="E74" s="1426">
        <v>0</v>
      </c>
      <c r="F74" s="1426">
        <v>0</v>
      </c>
      <c r="G74" s="1426">
        <v>0</v>
      </c>
      <c r="H74" s="1426">
        <v>305851.45</v>
      </c>
      <c r="I74" s="1426">
        <v>761</v>
      </c>
      <c r="J74" s="1426">
        <v>0</v>
      </c>
      <c r="K74" s="1426">
        <v>37723.06</v>
      </c>
      <c r="L74" s="1426">
        <v>0</v>
      </c>
      <c r="M74" s="1443">
        <f t="shared" si="4"/>
        <v>344335.51</v>
      </c>
      <c r="O74" s="938"/>
      <c r="P74" s="936"/>
    </row>
    <row r="75" spans="1:16" ht="16.5" thickBot="1">
      <c r="A75" s="936"/>
      <c r="B75" s="929" t="s">
        <v>603</v>
      </c>
      <c r="C75" s="946"/>
      <c r="D75" s="1424">
        <v>237887</v>
      </c>
      <c r="E75" s="1433">
        <v>397380.22</v>
      </c>
      <c r="F75" s="1433">
        <v>79480.600000000006</v>
      </c>
      <c r="G75" s="1433">
        <v>667656.35</v>
      </c>
      <c r="H75" s="1433">
        <v>762736.55</v>
      </c>
      <c r="I75" s="1424">
        <v>92902</v>
      </c>
      <c r="J75" s="1424">
        <v>0</v>
      </c>
      <c r="K75" s="1424">
        <v>105135.22</v>
      </c>
      <c r="L75" s="1433">
        <v>2777</v>
      </c>
      <c r="M75" s="1447">
        <f t="shared" si="4"/>
        <v>2345954.94</v>
      </c>
      <c r="O75" s="938"/>
      <c r="P75" s="936"/>
    </row>
    <row r="76" spans="1:16" ht="15.75">
      <c r="A76" s="936"/>
      <c r="C76" s="1074" t="s">
        <v>604</v>
      </c>
      <c r="D76" s="1428">
        <f t="shared" ref="D76:I76" si="5">SUM(D68:D75)</f>
        <v>311248</v>
      </c>
      <c r="E76" s="1428">
        <f t="shared" si="5"/>
        <v>405901.82999999996</v>
      </c>
      <c r="F76" s="1428">
        <f t="shared" si="5"/>
        <v>123269.38</v>
      </c>
      <c r="G76" s="1428">
        <f t="shared" si="5"/>
        <v>2767818.2800000003</v>
      </c>
      <c r="H76" s="1428">
        <f t="shared" si="5"/>
        <v>3133645.17</v>
      </c>
      <c r="I76" s="1428">
        <f t="shared" si="5"/>
        <v>574642</v>
      </c>
      <c r="J76" s="1426" t="s">
        <v>566</v>
      </c>
      <c r="K76" s="1428">
        <f>SUM(K68:K75)</f>
        <v>182194.7</v>
      </c>
      <c r="L76" s="1428">
        <f>SUM(L68:L75)</f>
        <v>9824</v>
      </c>
      <c r="M76" s="1443">
        <f>SUM(M68:M75)</f>
        <v>7508543.3599999994</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0.xml><?xml version="1.0" encoding="utf-8"?>
<worksheet xmlns="http://schemas.openxmlformats.org/spreadsheetml/2006/main" xmlns:r="http://schemas.openxmlformats.org/officeDocument/2006/relationships">
  <sheetPr>
    <pageSetUpPr fitToPage="1"/>
  </sheetPr>
  <dimension ref="A1:BC239"/>
  <sheetViews>
    <sheetView topLeftCell="B19" zoomScale="110" zoomScaleNormal="110"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913</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918">
        <v>0</v>
      </c>
      <c r="F22" s="918">
        <v>0</v>
      </c>
      <c r="G22" s="917">
        <v>1.1618057241372666E-4</v>
      </c>
      <c r="H22" s="917">
        <v>4.8434299432947381E-3</v>
      </c>
      <c r="I22" s="918">
        <v>0</v>
      </c>
      <c r="J22" s="918">
        <v>0</v>
      </c>
      <c r="K22" s="918">
        <v>0</v>
      </c>
      <c r="L22" s="918">
        <v>0</v>
      </c>
      <c r="M22" s="1482">
        <v>1.5613145862421751E-3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v>1.7555073766208403E-2</v>
      </c>
      <c r="E23" s="917">
        <v>1.3900528224494493E-2</v>
      </c>
      <c r="F23" s="917">
        <v>1.1662533718878047E-2</v>
      </c>
      <c r="G23" s="917">
        <v>1.6506262987773846E-2</v>
      </c>
      <c r="H23" s="917">
        <v>4.9135493118881358E-2</v>
      </c>
      <c r="I23" s="917">
        <v>5.0991381560879491E-2</v>
      </c>
      <c r="J23" s="917" t="s">
        <v>566</v>
      </c>
      <c r="K23" s="917">
        <v>0.23643959354978028</v>
      </c>
      <c r="L23" s="917">
        <v>5.3085679821844436E-2</v>
      </c>
      <c r="M23" s="1482">
        <v>3.5111955457258065E-2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v>3.944926535161079E-4</v>
      </c>
      <c r="E24" s="918">
        <v>0</v>
      </c>
      <c r="F24" s="917">
        <v>5.9697396490785504E-3</v>
      </c>
      <c r="G24" s="917">
        <v>3.1607150431205516E-2</v>
      </c>
      <c r="H24" s="917">
        <v>5.2385682296432631E-2</v>
      </c>
      <c r="I24" s="917">
        <v>2.2162356466705276E-2</v>
      </c>
      <c r="J24" s="917" t="s">
        <v>566</v>
      </c>
      <c r="K24" s="917">
        <v>0.22396404624338651</v>
      </c>
      <c r="L24" s="917">
        <v>2.3636365923282672E-2</v>
      </c>
      <c r="M24" s="1482">
        <v>3.4282312462277489E-2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v>4.970587343004079E-4</v>
      </c>
      <c r="E25" s="918">
        <v>0</v>
      </c>
      <c r="F25" s="917">
        <v>5.563959435426636E-3</v>
      </c>
      <c r="G25" s="917">
        <v>1.3077277375455864E-4</v>
      </c>
      <c r="H25" s="918">
        <v>0</v>
      </c>
      <c r="I25" s="918">
        <v>0</v>
      </c>
      <c r="J25" s="917" t="s">
        <v>566</v>
      </c>
      <c r="K25" s="918">
        <v>0</v>
      </c>
      <c r="L25" s="918">
        <v>0</v>
      </c>
      <c r="M25" s="1482">
        <v>2.3945248457090724E-4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8">
        <v>0</v>
      </c>
      <c r="E26" s="918">
        <v>0</v>
      </c>
      <c r="F26" s="917">
        <v>3.0748112224106386E-4</v>
      </c>
      <c r="G26" s="917">
        <v>2.4003973443302132E-2</v>
      </c>
      <c r="H26" s="917">
        <v>4.3939645649992655E-3</v>
      </c>
      <c r="I26" s="917">
        <v>1.3821037128192559E-2</v>
      </c>
      <c r="J26" s="917" t="s">
        <v>566</v>
      </c>
      <c r="K26" s="918">
        <v>0</v>
      </c>
      <c r="L26" s="918">
        <v>0</v>
      </c>
      <c r="M26" s="1482">
        <v>9.9158517591321771E-3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2.1497589345503838E-2</v>
      </c>
      <c r="E27" s="918">
        <v>0</v>
      </c>
      <c r="F27" s="918">
        <v>0</v>
      </c>
      <c r="G27" s="917">
        <v>2.8602046656220466E-2</v>
      </c>
      <c r="H27" s="917">
        <v>1.1030068780662322E-2</v>
      </c>
      <c r="I27" s="917">
        <v>7.1826665036299883E-3</v>
      </c>
      <c r="J27" s="917" t="s">
        <v>566</v>
      </c>
      <c r="K27" s="918">
        <v>0</v>
      </c>
      <c r="L27" s="917">
        <v>2.4998883697646204E-3</v>
      </c>
      <c r="M27" s="1482">
        <v>1.616474133730416E-2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8">
        <v>0</v>
      </c>
      <c r="E28" s="918">
        <v>0</v>
      </c>
      <c r="F28" s="917">
        <v>5.999707499649197E-3</v>
      </c>
      <c r="G28" s="918">
        <v>0</v>
      </c>
      <c r="H28" s="917">
        <v>2.9914101580279288E-3</v>
      </c>
      <c r="I28" s="918">
        <v>0</v>
      </c>
      <c r="J28" s="917" t="s">
        <v>566</v>
      </c>
      <c r="K28" s="918">
        <v>0</v>
      </c>
      <c r="L28" s="918">
        <v>0</v>
      </c>
      <c r="M28" s="1482">
        <v>1.0814035505451098E-3</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5.7430977849543896E-3</v>
      </c>
      <c r="E29" s="918">
        <v>0</v>
      </c>
      <c r="F29" s="917">
        <v>2.5230205257005633E-3</v>
      </c>
      <c r="G29" s="917">
        <v>6.4297161318166039E-3</v>
      </c>
      <c r="H29" s="917">
        <v>5.3511384028063127E-3</v>
      </c>
      <c r="I29" s="917">
        <v>9.5169425141431712E-3</v>
      </c>
      <c r="J29" s="917" t="s">
        <v>566</v>
      </c>
      <c r="K29" s="918">
        <v>0</v>
      </c>
      <c r="L29" s="917">
        <v>1.4263514019185308E-3</v>
      </c>
      <c r="M29" s="1482">
        <v>5.3308298582367478E-3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4.6021330128369335E-2</v>
      </c>
      <c r="E30" s="918">
        <v>0</v>
      </c>
      <c r="F30" s="917">
        <v>1.0735668659195471E-2</v>
      </c>
      <c r="G30" s="917">
        <v>2.8052466875232641E-2</v>
      </c>
      <c r="H30" s="917">
        <v>2.1056568236251443E-2</v>
      </c>
      <c r="I30" s="917">
        <v>1.3089362417891928E-2</v>
      </c>
      <c r="J30" s="917" t="s">
        <v>566</v>
      </c>
      <c r="K30" s="917">
        <v>0.12446423705129814</v>
      </c>
      <c r="L30" s="917">
        <v>1.5601190135534829E-2</v>
      </c>
      <c r="M30" s="1482">
        <v>2.6715133089499604E-2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7.4330773902768965E-3</v>
      </c>
      <c r="E31" s="918">
        <v>0</v>
      </c>
      <c r="F31" s="918">
        <v>0</v>
      </c>
      <c r="G31" s="917">
        <v>3.6293163658839188E-2</v>
      </c>
      <c r="H31" s="917">
        <v>2.484667115650922E-2</v>
      </c>
      <c r="I31" s="917">
        <v>1.7405904768821676E-2</v>
      </c>
      <c r="J31" s="917" t="s">
        <v>566</v>
      </c>
      <c r="K31" s="918">
        <v>0</v>
      </c>
      <c r="L31" s="917">
        <v>4.0196318277611505E-3</v>
      </c>
      <c r="M31" s="1482">
        <v>2.1713159921838074E-2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8">
        <v>0</v>
      </c>
      <c r="E32" s="918">
        <v>0</v>
      </c>
      <c r="F32" s="918">
        <v>0</v>
      </c>
      <c r="G32" s="917">
        <v>3.7501943680576218E-3</v>
      </c>
      <c r="H32" s="917">
        <v>5.424211455421153E-3</v>
      </c>
      <c r="I32" s="917">
        <v>7.7720212159718945E-3</v>
      </c>
      <c r="J32" s="917" t="s">
        <v>566</v>
      </c>
      <c r="K32" s="918">
        <v>0</v>
      </c>
      <c r="L32" s="917">
        <v>7.5059541366391818E-4</v>
      </c>
      <c r="M32" s="1482">
        <v>3.4754359523925401E-3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0.22171562012095364</v>
      </c>
      <c r="E33" s="918">
        <v>0</v>
      </c>
      <c r="F33" s="917">
        <v>0.23244617856668293</v>
      </c>
      <c r="G33" s="917">
        <v>4.1161307766757763E-2</v>
      </c>
      <c r="H33" s="917">
        <v>1.6410581107253455E-4</v>
      </c>
      <c r="I33" s="917">
        <v>4.157028400183537E-4</v>
      </c>
      <c r="J33" s="917" t="s">
        <v>566</v>
      </c>
      <c r="K33" s="917">
        <v>2.3344786579115203E-4</v>
      </c>
      <c r="L33" s="918">
        <v>0</v>
      </c>
      <c r="M33" s="1482">
        <v>5.0118444483526751E-2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8">
        <v>0</v>
      </c>
      <c r="E34" s="917">
        <v>1.2558500980822569E-3</v>
      </c>
      <c r="F34" s="917">
        <v>3.8652850312220093E-3</v>
      </c>
      <c r="G34" s="918">
        <v>0</v>
      </c>
      <c r="H34" s="917">
        <v>0.11393605444103273</v>
      </c>
      <c r="I34" s="917">
        <v>1.8523368668883905E-2</v>
      </c>
      <c r="J34" s="917" t="s">
        <v>566</v>
      </c>
      <c r="K34" s="917">
        <v>7.2544981670042113E-4</v>
      </c>
      <c r="L34" s="918">
        <v>0</v>
      </c>
      <c r="M34" s="1482">
        <v>3.7339213057717056E-2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8">
        <v>0</v>
      </c>
      <c r="E35" s="917">
        <v>2.6750635898320093E-3</v>
      </c>
      <c r="F35" s="918">
        <v>0</v>
      </c>
      <c r="G35" s="917">
        <v>1.2034855882299762E-2</v>
      </c>
      <c r="H35" s="917">
        <v>2.8026284570648982E-3</v>
      </c>
      <c r="I35" s="918">
        <v>0</v>
      </c>
      <c r="J35" s="917" t="s">
        <v>566</v>
      </c>
      <c r="K35" s="918">
        <v>0</v>
      </c>
      <c r="L35" s="918">
        <v>0</v>
      </c>
      <c r="M35" s="1482">
        <v>4.7214974296452506E-3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8">
        <v>0</v>
      </c>
      <c r="E36" s="917">
        <v>0.12912896983670186</v>
      </c>
      <c r="F36" s="917">
        <v>8.1769434359248938E-2</v>
      </c>
      <c r="G36" s="917">
        <v>0.11227373694492272</v>
      </c>
      <c r="H36" s="917">
        <v>2.9265496951719185E-2</v>
      </c>
      <c r="I36" s="917">
        <v>5.6984556913367714E-2</v>
      </c>
      <c r="J36" s="917" t="s">
        <v>566</v>
      </c>
      <c r="K36" s="918">
        <v>0</v>
      </c>
      <c r="L36" s="917">
        <v>0.14334674363597599</v>
      </c>
      <c r="M36" s="1482">
        <v>5.9888809048870534E-2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9.3996137246877262E-2</v>
      </c>
      <c r="E37" s="917">
        <v>8.2871204715790278E-2</v>
      </c>
      <c r="F37" s="917">
        <v>0.16378256644672287</v>
      </c>
      <c r="G37" s="917">
        <v>0.18092893935381921</v>
      </c>
      <c r="H37" s="917">
        <v>0.14347300769017712</v>
      </c>
      <c r="I37" s="917">
        <v>0.11263852146397781</v>
      </c>
      <c r="J37" s="917" t="s">
        <v>566</v>
      </c>
      <c r="K37" s="917">
        <v>0.19856685524764245</v>
      </c>
      <c r="L37" s="917">
        <v>6.5553676533940935E-3</v>
      </c>
      <c r="M37" s="1482">
        <v>0.13386251932763102</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3.1266983426084811E-2</v>
      </c>
      <c r="E38" s="917">
        <v>0.25937610187618559</v>
      </c>
      <c r="F38" s="917">
        <v>7.775454345982348E-2</v>
      </c>
      <c r="G38" s="917">
        <v>0.12700006751359416</v>
      </c>
      <c r="H38" s="917">
        <v>0.14340513560728846</v>
      </c>
      <c r="I38" s="917">
        <v>0.11576316127987749</v>
      </c>
      <c r="J38" s="917" t="s">
        <v>566</v>
      </c>
      <c r="K38" s="917">
        <v>0.11746841547022541</v>
      </c>
      <c r="L38" s="917">
        <v>3.089170232021086E-3</v>
      </c>
      <c r="M38" s="1482">
        <v>0.10817838215156469</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7.6839172567983425E-4</v>
      </c>
      <c r="E39" s="917">
        <v>1.7841276305635995E-3</v>
      </c>
      <c r="F39" s="917">
        <v>3.2220075517974209E-3</v>
      </c>
      <c r="G39" s="917">
        <v>5.364765329628527E-4</v>
      </c>
      <c r="H39" s="917">
        <v>1.0478107459512219E-3</v>
      </c>
      <c r="I39" s="917">
        <v>3.0855762027184081E-3</v>
      </c>
      <c r="J39" s="917" t="s">
        <v>566</v>
      </c>
      <c r="K39" s="918">
        <v>0</v>
      </c>
      <c r="L39" s="917">
        <v>1.7738201627474496E-3</v>
      </c>
      <c r="M39" s="1482">
        <v>1.0242925970053731E-3</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1.53901358553539E-2</v>
      </c>
      <c r="E40" s="918">
        <v>0</v>
      </c>
      <c r="F40" s="917">
        <v>1.1910653140062417E-2</v>
      </c>
      <c r="G40" s="917">
        <v>4.8470886103043315E-2</v>
      </c>
      <c r="H40" s="917">
        <v>2.5917958343019453E-3</v>
      </c>
      <c r="I40" s="917">
        <v>0.11272430186276447</v>
      </c>
      <c r="J40" s="917" t="s">
        <v>566</v>
      </c>
      <c r="K40" s="918">
        <v>0</v>
      </c>
      <c r="L40" s="918">
        <v>0</v>
      </c>
      <c r="M40" s="1482">
        <v>2.6576474556246676E-2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3.4087902245383472E-3</v>
      </c>
      <c r="E41" s="917">
        <v>3.0973482175309246E-2</v>
      </c>
      <c r="F41" s="917">
        <v>4.3642159970644495E-2</v>
      </c>
      <c r="G41" s="917">
        <v>1.564197996109639E-3</v>
      </c>
      <c r="H41" s="917">
        <v>1.875647335390589E-2</v>
      </c>
      <c r="I41" s="917">
        <v>5.8060241623405368E-3</v>
      </c>
      <c r="J41" s="917" t="s">
        <v>566</v>
      </c>
      <c r="K41" s="917">
        <v>3.2000565102699424E-3</v>
      </c>
      <c r="L41" s="918">
        <v>0</v>
      </c>
      <c r="M41" s="1482">
        <v>9.0669523073887287E-3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8.7317588586052736E-2</v>
      </c>
      <c r="E42" s="917">
        <v>0.12131678090570057</v>
      </c>
      <c r="F42" s="917">
        <v>4.2169786676716246E-2</v>
      </c>
      <c r="G42" s="917">
        <v>8.1884425520142995E-3</v>
      </c>
      <c r="H42" s="917">
        <v>4.2559332996706487E-2</v>
      </c>
      <c r="I42" s="917">
        <v>0.11791293318330834</v>
      </c>
      <c r="J42" s="917">
        <v>0.55514406602883182</v>
      </c>
      <c r="K42" s="918">
        <v>0</v>
      </c>
      <c r="L42" s="917">
        <v>0.25537759005729932</v>
      </c>
      <c r="M42" s="1482">
        <v>7.6027096008016964E-2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4.7033429309468085E-2</v>
      </c>
      <c r="E43" s="917">
        <v>6.2582634223955533E-2</v>
      </c>
      <c r="F43" s="917">
        <v>7.2042353233319131E-2</v>
      </c>
      <c r="G43" s="917">
        <v>4.1298190066984021E-2</v>
      </c>
      <c r="H43" s="917">
        <v>0.17636646498558445</v>
      </c>
      <c r="I43" s="917">
        <v>6.3115404759528696E-4</v>
      </c>
      <c r="J43" s="917">
        <v>0.35929350612917205</v>
      </c>
      <c r="K43" s="917">
        <v>6.2105333407530138E-4</v>
      </c>
      <c r="L43" s="917">
        <v>1.3463235289493362E-2</v>
      </c>
      <c r="M43" s="1482">
        <v>9.4310055801437559E-2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5.4504077428651279E-2</v>
      </c>
      <c r="E44" s="918">
        <v>0</v>
      </c>
      <c r="F44" s="917">
        <v>5.171040608285677E-3</v>
      </c>
      <c r="G44" s="917">
        <v>6.2465386251793192E-3</v>
      </c>
      <c r="H44" s="917">
        <v>3.8633016381860209E-2</v>
      </c>
      <c r="I44" s="917">
        <v>8.2090598678206288E-4</v>
      </c>
      <c r="J44" s="917" t="s">
        <v>566</v>
      </c>
      <c r="K44" s="917">
        <v>4.0300195077387344E-2</v>
      </c>
      <c r="L44" s="917">
        <v>0.11422288690253454</v>
      </c>
      <c r="M44" s="1482">
        <v>2.8251709215194386E-2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8.5317700695500492E-4</v>
      </c>
      <c r="E45" s="917">
        <v>1.6155812113297554E-2</v>
      </c>
      <c r="F45" s="917">
        <v>5.57613328337472E-3</v>
      </c>
      <c r="G45" s="917">
        <v>6.437191090423082E-2</v>
      </c>
      <c r="H45" s="917">
        <v>3.5014093781341668E-2</v>
      </c>
      <c r="I45" s="917">
        <v>0.13491436607717205</v>
      </c>
      <c r="J45" s="917" t="s">
        <v>566</v>
      </c>
      <c r="K45" s="917">
        <v>7.6716392261298675E-3</v>
      </c>
      <c r="L45" s="917">
        <v>0.14878675228967764</v>
      </c>
      <c r="M45" s="1482">
        <v>4.8486763444186502E-2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3.3987747120464817E-2</v>
      </c>
      <c r="E46" s="917">
        <v>1.5266428952959758E-2</v>
      </c>
      <c r="F46" s="917">
        <v>4.2944781406323157E-2</v>
      </c>
      <c r="G46" s="917">
        <v>8.2359105672620957E-3</v>
      </c>
      <c r="H46" s="917">
        <v>6.2491154576014511E-3</v>
      </c>
      <c r="I46" s="917">
        <v>2.7752967697403617E-2</v>
      </c>
      <c r="J46" s="917" t="s">
        <v>566</v>
      </c>
      <c r="K46" s="917">
        <v>4.9193102938574658E-4</v>
      </c>
      <c r="L46" s="917">
        <v>8.5977292837866991E-3</v>
      </c>
      <c r="M46" s="1482">
        <v>1.3142720693302823E-2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2.5490534084989008E-2</v>
      </c>
      <c r="E47" s="917">
        <v>1.9228507251510302E-4</v>
      </c>
      <c r="F47" s="918">
        <v>0</v>
      </c>
      <c r="G47" s="917">
        <v>2.9692528075187527E-4</v>
      </c>
      <c r="H47" s="917">
        <v>1.8709766677953963E-3</v>
      </c>
      <c r="I47" s="917">
        <v>3.1739573505441495E-3</v>
      </c>
      <c r="J47" s="917" t="s">
        <v>566</v>
      </c>
      <c r="K47" s="918">
        <v>0</v>
      </c>
      <c r="L47" s="917">
        <v>4.1884922119829872E-4</v>
      </c>
      <c r="M47" s="1482">
        <v>4.5886091916242256E-3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1.7861164704650875E-4</v>
      </c>
      <c r="E48" s="918">
        <v>0</v>
      </c>
      <c r="F48" s="917">
        <v>2.7191582469159379E-3</v>
      </c>
      <c r="G48" s="917">
        <v>6.2437167259828501E-3</v>
      </c>
      <c r="H48" s="917">
        <v>1.4631780816335965E-3</v>
      </c>
      <c r="I48" s="918">
        <v>0</v>
      </c>
      <c r="J48" s="917" t="s">
        <v>566</v>
      </c>
      <c r="K48" s="917">
        <v>7.9887293577989623E-4</v>
      </c>
      <c r="L48" s="917">
        <v>3.2231265144763976E-4</v>
      </c>
      <c r="M48" s="1482">
        <v>2.5422669367703098E-3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v>2.5274853991508212E-3</v>
      </c>
      <c r="E49" s="918">
        <v>0</v>
      </c>
      <c r="F49" s="917">
        <v>3.3770064977188033E-3</v>
      </c>
      <c r="G49" s="917">
        <v>6.8118673567558298E-3</v>
      </c>
      <c r="H49" s="917">
        <v>3.538476206572577E-4</v>
      </c>
      <c r="I49" s="917">
        <v>2.2398734537967791E-3</v>
      </c>
      <c r="J49" s="917" t="s">
        <v>566</v>
      </c>
      <c r="K49" s="918">
        <v>0</v>
      </c>
      <c r="L49" s="917">
        <v>1.8263335410808701E-3</v>
      </c>
      <c r="M49" s="1482">
        <v>2.9337622560285177E-3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2.1085617261961807E-2</v>
      </c>
      <c r="E50" s="917">
        <v>2.3524175325262013E-2</v>
      </c>
      <c r="F50" s="917">
        <v>9.9134860764799482E-4</v>
      </c>
      <c r="G50" s="917">
        <v>5.6287050865388252E-2</v>
      </c>
      <c r="H50" s="917">
        <v>6.3670358337707261E-3</v>
      </c>
      <c r="I50" s="917">
        <v>9.0415531887606718E-2</v>
      </c>
      <c r="J50" s="917" t="s">
        <v>566</v>
      </c>
      <c r="K50" s="917">
        <v>3.0238822879110696E-2</v>
      </c>
      <c r="L50" s="917">
        <v>7.075470214852041E-3</v>
      </c>
      <c r="M50" s="1482">
        <v>3.0721472365722254E-2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v>0.26133395375264273</v>
      </c>
      <c r="E51" s="1013">
        <v>0.2389965552593501</v>
      </c>
      <c r="F51" s="1013">
        <v>0.16385345230332418</v>
      </c>
      <c r="G51" s="1013">
        <v>0.10251982218312909</v>
      </c>
      <c r="H51" s="1013">
        <v>5.4221791187248063E-2</v>
      </c>
      <c r="I51" s="1013">
        <v>5.4207720443789562E-2</v>
      </c>
      <c r="J51" s="1013">
        <v>8.5562427841996289E-2</v>
      </c>
      <c r="K51" s="1013">
        <v>1.481538376303685E-2</v>
      </c>
      <c r="L51" s="1013">
        <v>0.19412403597072081</v>
      </c>
      <c r="M51" s="1483">
        <v>0.11262736866882361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v>0.99999999999999978</v>
      </c>
      <c r="E52" s="934">
        <v>0.99999999999999978</v>
      </c>
      <c r="F52" s="934">
        <v>0.99999999999999989</v>
      </c>
      <c r="G52" s="934">
        <v>0.99996277111980414</v>
      </c>
      <c r="H52" s="934">
        <v>0.99999999999999933</v>
      </c>
      <c r="I52" s="935">
        <v>0.99995229609818337</v>
      </c>
      <c r="J52" s="934">
        <v>1</v>
      </c>
      <c r="K52" s="935">
        <v>1</v>
      </c>
      <c r="L52" s="934">
        <v>1</v>
      </c>
      <c r="M52" s="934">
        <v>1.0000000000000002</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17">
        <v>2.2652939487619641E-4</v>
      </c>
      <c r="E56" s="917">
        <v>2.9150649593623252E-2</v>
      </c>
      <c r="F56" s="917">
        <v>7.6274563087850994E-2</v>
      </c>
      <c r="G56" s="917">
        <v>3.6428452847844288E-2</v>
      </c>
      <c r="H56" s="917">
        <v>6.2131399404262197E-2</v>
      </c>
      <c r="I56" s="917">
        <v>3.6069226371279385E-2</v>
      </c>
      <c r="J56" s="944" t="s">
        <v>566</v>
      </c>
      <c r="K56" s="918">
        <v>0</v>
      </c>
      <c r="L56" s="917">
        <v>1.3848438214394199E-3</v>
      </c>
      <c r="M56" s="1482">
        <v>3.6073722235277252E-2</v>
      </c>
      <c r="O56" s="938"/>
      <c r="P56" s="936"/>
    </row>
    <row r="57" spans="1:55" ht="15.75">
      <c r="A57" s="936"/>
      <c r="B57" s="936" t="s">
        <v>598</v>
      </c>
      <c r="C57" s="932"/>
      <c r="D57" s="917">
        <v>3.9783182739002575E-2</v>
      </c>
      <c r="E57" s="918">
        <v>0</v>
      </c>
      <c r="F57" s="918">
        <v>0</v>
      </c>
      <c r="G57" s="917">
        <v>6.2079680810402616E-3</v>
      </c>
      <c r="H57" s="917">
        <v>1.7574445097259318E-3</v>
      </c>
      <c r="I57" s="917">
        <v>1.0622579150372318E-3</v>
      </c>
      <c r="J57" s="944" t="s">
        <v>566</v>
      </c>
      <c r="K57" s="918">
        <v>0</v>
      </c>
      <c r="L57" s="918">
        <v>0</v>
      </c>
      <c r="M57" s="1482">
        <v>8.28417302497092E-3</v>
      </c>
      <c r="O57" s="938"/>
      <c r="P57" s="936"/>
    </row>
    <row r="58" spans="1:55" ht="15.75">
      <c r="A58" s="936"/>
      <c r="B58" s="936" t="s">
        <v>599</v>
      </c>
      <c r="C58" s="932"/>
      <c r="D58" s="918">
        <v>0</v>
      </c>
      <c r="E58" s="918">
        <v>0</v>
      </c>
      <c r="F58" s="918">
        <v>0</v>
      </c>
      <c r="G58" s="917">
        <v>5.551931579308886E-3</v>
      </c>
      <c r="H58" s="917">
        <v>4.1328351556374964E-3</v>
      </c>
      <c r="I58" s="917">
        <v>6.2859157449093005E-3</v>
      </c>
      <c r="J58" s="944" t="s">
        <v>566</v>
      </c>
      <c r="K58" s="918">
        <v>0</v>
      </c>
      <c r="L58" s="918">
        <v>0</v>
      </c>
      <c r="M58" s="1482">
        <v>3.4939355900784098E-3</v>
      </c>
      <c r="O58" s="938"/>
      <c r="P58" s="936"/>
    </row>
    <row r="59" spans="1:55" ht="15.75">
      <c r="A59" s="936"/>
      <c r="B59" s="936" t="s">
        <v>600</v>
      </c>
      <c r="C59" s="932"/>
      <c r="D59" s="917">
        <v>4.746187625809202E-2</v>
      </c>
      <c r="E59" s="917">
        <v>1.0493764052151373E-2</v>
      </c>
      <c r="F59" s="917">
        <v>3.2236500751164264E-2</v>
      </c>
      <c r="G59" s="917">
        <v>8.146349084680013E-2</v>
      </c>
      <c r="H59" s="917">
        <v>2.9725991223142772E-2</v>
      </c>
      <c r="I59" s="917">
        <v>4.6294944514137321E-2</v>
      </c>
      <c r="J59" s="944" t="s">
        <v>566</v>
      </c>
      <c r="K59" s="917">
        <v>7.2398593198080438E-2</v>
      </c>
      <c r="L59" s="917">
        <v>1.0725936137442919E-3</v>
      </c>
      <c r="M59" s="1482">
        <v>4.7695067297216058E-2</v>
      </c>
      <c r="O59" s="938"/>
      <c r="P59" s="936"/>
    </row>
    <row r="60" spans="1:55" ht="15.75">
      <c r="A60" s="936"/>
      <c r="B60" s="936" t="s">
        <v>601</v>
      </c>
      <c r="C60" s="932"/>
      <c r="D60" s="918">
        <v>0</v>
      </c>
      <c r="E60" s="918">
        <v>0</v>
      </c>
      <c r="F60" s="918">
        <v>0</v>
      </c>
      <c r="G60" s="918">
        <v>0</v>
      </c>
      <c r="H60" s="917">
        <v>2.864075958009699E-2</v>
      </c>
      <c r="I60" s="917">
        <v>2.0030602455920157E-2</v>
      </c>
      <c r="J60" s="944" t="s">
        <v>566</v>
      </c>
      <c r="K60" s="918">
        <v>0</v>
      </c>
      <c r="L60" s="918">
        <v>0</v>
      </c>
      <c r="M60" s="1482">
        <v>1.0449378088505016E-2</v>
      </c>
      <c r="O60" s="938"/>
      <c r="P60" s="936"/>
    </row>
    <row r="61" spans="1:55" ht="15.75">
      <c r="A61" s="936"/>
      <c r="B61" s="936" t="s">
        <v>602</v>
      </c>
      <c r="C61" s="932"/>
      <c r="D61" s="918">
        <v>0</v>
      </c>
      <c r="E61" s="918">
        <v>0</v>
      </c>
      <c r="F61" s="918">
        <v>0</v>
      </c>
      <c r="G61" s="918">
        <v>0</v>
      </c>
      <c r="H61" s="918">
        <v>0</v>
      </c>
      <c r="I61" s="918">
        <v>0</v>
      </c>
      <c r="J61" s="944" t="s">
        <v>566</v>
      </c>
      <c r="K61" s="918">
        <v>0</v>
      </c>
      <c r="L61" s="918">
        <v>0</v>
      </c>
      <c r="M61" s="1484">
        <v>0</v>
      </c>
      <c r="O61" s="938"/>
      <c r="P61" s="936"/>
    </row>
    <row r="62" spans="1:55" ht="16.5" thickBot="1">
      <c r="A62" s="936"/>
      <c r="B62" s="929" t="s">
        <v>603</v>
      </c>
      <c r="C62" s="946"/>
      <c r="D62" s="1416">
        <v>6.5246493114008682E-3</v>
      </c>
      <c r="E62" s="1013">
        <v>4.322679107001566E-2</v>
      </c>
      <c r="F62" s="1013">
        <v>5.5271502607707607E-2</v>
      </c>
      <c r="G62" s="1013">
        <v>5.1277095998825642E-2</v>
      </c>
      <c r="H62" s="1013">
        <v>1.7084577359681333E-2</v>
      </c>
      <c r="I62" s="1013">
        <v>2.8954737365503758E-3</v>
      </c>
      <c r="J62" s="931" t="s">
        <v>566</v>
      </c>
      <c r="K62" s="1416">
        <v>0.126168262049562</v>
      </c>
      <c r="L62" s="1013">
        <v>4.0979302182103817E-3</v>
      </c>
      <c r="M62" s="1483">
        <v>2.7866250151193997E-2</v>
      </c>
      <c r="O62" s="938"/>
      <c r="P62" s="936"/>
    </row>
    <row r="63" spans="1:55" ht="15.75">
      <c r="A63" s="936"/>
      <c r="B63" s="1074" t="s">
        <v>0</v>
      </c>
      <c r="C63" s="1074" t="s">
        <v>604</v>
      </c>
      <c r="D63" s="934">
        <v>9.3996237703371663E-2</v>
      </c>
      <c r="E63" s="934">
        <v>8.2871204715790292E-2</v>
      </c>
      <c r="F63" s="934">
        <v>0.16378256644672287</v>
      </c>
      <c r="G63" s="934">
        <v>0.18092893935381921</v>
      </c>
      <c r="H63" s="934">
        <v>0.14347300723254672</v>
      </c>
      <c r="I63" s="935">
        <v>0.11263842073783377</v>
      </c>
      <c r="J63" s="944" t="s">
        <v>566</v>
      </c>
      <c r="K63" s="935">
        <v>0.19856685524764245</v>
      </c>
      <c r="L63" s="934">
        <v>6.5553676533940935E-3</v>
      </c>
      <c r="M63" s="1079">
        <v>0.13386252638724166</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17">
        <v>2.752206577127784E-3</v>
      </c>
      <c r="E68" s="917">
        <v>4.1896687788502288E-3</v>
      </c>
      <c r="F68" s="917">
        <v>5.1875730722607694E-4</v>
      </c>
      <c r="G68" s="917">
        <v>6.7499576414576804E-3</v>
      </c>
      <c r="H68" s="917">
        <v>3.9850566826987715E-3</v>
      </c>
      <c r="I68" s="917">
        <v>6.8314485410255199E-3</v>
      </c>
      <c r="J68" s="944" t="s">
        <v>566</v>
      </c>
      <c r="K68" s="917">
        <v>1.9554624308670686E-2</v>
      </c>
      <c r="L68" s="918">
        <v>0</v>
      </c>
      <c r="M68" s="1482">
        <v>4.8005930192819932E-3</v>
      </c>
      <c r="O68" s="938"/>
      <c r="P68" s="936"/>
    </row>
    <row r="69" spans="1:16" ht="15.75">
      <c r="A69" s="936"/>
      <c r="B69" s="936" t="s">
        <v>599</v>
      </c>
      <c r="C69" s="932"/>
      <c r="D69" s="918">
        <v>0</v>
      </c>
      <c r="E69" s="918">
        <v>0</v>
      </c>
      <c r="F69" s="918">
        <v>0</v>
      </c>
      <c r="G69" s="917">
        <v>5.3387487955732741E-4</v>
      </c>
      <c r="H69" s="917">
        <v>6.3138811451974263E-4</v>
      </c>
      <c r="I69" s="917">
        <v>3.9694158842961532E-3</v>
      </c>
      <c r="J69" s="944" t="s">
        <v>566</v>
      </c>
      <c r="K69" s="918">
        <v>0</v>
      </c>
      <c r="L69" s="917">
        <v>5.3362397025038502E-4</v>
      </c>
      <c r="M69" s="1482">
        <v>6.7474145019885906E-4</v>
      </c>
      <c r="O69" s="938"/>
      <c r="P69" s="936"/>
    </row>
    <row r="70" spans="1:16" ht="15.75">
      <c r="A70" s="936"/>
      <c r="B70" s="936" t="s">
        <v>607</v>
      </c>
      <c r="C70" s="932"/>
      <c r="D70" s="917">
        <v>1.7811941022393963E-3</v>
      </c>
      <c r="E70" s="918">
        <v>0</v>
      </c>
      <c r="F70" s="918">
        <v>0</v>
      </c>
      <c r="G70" s="917">
        <v>3.8929595251290784E-2</v>
      </c>
      <c r="H70" s="917">
        <v>5.5795215640533705E-2</v>
      </c>
      <c r="I70" s="917">
        <v>1.6773118957692956E-2</v>
      </c>
      <c r="J70" s="944" t="s">
        <v>566</v>
      </c>
      <c r="K70" s="917">
        <v>3.7857715833973515E-3</v>
      </c>
      <c r="L70" s="918">
        <v>0</v>
      </c>
      <c r="M70" s="1482">
        <v>3.1328950854111401E-2</v>
      </c>
      <c r="O70" s="938"/>
      <c r="P70" s="936"/>
    </row>
    <row r="71" spans="1:16" ht="15.75">
      <c r="A71" s="936"/>
      <c r="B71" s="936" t="s">
        <v>600</v>
      </c>
      <c r="C71" s="932"/>
      <c r="D71" s="917">
        <v>1.3164823591363876E-3</v>
      </c>
      <c r="E71" s="917">
        <v>1.1302842586311992E-4</v>
      </c>
      <c r="F71" s="917">
        <v>2.3231183731611385E-2</v>
      </c>
      <c r="G71" s="917">
        <v>3.063387602180706E-2</v>
      </c>
      <c r="H71" s="917">
        <v>2.6149743574573718E-2</v>
      </c>
      <c r="I71" s="917">
        <v>3.2576648052864726E-2</v>
      </c>
      <c r="J71" s="944" t="s">
        <v>566</v>
      </c>
      <c r="K71" s="918">
        <v>0</v>
      </c>
      <c r="L71" s="917">
        <v>1.6823148148730465E-3</v>
      </c>
      <c r="M71" s="1482">
        <v>2.0980249152795907E-2</v>
      </c>
      <c r="O71" s="938"/>
      <c r="P71" s="936"/>
    </row>
    <row r="72" spans="1:16" ht="15.75">
      <c r="A72" s="936"/>
      <c r="B72" s="936" t="s">
        <v>608</v>
      </c>
      <c r="C72" s="932"/>
      <c r="D72" s="917">
        <v>1.8082168992334969E-4</v>
      </c>
      <c r="E72" s="917">
        <v>1.1427130401951843E-3</v>
      </c>
      <c r="F72" s="918">
        <v>0</v>
      </c>
      <c r="G72" s="917">
        <v>2.7145486448908315E-3</v>
      </c>
      <c r="H72" s="917">
        <v>8.375181270841687E-4</v>
      </c>
      <c r="I72" s="917">
        <v>1.6589595923253563E-3</v>
      </c>
      <c r="J72" s="944" t="s">
        <v>566</v>
      </c>
      <c r="K72" s="918">
        <v>0</v>
      </c>
      <c r="L72" s="918">
        <v>0</v>
      </c>
      <c r="M72" s="1482">
        <v>1.2863598959795533E-3</v>
      </c>
      <c r="O72" s="938"/>
      <c r="P72" s="936"/>
    </row>
    <row r="73" spans="1:16" ht="15.75">
      <c r="A73" s="936"/>
      <c r="B73" s="936" t="s">
        <v>609</v>
      </c>
      <c r="C73" s="932"/>
      <c r="D73" s="917">
        <v>1.3388841573880026E-3</v>
      </c>
      <c r="E73" s="918">
        <v>0</v>
      </c>
      <c r="F73" s="917">
        <v>3.8706781089399424E-3</v>
      </c>
      <c r="G73" s="917">
        <v>1.680311118249889E-2</v>
      </c>
      <c r="H73" s="917">
        <v>7.1043759160788521E-3</v>
      </c>
      <c r="I73" s="917">
        <v>3.5084729039440404E-2</v>
      </c>
      <c r="J73" s="944" t="s">
        <v>566</v>
      </c>
      <c r="K73" s="917">
        <v>2.0214117108495184E-3</v>
      </c>
      <c r="L73" s="918">
        <v>0</v>
      </c>
      <c r="M73" s="1482">
        <v>1.0347451718008417E-2</v>
      </c>
      <c r="O73" s="938"/>
      <c r="P73" s="936"/>
    </row>
    <row r="74" spans="1:16" ht="15.75">
      <c r="A74" s="936"/>
      <c r="B74" s="936" t="s">
        <v>601</v>
      </c>
      <c r="C74" s="932"/>
      <c r="D74" s="918">
        <v>0</v>
      </c>
      <c r="E74" s="918">
        <v>0</v>
      </c>
      <c r="F74" s="918">
        <v>0</v>
      </c>
      <c r="G74" s="918">
        <v>0</v>
      </c>
      <c r="H74" s="917">
        <v>1.3996692759868474E-2</v>
      </c>
      <c r="I74" s="917">
        <v>1.5330519122763766E-4</v>
      </c>
      <c r="J74" s="944" t="s">
        <v>566</v>
      </c>
      <c r="K74" s="917">
        <v>2.4321608064824279E-2</v>
      </c>
      <c r="L74" s="918">
        <v>0</v>
      </c>
      <c r="M74" s="1482">
        <v>4.960968643795448E-3</v>
      </c>
      <c r="O74" s="938"/>
      <c r="P74" s="936"/>
    </row>
    <row r="75" spans="1:16" ht="16.5" thickBot="1">
      <c r="A75" s="936"/>
      <c r="B75" s="929" t="s">
        <v>603</v>
      </c>
      <c r="C75" s="946"/>
      <c r="D75" s="1416">
        <v>2.3897294083775493E-2</v>
      </c>
      <c r="E75" s="1013">
        <v>0.25393069163127702</v>
      </c>
      <c r="F75" s="1013">
        <v>5.0133924312046073E-2</v>
      </c>
      <c r="G75" s="1013">
        <v>3.063510435093697E-2</v>
      </c>
      <c r="H75" s="1013">
        <v>3.4905144791931048E-2</v>
      </c>
      <c r="I75" s="1013">
        <v>1.8715320467056498E-2</v>
      </c>
      <c r="J75" s="931" t="s">
        <v>566</v>
      </c>
      <c r="K75" s="1416">
        <v>6.778499980248355E-2</v>
      </c>
      <c r="L75" s="1013">
        <v>8.7323144689765422E-4</v>
      </c>
      <c r="M75" s="1483">
        <v>3.3799037738213612E-2</v>
      </c>
      <c r="O75" s="938"/>
      <c r="P75" s="936"/>
    </row>
    <row r="76" spans="1:16" ht="15.75">
      <c r="A76" s="936"/>
      <c r="C76" s="1074" t="s">
        <v>604</v>
      </c>
      <c r="D76" s="934">
        <v>3.1266882969590418E-2</v>
      </c>
      <c r="E76" s="934">
        <v>0.25937610187618554</v>
      </c>
      <c r="F76" s="934">
        <v>7.775454345982348E-2</v>
      </c>
      <c r="G76" s="934">
        <v>0.12700006797243954</v>
      </c>
      <c r="H76" s="934">
        <v>0.14340513560728846</v>
      </c>
      <c r="I76" s="935">
        <v>0.11576294572592925</v>
      </c>
      <c r="J76" s="944" t="s">
        <v>566</v>
      </c>
      <c r="K76" s="935">
        <v>0.11746841547022538</v>
      </c>
      <c r="L76" s="935">
        <v>3.0891702320210855E-3</v>
      </c>
      <c r="M76" s="1079">
        <v>0.10817835247238519</v>
      </c>
      <c r="O76" s="938"/>
      <c r="P76" s="936"/>
    </row>
    <row r="77" spans="1:16" ht="15">
      <c r="A77" s="936"/>
      <c r="B77" s="936"/>
      <c r="C77" s="936"/>
      <c r="D77" s="936"/>
      <c r="E77" s="936"/>
      <c r="F77" s="938"/>
      <c r="G77" s="938"/>
      <c r="H77" s="938"/>
      <c r="I77" s="967" t="s">
        <v>0</v>
      </c>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1.xml><?xml version="1.0" encoding="utf-8"?>
<worksheet xmlns="http://schemas.openxmlformats.org/spreadsheetml/2006/main" xmlns:r="http://schemas.openxmlformats.org/officeDocument/2006/relationships">
  <sheetPr>
    <pageSetUpPr fitToPage="1"/>
  </sheetPr>
  <dimension ref="A1:BC205"/>
  <sheetViews>
    <sheetView topLeftCell="A7" zoomScale="110" zoomScaleNormal="110" workbookViewId="0">
      <pane xSplit="3" ySplit="7" topLeftCell="D14"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1" width="5.875" style="889" customWidth="1"/>
    <col min="2" max="2" width="33.75" style="889" customWidth="1"/>
    <col min="3" max="3" width="28.25" style="889" customWidth="1"/>
    <col min="4" max="4" width="16.625" style="889" customWidth="1"/>
    <col min="5" max="5" width="17.125" style="889" customWidth="1"/>
    <col min="6" max="6" width="15.5" style="889" customWidth="1"/>
    <col min="7" max="7" width="18.5" style="889" customWidth="1"/>
    <col min="8" max="8" width="15.875" style="889" customWidth="1"/>
    <col min="9" max="9" width="16.125" style="889" customWidth="1"/>
    <col min="10" max="10" width="15.25" style="889" customWidth="1"/>
    <col min="11" max="11" width="13.875" style="889" customWidth="1"/>
    <col min="12" max="12" width="16.875" style="889" customWidth="1"/>
    <col min="13" max="13" width="14.625" style="889" customWidth="1"/>
    <col min="14" max="14" width="13.625" style="889" customWidth="1"/>
    <col min="15" max="16384" width="9" style="889"/>
  </cols>
  <sheetData>
    <row r="1" spans="1:55" ht="18">
      <c r="A1" s="888"/>
      <c r="B1" s="888"/>
      <c r="C1" s="888"/>
      <c r="D1" s="888"/>
      <c r="E1" s="888"/>
      <c r="F1" s="888"/>
    </row>
    <row r="2" spans="1:55" ht="30">
      <c r="A2" s="890" t="s">
        <v>515</v>
      </c>
      <c r="B2" s="891"/>
      <c r="C2" s="892"/>
      <c r="D2" s="892"/>
      <c r="E2" s="892"/>
      <c r="F2" s="892"/>
      <c r="G2" s="893"/>
      <c r="H2" s="893"/>
      <c r="I2" s="893"/>
      <c r="J2" s="893"/>
      <c r="K2" s="893"/>
      <c r="L2" s="893"/>
      <c r="M2" s="893"/>
      <c r="N2" s="893"/>
    </row>
    <row r="3" spans="1:55" ht="30">
      <c r="A3" s="894"/>
      <c r="B3" s="891"/>
      <c r="C3" s="892"/>
      <c r="D3" s="892"/>
      <c r="E3" s="892"/>
      <c r="F3" s="892"/>
      <c r="G3" s="893"/>
      <c r="H3" s="893"/>
      <c r="I3" s="893"/>
      <c r="J3" s="893"/>
      <c r="K3" s="893"/>
      <c r="L3" s="893"/>
      <c r="M3" s="893"/>
      <c r="N3" s="893"/>
    </row>
    <row r="4" spans="1:55" ht="30">
      <c r="A4" s="890" t="s">
        <v>560</v>
      </c>
      <c r="B4" s="891"/>
      <c r="C4" s="892"/>
      <c r="D4" s="892"/>
      <c r="E4" s="892"/>
      <c r="F4" s="892"/>
      <c r="G4" s="893"/>
      <c r="H4" s="893"/>
      <c r="I4" s="893"/>
      <c r="J4" s="893"/>
      <c r="K4" s="893"/>
      <c r="L4" s="893"/>
      <c r="M4" s="893"/>
      <c r="N4" s="893"/>
    </row>
    <row r="5" spans="1:55" ht="30">
      <c r="A5" s="890"/>
      <c r="B5" s="890" t="s">
        <v>913</v>
      </c>
      <c r="C5" s="892"/>
      <c r="D5" s="892"/>
      <c r="E5" s="892"/>
      <c r="F5" s="892"/>
      <c r="G5" s="893"/>
      <c r="H5" s="893"/>
      <c r="I5" s="893"/>
      <c r="J5" s="893"/>
      <c r="K5" s="893"/>
      <c r="L5" s="893"/>
      <c r="M5" s="893"/>
      <c r="N5" s="893"/>
    </row>
    <row r="6" spans="1:55" ht="18">
      <c r="A6" s="895"/>
      <c r="B6" s="891"/>
      <c r="C6" s="892"/>
      <c r="D6" s="892"/>
      <c r="E6" s="892"/>
      <c r="F6" s="892"/>
    </row>
    <row r="7" spans="1:55" ht="18">
      <c r="A7" s="895"/>
      <c r="B7" s="891"/>
      <c r="C7" s="892"/>
      <c r="D7" s="892"/>
      <c r="E7" s="892"/>
      <c r="F7" s="892"/>
    </row>
    <row r="8" spans="1:55" ht="18">
      <c r="A8" s="895"/>
      <c r="B8" s="891"/>
      <c r="C8" s="892"/>
      <c r="D8" s="892"/>
      <c r="E8" s="892"/>
      <c r="F8" s="892"/>
    </row>
    <row r="9" spans="1:55" ht="18">
      <c r="A9" s="895"/>
      <c r="D9" s="900"/>
      <c r="E9" s="900"/>
      <c r="F9" s="900"/>
      <c r="G9" s="900"/>
      <c r="H9" s="900"/>
      <c r="I9" s="901"/>
      <c r="J9" s="901"/>
      <c r="K9" s="901"/>
      <c r="L9" s="901"/>
      <c r="M9" s="901"/>
      <c r="N9" s="901"/>
    </row>
    <row r="10" spans="1:55" ht="18">
      <c r="A10" s="895"/>
      <c r="D10" s="900"/>
      <c r="E10" s="900"/>
      <c r="F10" s="900"/>
      <c r="G10" s="900"/>
      <c r="H10" s="900"/>
      <c r="I10" s="901"/>
      <c r="J10" s="901"/>
      <c r="K10" s="901"/>
      <c r="L10" s="901"/>
      <c r="M10" s="901"/>
      <c r="N10" s="901"/>
    </row>
    <row r="11" spans="1:55" ht="18">
      <c r="A11" s="908" t="s">
        <v>0</v>
      </c>
      <c r="B11" s="888"/>
      <c r="C11" s="909"/>
      <c r="D11" s="909"/>
      <c r="E11" s="909"/>
      <c r="F11" s="909"/>
      <c r="G11" s="901"/>
      <c r="H11" s="901" t="s">
        <v>0</v>
      </c>
      <c r="I11" s="901"/>
      <c r="J11" s="901" t="s">
        <v>0</v>
      </c>
      <c r="K11" s="901"/>
      <c r="L11" s="901"/>
      <c r="M11" s="901"/>
      <c r="N11" s="901"/>
      <c r="O11" s="901"/>
      <c r="P11" s="901"/>
      <c r="Q11" s="901"/>
      <c r="R11" s="901"/>
      <c r="S11" s="901"/>
      <c r="T11" s="901"/>
      <c r="U11" s="901"/>
      <c r="V11" s="901"/>
      <c r="W11" s="901"/>
      <c r="X11" s="901"/>
      <c r="Y11" s="901"/>
      <c r="Z11" s="901"/>
      <c r="AA11" s="901"/>
      <c r="AB11" s="901"/>
      <c r="AC11" s="901"/>
      <c r="AD11" s="901"/>
      <c r="AE11" s="901"/>
      <c r="AF11" s="901"/>
      <c r="AG11" s="901"/>
      <c r="AH11" s="901"/>
      <c r="AI11" s="901"/>
      <c r="AJ11" s="901"/>
      <c r="AK11" s="901"/>
      <c r="AL11" s="901"/>
      <c r="AM11" s="901"/>
      <c r="AN11" s="901"/>
      <c r="AO11" s="901"/>
      <c r="AP11" s="901"/>
      <c r="AQ11" s="901"/>
      <c r="AR11" s="901"/>
      <c r="AS11" s="901"/>
      <c r="AT11" s="901"/>
      <c r="AU11" s="901"/>
      <c r="AV11" s="901"/>
      <c r="AW11" s="901"/>
      <c r="AX11" s="901"/>
      <c r="AY11" s="901"/>
      <c r="AZ11" s="901"/>
      <c r="BA11" s="901"/>
      <c r="BB11" s="901"/>
      <c r="BC11" s="901"/>
    </row>
    <row r="12" spans="1:55" ht="18">
      <c r="A12" s="891"/>
      <c r="B12" s="888"/>
      <c r="C12" s="909"/>
      <c r="D12" s="909"/>
      <c r="E12" s="909"/>
      <c r="F12" s="909"/>
      <c r="G12" s="901"/>
      <c r="H12" s="901"/>
      <c r="I12" s="901"/>
      <c r="J12" s="901"/>
      <c r="K12" s="901"/>
      <c r="L12" s="901"/>
      <c r="M12" s="901"/>
      <c r="N12" s="901"/>
      <c r="O12" s="901"/>
      <c r="P12" s="901"/>
      <c r="Q12" s="901"/>
      <c r="R12" s="901"/>
      <c r="S12" s="901"/>
      <c r="T12" s="901"/>
      <c r="U12" s="901"/>
      <c r="V12" s="901"/>
      <c r="W12" s="901"/>
      <c r="X12" s="901"/>
      <c r="Y12" s="901"/>
      <c r="Z12" s="901"/>
      <c r="AA12" s="901"/>
      <c r="AB12" s="901"/>
      <c r="AC12" s="901"/>
      <c r="AD12" s="901"/>
      <c r="AE12" s="901"/>
      <c r="AF12" s="901"/>
      <c r="AG12" s="901"/>
      <c r="AH12" s="901"/>
      <c r="AI12" s="901"/>
      <c r="AJ12" s="901"/>
      <c r="AK12" s="901"/>
      <c r="AL12" s="901"/>
      <c r="AM12" s="901"/>
      <c r="AN12" s="901"/>
      <c r="AO12" s="901"/>
      <c r="AP12" s="901"/>
      <c r="AQ12" s="901"/>
      <c r="AR12" s="901"/>
      <c r="AS12" s="901"/>
      <c r="AT12" s="901"/>
      <c r="AU12" s="901"/>
      <c r="AV12" s="901"/>
      <c r="AW12" s="901"/>
      <c r="AX12" s="901"/>
      <c r="AY12" s="901"/>
      <c r="AZ12" s="901"/>
      <c r="BA12" s="901"/>
      <c r="BB12" s="901"/>
      <c r="BC12" s="901"/>
    </row>
    <row r="13" spans="1:55" ht="18.75" thickBot="1">
      <c r="A13" s="1488" t="s">
        <v>0</v>
      </c>
      <c r="B13" s="1563" t="s">
        <v>922</v>
      </c>
      <c r="C13" s="1564"/>
      <c r="D13" s="913" t="s">
        <v>59</v>
      </c>
      <c r="E13" s="913" t="s">
        <v>60</v>
      </c>
      <c r="F13" s="913" t="s">
        <v>61</v>
      </c>
      <c r="G13" s="1208" t="s">
        <v>64</v>
      </c>
      <c r="H13" s="913" t="s">
        <v>65</v>
      </c>
      <c r="I13" s="913" t="s">
        <v>66</v>
      </c>
      <c r="J13" s="913" t="s">
        <v>564</v>
      </c>
      <c r="K13" s="913" t="s">
        <v>68</v>
      </c>
      <c r="L13" s="913" t="s">
        <v>69</v>
      </c>
      <c r="M13" s="911" t="s">
        <v>621</v>
      </c>
      <c r="O13" s="907"/>
      <c r="P13" s="901"/>
      <c r="Q13" s="901"/>
      <c r="R13" s="901"/>
      <c r="S13" s="901"/>
      <c r="T13" s="901"/>
      <c r="U13" s="901"/>
      <c r="V13" s="901"/>
      <c r="W13" s="901"/>
      <c r="X13" s="901"/>
      <c r="Y13" s="901"/>
      <c r="Z13" s="901"/>
      <c r="AA13" s="901"/>
      <c r="AB13" s="901"/>
      <c r="AC13" s="901"/>
      <c r="AD13" s="901"/>
      <c r="AE13" s="901"/>
      <c r="AF13" s="901"/>
      <c r="AG13" s="901"/>
      <c r="AH13" s="901"/>
      <c r="AI13" s="901"/>
      <c r="AJ13" s="901"/>
      <c r="AK13" s="901"/>
      <c r="AL13" s="901"/>
      <c r="AM13" s="901"/>
      <c r="AN13" s="901"/>
      <c r="AO13" s="901"/>
      <c r="AP13" s="901"/>
      <c r="AQ13" s="901"/>
      <c r="AR13" s="901"/>
      <c r="AS13" s="901"/>
      <c r="AT13" s="901"/>
      <c r="AU13" s="901"/>
      <c r="AV13" s="901"/>
      <c r="AW13" s="901"/>
      <c r="AX13" s="901"/>
      <c r="AY13" s="901"/>
      <c r="AZ13" s="901"/>
      <c r="BA13" s="901"/>
      <c r="BB13" s="901"/>
      <c r="BC13" s="901"/>
    </row>
    <row r="14" spans="1:55" ht="24" customHeight="1">
      <c r="A14" s="936"/>
      <c r="B14" s="1489" t="s">
        <v>923</v>
      </c>
      <c r="C14" s="943"/>
      <c r="D14" s="1422">
        <v>1246939</v>
      </c>
      <c r="E14" s="1422">
        <v>535588.31000000006</v>
      </c>
      <c r="F14" s="1422">
        <v>382924.63</v>
      </c>
      <c r="G14" s="1422">
        <v>6710953.3700000001</v>
      </c>
      <c r="H14" s="1422">
        <v>6268773.46</v>
      </c>
      <c r="I14" s="1422">
        <v>1133775.5699999998</v>
      </c>
      <c r="J14" s="1422">
        <v>0</v>
      </c>
      <c r="K14" s="1422">
        <v>490173.9</v>
      </c>
      <c r="L14" s="1422">
        <v>30671</v>
      </c>
      <c r="M14" s="1491">
        <f t="shared" ref="M14:M22" si="0">SUM(D14:L14)</f>
        <v>16799799.240000002</v>
      </c>
      <c r="O14" s="938"/>
      <c r="P14" s="936"/>
    </row>
    <row r="15" spans="1:55" ht="24" customHeight="1">
      <c r="A15" s="936"/>
      <c r="B15" s="1489" t="s">
        <v>924</v>
      </c>
      <c r="C15" s="932"/>
      <c r="D15" s="1422">
        <v>998260</v>
      </c>
      <c r="E15" s="1422">
        <v>89079.45</v>
      </c>
      <c r="F15" s="1422">
        <v>112150.48999999998</v>
      </c>
      <c r="G15" s="1422">
        <v>4168173.9699999997</v>
      </c>
      <c r="H15" s="1422">
        <v>1200922.22</v>
      </c>
      <c r="I15" s="1422">
        <v>1858096.48</v>
      </c>
      <c r="J15" s="1422">
        <v>0</v>
      </c>
      <c r="K15" s="1422">
        <v>60801.56</v>
      </c>
      <c r="L15" s="1422">
        <v>536812</v>
      </c>
      <c r="M15" s="1491">
        <f t="shared" si="0"/>
        <v>9024296.1699999999</v>
      </c>
      <c r="O15" s="938"/>
      <c r="P15" s="936"/>
    </row>
    <row r="16" spans="1:55" ht="24" customHeight="1">
      <c r="A16" s="936"/>
      <c r="B16" s="1489" t="s">
        <v>925</v>
      </c>
      <c r="C16" s="932"/>
      <c r="D16" s="1422">
        <v>986912</v>
      </c>
      <c r="E16" s="1422">
        <v>21753.16</v>
      </c>
      <c r="F16" s="1422">
        <v>67793.579999999987</v>
      </c>
      <c r="G16" s="1422">
        <v>3822109.76</v>
      </c>
      <c r="H16" s="1422">
        <v>3859341.5199999991</v>
      </c>
      <c r="I16" s="1422">
        <v>704773.14999999991</v>
      </c>
      <c r="J16" s="1422">
        <v>0</v>
      </c>
      <c r="K16" s="1422">
        <v>907135.99</v>
      </c>
      <c r="L16" s="1422">
        <v>321257</v>
      </c>
      <c r="M16" s="1491">
        <f t="shared" si="0"/>
        <v>10691076.16</v>
      </c>
      <c r="O16" s="938"/>
      <c r="P16" s="936"/>
    </row>
    <row r="17" spans="1:16" ht="24" customHeight="1">
      <c r="A17" s="936"/>
      <c r="B17" s="1489" t="s">
        <v>926</v>
      </c>
      <c r="C17" s="932"/>
      <c r="D17" s="1422">
        <v>2601464</v>
      </c>
      <c r="E17" s="1422">
        <v>374009.55</v>
      </c>
      <c r="F17" s="1422">
        <v>259767.63</v>
      </c>
      <c r="G17" s="1422">
        <v>2234299.89</v>
      </c>
      <c r="H17" s="1422">
        <v>1184838</v>
      </c>
      <c r="I17" s="1422">
        <v>269084.65999999997</v>
      </c>
      <c r="J17" s="1422">
        <v>253560.26</v>
      </c>
      <c r="K17" s="1422">
        <v>22978.81</v>
      </c>
      <c r="L17" s="1422">
        <v>617342</v>
      </c>
      <c r="M17" s="1491">
        <f t="shared" si="0"/>
        <v>7817344.7999999998</v>
      </c>
      <c r="O17" s="938"/>
      <c r="P17" s="936"/>
    </row>
    <row r="18" spans="1:16" ht="24" customHeight="1">
      <c r="A18" s="936"/>
      <c r="B18" s="1489" t="s">
        <v>927</v>
      </c>
      <c r="C18" s="932"/>
      <c r="D18" s="1422">
        <v>1337405</v>
      </c>
      <c r="E18" s="1422">
        <v>287787.15000000002</v>
      </c>
      <c r="F18" s="1422">
        <v>181068</v>
      </c>
      <c r="G18" s="1422">
        <v>1078503.4099999999</v>
      </c>
      <c r="H18" s="1422">
        <v>4783899.59</v>
      </c>
      <c r="I18" s="1422">
        <v>588447.46</v>
      </c>
      <c r="J18" s="1422">
        <v>2709893.05</v>
      </c>
      <c r="K18" s="1422">
        <v>963.26</v>
      </c>
      <c r="L18" s="1422">
        <v>854952</v>
      </c>
      <c r="M18" s="1491">
        <f t="shared" si="0"/>
        <v>11822918.92</v>
      </c>
      <c r="O18" s="938"/>
      <c r="P18" s="936"/>
    </row>
    <row r="19" spans="1:16" ht="24" customHeight="1">
      <c r="A19" s="936"/>
      <c r="B19" s="1489" t="s">
        <v>928</v>
      </c>
      <c r="C19" s="932"/>
      <c r="D19" s="1422">
        <v>576497</v>
      </c>
      <c r="E19" s="1422">
        <v>48470.9</v>
      </c>
      <c r="F19" s="1422">
        <v>77386.77</v>
      </c>
      <c r="G19" s="1422">
        <v>170225.88999999998</v>
      </c>
      <c r="H19" s="1422">
        <v>1254057.58</v>
      </c>
      <c r="I19" s="1422">
        <v>32895.78</v>
      </c>
      <c r="J19" s="1422">
        <v>0</v>
      </c>
      <c r="K19" s="1422">
        <v>67469.33</v>
      </c>
      <c r="L19" s="1422">
        <v>363245</v>
      </c>
      <c r="M19" s="1491">
        <f t="shared" si="0"/>
        <v>2590248.25</v>
      </c>
      <c r="O19" s="938"/>
      <c r="P19" s="936"/>
    </row>
    <row r="20" spans="1:16" ht="24" customHeight="1">
      <c r="A20" s="936"/>
      <c r="B20" s="1489" t="s">
        <v>929</v>
      </c>
      <c r="C20" s="932"/>
      <c r="D20" s="1422">
        <v>0</v>
      </c>
      <c r="E20" s="1422">
        <v>202076</v>
      </c>
      <c r="F20" s="1422">
        <v>129634.45</v>
      </c>
      <c r="G20" s="1422">
        <v>2446875.08</v>
      </c>
      <c r="H20" s="1422">
        <v>639500.68999999994</v>
      </c>
      <c r="I20" s="1422">
        <v>282868.75</v>
      </c>
      <c r="J20" s="1422">
        <v>0</v>
      </c>
      <c r="K20" s="1422">
        <v>0</v>
      </c>
      <c r="L20" s="1422">
        <v>455863</v>
      </c>
      <c r="M20" s="1491">
        <f t="shared" si="0"/>
        <v>4156817.97</v>
      </c>
      <c r="O20" s="938"/>
      <c r="P20" s="936"/>
    </row>
    <row r="21" spans="1:16" ht="24" customHeight="1">
      <c r="A21" s="936"/>
      <c r="B21" s="1489" t="s">
        <v>930</v>
      </c>
      <c r="C21" s="932"/>
      <c r="D21" s="1422">
        <v>2207081</v>
      </c>
      <c r="E21" s="1422">
        <v>6151.55</v>
      </c>
      <c r="F21" s="1422">
        <v>374640.07</v>
      </c>
      <c r="G21" s="1422">
        <v>1160159.67</v>
      </c>
      <c r="H21" s="1422">
        <v>2554523.9900000002</v>
      </c>
      <c r="I21" s="1422">
        <v>94012.69</v>
      </c>
      <c r="J21" s="1422">
        <v>0</v>
      </c>
      <c r="K21" s="1422">
        <v>1487.26</v>
      </c>
      <c r="L21" s="1422">
        <v>0</v>
      </c>
      <c r="M21" s="1491">
        <f t="shared" si="0"/>
        <v>6398056.2299999995</v>
      </c>
      <c r="O21" s="938"/>
      <c r="P21" s="936"/>
    </row>
    <row r="22" spans="1:16" ht="24" customHeight="1" thickBot="1">
      <c r="A22" s="936"/>
      <c r="B22" s="1490" t="s">
        <v>931</v>
      </c>
      <c r="C22" s="946"/>
      <c r="D22" s="1473">
        <v>0</v>
      </c>
      <c r="E22" s="1473">
        <v>0</v>
      </c>
      <c r="F22" s="1473">
        <v>0</v>
      </c>
      <c r="G22" s="1473">
        <v>2532.02</v>
      </c>
      <c r="H22" s="1473">
        <v>105837.15</v>
      </c>
      <c r="I22" s="1473">
        <v>0</v>
      </c>
      <c r="J22" s="1473">
        <v>0</v>
      </c>
      <c r="K22" s="1473">
        <v>0</v>
      </c>
      <c r="L22" s="1473">
        <v>0</v>
      </c>
      <c r="M22" s="1492">
        <f t="shared" si="0"/>
        <v>108369.17</v>
      </c>
      <c r="O22" s="938"/>
      <c r="P22" s="936"/>
    </row>
    <row r="23" spans="1:16" ht="18" customHeight="1">
      <c r="A23" s="936"/>
      <c r="B23" s="1565" t="s">
        <v>295</v>
      </c>
      <c r="C23" s="1565"/>
      <c r="D23" s="1428">
        <f t="shared" ref="D23:J23" si="1">SUM(D14:D22)</f>
        <v>9954558</v>
      </c>
      <c r="E23" s="1428">
        <f t="shared" si="1"/>
        <v>1564916.07</v>
      </c>
      <c r="F23" s="1428">
        <f t="shared" si="1"/>
        <v>1585365.6199999999</v>
      </c>
      <c r="G23" s="1428">
        <f t="shared" si="1"/>
        <v>21793833.059999999</v>
      </c>
      <c r="H23" s="1428">
        <f t="shared" si="1"/>
        <v>21851694.199999996</v>
      </c>
      <c r="I23" s="1428">
        <f t="shared" si="1"/>
        <v>4963954.540000001</v>
      </c>
      <c r="J23" s="1428">
        <f t="shared" si="1"/>
        <v>2963453.3099999996</v>
      </c>
      <c r="K23" s="1428">
        <f>SUM(K14:K22)</f>
        <v>1551010.11</v>
      </c>
      <c r="L23" s="1428">
        <f>SUM(L14:L22)</f>
        <v>3180142</v>
      </c>
      <c r="M23" s="1443">
        <f>SUM(M14:M22)</f>
        <v>69408926.910000011</v>
      </c>
      <c r="O23" s="938"/>
      <c r="P23" s="936"/>
    </row>
    <row r="24" spans="1:16" ht="15.75">
      <c r="A24" s="936"/>
      <c r="B24" s="1074"/>
      <c r="C24" s="907"/>
      <c r="D24" s="947"/>
      <c r="E24" s="1080"/>
      <c r="F24" s="1080"/>
      <c r="G24" s="1080"/>
      <c r="H24" s="1080"/>
      <c r="I24" s="1080"/>
      <c r="J24" s="947"/>
      <c r="K24" s="1081"/>
      <c r="L24" s="1080"/>
      <c r="M24" s="1079"/>
      <c r="O24" s="938"/>
      <c r="P24" s="936"/>
    </row>
    <row r="25" spans="1:16" ht="15.75">
      <c r="A25" s="936"/>
      <c r="B25" s="1074"/>
      <c r="C25" s="907"/>
      <c r="D25" s="947"/>
      <c r="E25" s="1080"/>
      <c r="F25" s="1080"/>
      <c r="G25" s="1080"/>
      <c r="H25" s="1080"/>
      <c r="I25" s="1080"/>
      <c r="J25" s="947"/>
      <c r="K25" s="1081"/>
      <c r="L25" s="1080"/>
      <c r="M25" s="1079"/>
      <c r="O25" s="938"/>
      <c r="P25" s="936"/>
    </row>
    <row r="26" spans="1:16" ht="15.75">
      <c r="A26" s="936"/>
      <c r="B26" s="1074"/>
      <c r="C26" s="907"/>
      <c r="D26" s="947"/>
      <c r="E26" s="1080"/>
      <c r="F26" s="1080"/>
      <c r="G26" s="1080"/>
      <c r="H26" s="1080"/>
      <c r="I26" s="1080"/>
      <c r="J26" s="947"/>
      <c r="K26" s="1081"/>
      <c r="L26" s="1080"/>
      <c r="M26" s="1079"/>
      <c r="O26" s="938"/>
      <c r="P26" s="936"/>
    </row>
    <row r="27" spans="1:16" ht="15.75">
      <c r="A27" s="936"/>
      <c r="B27" s="1074"/>
      <c r="C27" s="907"/>
      <c r="D27" s="947"/>
      <c r="E27" s="1080"/>
      <c r="F27" s="1080"/>
      <c r="G27" s="1080"/>
      <c r="H27" s="1080"/>
      <c r="I27" s="1080"/>
      <c r="J27" s="947"/>
      <c r="K27" s="1081"/>
      <c r="L27" s="1080"/>
      <c r="M27" s="1079"/>
      <c r="O27" s="938"/>
      <c r="P27" s="936"/>
    </row>
    <row r="28" spans="1:16" ht="15.75">
      <c r="A28" s="936"/>
      <c r="B28" s="1074"/>
      <c r="C28" s="907"/>
      <c r="D28" s="947"/>
      <c r="E28" s="1080"/>
      <c r="F28" s="1080"/>
      <c r="G28" s="1080"/>
      <c r="H28" s="1080"/>
      <c r="I28" s="1080"/>
      <c r="J28" s="947"/>
      <c r="K28" s="1081"/>
      <c r="L28" s="1080"/>
      <c r="M28" s="1079"/>
      <c r="O28" s="938"/>
      <c r="P28" s="936"/>
    </row>
    <row r="29" spans="1:16" ht="15.75">
      <c r="A29" s="936"/>
      <c r="B29" s="1074"/>
      <c r="C29" s="907"/>
      <c r="D29" s="947"/>
      <c r="E29" s="1080"/>
      <c r="F29" s="1080"/>
      <c r="G29" s="1080"/>
      <c r="H29" s="1080"/>
      <c r="I29" s="1080"/>
      <c r="J29" s="947"/>
      <c r="K29" s="1081"/>
      <c r="L29" s="1080"/>
      <c r="M29" s="1079"/>
      <c r="O29" s="938"/>
      <c r="P29" s="936"/>
    </row>
    <row r="30" spans="1:16" ht="15.75">
      <c r="A30" s="936"/>
      <c r="B30" s="1074"/>
      <c r="C30" s="907"/>
      <c r="D30" s="947"/>
      <c r="E30" s="1080"/>
      <c r="F30" s="1080"/>
      <c r="G30" s="1080"/>
      <c r="H30" s="1080"/>
      <c r="I30" s="1080"/>
      <c r="J30" s="947"/>
      <c r="K30" s="1081"/>
      <c r="L30" s="1080"/>
      <c r="M30" s="1079"/>
      <c r="O30" s="938"/>
      <c r="P30" s="936"/>
    </row>
    <row r="31" spans="1:16" ht="15">
      <c r="A31" s="936"/>
      <c r="B31" s="936"/>
      <c r="C31" s="936"/>
      <c r="D31" s="948"/>
      <c r="E31" s="938"/>
      <c r="F31" s="938"/>
      <c r="G31" s="938"/>
      <c r="H31" s="938"/>
      <c r="I31" s="938"/>
      <c r="J31" s="938"/>
      <c r="K31" s="939"/>
      <c r="L31" s="938"/>
      <c r="M31" s="938"/>
      <c r="O31" s="938"/>
      <c r="P31" s="936"/>
    </row>
    <row r="32" spans="1:16" ht="18.75" thickBot="1">
      <c r="A32" s="936"/>
      <c r="B32" s="1563" t="s">
        <v>922</v>
      </c>
      <c r="C32" s="1564"/>
      <c r="D32" s="929"/>
      <c r="E32" s="941"/>
      <c r="F32" s="941"/>
      <c r="G32" s="941"/>
      <c r="H32" s="941"/>
      <c r="I32" s="941"/>
      <c r="J32" s="941"/>
      <c r="K32" s="942"/>
      <c r="L32" s="941"/>
      <c r="M32" s="941"/>
      <c r="O32" s="938"/>
      <c r="P32" s="936"/>
    </row>
    <row r="33" spans="1:16" ht="24" customHeight="1">
      <c r="A33" s="936"/>
      <c r="B33" s="1489" t="s">
        <v>923</v>
      </c>
      <c r="C33" s="932"/>
      <c r="D33" s="917">
        <v>0.12526312067296208</v>
      </c>
      <c r="E33" s="917">
        <v>0.34224730659197589</v>
      </c>
      <c r="F33" s="917">
        <v>0.24153710990654637</v>
      </c>
      <c r="G33" s="917">
        <v>0.30792900686741337</v>
      </c>
      <c r="H33" s="917">
        <v>0.28687814329746575</v>
      </c>
      <c r="I33" s="917">
        <v>0.22840168274385519</v>
      </c>
      <c r="J33" s="1498">
        <v>0</v>
      </c>
      <c r="K33" s="917">
        <v>0.31603527071786786</v>
      </c>
      <c r="L33" s="917">
        <v>9.6445378854151803E-3</v>
      </c>
      <c r="M33" s="1482">
        <v>0.2420409014791956</v>
      </c>
      <c r="O33" s="938"/>
      <c r="P33" s="936"/>
    </row>
    <row r="34" spans="1:16" ht="24" customHeight="1">
      <c r="A34" s="936"/>
      <c r="B34" s="1489" t="s">
        <v>924</v>
      </c>
      <c r="C34" s="932"/>
      <c r="D34" s="917">
        <v>0.1002817001016017</v>
      </c>
      <c r="E34" s="917">
        <v>5.6922829094598018E-2</v>
      </c>
      <c r="F34" s="917">
        <v>7.0741088733840454E-2</v>
      </c>
      <c r="G34" s="917">
        <v>0.19125474433637787</v>
      </c>
      <c r="H34" s="917">
        <v>5.4957854023053289E-2</v>
      </c>
      <c r="I34" s="917">
        <v>0.37431778736636045</v>
      </c>
      <c r="J34" s="1499">
        <v>0</v>
      </c>
      <c r="K34" s="917">
        <v>3.92012660704062E-2</v>
      </c>
      <c r="L34" s="917">
        <v>0.16880126736479062</v>
      </c>
      <c r="M34" s="1482">
        <v>0.13001636204088662</v>
      </c>
      <c r="O34" s="938"/>
      <c r="P34" s="936"/>
    </row>
    <row r="35" spans="1:16" ht="24" customHeight="1">
      <c r="A35" s="936"/>
      <c r="B35" s="1489" t="s">
        <v>925</v>
      </c>
      <c r="C35" s="932"/>
      <c r="D35" s="917">
        <v>9.9141719803129386E-2</v>
      </c>
      <c r="E35" s="917">
        <v>1.3900528224494493E-2</v>
      </c>
      <c r="F35" s="917">
        <v>4.2762110610169525E-2</v>
      </c>
      <c r="G35" s="917">
        <v>0.17537574732620256</v>
      </c>
      <c r="H35" s="917">
        <v>0.17661520816999168</v>
      </c>
      <c r="I35" s="917">
        <v>0.14197816364369842</v>
      </c>
      <c r="J35" s="1499">
        <v>0</v>
      </c>
      <c r="K35" s="917">
        <v>0.58486787684446484</v>
      </c>
      <c r="L35" s="917">
        <v>0.10101970289377016</v>
      </c>
      <c r="M35" s="1482">
        <v>0.15403027587305482</v>
      </c>
      <c r="O35" s="938"/>
      <c r="P35" s="936"/>
    </row>
    <row r="36" spans="1:16" ht="24" customHeight="1">
      <c r="A36" s="936"/>
      <c r="B36" s="1489" t="s">
        <v>926</v>
      </c>
      <c r="C36" s="932"/>
      <c r="D36" s="917">
        <v>0.26133395375264273</v>
      </c>
      <c r="E36" s="917">
        <v>0.2389965552593501</v>
      </c>
      <c r="F36" s="917">
        <v>0.16385345230332421</v>
      </c>
      <c r="G36" s="917">
        <v>0.10251982218312909</v>
      </c>
      <c r="H36" s="917">
        <v>5.422179118724809E-2</v>
      </c>
      <c r="I36" s="917">
        <v>5.4207720443789541E-2</v>
      </c>
      <c r="J36" s="1500">
        <v>8.5562427841996289E-2</v>
      </c>
      <c r="K36" s="917">
        <v>1.481538376303685E-2</v>
      </c>
      <c r="L36" s="917">
        <v>0.19412403597072081</v>
      </c>
      <c r="M36" s="1482">
        <v>0.11262736866882356</v>
      </c>
      <c r="O36" s="938"/>
      <c r="P36" s="936"/>
    </row>
    <row r="37" spans="1:16" ht="24" customHeight="1">
      <c r="A37" s="936"/>
      <c r="B37" s="1489" t="s">
        <v>927</v>
      </c>
      <c r="C37" s="932"/>
      <c r="D37" s="917">
        <v>0.13435101789552081</v>
      </c>
      <c r="E37" s="917">
        <v>0.18389941512965613</v>
      </c>
      <c r="F37" s="917">
        <v>0.1142121399100354</v>
      </c>
      <c r="G37" s="917">
        <v>4.948663261899832E-2</v>
      </c>
      <c r="H37" s="917">
        <v>0.21892579798229103</v>
      </c>
      <c r="I37" s="917">
        <v>0.11854408723090358</v>
      </c>
      <c r="J37" s="1500">
        <v>0.91443757215800381</v>
      </c>
      <c r="K37" s="917">
        <v>6.2105333407530138E-4</v>
      </c>
      <c r="L37" s="917">
        <v>0.26884082534679271</v>
      </c>
      <c r="M37" s="1482">
        <v>0.17033715180945444</v>
      </c>
      <c r="O37" s="938"/>
      <c r="P37" s="936"/>
    </row>
    <row r="38" spans="1:16" ht="24" customHeight="1">
      <c r="A38" s="936"/>
      <c r="B38" s="1489" t="s">
        <v>928</v>
      </c>
      <c r="C38" s="932"/>
      <c r="D38" s="917">
        <v>5.7912867653189627E-2</v>
      </c>
      <c r="E38" s="917">
        <v>3.0973482175309246E-2</v>
      </c>
      <c r="F38" s="917">
        <v>4.8813200578930183E-2</v>
      </c>
      <c r="G38" s="917">
        <v>7.8107366212889582E-3</v>
      </c>
      <c r="H38" s="917">
        <v>5.738948973576613E-2</v>
      </c>
      <c r="I38" s="917">
        <v>6.6269301491225967E-3</v>
      </c>
      <c r="J38" s="1499">
        <v>0</v>
      </c>
      <c r="K38" s="917">
        <v>4.3500251587657281E-2</v>
      </c>
      <c r="L38" s="917">
        <v>0.11422288690253454</v>
      </c>
      <c r="M38" s="1482">
        <v>3.7318661522583098E-2</v>
      </c>
      <c r="O38" s="938"/>
      <c r="P38" s="936"/>
    </row>
    <row r="39" spans="1:16" ht="24" customHeight="1">
      <c r="A39" s="936"/>
      <c r="B39" s="1489" t="s">
        <v>929</v>
      </c>
      <c r="C39" s="932"/>
      <c r="D39" s="918">
        <v>0</v>
      </c>
      <c r="E39" s="917">
        <v>0.12912896983670186</v>
      </c>
      <c r="F39" s="917">
        <v>8.1769434359248952E-2</v>
      </c>
      <c r="G39" s="917">
        <v>0.11227373694492272</v>
      </c>
      <c r="H39" s="917">
        <v>2.9265496951719198E-2</v>
      </c>
      <c r="I39" s="917">
        <v>5.6984556913367693E-2</v>
      </c>
      <c r="J39" s="1499">
        <v>0</v>
      </c>
      <c r="K39" s="918">
        <v>0</v>
      </c>
      <c r="L39" s="917">
        <v>0.14334674363597599</v>
      </c>
      <c r="M39" s="1482">
        <v>5.9888809048870506E-2</v>
      </c>
      <c r="O39" s="938"/>
      <c r="P39" s="936"/>
    </row>
    <row r="40" spans="1:16" ht="24" customHeight="1">
      <c r="A40" s="936"/>
      <c r="B40" s="1489" t="s">
        <v>930</v>
      </c>
      <c r="C40" s="932"/>
      <c r="D40" s="917">
        <v>0.22171562012095364</v>
      </c>
      <c r="E40" s="917">
        <v>3.9309136879142658E-3</v>
      </c>
      <c r="F40" s="917">
        <v>0.23631146359790497</v>
      </c>
      <c r="G40" s="917">
        <v>5.3233392529253409E-2</v>
      </c>
      <c r="H40" s="917">
        <v>0.11690278870917023</v>
      </c>
      <c r="I40" s="917">
        <v>1.8939071508902252E-2</v>
      </c>
      <c r="J40" s="1499">
        <v>0</v>
      </c>
      <c r="K40" s="917">
        <v>9.5889768249157313E-4</v>
      </c>
      <c r="L40" s="918">
        <v>0</v>
      </c>
      <c r="M40" s="1482">
        <v>9.2179154970889007E-2</v>
      </c>
      <c r="O40" s="938"/>
      <c r="P40" s="936"/>
    </row>
    <row r="41" spans="1:16" ht="24" customHeight="1" thickBot="1">
      <c r="A41" s="936"/>
      <c r="B41" s="1490" t="s">
        <v>931</v>
      </c>
      <c r="C41" s="946"/>
      <c r="D41" s="1493">
        <v>0</v>
      </c>
      <c r="E41" s="1485">
        <v>0</v>
      </c>
      <c r="F41" s="1485">
        <v>0</v>
      </c>
      <c r="G41" s="931">
        <v>1.1618057241372666E-4</v>
      </c>
      <c r="H41" s="931">
        <v>4.8434299432947407E-3</v>
      </c>
      <c r="I41" s="1485">
        <v>0</v>
      </c>
      <c r="J41" s="1485">
        <v>0</v>
      </c>
      <c r="K41" s="1485">
        <v>0</v>
      </c>
      <c r="L41" s="1485">
        <v>0</v>
      </c>
      <c r="M41" s="1486">
        <v>1.5613145862421744E-3</v>
      </c>
      <c r="O41" s="938"/>
      <c r="P41" s="936"/>
    </row>
    <row r="42" spans="1:16" ht="18">
      <c r="A42" s="936"/>
      <c r="B42" s="1565" t="s">
        <v>295</v>
      </c>
      <c r="C42" s="1565"/>
      <c r="D42" s="1494">
        <f t="shared" ref="D42:J42" si="2">SUM(D33:D41)</f>
        <v>1</v>
      </c>
      <c r="E42" s="1494">
        <f t="shared" si="2"/>
        <v>1</v>
      </c>
      <c r="F42" s="1494">
        <f t="shared" si="2"/>
        <v>1</v>
      </c>
      <c r="G42" s="1494">
        <f t="shared" si="2"/>
        <v>0.99999999999999989</v>
      </c>
      <c r="H42" s="1494">
        <f t="shared" si="2"/>
        <v>1.0000000000000002</v>
      </c>
      <c r="I42" s="1495">
        <f t="shared" si="2"/>
        <v>0.99999999999999978</v>
      </c>
      <c r="J42" s="1495">
        <f t="shared" si="2"/>
        <v>1</v>
      </c>
      <c r="K42" s="1495">
        <f>SUM(K33:K41)</f>
        <v>0.99999999999999978</v>
      </c>
      <c r="L42" s="1495">
        <f>SUM(L33:L41)</f>
        <v>1</v>
      </c>
      <c r="M42" s="1496">
        <f>SUM(M33:M41)</f>
        <v>0.99999999999999978</v>
      </c>
      <c r="O42" s="938"/>
      <c r="P42" s="936"/>
    </row>
    <row r="43" spans="1:16" ht="15">
      <c r="A43" s="936"/>
      <c r="B43" s="936"/>
      <c r="C43" s="936"/>
      <c r="D43" s="936"/>
      <c r="E43" s="936"/>
      <c r="F43" s="938"/>
      <c r="G43" s="938"/>
      <c r="H43" s="938"/>
      <c r="I43" s="1487" t="s">
        <v>0</v>
      </c>
      <c r="J43" s="938"/>
      <c r="K43" s="938"/>
      <c r="L43" s="938"/>
      <c r="M43" s="938"/>
      <c r="N43" s="938"/>
      <c r="O43" s="938"/>
      <c r="P43" s="936"/>
    </row>
    <row r="44" spans="1:16" ht="15">
      <c r="A44" s="936"/>
      <c r="B44" s="936"/>
      <c r="C44" s="936"/>
      <c r="D44" s="936"/>
      <c r="E44" s="936"/>
      <c r="F44" s="938"/>
      <c r="G44" s="938"/>
      <c r="H44" s="938"/>
      <c r="I44" s="938" t="s">
        <v>0</v>
      </c>
      <c r="J44" s="938"/>
      <c r="K44" s="938"/>
      <c r="L44" s="938"/>
      <c r="M44" s="938"/>
      <c r="N44" s="938"/>
      <c r="O44" s="938"/>
      <c r="P44" s="936"/>
    </row>
    <row r="45" spans="1:16" ht="15">
      <c r="A45" s="936"/>
      <c r="B45" s="936"/>
      <c r="C45" s="936"/>
      <c r="D45" s="936"/>
      <c r="E45" s="936"/>
      <c r="F45" s="938"/>
      <c r="G45" s="938"/>
      <c r="H45" s="938"/>
      <c r="I45" s="938"/>
      <c r="J45" s="938"/>
      <c r="K45" s="938"/>
      <c r="L45" s="938"/>
      <c r="M45" s="938"/>
      <c r="N45" s="938"/>
      <c r="O45" s="938"/>
      <c r="P45" s="936"/>
    </row>
    <row r="46" spans="1:16" ht="15">
      <c r="A46" s="936"/>
      <c r="B46" s="936"/>
      <c r="C46" s="936"/>
      <c r="D46" s="936"/>
      <c r="E46" s="936"/>
      <c r="F46" s="938"/>
      <c r="G46" s="938"/>
      <c r="H46" s="938"/>
      <c r="I46" s="938"/>
      <c r="J46" s="938"/>
      <c r="K46" s="938"/>
      <c r="L46" s="938"/>
      <c r="M46" s="938"/>
      <c r="N46" s="938"/>
      <c r="O46" s="938"/>
      <c r="P46" s="936"/>
    </row>
    <row r="47" spans="1:16" ht="15">
      <c r="A47" s="936"/>
      <c r="B47" s="936"/>
      <c r="C47" s="936"/>
      <c r="D47" s="936"/>
      <c r="E47" s="936"/>
      <c r="F47" s="938"/>
      <c r="G47" s="938"/>
      <c r="H47" s="938"/>
      <c r="I47" s="938"/>
      <c r="J47" s="938"/>
      <c r="K47" s="938"/>
      <c r="L47" s="938"/>
      <c r="M47" s="938"/>
      <c r="N47" s="938"/>
      <c r="O47" s="938"/>
      <c r="P47" s="936"/>
    </row>
    <row r="48" spans="1:16" ht="15">
      <c r="A48" s="936"/>
      <c r="B48" s="936"/>
      <c r="C48" s="936"/>
      <c r="D48" s="936"/>
      <c r="E48" s="936"/>
      <c r="F48" s="938"/>
      <c r="G48" s="938"/>
      <c r="H48" s="938"/>
      <c r="I48" s="938"/>
      <c r="J48" s="938"/>
      <c r="K48" s="938"/>
      <c r="L48" s="938"/>
      <c r="M48" s="938"/>
      <c r="N48" s="938"/>
      <c r="O48" s="938"/>
      <c r="P48" s="936"/>
    </row>
    <row r="49" spans="1:16" ht="15">
      <c r="A49" s="936"/>
      <c r="B49" s="936"/>
      <c r="C49" s="936"/>
      <c r="D49" s="936"/>
      <c r="E49" s="936"/>
      <c r="F49" s="938"/>
      <c r="G49" s="938"/>
      <c r="H49" s="938"/>
      <c r="I49" s="938"/>
      <c r="J49" s="938"/>
      <c r="K49" s="938"/>
      <c r="L49" s="938"/>
      <c r="M49" s="938"/>
      <c r="N49" s="938"/>
      <c r="O49" s="938"/>
      <c r="P49" s="936"/>
    </row>
    <row r="50" spans="1:16" ht="15">
      <c r="A50" s="936"/>
      <c r="B50" s="936"/>
      <c r="C50" s="936"/>
      <c r="D50" s="936"/>
      <c r="E50" s="936"/>
      <c r="F50" s="938"/>
      <c r="G50" s="938"/>
      <c r="H50" s="938"/>
      <c r="I50" s="938"/>
      <c r="J50" s="938"/>
      <c r="K50" s="938"/>
      <c r="L50" s="938"/>
      <c r="M50" s="938"/>
      <c r="N50" s="938"/>
      <c r="O50" s="938"/>
      <c r="P50" s="936"/>
    </row>
    <row r="51" spans="1:16" ht="15">
      <c r="A51" s="936"/>
      <c r="B51" s="936"/>
      <c r="C51" s="936"/>
      <c r="D51" s="936"/>
      <c r="E51" s="936"/>
      <c r="F51" s="938"/>
      <c r="G51" s="938"/>
      <c r="H51" s="938"/>
      <c r="I51" s="938"/>
      <c r="J51" s="938"/>
      <c r="K51" s="938"/>
      <c r="L51" s="938"/>
      <c r="M51" s="938"/>
      <c r="N51" s="938"/>
      <c r="O51" s="938"/>
      <c r="P51" s="936"/>
    </row>
    <row r="52" spans="1:16" ht="15">
      <c r="A52" s="936"/>
      <c r="B52" s="936"/>
      <c r="C52" s="936"/>
      <c r="D52" s="936"/>
      <c r="E52" s="936"/>
      <c r="F52" s="938"/>
      <c r="G52" s="938"/>
      <c r="H52" s="938"/>
      <c r="I52" s="938"/>
      <c r="J52" s="938"/>
      <c r="K52" s="938"/>
      <c r="L52" s="938"/>
      <c r="M52" s="938"/>
      <c r="N52" s="938"/>
      <c r="O52" s="938"/>
      <c r="P52" s="936"/>
    </row>
    <row r="53" spans="1:16" ht="15">
      <c r="A53" s="936"/>
      <c r="B53" s="936"/>
      <c r="C53" s="936"/>
      <c r="D53" s="936"/>
      <c r="E53" s="936"/>
      <c r="F53" s="938"/>
      <c r="G53" s="938"/>
      <c r="H53" s="938"/>
      <c r="I53" s="938"/>
      <c r="J53" s="938"/>
      <c r="K53" s="938"/>
      <c r="L53" s="938"/>
      <c r="M53" s="938"/>
      <c r="N53" s="938"/>
      <c r="O53" s="938"/>
      <c r="P53" s="936"/>
    </row>
    <row r="54" spans="1:16" ht="15">
      <c r="A54" s="936"/>
      <c r="B54" s="936"/>
      <c r="C54" s="936"/>
      <c r="D54" s="936"/>
      <c r="E54" s="936"/>
      <c r="F54" s="938"/>
      <c r="G54" s="938"/>
      <c r="H54" s="938"/>
      <c r="I54" s="938"/>
      <c r="J54" s="938"/>
      <c r="K54" s="938"/>
      <c r="L54" s="938"/>
      <c r="M54" s="938"/>
      <c r="N54" s="938"/>
      <c r="O54" s="938"/>
      <c r="P54" s="936"/>
    </row>
    <row r="55" spans="1:16" ht="15">
      <c r="A55" s="936"/>
      <c r="B55" s="936"/>
      <c r="C55" s="936"/>
      <c r="D55" s="936"/>
      <c r="E55" s="936"/>
      <c r="F55" s="938"/>
      <c r="G55" s="938"/>
      <c r="H55" s="938"/>
      <c r="I55" s="938"/>
      <c r="J55" s="938"/>
      <c r="K55" s="938"/>
      <c r="L55" s="938"/>
      <c r="M55" s="938"/>
      <c r="N55" s="938"/>
      <c r="O55" s="938"/>
      <c r="P55" s="936"/>
    </row>
    <row r="56" spans="1:16" ht="15">
      <c r="A56" s="936"/>
      <c r="B56" s="936"/>
      <c r="C56" s="936"/>
      <c r="D56" s="936"/>
      <c r="E56" s="936"/>
      <c r="F56" s="938"/>
      <c r="G56" s="938"/>
      <c r="H56" s="938"/>
      <c r="I56" s="938"/>
      <c r="J56" s="938"/>
      <c r="K56" s="938"/>
      <c r="L56" s="938"/>
      <c r="M56" s="938"/>
      <c r="N56" s="938"/>
      <c r="O56" s="938"/>
      <c r="P56" s="936"/>
    </row>
    <row r="57" spans="1:16" ht="15">
      <c r="A57" s="936"/>
      <c r="B57" s="936"/>
      <c r="C57" s="936"/>
      <c r="D57" s="936"/>
      <c r="E57" s="936"/>
      <c r="F57" s="938"/>
      <c r="G57" s="938"/>
      <c r="H57" s="938"/>
      <c r="I57" s="938"/>
      <c r="J57" s="938"/>
      <c r="K57" s="938"/>
      <c r="L57" s="938"/>
      <c r="M57" s="938"/>
      <c r="N57" s="938"/>
      <c r="O57" s="938"/>
      <c r="P57" s="936"/>
    </row>
    <row r="58" spans="1:16" ht="15">
      <c r="A58" s="936"/>
      <c r="B58" s="936"/>
      <c r="C58" s="936"/>
      <c r="D58" s="936"/>
      <c r="E58" s="936"/>
      <c r="F58" s="938"/>
      <c r="G58" s="938"/>
      <c r="H58" s="938"/>
      <c r="I58" s="938"/>
      <c r="J58" s="938"/>
      <c r="K58" s="938"/>
      <c r="L58" s="938"/>
      <c r="M58" s="938"/>
      <c r="N58" s="938"/>
      <c r="O58" s="938"/>
      <c r="P58" s="936"/>
    </row>
    <row r="59" spans="1:16" ht="15">
      <c r="A59" s="936"/>
      <c r="B59" s="936"/>
      <c r="C59" s="936"/>
      <c r="D59" s="936"/>
      <c r="E59" s="936"/>
      <c r="F59" s="938"/>
      <c r="G59" s="938"/>
      <c r="H59" s="938"/>
      <c r="I59" s="938"/>
      <c r="J59" s="938"/>
      <c r="K59" s="938"/>
      <c r="L59" s="938"/>
      <c r="M59" s="938"/>
      <c r="N59" s="938"/>
      <c r="O59" s="938"/>
      <c r="P59" s="936"/>
    </row>
    <row r="60" spans="1:16" ht="15">
      <c r="A60" s="936"/>
      <c r="B60" s="936"/>
      <c r="C60" s="936"/>
      <c r="D60" s="936"/>
      <c r="E60" s="936"/>
      <c r="F60" s="938"/>
      <c r="G60" s="938"/>
      <c r="H60" s="938"/>
      <c r="I60" s="938"/>
      <c r="J60" s="938"/>
      <c r="K60" s="938"/>
      <c r="L60" s="938"/>
      <c r="M60" s="938"/>
      <c r="N60" s="938"/>
      <c r="O60" s="938"/>
      <c r="P60" s="936"/>
    </row>
    <row r="61" spans="1:16" ht="15">
      <c r="A61" s="936"/>
      <c r="B61" s="936"/>
      <c r="C61" s="936"/>
      <c r="D61" s="936"/>
      <c r="E61" s="936"/>
      <c r="F61" s="938"/>
      <c r="G61" s="938"/>
      <c r="H61" s="938"/>
      <c r="I61" s="938"/>
      <c r="J61" s="938"/>
      <c r="K61" s="938"/>
      <c r="L61" s="938"/>
      <c r="M61" s="938"/>
      <c r="N61" s="938"/>
      <c r="O61" s="938"/>
      <c r="P61" s="936"/>
    </row>
    <row r="62" spans="1:16" ht="15">
      <c r="A62" s="936"/>
      <c r="B62" s="936"/>
      <c r="C62" s="936"/>
      <c r="D62" s="936"/>
      <c r="E62" s="936"/>
      <c r="F62" s="938"/>
      <c r="G62" s="938"/>
      <c r="H62" s="938"/>
      <c r="I62" s="938"/>
      <c r="J62" s="938"/>
      <c r="K62" s="938"/>
      <c r="L62" s="938"/>
      <c r="M62" s="938"/>
      <c r="N62" s="938"/>
      <c r="O62" s="938"/>
      <c r="P62" s="936"/>
    </row>
    <row r="63" spans="1:16" ht="15">
      <c r="A63" s="936"/>
      <c r="B63" s="936"/>
      <c r="C63" s="936"/>
      <c r="D63" s="936"/>
      <c r="E63" s="936"/>
      <c r="F63" s="938"/>
      <c r="G63" s="938"/>
      <c r="H63" s="938"/>
      <c r="I63" s="938"/>
      <c r="J63" s="938"/>
      <c r="K63" s="938"/>
      <c r="L63" s="938"/>
      <c r="M63" s="938"/>
      <c r="N63" s="938"/>
      <c r="O63" s="938"/>
      <c r="P63" s="936"/>
    </row>
    <row r="64" spans="1:16" ht="15">
      <c r="A64" s="936"/>
      <c r="B64" s="936"/>
      <c r="C64" s="936"/>
      <c r="D64" s="936"/>
      <c r="E64" s="936"/>
      <c r="F64" s="938"/>
      <c r="G64" s="938"/>
      <c r="H64" s="938"/>
      <c r="I64" s="938"/>
      <c r="J64" s="938"/>
      <c r="K64" s="938"/>
      <c r="L64" s="938"/>
      <c r="M64" s="938"/>
      <c r="N64" s="938"/>
      <c r="O64" s="938"/>
      <c r="P64" s="936"/>
    </row>
    <row r="65" spans="1:16" ht="15">
      <c r="A65" s="936"/>
      <c r="B65" s="936"/>
      <c r="C65" s="936"/>
      <c r="D65" s="936"/>
      <c r="E65" s="936"/>
      <c r="F65" s="938"/>
      <c r="G65" s="938"/>
      <c r="H65" s="938"/>
      <c r="I65" s="938"/>
      <c r="J65" s="938"/>
      <c r="K65" s="938"/>
      <c r="L65" s="938"/>
      <c r="M65" s="938"/>
      <c r="N65" s="938"/>
      <c r="O65" s="938"/>
      <c r="P65" s="936"/>
    </row>
    <row r="66" spans="1:16" ht="15">
      <c r="A66" s="936"/>
      <c r="B66" s="936"/>
      <c r="C66" s="936"/>
      <c r="D66" s="936"/>
      <c r="E66" s="936"/>
      <c r="F66" s="938"/>
      <c r="G66" s="938"/>
      <c r="H66" s="938"/>
      <c r="I66" s="938"/>
      <c r="J66" s="938"/>
      <c r="K66" s="938"/>
      <c r="L66" s="938"/>
      <c r="M66" s="938"/>
      <c r="N66" s="938"/>
      <c r="O66" s="938"/>
      <c r="P66" s="936"/>
    </row>
    <row r="67" spans="1:16" ht="15">
      <c r="A67" s="936"/>
      <c r="B67" s="936"/>
      <c r="C67" s="936"/>
      <c r="D67" s="936"/>
      <c r="E67" s="936"/>
      <c r="F67" s="938"/>
      <c r="G67" s="938"/>
      <c r="H67" s="938"/>
      <c r="I67" s="938"/>
      <c r="J67" s="938"/>
      <c r="K67" s="938"/>
      <c r="L67" s="938"/>
      <c r="M67" s="938"/>
      <c r="N67" s="938"/>
      <c r="O67" s="938"/>
      <c r="P67" s="936"/>
    </row>
    <row r="68" spans="1:16" ht="15">
      <c r="A68" s="936"/>
      <c r="B68" s="936"/>
      <c r="C68" s="936"/>
      <c r="D68" s="936"/>
      <c r="E68" s="936"/>
      <c r="F68" s="938"/>
      <c r="G68" s="938"/>
      <c r="H68" s="938"/>
      <c r="I68" s="938"/>
      <c r="J68" s="938"/>
      <c r="K68" s="938"/>
      <c r="L68" s="938"/>
      <c r="M68" s="938"/>
      <c r="N68" s="938"/>
      <c r="O68" s="938"/>
      <c r="P68" s="936"/>
    </row>
    <row r="69" spans="1:16" ht="15">
      <c r="A69" s="936"/>
      <c r="B69" s="936"/>
      <c r="C69" s="936"/>
      <c r="D69" s="936"/>
      <c r="E69" s="936"/>
      <c r="F69" s="938"/>
      <c r="G69" s="938"/>
      <c r="H69" s="938"/>
      <c r="I69" s="938"/>
      <c r="J69" s="938"/>
      <c r="K69" s="938"/>
      <c r="L69" s="938"/>
      <c r="M69" s="938"/>
      <c r="N69" s="938"/>
      <c r="O69" s="938"/>
      <c r="P69" s="936"/>
    </row>
    <row r="70" spans="1:16" ht="15">
      <c r="A70" s="936"/>
      <c r="B70" s="936"/>
      <c r="C70" s="936"/>
      <c r="D70" s="936"/>
      <c r="E70" s="936"/>
      <c r="F70" s="938"/>
      <c r="G70" s="938"/>
      <c r="H70" s="938"/>
      <c r="I70" s="938"/>
      <c r="J70" s="938"/>
      <c r="K70" s="938"/>
      <c r="L70" s="938"/>
      <c r="M70" s="938"/>
      <c r="N70" s="938"/>
      <c r="O70" s="938"/>
      <c r="P70" s="936"/>
    </row>
    <row r="71" spans="1:16" ht="15">
      <c r="A71" s="936"/>
      <c r="B71" s="936"/>
      <c r="C71" s="936"/>
      <c r="D71" s="936"/>
      <c r="E71" s="936"/>
      <c r="F71" s="938"/>
      <c r="G71" s="938"/>
      <c r="H71" s="938"/>
      <c r="I71" s="938"/>
      <c r="J71" s="938"/>
      <c r="K71" s="938"/>
      <c r="L71" s="938"/>
      <c r="M71" s="938"/>
      <c r="N71" s="938"/>
      <c r="O71" s="938"/>
      <c r="P71" s="936"/>
    </row>
    <row r="72" spans="1:16" ht="15">
      <c r="A72" s="936"/>
      <c r="B72" s="936"/>
      <c r="C72" s="936"/>
      <c r="D72" s="936"/>
      <c r="E72" s="936"/>
      <c r="F72" s="938"/>
      <c r="G72" s="938"/>
      <c r="H72" s="938"/>
      <c r="I72" s="938"/>
      <c r="J72" s="938"/>
      <c r="K72" s="938"/>
      <c r="L72" s="938"/>
      <c r="M72" s="938"/>
      <c r="N72" s="938"/>
      <c r="O72" s="938"/>
      <c r="P72" s="936"/>
    </row>
    <row r="73" spans="1:16" ht="15">
      <c r="A73" s="936"/>
      <c r="B73" s="936"/>
      <c r="C73" s="936"/>
      <c r="D73" s="936"/>
      <c r="E73" s="936"/>
      <c r="F73" s="938"/>
      <c r="G73" s="938"/>
      <c r="H73" s="938"/>
      <c r="I73" s="938"/>
      <c r="J73" s="938"/>
      <c r="K73" s="938"/>
      <c r="L73" s="938"/>
      <c r="M73" s="938"/>
      <c r="N73" s="938"/>
      <c r="O73" s="938"/>
      <c r="P73" s="936"/>
    </row>
    <row r="74" spans="1:16" ht="15">
      <c r="A74" s="936"/>
      <c r="B74" s="936"/>
      <c r="C74" s="936"/>
      <c r="D74" s="936"/>
      <c r="E74" s="936"/>
      <c r="F74" s="938"/>
      <c r="G74" s="938"/>
      <c r="H74" s="938"/>
      <c r="I74" s="938"/>
      <c r="J74" s="938"/>
      <c r="K74" s="938"/>
      <c r="L74" s="938"/>
      <c r="M74" s="938"/>
      <c r="N74" s="938"/>
      <c r="O74" s="938"/>
      <c r="P74" s="936"/>
    </row>
    <row r="75" spans="1:16" ht="15">
      <c r="A75" s="936"/>
      <c r="B75" s="936"/>
      <c r="C75" s="936"/>
      <c r="D75" s="936"/>
      <c r="E75" s="936"/>
      <c r="F75" s="938"/>
      <c r="G75" s="938"/>
      <c r="H75" s="938"/>
      <c r="I75" s="938"/>
      <c r="J75" s="938"/>
      <c r="K75" s="938"/>
      <c r="L75" s="938"/>
      <c r="M75" s="938"/>
      <c r="N75" s="938"/>
      <c r="O75" s="938"/>
      <c r="P75" s="936"/>
    </row>
    <row r="76" spans="1:16" ht="15">
      <c r="A76" s="936"/>
      <c r="B76" s="936"/>
      <c r="C76" s="936"/>
      <c r="D76" s="936"/>
      <c r="E76" s="936"/>
      <c r="F76" s="938"/>
      <c r="G76" s="938"/>
      <c r="H76" s="938"/>
      <c r="I76" s="938"/>
      <c r="J76" s="938"/>
      <c r="K76" s="938"/>
      <c r="L76" s="938"/>
      <c r="M76" s="938"/>
      <c r="N76" s="938"/>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6"/>
      <c r="G80" s="936"/>
      <c r="H80" s="936"/>
      <c r="I80" s="936"/>
      <c r="J80" s="936"/>
      <c r="K80" s="936"/>
      <c r="L80" s="936"/>
      <c r="M80" s="936"/>
      <c r="N80" s="936"/>
      <c r="O80" s="936"/>
      <c r="P80" s="936"/>
    </row>
    <row r="81" spans="1:16" ht="15">
      <c r="A81" s="936"/>
      <c r="B81" s="936"/>
      <c r="C81" s="936"/>
      <c r="D81" s="936"/>
      <c r="E81" s="936"/>
      <c r="F81" s="936"/>
      <c r="G81" s="936"/>
      <c r="H81" s="936"/>
      <c r="I81" s="936"/>
      <c r="J81" s="936"/>
      <c r="K81" s="936"/>
      <c r="L81" s="936"/>
      <c r="M81" s="936"/>
      <c r="N81" s="936"/>
      <c r="O81" s="936"/>
      <c r="P81" s="936"/>
    </row>
    <row r="82" spans="1:16" ht="15">
      <c r="A82" s="936"/>
      <c r="B82" s="936"/>
      <c r="C82" s="936"/>
      <c r="D82" s="936"/>
      <c r="E82" s="936"/>
      <c r="F82" s="936"/>
      <c r="G82" s="936"/>
      <c r="H82" s="936"/>
      <c r="I82" s="936"/>
      <c r="J82" s="936"/>
      <c r="K82" s="936"/>
      <c r="L82" s="936"/>
      <c r="M82" s="936"/>
      <c r="N82" s="936"/>
      <c r="O82" s="936"/>
      <c r="P82" s="936"/>
    </row>
    <row r="83" spans="1:16" ht="15">
      <c r="A83" s="936"/>
      <c r="B83" s="936"/>
      <c r="C83" s="936"/>
      <c r="D83" s="936"/>
      <c r="E83" s="936"/>
      <c r="F83" s="936"/>
      <c r="G83" s="936"/>
      <c r="H83" s="936"/>
      <c r="I83" s="936"/>
      <c r="J83" s="936"/>
      <c r="K83" s="936"/>
      <c r="L83" s="936"/>
      <c r="M83" s="936"/>
      <c r="N83" s="936"/>
      <c r="O83" s="936"/>
      <c r="P83" s="936"/>
    </row>
    <row r="84" spans="1:16" ht="15">
      <c r="A84" s="936"/>
      <c r="B84" s="936"/>
      <c r="C84" s="936"/>
      <c r="D84" s="936"/>
      <c r="E84" s="936"/>
      <c r="F84" s="936"/>
      <c r="G84" s="936"/>
      <c r="H84" s="936"/>
      <c r="I84" s="936"/>
      <c r="J84" s="936"/>
      <c r="K84" s="936"/>
      <c r="L84" s="936"/>
      <c r="M84" s="936"/>
      <c r="N84" s="936"/>
      <c r="O84" s="936"/>
      <c r="P84" s="936"/>
    </row>
    <row r="85" spans="1:16" ht="15">
      <c r="A85" s="936"/>
      <c r="B85" s="936"/>
      <c r="C85" s="936"/>
      <c r="D85" s="936"/>
      <c r="E85" s="936"/>
      <c r="F85" s="936"/>
      <c r="G85" s="936"/>
      <c r="H85" s="936"/>
      <c r="I85" s="936"/>
      <c r="J85" s="936"/>
      <c r="K85" s="936"/>
      <c r="L85" s="936"/>
      <c r="M85" s="936"/>
      <c r="N85" s="936"/>
      <c r="O85" s="936"/>
      <c r="P85" s="936"/>
    </row>
    <row r="86" spans="1:16" ht="15">
      <c r="A86" s="936"/>
      <c r="B86" s="936"/>
      <c r="C86" s="936"/>
      <c r="D86" s="936"/>
      <c r="E86" s="936"/>
      <c r="F86" s="936"/>
      <c r="G86" s="936"/>
      <c r="H86" s="936"/>
      <c r="I86" s="936"/>
      <c r="J86" s="936"/>
      <c r="K86" s="936"/>
      <c r="L86" s="936"/>
      <c r="M86" s="936"/>
      <c r="N86" s="936"/>
      <c r="O86" s="936"/>
      <c r="P86" s="936"/>
    </row>
    <row r="87" spans="1:16" ht="15">
      <c r="A87" s="936"/>
      <c r="B87" s="936"/>
      <c r="C87" s="936"/>
      <c r="D87" s="936"/>
      <c r="E87" s="936"/>
      <c r="F87" s="936"/>
      <c r="G87" s="936"/>
      <c r="H87" s="936"/>
      <c r="I87" s="936"/>
      <c r="J87" s="936"/>
      <c r="K87" s="936"/>
      <c r="L87" s="936"/>
      <c r="M87" s="936"/>
      <c r="N87" s="936"/>
      <c r="O87" s="936"/>
      <c r="P87" s="936"/>
    </row>
    <row r="88" spans="1:16" ht="15">
      <c r="A88" s="936"/>
      <c r="B88" s="936"/>
      <c r="C88" s="936"/>
      <c r="D88" s="936"/>
      <c r="E88" s="936"/>
      <c r="F88" s="936"/>
      <c r="G88" s="936"/>
      <c r="H88" s="936"/>
      <c r="I88" s="936"/>
      <c r="J88" s="936"/>
      <c r="K88" s="936"/>
      <c r="L88" s="936"/>
      <c r="M88" s="936"/>
      <c r="N88" s="936"/>
      <c r="O88" s="936"/>
      <c r="P88" s="936"/>
    </row>
    <row r="89" spans="1:16" ht="15">
      <c r="A89" s="936"/>
      <c r="B89" s="936"/>
      <c r="C89" s="936"/>
      <c r="D89" s="936"/>
      <c r="E89" s="936"/>
      <c r="F89" s="936"/>
      <c r="G89" s="936"/>
      <c r="H89" s="936"/>
      <c r="I89" s="936"/>
      <c r="J89" s="936"/>
      <c r="K89" s="936"/>
      <c r="L89" s="936"/>
      <c r="M89" s="936"/>
      <c r="N89" s="936"/>
      <c r="O89" s="936"/>
      <c r="P89" s="936"/>
    </row>
    <row r="90" spans="1:16" ht="15">
      <c r="A90" s="936"/>
      <c r="B90" s="936"/>
      <c r="C90" s="936"/>
      <c r="D90" s="936"/>
      <c r="E90" s="936"/>
      <c r="F90" s="936"/>
      <c r="G90" s="936"/>
      <c r="H90" s="936"/>
      <c r="I90" s="936"/>
      <c r="J90" s="936"/>
      <c r="K90" s="936"/>
      <c r="L90" s="936"/>
      <c r="M90" s="936"/>
      <c r="N90" s="936"/>
      <c r="O90" s="936"/>
      <c r="P90" s="936"/>
    </row>
    <row r="91" spans="1:16" ht="15">
      <c r="A91" s="936"/>
      <c r="B91" s="936"/>
      <c r="C91" s="936"/>
      <c r="D91" s="936"/>
      <c r="E91" s="936"/>
      <c r="F91" s="936"/>
      <c r="G91" s="936"/>
      <c r="H91" s="936"/>
      <c r="I91" s="936"/>
      <c r="J91" s="936"/>
      <c r="K91" s="936"/>
      <c r="L91" s="936"/>
      <c r="M91" s="936"/>
      <c r="N91" s="936"/>
      <c r="O91" s="936"/>
      <c r="P91" s="936"/>
    </row>
    <row r="92" spans="1:16" ht="15">
      <c r="A92" s="936"/>
      <c r="B92" s="936"/>
      <c r="C92" s="936"/>
      <c r="D92" s="936"/>
      <c r="E92" s="936"/>
      <c r="F92" s="936"/>
      <c r="G92" s="936"/>
      <c r="H92" s="936"/>
      <c r="I92" s="936"/>
      <c r="J92" s="936"/>
      <c r="K92" s="936"/>
      <c r="L92" s="936"/>
      <c r="M92" s="936"/>
      <c r="N92" s="936"/>
      <c r="O92" s="936"/>
      <c r="P92" s="936"/>
    </row>
    <row r="93" spans="1:16" ht="15">
      <c r="A93" s="936"/>
      <c r="B93" s="936"/>
      <c r="C93" s="936"/>
      <c r="D93" s="936"/>
      <c r="E93" s="936"/>
      <c r="F93" s="936"/>
      <c r="G93" s="936"/>
      <c r="H93" s="936"/>
      <c r="I93" s="936"/>
      <c r="J93" s="936"/>
      <c r="K93" s="936"/>
      <c r="L93" s="936"/>
      <c r="M93" s="936"/>
      <c r="N93" s="936"/>
      <c r="O93" s="936"/>
      <c r="P93" s="936"/>
    </row>
    <row r="94" spans="1:16" ht="15">
      <c r="A94" s="936"/>
      <c r="B94" s="936"/>
      <c r="C94" s="936"/>
      <c r="D94" s="936"/>
      <c r="E94" s="936"/>
      <c r="F94" s="936"/>
      <c r="G94" s="936"/>
      <c r="H94" s="936"/>
      <c r="I94" s="936"/>
      <c r="J94" s="936"/>
      <c r="K94" s="936"/>
      <c r="L94" s="936"/>
      <c r="M94" s="936"/>
      <c r="N94" s="936"/>
      <c r="O94" s="936"/>
      <c r="P94" s="936"/>
    </row>
    <row r="95" spans="1:16" ht="15">
      <c r="A95" s="936"/>
      <c r="B95" s="936"/>
      <c r="C95" s="936"/>
      <c r="D95" s="936"/>
      <c r="E95" s="936"/>
      <c r="F95" s="936"/>
      <c r="G95" s="936"/>
      <c r="H95" s="936"/>
      <c r="I95" s="936"/>
      <c r="J95" s="936"/>
      <c r="K95" s="936"/>
      <c r="L95" s="936"/>
      <c r="M95" s="936"/>
      <c r="N95" s="936"/>
      <c r="O95" s="936"/>
      <c r="P95" s="936"/>
    </row>
    <row r="96" spans="1:16" ht="15">
      <c r="A96" s="936"/>
      <c r="B96" s="936"/>
      <c r="C96" s="936"/>
      <c r="D96" s="936"/>
      <c r="E96" s="936"/>
      <c r="F96" s="936"/>
      <c r="G96" s="936"/>
      <c r="H96" s="936"/>
      <c r="I96" s="936"/>
      <c r="J96" s="936"/>
      <c r="K96" s="936"/>
      <c r="L96" s="936"/>
      <c r="M96" s="936"/>
      <c r="N96" s="936"/>
      <c r="O96" s="936"/>
      <c r="P96" s="936"/>
    </row>
    <row r="97" spans="1:16" ht="15">
      <c r="A97" s="936"/>
      <c r="B97" s="936"/>
      <c r="C97" s="936"/>
      <c r="D97" s="936"/>
      <c r="E97" s="936"/>
      <c r="F97" s="936"/>
      <c r="G97" s="936"/>
      <c r="H97" s="936"/>
      <c r="I97" s="936"/>
      <c r="J97" s="936"/>
      <c r="K97" s="936"/>
      <c r="L97" s="936"/>
      <c r="M97" s="936"/>
      <c r="N97" s="936"/>
      <c r="O97" s="936"/>
      <c r="P97" s="936"/>
    </row>
    <row r="98" spans="1:16" ht="15">
      <c r="A98" s="936"/>
      <c r="B98" s="936"/>
      <c r="C98" s="936"/>
      <c r="D98" s="936"/>
      <c r="E98" s="936"/>
      <c r="F98" s="936"/>
      <c r="G98" s="936"/>
      <c r="H98" s="936"/>
      <c r="I98" s="936"/>
      <c r="J98" s="936"/>
      <c r="K98" s="936"/>
      <c r="L98" s="936"/>
      <c r="M98" s="936"/>
      <c r="N98" s="936"/>
      <c r="O98" s="936"/>
      <c r="P98" s="936"/>
    </row>
    <row r="99" spans="1:16" ht="15">
      <c r="A99" s="936"/>
      <c r="B99" s="936"/>
      <c r="C99" s="936"/>
      <c r="D99" s="936"/>
      <c r="E99" s="936"/>
      <c r="F99" s="936"/>
      <c r="G99" s="936"/>
      <c r="H99" s="936"/>
      <c r="I99" s="936"/>
      <c r="J99" s="936"/>
      <c r="K99" s="936"/>
      <c r="L99" s="936"/>
      <c r="M99" s="936"/>
      <c r="N99" s="936"/>
      <c r="O99" s="936"/>
      <c r="P99" s="936"/>
    </row>
    <row r="100" spans="1:16" ht="15">
      <c r="A100" s="936"/>
      <c r="B100" s="936"/>
      <c r="C100" s="936"/>
      <c r="D100" s="936"/>
      <c r="E100" s="936"/>
      <c r="F100" s="936"/>
      <c r="G100" s="936"/>
      <c r="H100" s="936"/>
      <c r="I100" s="936"/>
      <c r="J100" s="936"/>
      <c r="K100" s="936"/>
      <c r="L100" s="936"/>
      <c r="M100" s="936"/>
      <c r="N100" s="936"/>
      <c r="O100" s="936"/>
      <c r="P100" s="936"/>
    </row>
    <row r="101" spans="1:16" ht="15">
      <c r="A101" s="936"/>
      <c r="B101" s="936"/>
      <c r="C101" s="936"/>
      <c r="D101" s="936"/>
      <c r="E101" s="936"/>
      <c r="F101" s="936"/>
      <c r="G101" s="936"/>
      <c r="H101" s="936"/>
      <c r="I101" s="936"/>
      <c r="J101" s="936"/>
      <c r="K101" s="936"/>
      <c r="L101" s="936"/>
      <c r="M101" s="936"/>
      <c r="N101" s="936"/>
      <c r="O101" s="936"/>
      <c r="P101" s="936"/>
    </row>
    <row r="102" spans="1:16" ht="15">
      <c r="A102" s="936"/>
      <c r="B102" s="936"/>
      <c r="C102" s="936"/>
      <c r="D102" s="936"/>
      <c r="E102" s="936"/>
      <c r="F102" s="936"/>
      <c r="G102" s="936"/>
      <c r="H102" s="936"/>
      <c r="I102" s="936"/>
      <c r="J102" s="936"/>
      <c r="K102" s="936"/>
      <c r="L102" s="936"/>
      <c r="M102" s="936"/>
      <c r="N102" s="936"/>
      <c r="O102" s="936"/>
      <c r="P102" s="936"/>
    </row>
    <row r="103" spans="1:16" ht="15">
      <c r="A103" s="936"/>
      <c r="B103" s="936"/>
      <c r="C103" s="936"/>
      <c r="D103" s="936"/>
      <c r="E103" s="936"/>
      <c r="F103" s="936"/>
      <c r="G103" s="936"/>
      <c r="H103" s="936"/>
      <c r="I103" s="936"/>
      <c r="J103" s="936"/>
      <c r="K103" s="936"/>
      <c r="L103" s="936"/>
      <c r="M103" s="936"/>
      <c r="N103" s="936"/>
      <c r="O103" s="936"/>
      <c r="P103" s="936"/>
    </row>
    <row r="104" spans="1:16" ht="15">
      <c r="A104" s="936"/>
      <c r="B104" s="936"/>
      <c r="C104" s="936"/>
      <c r="D104" s="936"/>
      <c r="E104" s="936"/>
      <c r="F104" s="936"/>
      <c r="G104" s="936"/>
      <c r="H104" s="936"/>
      <c r="I104" s="936"/>
      <c r="J104" s="936"/>
      <c r="K104" s="936"/>
      <c r="L104" s="936"/>
      <c r="M104" s="936"/>
      <c r="N104" s="936"/>
      <c r="O104" s="936"/>
      <c r="P104" s="936"/>
    </row>
    <row r="105" spans="1:16" ht="15">
      <c r="A105" s="936"/>
      <c r="B105" s="936"/>
      <c r="C105" s="936"/>
      <c r="D105" s="936"/>
      <c r="E105" s="936"/>
      <c r="F105" s="936"/>
      <c r="G105" s="936"/>
      <c r="H105" s="936"/>
      <c r="I105" s="936"/>
      <c r="J105" s="936"/>
      <c r="K105" s="936"/>
      <c r="L105" s="936"/>
      <c r="M105" s="936"/>
      <c r="N105" s="936"/>
      <c r="O105" s="936"/>
      <c r="P105" s="936"/>
    </row>
    <row r="106" spans="1:16" ht="15">
      <c r="A106" s="936"/>
      <c r="B106" s="936"/>
      <c r="C106" s="936"/>
      <c r="D106" s="936"/>
      <c r="E106" s="936"/>
      <c r="F106" s="936"/>
      <c r="G106" s="936"/>
      <c r="H106" s="936"/>
      <c r="I106" s="936"/>
      <c r="J106" s="936"/>
      <c r="K106" s="936"/>
      <c r="L106" s="936"/>
      <c r="M106" s="936"/>
      <c r="N106" s="936"/>
      <c r="O106" s="936"/>
      <c r="P106" s="936"/>
    </row>
    <row r="107" spans="1:16" ht="15">
      <c r="A107" s="936"/>
      <c r="B107" s="936"/>
      <c r="C107" s="936"/>
      <c r="D107" s="936"/>
      <c r="E107" s="936"/>
      <c r="F107" s="936"/>
      <c r="G107" s="936"/>
      <c r="H107" s="936"/>
      <c r="I107" s="936"/>
      <c r="J107" s="936"/>
      <c r="K107" s="936"/>
      <c r="L107" s="936"/>
      <c r="M107" s="936"/>
      <c r="N107" s="936"/>
      <c r="O107" s="936"/>
      <c r="P107" s="936"/>
    </row>
    <row r="108" spans="1:16" ht="15">
      <c r="A108" s="936"/>
      <c r="B108" s="936"/>
      <c r="C108" s="936"/>
      <c r="D108" s="936"/>
      <c r="E108" s="936"/>
      <c r="F108" s="936"/>
      <c r="G108" s="936"/>
      <c r="H108" s="936"/>
      <c r="I108" s="936"/>
      <c r="J108" s="936"/>
      <c r="K108" s="936"/>
      <c r="L108" s="936"/>
      <c r="M108" s="936"/>
      <c r="N108" s="936"/>
      <c r="O108" s="936"/>
      <c r="P108" s="936"/>
    </row>
    <row r="109" spans="1:16" ht="15">
      <c r="A109" s="936"/>
      <c r="B109" s="936"/>
      <c r="C109" s="936"/>
      <c r="D109" s="936"/>
      <c r="E109" s="936"/>
      <c r="F109" s="936"/>
      <c r="G109" s="936"/>
      <c r="H109" s="936"/>
      <c r="I109" s="936"/>
      <c r="J109" s="936"/>
      <c r="K109" s="936"/>
      <c r="L109" s="936"/>
      <c r="M109" s="936"/>
      <c r="N109" s="936"/>
      <c r="O109" s="936"/>
      <c r="P109" s="936"/>
    </row>
    <row r="110" spans="1:16" ht="15">
      <c r="A110" s="936"/>
      <c r="B110" s="936"/>
      <c r="C110" s="936"/>
      <c r="D110" s="936"/>
      <c r="E110" s="936"/>
      <c r="F110" s="936"/>
      <c r="G110" s="936"/>
      <c r="H110" s="936"/>
      <c r="I110" s="936"/>
      <c r="J110" s="936"/>
      <c r="K110" s="936"/>
      <c r="L110" s="936"/>
      <c r="M110" s="936"/>
      <c r="N110" s="936"/>
      <c r="O110" s="936"/>
      <c r="P110" s="936"/>
    </row>
    <row r="111" spans="1:16" ht="15">
      <c r="A111" s="936"/>
      <c r="B111" s="936"/>
      <c r="C111" s="936"/>
      <c r="D111" s="936"/>
      <c r="E111" s="936"/>
      <c r="F111" s="936"/>
      <c r="G111" s="936"/>
      <c r="H111" s="936"/>
      <c r="I111" s="936"/>
      <c r="J111" s="936"/>
      <c r="K111" s="936"/>
      <c r="L111" s="936"/>
      <c r="M111" s="936"/>
      <c r="N111" s="936"/>
      <c r="O111" s="936"/>
      <c r="P111" s="936"/>
    </row>
    <row r="112" spans="1:16" ht="15">
      <c r="A112" s="936"/>
      <c r="B112" s="936"/>
      <c r="C112" s="936"/>
      <c r="D112" s="936"/>
      <c r="E112" s="936"/>
      <c r="F112" s="936"/>
      <c r="G112" s="936"/>
      <c r="H112" s="936"/>
      <c r="I112" s="936"/>
      <c r="J112" s="936"/>
      <c r="K112" s="936"/>
      <c r="L112" s="936"/>
      <c r="M112" s="936"/>
      <c r="N112" s="936"/>
      <c r="O112" s="936"/>
      <c r="P112" s="936"/>
    </row>
    <row r="113" spans="1:16" ht="15">
      <c r="A113" s="936"/>
      <c r="B113" s="936"/>
      <c r="C113" s="936"/>
      <c r="D113" s="936"/>
      <c r="E113" s="936"/>
      <c r="F113" s="936"/>
      <c r="G113" s="936"/>
      <c r="H113" s="936"/>
      <c r="I113" s="936"/>
      <c r="J113" s="936"/>
      <c r="K113" s="936"/>
      <c r="L113" s="936"/>
      <c r="M113" s="936"/>
      <c r="N113" s="936"/>
      <c r="O113" s="936"/>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sheetData>
  <mergeCells count="4">
    <mergeCell ref="B13:C13"/>
    <mergeCell ref="B23:C23"/>
    <mergeCell ref="B32:C32"/>
    <mergeCell ref="B42:C42"/>
  </mergeCells>
  <pageMargins left="0.7" right="0.2" top="0.46" bottom="0.35" header="0.27" footer="0.17"/>
  <pageSetup scale="50" orientation="landscape" r:id="rId1"/>
  <headerFooter alignWithMargins="0">
    <oddFooter>&amp;R&amp;P</oddFooter>
  </headerFooter>
</worksheet>
</file>

<file path=xl/worksheets/sheet152.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16.375"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904</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1423">
        <v>2337.11</v>
      </c>
      <c r="H22" s="1422">
        <v>105841.22</v>
      </c>
      <c r="I22" s="1422">
        <v>0</v>
      </c>
      <c r="J22" s="1422">
        <v>0</v>
      </c>
      <c r="K22" s="1422">
        <v>0</v>
      </c>
      <c r="L22" s="1422">
        <v>0</v>
      </c>
      <c r="M22" s="1432">
        <f t="shared" ref="M22:M51" si="0">SUM(D22:L22)</f>
        <v>108178.33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138568</v>
      </c>
      <c r="E23" s="1423">
        <v>21966.42</v>
      </c>
      <c r="F23" s="1422">
        <v>4225.95</v>
      </c>
      <c r="G23" s="1423">
        <v>296603.87</v>
      </c>
      <c r="H23" s="1423">
        <v>1086374.6299999999</v>
      </c>
      <c r="I23" s="1422">
        <v>199451.56</v>
      </c>
      <c r="J23" s="1422">
        <v>0</v>
      </c>
      <c r="K23" s="1423">
        <v>363000.18</v>
      </c>
      <c r="L23" s="1423">
        <v>154449</v>
      </c>
      <c r="M23" s="1432">
        <f t="shared" si="0"/>
        <v>2264639.61</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3840</v>
      </c>
      <c r="E24" s="1422">
        <v>0</v>
      </c>
      <c r="F24" s="1422">
        <v>9464.2199999999993</v>
      </c>
      <c r="G24" s="1423">
        <v>664886.27</v>
      </c>
      <c r="H24" s="1423">
        <v>1037245.67</v>
      </c>
      <c r="I24" s="1422">
        <v>110000.66</v>
      </c>
      <c r="J24" s="1422">
        <v>0</v>
      </c>
      <c r="K24" s="1423">
        <v>318271.71999999997</v>
      </c>
      <c r="L24" s="1422">
        <v>77729</v>
      </c>
      <c r="M24" s="1432">
        <f t="shared" si="0"/>
        <v>2221437.54</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6723</v>
      </c>
      <c r="E25" s="1422">
        <v>0</v>
      </c>
      <c r="F25" s="1422">
        <v>10206.39</v>
      </c>
      <c r="G25" s="1422">
        <v>2975.48</v>
      </c>
      <c r="H25" s="1422">
        <v>0</v>
      </c>
      <c r="I25" s="1422">
        <v>0.13</v>
      </c>
      <c r="J25" s="1422">
        <v>0</v>
      </c>
      <c r="K25" s="1422">
        <v>0</v>
      </c>
      <c r="L25" s="1422">
        <v>0</v>
      </c>
      <c r="M25" s="1432">
        <f t="shared" si="0"/>
        <v>19905</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0</v>
      </c>
      <c r="G26" s="1422">
        <v>553729.18000000005</v>
      </c>
      <c r="H26" s="1422">
        <v>90063.31</v>
      </c>
      <c r="I26" s="1422">
        <v>67416.02</v>
      </c>
      <c r="J26" s="1422">
        <v>0</v>
      </c>
      <c r="K26" s="1422">
        <v>0</v>
      </c>
      <c r="L26" s="1422">
        <v>0</v>
      </c>
      <c r="M26" s="1432">
        <f t="shared" si="0"/>
        <v>711208.51</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218286</v>
      </c>
      <c r="E27" s="1423">
        <v>0</v>
      </c>
      <c r="F27" s="1422">
        <v>0</v>
      </c>
      <c r="G27" s="1422">
        <v>589336.61</v>
      </c>
      <c r="H27" s="1422">
        <v>252938.44</v>
      </c>
      <c r="I27" s="1422">
        <v>65250.35</v>
      </c>
      <c r="J27" s="1422">
        <v>0</v>
      </c>
      <c r="K27" s="1422">
        <v>0</v>
      </c>
      <c r="L27" s="1422">
        <v>6510</v>
      </c>
      <c r="M27" s="1432">
        <f t="shared" si="0"/>
        <v>1132321.4000000001</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9102.35</v>
      </c>
      <c r="G28" s="1422">
        <v>0</v>
      </c>
      <c r="H28" s="1422">
        <v>61120.480000000003</v>
      </c>
      <c r="I28" s="1422">
        <v>215.11</v>
      </c>
      <c r="J28" s="1422">
        <v>0</v>
      </c>
      <c r="K28" s="1422">
        <v>0</v>
      </c>
      <c r="L28" s="1422">
        <v>0</v>
      </c>
      <c r="M28" s="1432">
        <f t="shared" si="0"/>
        <v>70437.94</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13011</v>
      </c>
      <c r="E29" s="1422">
        <v>0</v>
      </c>
      <c r="F29" s="1422">
        <v>0</v>
      </c>
      <c r="G29" s="1423">
        <v>146228.9</v>
      </c>
      <c r="H29" s="1423">
        <v>53376.12</v>
      </c>
      <c r="I29" s="1422">
        <v>33209.67</v>
      </c>
      <c r="J29" s="1422">
        <v>0</v>
      </c>
      <c r="K29" s="1422">
        <v>0</v>
      </c>
      <c r="L29" s="1422">
        <v>4272</v>
      </c>
      <c r="M29" s="1432">
        <f t="shared" si="0"/>
        <v>250097.69</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458554</v>
      </c>
      <c r="E30" s="1422">
        <v>23.68</v>
      </c>
      <c r="F30" s="1422">
        <v>17301.04</v>
      </c>
      <c r="G30" s="1423">
        <v>653387.57999999996</v>
      </c>
      <c r="H30" s="1423">
        <v>47117.08</v>
      </c>
      <c r="I30" s="1422">
        <v>64975</v>
      </c>
      <c r="J30" s="1422">
        <v>0</v>
      </c>
      <c r="K30" s="1423">
        <v>168770.61</v>
      </c>
      <c r="L30" s="1422">
        <v>35731</v>
      </c>
      <c r="M30" s="1432">
        <f t="shared" si="0"/>
        <v>1445859.9899999998</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75439</v>
      </c>
      <c r="E31" s="1423">
        <v>3293.31</v>
      </c>
      <c r="F31" s="1422">
        <v>0</v>
      </c>
      <c r="G31" s="1423">
        <v>664199.82999999996</v>
      </c>
      <c r="H31" s="1423">
        <v>542140.56000000006</v>
      </c>
      <c r="I31" s="1422">
        <v>88983.02</v>
      </c>
      <c r="J31" s="1422">
        <v>0</v>
      </c>
      <c r="K31" s="1422">
        <v>0</v>
      </c>
      <c r="L31" s="1423">
        <v>8484</v>
      </c>
      <c r="M31" s="1432">
        <f t="shared" si="0"/>
        <v>1382539.72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0</v>
      </c>
      <c r="G32" s="1423">
        <v>49296.57</v>
      </c>
      <c r="H32" s="1422">
        <v>109349.41</v>
      </c>
      <c r="I32" s="1422">
        <v>43625.74</v>
      </c>
      <c r="J32" s="1422">
        <v>0</v>
      </c>
      <c r="K32" s="1422">
        <v>0</v>
      </c>
      <c r="L32" s="1423">
        <v>1289</v>
      </c>
      <c r="M32" s="1432">
        <f t="shared" si="0"/>
        <v>203560.72</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2553161</v>
      </c>
      <c r="E33" s="1422">
        <v>0</v>
      </c>
      <c r="F33" s="1422">
        <v>389577.04</v>
      </c>
      <c r="G33" s="1422">
        <v>871975.87</v>
      </c>
      <c r="H33" s="1422">
        <v>90644.01</v>
      </c>
      <c r="I33" s="1422">
        <v>2166.29</v>
      </c>
      <c r="J33" s="1422">
        <v>0</v>
      </c>
      <c r="K33" s="1422">
        <v>66754.06</v>
      </c>
      <c r="L33" s="1422">
        <v>0</v>
      </c>
      <c r="M33" s="1432">
        <f t="shared" si="0"/>
        <v>3974278.27</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8155.65</v>
      </c>
      <c r="F34" s="1422">
        <v>753.51</v>
      </c>
      <c r="G34" s="1422">
        <v>0</v>
      </c>
      <c r="H34" s="1422">
        <v>1736492.91</v>
      </c>
      <c r="I34" s="1422">
        <v>92211.32</v>
      </c>
      <c r="J34" s="1422">
        <v>0</v>
      </c>
      <c r="K34" s="1423">
        <v>1635.41</v>
      </c>
      <c r="L34" s="1422">
        <v>0</v>
      </c>
      <c r="M34" s="1432">
        <f t="shared" si="0"/>
        <v>1839248.7999999998</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5647.77</v>
      </c>
      <c r="F35" s="1422">
        <v>0</v>
      </c>
      <c r="G35" s="1423">
        <v>267259.81</v>
      </c>
      <c r="H35" s="1422">
        <v>59555.34</v>
      </c>
      <c r="I35" s="1422">
        <v>1E-3</v>
      </c>
      <c r="J35" s="1422">
        <v>0</v>
      </c>
      <c r="K35" s="1422">
        <v>0</v>
      </c>
      <c r="L35" s="1422">
        <v>0</v>
      </c>
      <c r="M35" s="1432">
        <f t="shared" si="0"/>
        <v>332462.92100000003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30949</v>
      </c>
      <c r="E36" s="1423">
        <v>172905.3</v>
      </c>
      <c r="F36" s="1423">
        <v>174540.89</v>
      </c>
      <c r="G36" s="1423">
        <v>1835512.96</v>
      </c>
      <c r="H36" s="1423">
        <v>883789.31</v>
      </c>
      <c r="I36" s="1422">
        <v>305966.39</v>
      </c>
      <c r="J36" s="1422">
        <v>0</v>
      </c>
      <c r="K36" s="1422">
        <v>0</v>
      </c>
      <c r="L36" s="1423">
        <v>438017</v>
      </c>
      <c r="M36" s="1432">
        <f t="shared" si="0"/>
        <v>3841680.85</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964590</v>
      </c>
      <c r="E37" s="1423">
        <v>130518.81</v>
      </c>
      <c r="F37" s="1478">
        <v>151178.41</v>
      </c>
      <c r="G37" s="1423">
        <v>4121138.55</v>
      </c>
      <c r="H37" s="1423">
        <v>3050500.63</v>
      </c>
      <c r="I37" s="1423">
        <v>478462.32</v>
      </c>
      <c r="J37" s="1422">
        <v>0</v>
      </c>
      <c r="K37" s="1423">
        <v>449593.94</v>
      </c>
      <c r="L37" s="1423">
        <v>41247</v>
      </c>
      <c r="M37" s="1432">
        <f t="shared" si="0"/>
        <v>9387229.6599999983</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292858</v>
      </c>
      <c r="E38" s="1422">
        <v>422577.28</v>
      </c>
      <c r="F38" s="1423">
        <v>89004.88</v>
      </c>
      <c r="G38" s="1423">
        <v>2375882.06</v>
      </c>
      <c r="H38" s="1423">
        <v>2986472.21</v>
      </c>
      <c r="I38" s="1423">
        <v>569487.22</v>
      </c>
      <c r="J38" s="1422">
        <v>0</v>
      </c>
      <c r="K38" s="1423">
        <v>200621.13</v>
      </c>
      <c r="L38" s="1423">
        <v>14434</v>
      </c>
      <c r="M38" s="1432">
        <f t="shared" si="0"/>
        <v>6951336.7799999993</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1497</v>
      </c>
      <c r="E39" s="1422">
        <v>2528.58</v>
      </c>
      <c r="F39" s="1422">
        <v>4596.03</v>
      </c>
      <c r="G39" s="1422">
        <v>11461.33</v>
      </c>
      <c r="H39" s="1422">
        <v>18938.12</v>
      </c>
      <c r="I39" s="1422">
        <v>14603.17</v>
      </c>
      <c r="J39" s="1422">
        <v>0</v>
      </c>
      <c r="K39" s="1422">
        <v>0</v>
      </c>
      <c r="L39" s="1422">
        <v>7020</v>
      </c>
      <c r="M39" s="1432">
        <f t="shared" si="0"/>
        <v>60644.229999999996</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103193</v>
      </c>
      <c r="E40" s="1422">
        <v>0</v>
      </c>
      <c r="F40" s="1422">
        <v>5543.13</v>
      </c>
      <c r="G40" s="1422">
        <v>1021737.87</v>
      </c>
      <c r="H40" s="1422">
        <v>87527.57</v>
      </c>
      <c r="I40" s="1422">
        <v>556356.57999999996</v>
      </c>
      <c r="J40" s="1422">
        <v>0</v>
      </c>
      <c r="K40" s="1422">
        <v>0</v>
      </c>
      <c r="L40" s="1422">
        <v>0</v>
      </c>
      <c r="M40" s="1432">
        <f t="shared" si="0"/>
        <v>1774358.15</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38735</v>
      </c>
      <c r="E41" s="1422">
        <v>48275.11</v>
      </c>
      <c r="F41" s="1422">
        <v>55227.54</v>
      </c>
      <c r="G41" s="1422">
        <v>29793.11</v>
      </c>
      <c r="H41" s="1423">
        <v>385926.99</v>
      </c>
      <c r="I41" s="1422">
        <v>37218.26</v>
      </c>
      <c r="J41" s="1422">
        <v>0</v>
      </c>
      <c r="K41" s="1422">
        <v>4996.96</v>
      </c>
      <c r="L41" s="1422">
        <v>0</v>
      </c>
      <c r="M41" s="1432">
        <f t="shared" si="0"/>
        <v>600172.97</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794273</v>
      </c>
      <c r="E42" s="1423">
        <v>195138.11</v>
      </c>
      <c r="F42" s="1423">
        <v>60240.26</v>
      </c>
      <c r="G42" s="1423">
        <v>185987.61</v>
      </c>
      <c r="H42" s="1423">
        <v>844864.93</v>
      </c>
      <c r="I42" s="1423">
        <v>626782.63</v>
      </c>
      <c r="J42" s="1423">
        <v>1538922.2</v>
      </c>
      <c r="K42" s="1422">
        <v>0</v>
      </c>
      <c r="L42" s="1423">
        <v>827601</v>
      </c>
      <c r="M42" s="1432">
        <f t="shared" si="0"/>
        <v>5073809.74</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414904</v>
      </c>
      <c r="E43" s="1422">
        <v>114267.17</v>
      </c>
      <c r="F43" s="1423">
        <v>109404.51</v>
      </c>
      <c r="G43" s="1423">
        <v>902493.58</v>
      </c>
      <c r="H43" s="1423">
        <v>3793965.71</v>
      </c>
      <c r="I43" s="1423">
        <v>4060.81</v>
      </c>
      <c r="J43" s="1423">
        <v>981326.08</v>
      </c>
      <c r="K43" s="1423">
        <v>12336.45</v>
      </c>
      <c r="L43" s="1423">
        <v>35442</v>
      </c>
      <c r="M43" s="1432">
        <f t="shared" si="0"/>
        <v>6368200.3099999996</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564784</v>
      </c>
      <c r="E44" s="1422">
        <v>0</v>
      </c>
      <c r="F44" s="1423">
        <v>7402.01</v>
      </c>
      <c r="G44" s="1422">
        <v>126107.51</v>
      </c>
      <c r="H44" s="1422">
        <v>925022.03</v>
      </c>
      <c r="I44" s="1422">
        <v>4382.8999999999996</v>
      </c>
      <c r="J44" s="1422">
        <v>0</v>
      </c>
      <c r="K44" s="1422">
        <v>55945.02</v>
      </c>
      <c r="L44" s="1423">
        <v>359574</v>
      </c>
      <c r="M44" s="1432">
        <f t="shared" si="0"/>
        <v>2043217.47</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7763</v>
      </c>
      <c r="E45" s="1423">
        <v>0</v>
      </c>
      <c r="F45" s="1422">
        <v>0</v>
      </c>
      <c r="G45" s="1423">
        <v>1751489.13</v>
      </c>
      <c r="H45" s="1423">
        <v>1486354.83</v>
      </c>
      <c r="I45" s="1423">
        <v>701446.12</v>
      </c>
      <c r="J45" s="1422">
        <v>0</v>
      </c>
      <c r="K45" s="1423">
        <v>17400.04</v>
      </c>
      <c r="L45" s="1422">
        <v>327984</v>
      </c>
      <c r="M45" s="1432">
        <f t="shared" si="0"/>
        <v>4292437.12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343027</v>
      </c>
      <c r="E46" s="1423">
        <v>22641.24</v>
      </c>
      <c r="F46" s="1423">
        <v>35146.639999999999</v>
      </c>
      <c r="G46" s="1423">
        <v>57627.63</v>
      </c>
      <c r="H46" s="1423">
        <v>207532.01</v>
      </c>
      <c r="I46" s="1422">
        <v>150079.82</v>
      </c>
      <c r="J46" s="1422">
        <v>0</v>
      </c>
      <c r="K46" s="1422">
        <v>0</v>
      </c>
      <c r="L46" s="1423">
        <v>26669</v>
      </c>
      <c r="M46" s="1432">
        <f t="shared" si="0"/>
        <v>842723.34000000008</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297588</v>
      </c>
      <c r="E47" s="1423">
        <v>1362.41</v>
      </c>
      <c r="F47" s="1422">
        <v>0</v>
      </c>
      <c r="G47" s="1422">
        <v>2682.65</v>
      </c>
      <c r="H47" s="1422">
        <v>40501.360000000001</v>
      </c>
      <c r="I47" s="1422">
        <v>17679.5</v>
      </c>
      <c r="J47" s="1422">
        <v>0</v>
      </c>
      <c r="K47" s="1423">
        <v>0</v>
      </c>
      <c r="L47" s="1423">
        <v>1462</v>
      </c>
      <c r="M47" s="1432">
        <f t="shared" si="0"/>
        <v>361275.92</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1431</v>
      </c>
      <c r="E48" s="1422">
        <v>0</v>
      </c>
      <c r="F48" s="1422">
        <v>4323.96</v>
      </c>
      <c r="G48" s="1422">
        <v>119439.65</v>
      </c>
      <c r="H48" s="1422">
        <v>28013.88</v>
      </c>
      <c r="I48" s="1422">
        <v>234.32</v>
      </c>
      <c r="J48" s="1422">
        <v>0</v>
      </c>
      <c r="K48" s="1422">
        <v>464.09</v>
      </c>
      <c r="L48" s="1423">
        <v>783</v>
      </c>
      <c r="M48" s="1432">
        <f t="shared" si="0"/>
        <v>154689.9</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27316</v>
      </c>
      <c r="E49" s="1422">
        <v>0</v>
      </c>
      <c r="F49" s="1422">
        <v>1715.12</v>
      </c>
      <c r="G49" s="1423">
        <v>143414.84</v>
      </c>
      <c r="H49" s="1422">
        <v>8127.87</v>
      </c>
      <c r="I49" s="1422">
        <v>11158.97</v>
      </c>
      <c r="J49" s="1422">
        <v>0</v>
      </c>
      <c r="K49" s="1422">
        <v>0</v>
      </c>
      <c r="L49" s="1423">
        <v>5165</v>
      </c>
      <c r="M49" s="1432">
        <f t="shared" si="0"/>
        <v>196897.8</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39311</v>
      </c>
      <c r="E50" s="1423">
        <v>38083.629999999997</v>
      </c>
      <c r="F50" s="1423">
        <v>1604.76</v>
      </c>
      <c r="G50" s="1423">
        <v>2076491.11</v>
      </c>
      <c r="H50" s="1423">
        <v>83534.97</v>
      </c>
      <c r="I50" s="1422">
        <v>339705.48</v>
      </c>
      <c r="J50" s="1422">
        <v>0</v>
      </c>
      <c r="K50" s="1422">
        <v>49418.95</v>
      </c>
      <c r="L50" s="1423">
        <v>21365</v>
      </c>
      <c r="M50" s="1432">
        <f t="shared" si="0"/>
        <v>2649514.9000000004</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2604337</v>
      </c>
      <c r="E51" s="1433">
        <v>332756.51</v>
      </c>
      <c r="F51" s="1433">
        <v>171784.87</v>
      </c>
      <c r="G51" s="1433">
        <v>2241605.9300000002</v>
      </c>
      <c r="H51" s="1433">
        <v>666480.38</v>
      </c>
      <c r="I51" s="1433">
        <v>260257.66</v>
      </c>
      <c r="J51" s="1433">
        <v>239285.55</v>
      </c>
      <c r="K51" s="1434">
        <v>25582.19</v>
      </c>
      <c r="L51" s="1433">
        <v>601358</v>
      </c>
      <c r="M51" s="1435">
        <f t="shared" si="0"/>
        <v>7143448.0900000008</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9994138</v>
      </c>
      <c r="E52" s="1428">
        <f t="shared" ref="E52:L52" si="1">SUM(E22:E51)</f>
        <v>1520140.9799999997</v>
      </c>
      <c r="F52" s="1428">
        <f t="shared" si="1"/>
        <v>1312343.5100000002</v>
      </c>
      <c r="G52" s="1428">
        <f t="shared" si="1"/>
        <v>21765082.599999994</v>
      </c>
      <c r="H52" s="1428">
        <f t="shared" si="1"/>
        <v>20769811.980000004</v>
      </c>
      <c r="I52" s="1428">
        <f t="shared" si="1"/>
        <v>4845387.0209999997</v>
      </c>
      <c r="J52" s="1428">
        <f t="shared" si="1"/>
        <v>2759533.8299999996</v>
      </c>
      <c r="K52" s="1428">
        <f t="shared" si="1"/>
        <v>1734790.7499999998</v>
      </c>
      <c r="L52" s="1428">
        <f t="shared" si="1"/>
        <v>2996585</v>
      </c>
      <c r="M52" s="1428">
        <f>SUM(M22:M51)</f>
        <v>67697813.671000004</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6051</v>
      </c>
      <c r="E56" s="1426">
        <v>9156</v>
      </c>
      <c r="F56" s="1479">
        <v>17990.23</v>
      </c>
      <c r="G56" s="1427">
        <v>787478.51</v>
      </c>
      <c r="H56" s="1427">
        <v>1359135.38</v>
      </c>
      <c r="I56" s="1426">
        <v>177673</v>
      </c>
      <c r="J56" s="1426">
        <v>0</v>
      </c>
      <c r="K56" s="1426">
        <v>0</v>
      </c>
      <c r="L56" s="1427">
        <v>24578</v>
      </c>
      <c r="M56" s="1440">
        <f t="shared" ref="M56:M62" si="2">SUM(D56:L56)</f>
        <v>2382062.12</v>
      </c>
      <c r="O56" s="938"/>
      <c r="P56" s="936"/>
    </row>
    <row r="57" spans="1:55" ht="15.75">
      <c r="A57" s="936"/>
      <c r="B57" s="936" t="s">
        <v>598</v>
      </c>
      <c r="C57" s="932"/>
      <c r="D57" s="1427">
        <v>428216</v>
      </c>
      <c r="E57" s="1426">
        <v>0</v>
      </c>
      <c r="F57" s="1480">
        <v>0</v>
      </c>
      <c r="G57" s="1426">
        <v>293608.09000000003</v>
      </c>
      <c r="H57" s="1426">
        <v>8607.64</v>
      </c>
      <c r="I57" s="1426">
        <v>13149</v>
      </c>
      <c r="J57" s="1426">
        <v>0</v>
      </c>
      <c r="K57" s="1426">
        <v>0</v>
      </c>
      <c r="L57" s="1426">
        <v>0</v>
      </c>
      <c r="M57" s="1440">
        <f t="shared" si="2"/>
        <v>743580.7300000001</v>
      </c>
      <c r="O57" s="938"/>
      <c r="P57" s="936"/>
    </row>
    <row r="58" spans="1:55" ht="15.75">
      <c r="A58" s="936"/>
      <c r="B58" s="936" t="s">
        <v>599</v>
      </c>
      <c r="C58" s="932"/>
      <c r="D58" s="1426">
        <v>0</v>
      </c>
      <c r="E58" s="1426">
        <v>0</v>
      </c>
      <c r="F58" s="1480">
        <v>0</v>
      </c>
      <c r="G58" s="1427">
        <v>101070.65</v>
      </c>
      <c r="H58" s="1427">
        <v>82200.3</v>
      </c>
      <c r="I58" s="1426">
        <v>55756</v>
      </c>
      <c r="J58" s="1426">
        <v>0</v>
      </c>
      <c r="K58" s="1426">
        <v>0</v>
      </c>
      <c r="L58" s="1426">
        <v>0</v>
      </c>
      <c r="M58" s="1440">
        <f t="shared" si="2"/>
        <v>239026.95</v>
      </c>
      <c r="O58" s="938"/>
      <c r="P58" s="936"/>
    </row>
    <row r="59" spans="1:55" ht="15.75">
      <c r="A59" s="936"/>
      <c r="B59" s="936" t="s">
        <v>600</v>
      </c>
      <c r="C59" s="932"/>
      <c r="D59" s="1426">
        <v>466939</v>
      </c>
      <c r="E59" s="1427">
        <v>43794.41</v>
      </c>
      <c r="F59" s="1479">
        <v>46774.6</v>
      </c>
      <c r="G59" s="1427">
        <v>1753837.75</v>
      </c>
      <c r="H59" s="1427">
        <v>693007.09</v>
      </c>
      <c r="I59" s="1427">
        <v>146674</v>
      </c>
      <c r="J59" s="1426">
        <v>0</v>
      </c>
      <c r="K59" s="1426">
        <v>92670.67</v>
      </c>
      <c r="L59" s="1426">
        <v>3637</v>
      </c>
      <c r="M59" s="1440">
        <f t="shared" si="2"/>
        <v>3247334.5199999996</v>
      </c>
      <c r="O59" s="938"/>
      <c r="P59" s="936"/>
    </row>
    <row r="60" spans="1:55" ht="15.75">
      <c r="A60" s="936"/>
      <c r="B60" s="936" t="s">
        <v>601</v>
      </c>
      <c r="C60" s="932"/>
      <c r="D60" s="1426">
        <v>0</v>
      </c>
      <c r="E60" s="1426">
        <v>0</v>
      </c>
      <c r="F60" s="1480">
        <v>0</v>
      </c>
      <c r="G60" s="1426">
        <v>0</v>
      </c>
      <c r="H60" s="1426">
        <v>725422.96</v>
      </c>
      <c r="I60" s="1426">
        <v>70100</v>
      </c>
      <c r="J60" s="1426">
        <v>0</v>
      </c>
      <c r="K60" s="1426">
        <v>0</v>
      </c>
      <c r="L60" s="1426">
        <v>0</v>
      </c>
      <c r="M60" s="1440">
        <f t="shared" si="2"/>
        <v>795522.96</v>
      </c>
      <c r="O60" s="938"/>
      <c r="P60" s="936"/>
    </row>
    <row r="61" spans="1:55" ht="15.75">
      <c r="A61" s="936"/>
      <c r="B61" s="936" t="s">
        <v>602</v>
      </c>
      <c r="C61" s="932"/>
      <c r="D61" s="1426">
        <v>0</v>
      </c>
      <c r="E61" s="1426">
        <v>0</v>
      </c>
      <c r="F61" s="1480">
        <v>0</v>
      </c>
      <c r="G61" s="1426">
        <v>0</v>
      </c>
      <c r="H61" s="1426">
        <v>0</v>
      </c>
      <c r="I61" s="1426">
        <v>0</v>
      </c>
      <c r="J61" s="1426">
        <v>0</v>
      </c>
      <c r="K61" s="1426">
        <v>0</v>
      </c>
      <c r="L61" s="1426">
        <v>0</v>
      </c>
      <c r="M61" s="1440">
        <f t="shared" si="2"/>
        <v>0</v>
      </c>
      <c r="O61" s="938"/>
      <c r="P61" s="936"/>
    </row>
    <row r="62" spans="1:55" ht="16.5" thickBot="1">
      <c r="A62" s="936"/>
      <c r="B62" s="929" t="s">
        <v>603</v>
      </c>
      <c r="C62" s="946"/>
      <c r="D62" s="1424">
        <v>63384</v>
      </c>
      <c r="E62" s="1424">
        <v>77568.42</v>
      </c>
      <c r="F62" s="1481">
        <v>43660.32</v>
      </c>
      <c r="G62" s="1433">
        <v>1185143.55</v>
      </c>
      <c r="H62" s="1433">
        <v>182127.26</v>
      </c>
      <c r="I62" s="1424">
        <v>15109</v>
      </c>
      <c r="J62" s="1424">
        <v>0</v>
      </c>
      <c r="K62" s="1451">
        <v>356923.27</v>
      </c>
      <c r="L62" s="1424">
        <v>13032</v>
      </c>
      <c r="M62" s="1442">
        <f t="shared" si="2"/>
        <v>1936947.82</v>
      </c>
      <c r="O62" s="938"/>
      <c r="P62" s="936"/>
    </row>
    <row r="63" spans="1:55" ht="15.75">
      <c r="A63" s="936"/>
      <c r="B63" s="1074" t="s">
        <v>0</v>
      </c>
      <c r="C63" s="1074" t="s">
        <v>604</v>
      </c>
      <c r="D63" s="1428">
        <f t="shared" ref="D63:I63" si="3">SUM(D56:D62)</f>
        <v>964590</v>
      </c>
      <c r="E63" s="1428">
        <f t="shared" si="3"/>
        <v>130518.83</v>
      </c>
      <c r="F63" s="1428">
        <f t="shared" si="3"/>
        <v>108425.15</v>
      </c>
      <c r="G63" s="1428">
        <f t="shared" si="3"/>
        <v>4121138.55</v>
      </c>
      <c r="H63" s="1428">
        <f t="shared" si="3"/>
        <v>3050500.63</v>
      </c>
      <c r="I63" s="1428">
        <f t="shared" si="3"/>
        <v>478461</v>
      </c>
      <c r="J63" s="1426" t="s">
        <v>566</v>
      </c>
      <c r="K63" s="1428">
        <f>SUM(K56:K62)</f>
        <v>449593.94</v>
      </c>
      <c r="L63" s="1428">
        <f>SUM(L56:L62)</f>
        <v>41247</v>
      </c>
      <c r="M63" s="1443">
        <f>SUM(M56:M62)</f>
        <v>9344475.0999999996</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21988</v>
      </c>
      <c r="E68" s="1427">
        <v>6556.48</v>
      </c>
      <c r="F68" s="1427">
        <v>0</v>
      </c>
      <c r="G68" s="1427">
        <v>122447.12</v>
      </c>
      <c r="H68" s="1427">
        <v>79413.5</v>
      </c>
      <c r="I68" s="1427">
        <v>35356</v>
      </c>
      <c r="J68" s="1426">
        <v>0</v>
      </c>
      <c r="K68" s="1426">
        <v>43219.97</v>
      </c>
      <c r="L68" s="1426">
        <v>0</v>
      </c>
      <c r="M68" s="1443">
        <f t="shared" ref="M68:M75" si="4">SUM(D68:L68)</f>
        <v>308981.06999999995</v>
      </c>
      <c r="O68" s="938"/>
      <c r="P68" s="936"/>
    </row>
    <row r="69" spans="1:16" ht="15.75">
      <c r="A69" s="936"/>
      <c r="B69" s="936" t="s">
        <v>599</v>
      </c>
      <c r="C69" s="932"/>
      <c r="D69" s="1426">
        <v>0</v>
      </c>
      <c r="E69" s="1426">
        <v>0</v>
      </c>
      <c r="F69" s="1426">
        <v>5794.22</v>
      </c>
      <c r="G69" s="1426">
        <v>8872.9599999999991</v>
      </c>
      <c r="H69" s="1426">
        <v>13584.14</v>
      </c>
      <c r="I69" s="1426">
        <v>8027</v>
      </c>
      <c r="J69" s="1426">
        <v>0</v>
      </c>
      <c r="K69" s="1426">
        <v>0</v>
      </c>
      <c r="L69" s="1426">
        <v>2009</v>
      </c>
      <c r="M69" s="1443">
        <f t="shared" si="4"/>
        <v>38287.32</v>
      </c>
      <c r="O69" s="938"/>
      <c r="P69" s="936"/>
    </row>
    <row r="70" spans="1:16" ht="15.75">
      <c r="A70" s="936"/>
      <c r="B70" s="936" t="s">
        <v>607</v>
      </c>
      <c r="C70" s="932"/>
      <c r="D70" s="1426">
        <v>18942</v>
      </c>
      <c r="E70" s="1427">
        <v>0</v>
      </c>
      <c r="F70" s="1426">
        <v>0</v>
      </c>
      <c r="G70" s="1426">
        <v>716569.97</v>
      </c>
      <c r="H70" s="1426">
        <v>1187586.97</v>
      </c>
      <c r="I70" s="1426">
        <v>105766</v>
      </c>
      <c r="J70" s="1426">
        <v>0</v>
      </c>
      <c r="K70" s="1426">
        <v>18586.16</v>
      </c>
      <c r="L70" s="1426">
        <v>1220</v>
      </c>
      <c r="M70" s="1443">
        <f t="shared" si="4"/>
        <v>2048671.0999999999</v>
      </c>
      <c r="O70" s="938"/>
      <c r="P70" s="936"/>
    </row>
    <row r="71" spans="1:16" ht="15.75">
      <c r="A71" s="936"/>
      <c r="B71" s="936" t="s">
        <v>600</v>
      </c>
      <c r="C71" s="932"/>
      <c r="D71" s="1426">
        <v>11453</v>
      </c>
      <c r="E71" s="1427">
        <v>176.88</v>
      </c>
      <c r="F71" s="1427">
        <v>0</v>
      </c>
      <c r="G71" s="1427">
        <v>611977.01</v>
      </c>
      <c r="H71" s="1427">
        <v>578848.81000000006</v>
      </c>
      <c r="I71" s="1426">
        <v>147383</v>
      </c>
      <c r="J71" s="1426">
        <v>0</v>
      </c>
      <c r="K71" s="1426">
        <v>0</v>
      </c>
      <c r="L71" s="1427">
        <v>6312</v>
      </c>
      <c r="M71" s="1443">
        <f t="shared" si="4"/>
        <v>1356150.7000000002</v>
      </c>
      <c r="O71" s="938"/>
      <c r="P71" s="936"/>
    </row>
    <row r="72" spans="1:16" ht="15.75">
      <c r="A72" s="936"/>
      <c r="B72" s="936" t="s">
        <v>608</v>
      </c>
      <c r="C72" s="932"/>
      <c r="D72" s="1426">
        <v>1828</v>
      </c>
      <c r="E72" s="1426">
        <v>1755.28</v>
      </c>
      <c r="F72" s="1426">
        <v>22455.93</v>
      </c>
      <c r="G72" s="1426">
        <v>62313.62</v>
      </c>
      <c r="H72" s="1426">
        <v>21055.09</v>
      </c>
      <c r="I72" s="1426">
        <v>8830</v>
      </c>
      <c r="J72" s="1426">
        <v>0</v>
      </c>
      <c r="K72" s="1426">
        <v>0</v>
      </c>
      <c r="L72" s="1426">
        <v>0</v>
      </c>
      <c r="M72" s="1443">
        <f t="shared" si="4"/>
        <v>118237.92</v>
      </c>
      <c r="O72" s="938"/>
      <c r="P72" s="936"/>
    </row>
    <row r="73" spans="1:16" ht="15.75">
      <c r="A73" s="936"/>
      <c r="B73" s="936" t="s">
        <v>609</v>
      </c>
      <c r="C73" s="932"/>
      <c r="D73" s="1426">
        <v>13317</v>
      </c>
      <c r="E73" s="1426">
        <v>0</v>
      </c>
      <c r="F73" s="1426">
        <v>0</v>
      </c>
      <c r="G73" s="1426">
        <v>355502.98</v>
      </c>
      <c r="H73" s="1426">
        <v>164595.63</v>
      </c>
      <c r="I73" s="1426">
        <v>169611</v>
      </c>
      <c r="J73" s="1426">
        <v>0</v>
      </c>
      <c r="K73" s="1426">
        <v>3016.7</v>
      </c>
      <c r="L73" s="1426">
        <v>0</v>
      </c>
      <c r="M73" s="1443">
        <f t="shared" si="4"/>
        <v>706043.30999999994</v>
      </c>
      <c r="O73" s="938"/>
      <c r="P73" s="936"/>
    </row>
    <row r="74" spans="1:16" ht="15.75">
      <c r="A74" s="936"/>
      <c r="B74" s="936" t="s">
        <v>601</v>
      </c>
      <c r="C74" s="932"/>
      <c r="D74" s="1426">
        <v>0</v>
      </c>
      <c r="E74" s="1426">
        <v>0</v>
      </c>
      <c r="F74" s="1426">
        <v>0</v>
      </c>
      <c r="G74" s="1426">
        <v>0</v>
      </c>
      <c r="H74" s="1426">
        <v>260397.95</v>
      </c>
      <c r="I74" s="1426">
        <v>601</v>
      </c>
      <c r="J74" s="1426">
        <v>0</v>
      </c>
      <c r="K74" s="1426">
        <v>35113.4</v>
      </c>
      <c r="L74" s="1426">
        <v>0</v>
      </c>
      <c r="M74" s="1443">
        <f t="shared" si="4"/>
        <v>296112.35000000003</v>
      </c>
      <c r="O74" s="938"/>
      <c r="P74" s="936"/>
    </row>
    <row r="75" spans="1:16" ht="16.5" thickBot="1">
      <c r="A75" s="936"/>
      <c r="B75" s="929" t="s">
        <v>603</v>
      </c>
      <c r="C75" s="946"/>
      <c r="D75" s="1424">
        <v>225330</v>
      </c>
      <c r="E75" s="1433">
        <v>414088.64</v>
      </c>
      <c r="F75" s="1433">
        <v>60754.73</v>
      </c>
      <c r="G75" s="1433">
        <v>498198.41</v>
      </c>
      <c r="H75" s="1433">
        <v>680990.12</v>
      </c>
      <c r="I75" s="1424">
        <v>93912</v>
      </c>
      <c r="J75" s="1424">
        <v>0</v>
      </c>
      <c r="K75" s="1424">
        <v>100684.8</v>
      </c>
      <c r="L75" s="1433">
        <v>4893</v>
      </c>
      <c r="M75" s="1447">
        <f t="shared" si="4"/>
        <v>2078851.7</v>
      </c>
      <c r="O75" s="938"/>
      <c r="P75" s="936"/>
    </row>
    <row r="76" spans="1:16" ht="15.75">
      <c r="A76" s="936"/>
      <c r="C76" s="1074" t="s">
        <v>604</v>
      </c>
      <c r="D76" s="1428">
        <f t="shared" ref="D76:I76" si="5">SUM(D68:D75)</f>
        <v>292858</v>
      </c>
      <c r="E76" s="1428">
        <f t="shared" si="5"/>
        <v>422577.28</v>
      </c>
      <c r="F76" s="1428">
        <f t="shared" si="5"/>
        <v>89004.88</v>
      </c>
      <c r="G76" s="1428">
        <f t="shared" si="5"/>
        <v>2375882.0700000003</v>
      </c>
      <c r="H76" s="1428">
        <f t="shared" si="5"/>
        <v>2986472.2100000004</v>
      </c>
      <c r="I76" s="1428">
        <f t="shared" si="5"/>
        <v>569486</v>
      </c>
      <c r="J76" s="1426" t="s">
        <v>566</v>
      </c>
      <c r="K76" s="1428">
        <f>SUM(K68:K75)</f>
        <v>200621.03000000003</v>
      </c>
      <c r="L76" s="1428">
        <f>SUM(L68:L75)</f>
        <v>14434</v>
      </c>
      <c r="M76" s="1443">
        <f>SUM(M68:M75)</f>
        <v>6951335.4699999997</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3.xml><?xml version="1.0" encoding="utf-8"?>
<worksheet xmlns="http://schemas.openxmlformats.org/spreadsheetml/2006/main" xmlns:r="http://schemas.openxmlformats.org/officeDocument/2006/relationships">
  <sheetPr>
    <pageSetUpPr fitToPage="1"/>
  </sheetPr>
  <dimension ref="A1:BC239"/>
  <sheetViews>
    <sheetView topLeftCell="B19" zoomScale="110" zoomScaleNormal="110"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904</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918">
        <v>0</v>
      </c>
      <c r="F22" s="918">
        <v>0</v>
      </c>
      <c r="G22" s="917">
        <v>1.0737887114657681E-4</v>
      </c>
      <c r="H22" s="917">
        <v>5.095916135491178E-3</v>
      </c>
      <c r="I22" s="918">
        <v>0</v>
      </c>
      <c r="J22" s="918">
        <v>0</v>
      </c>
      <c r="K22" s="918">
        <v>0</v>
      </c>
      <c r="L22" s="918">
        <v>0</v>
      </c>
      <c r="M22" s="1466">
        <v>1.5979589906068238E-3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v>1.3864927620571179E-2</v>
      </c>
      <c r="E23" s="917">
        <v>1.445025184440459E-2</v>
      </c>
      <c r="F23" s="917">
        <v>3.2201553692295082E-3</v>
      </c>
      <c r="G23" s="917">
        <v>1.362750950460441E-2</v>
      </c>
      <c r="H23" s="917">
        <v>5.2305462901932331E-2</v>
      </c>
      <c r="I23" s="917">
        <v>4.1163184516649159E-2</v>
      </c>
      <c r="J23" s="917" t="s">
        <v>566</v>
      </c>
      <c r="K23" s="917">
        <v>0.20924724206651438</v>
      </c>
      <c r="L23" s="917">
        <v>5.1541671602841233E-2</v>
      </c>
      <c r="M23" s="1466">
        <v>3.3452182385176686E-2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v>3.8422523283148584E-4</v>
      </c>
      <c r="E24" s="918">
        <v>0</v>
      </c>
      <c r="F24" s="917">
        <v>7.2116941394406693E-3</v>
      </c>
      <c r="G24" s="917">
        <v>3.0548299871832336E-2</v>
      </c>
      <c r="H24" s="917">
        <v>4.994006065143012E-2</v>
      </c>
      <c r="I24" s="917">
        <v>2.2702141134083829E-2</v>
      </c>
      <c r="J24" s="917" t="s">
        <v>566</v>
      </c>
      <c r="K24" s="917">
        <v>0.18346404025961058</v>
      </c>
      <c r="L24" s="917">
        <v>2.5939194115968678E-2</v>
      </c>
      <c r="M24" s="1466">
        <v>3.2814021894352646E-2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v>6.7269433341824976E-4</v>
      </c>
      <c r="E25" s="918">
        <v>0</v>
      </c>
      <c r="F25" s="917">
        <v>7.777224425028777E-3</v>
      </c>
      <c r="G25" s="917">
        <v>1.3670887699732419E-4</v>
      </c>
      <c r="H25" s="918">
        <v>0</v>
      </c>
      <c r="I25" s="918">
        <v>0</v>
      </c>
      <c r="J25" s="917" t="s">
        <v>566</v>
      </c>
      <c r="K25" s="918">
        <v>0</v>
      </c>
      <c r="L25" s="918">
        <v>0</v>
      </c>
      <c r="M25" s="1466">
        <v>2.9402722068300397E-4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8">
        <v>0</v>
      </c>
      <c r="E26" s="918">
        <v>0</v>
      </c>
      <c r="F26" s="918">
        <v>0</v>
      </c>
      <c r="G26" s="917">
        <v>2.5441170620689499E-2</v>
      </c>
      <c r="H26" s="917">
        <v>4.3362602457222617E-3</v>
      </c>
      <c r="I26" s="917">
        <v>1.3913443798775555E-2</v>
      </c>
      <c r="J26" s="917" t="s">
        <v>566</v>
      </c>
      <c r="K26" s="918">
        <v>0</v>
      </c>
      <c r="L26" s="918">
        <v>0</v>
      </c>
      <c r="M26" s="1466">
        <v>1.0505634841567467E-2</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2.1841403430691072E-2</v>
      </c>
      <c r="E27" s="918">
        <v>0</v>
      </c>
      <c r="F27" s="918">
        <v>0</v>
      </c>
      <c r="G27" s="917">
        <v>2.7077159357989301E-2</v>
      </c>
      <c r="H27" s="917">
        <v>1.2178176684678873E-2</v>
      </c>
      <c r="I27" s="917">
        <v>1.3466488789688778E-2</v>
      </c>
      <c r="J27" s="917" t="s">
        <v>566</v>
      </c>
      <c r="K27" s="918">
        <v>0</v>
      </c>
      <c r="L27" s="917">
        <v>2.1724729984298795E-3</v>
      </c>
      <c r="M27" s="1466">
        <v>1.6726114753171969E-2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8">
        <v>0</v>
      </c>
      <c r="E28" s="918">
        <v>0</v>
      </c>
      <c r="F28" s="917">
        <v>6.9359507862388854E-3</v>
      </c>
      <c r="G28" s="918">
        <v>0</v>
      </c>
      <c r="H28" s="917">
        <v>2.9427555751999632E-3</v>
      </c>
      <c r="I28" s="918">
        <v>0</v>
      </c>
      <c r="J28" s="917" t="s">
        <v>566</v>
      </c>
      <c r="K28" s="918">
        <v>0</v>
      </c>
      <c r="L28" s="918">
        <v>0</v>
      </c>
      <c r="M28" s="1466">
        <v>1.0404758467136997E-3</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1.3018631521798077E-3</v>
      </c>
      <c r="E29" s="918">
        <v>0</v>
      </c>
      <c r="F29" s="918">
        <v>0</v>
      </c>
      <c r="G29" s="917">
        <v>6.7185088468260639E-3</v>
      </c>
      <c r="H29" s="917">
        <v>2.5698894169768017E-3</v>
      </c>
      <c r="I29" s="917">
        <v>6.8538735618163538E-3</v>
      </c>
      <c r="J29" s="917" t="s">
        <v>566</v>
      </c>
      <c r="K29" s="918">
        <v>0</v>
      </c>
      <c r="L29" s="917">
        <v>1.4256228339926951E-3</v>
      </c>
      <c r="M29" s="1466">
        <v>3.6943244757568204E-3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4.5882296202033629E-2</v>
      </c>
      <c r="E30" s="918">
        <v>0</v>
      </c>
      <c r="F30" s="917">
        <v>1.3183316615022539E-2</v>
      </c>
      <c r="G30" s="917">
        <v>3.0019990826958779E-2</v>
      </c>
      <c r="H30" s="917">
        <v>2.2685366649139974E-3</v>
      </c>
      <c r="I30" s="917">
        <v>1.3409661543731617E-2</v>
      </c>
      <c r="J30" s="917" t="s">
        <v>566</v>
      </c>
      <c r="K30" s="917">
        <v>9.7285859980519265E-2</v>
      </c>
      <c r="L30" s="917">
        <v>1.192390671380922E-2</v>
      </c>
      <c r="M30" s="1466">
        <v>2.1357558118887506E-2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7.5483248280141819E-3</v>
      </c>
      <c r="E31" s="917">
        <v>2.1664503775169594E-3</v>
      </c>
      <c r="F31" s="918">
        <v>0</v>
      </c>
      <c r="G31" s="917">
        <v>3.0516761282587557E-2</v>
      </c>
      <c r="H31" s="917">
        <v>2.6102333546497512E-2</v>
      </c>
      <c r="I31" s="917">
        <v>1.8364481436538693E-2</v>
      </c>
      <c r="J31" s="917" t="s">
        <v>566</v>
      </c>
      <c r="K31" s="918">
        <v>0</v>
      </c>
      <c r="L31" s="917">
        <v>2.8312228753731329E-3</v>
      </c>
      <c r="M31" s="1466">
        <v>2.0422221118083821E-2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8">
        <v>0</v>
      </c>
      <c r="E32" s="918">
        <v>0</v>
      </c>
      <c r="F32" s="918">
        <v>0</v>
      </c>
      <c r="G32" s="917">
        <v>2.264938337518646E-3</v>
      </c>
      <c r="H32" s="917">
        <v>5.2648242605805229E-3</v>
      </c>
      <c r="I32" s="917">
        <v>9.003561492802372E-3</v>
      </c>
      <c r="J32" s="917" t="s">
        <v>566</v>
      </c>
      <c r="K32" s="918">
        <v>0</v>
      </c>
      <c r="L32" s="917">
        <v>4.3015632795332021E-4</v>
      </c>
      <c r="M32" s="1466">
        <v>3.0069024236036761E-3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0.25546585408366385</v>
      </c>
      <c r="E33" s="918">
        <v>0</v>
      </c>
      <c r="F33" s="917">
        <v>0.29685599618654718</v>
      </c>
      <c r="G33" s="917">
        <v>4.0063062751712245E-2</v>
      </c>
      <c r="H33" s="917">
        <v>4.3642190929452981E-3</v>
      </c>
      <c r="I33" s="917">
        <v>4.4708296584179094E-4</v>
      </c>
      <c r="J33" s="917" t="s">
        <v>566</v>
      </c>
      <c r="K33" s="917">
        <v>3.8479603375796194E-2</v>
      </c>
      <c r="L33" s="918">
        <v>0</v>
      </c>
      <c r="M33" s="1466">
        <v>5.8706153928608749E-2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8">
        <v>0</v>
      </c>
      <c r="E34" s="917">
        <v>5.3650616010628175E-3</v>
      </c>
      <c r="F34" s="917">
        <v>5.7417131586226218E-4</v>
      </c>
      <c r="G34" s="918">
        <v>0</v>
      </c>
      <c r="H34" s="917">
        <v>8.3606578223824612E-2</v>
      </c>
      <c r="I34" s="917">
        <v>1.9030744004628401E-2</v>
      </c>
      <c r="J34" s="917" t="s">
        <v>566</v>
      </c>
      <c r="K34" s="917">
        <v>9.4271311972351731E-4</v>
      </c>
      <c r="L34" s="918">
        <v>0</v>
      </c>
      <c r="M34" s="1466">
        <v>2.7168511068000511E-2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8">
        <v>0</v>
      </c>
      <c r="E35" s="917">
        <v>3.7152935644166381E-3</v>
      </c>
      <c r="F35" s="918">
        <v>0</v>
      </c>
      <c r="G35" s="917">
        <v>1.227929224582865E-2</v>
      </c>
      <c r="H35" s="917">
        <v>2.8673990913999589E-3</v>
      </c>
      <c r="I35" s="918">
        <v>0</v>
      </c>
      <c r="J35" s="917" t="s">
        <v>566</v>
      </c>
      <c r="K35" s="918">
        <v>0</v>
      </c>
      <c r="L35" s="918">
        <v>0</v>
      </c>
      <c r="M35" s="1466">
        <v>4.9109846089818191E-3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v>3.0967152945056394E-3</v>
      </c>
      <c r="E36" s="917">
        <v>0.1137429371846814</v>
      </c>
      <c r="F36" s="917">
        <v>0.13299939281903408</v>
      </c>
      <c r="G36" s="917">
        <v>8.4332919554369182E-2</v>
      </c>
      <c r="H36" s="917">
        <v>4.2551627855419799E-2</v>
      </c>
      <c r="I36" s="917">
        <v>6.3145913561483497E-2</v>
      </c>
      <c r="J36" s="917" t="s">
        <v>566</v>
      </c>
      <c r="K36" s="918">
        <v>0</v>
      </c>
      <c r="L36" s="917">
        <v>0.14617205919404921</v>
      </c>
      <c r="M36" s="1466">
        <v>5.6747487720503399E-2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9.6515577431490335E-2</v>
      </c>
      <c r="E37" s="917">
        <v>8.585967467306882E-2</v>
      </c>
      <c r="F37" s="1501">
        <v>0.11519728550339688</v>
      </c>
      <c r="G37" s="917">
        <v>0.18934633172492535</v>
      </c>
      <c r="H37" s="917">
        <v>0.14687184616487794</v>
      </c>
      <c r="I37" s="917">
        <v>9.8745944942341068E-2</v>
      </c>
      <c r="J37" s="917" t="s">
        <v>566</v>
      </c>
      <c r="K37" s="917">
        <v>0.25916321031801676</v>
      </c>
      <c r="L37" s="917">
        <v>1.3764668781296042E-2</v>
      </c>
      <c r="M37" s="1466">
        <v>0.13866370494061089</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2.9302977405355018E-2</v>
      </c>
      <c r="E38" s="917">
        <v>0.27798558525802003</v>
      </c>
      <c r="F38" s="917">
        <v>6.7821328274027884E-2</v>
      </c>
      <c r="G38" s="917">
        <v>0.10916025928612835</v>
      </c>
      <c r="H38" s="917">
        <v>0.14378908258176729</v>
      </c>
      <c r="I38" s="917">
        <v>0.1175318333771547</v>
      </c>
      <c r="J38" s="917" t="s">
        <v>566</v>
      </c>
      <c r="K38" s="917">
        <v>0.11564572269018614</v>
      </c>
      <c r="L38" s="917">
        <v>4.8168164760886145E-3</v>
      </c>
      <c r="M38" s="1466">
        <v>0.1026818504624437</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1.4978780561164954E-4</v>
      </c>
      <c r="E39" s="917">
        <v>1.6633851947074015E-3</v>
      </c>
      <c r="F39" s="917">
        <v>3.5021547064304826E-3</v>
      </c>
      <c r="G39" s="917">
        <v>5.2659253404349605E-4</v>
      </c>
      <c r="H39" s="917">
        <v>9.118098911167897E-4</v>
      </c>
      <c r="I39" s="917">
        <v>3.0138294292508696E-3</v>
      </c>
      <c r="J39" s="917" t="s">
        <v>566</v>
      </c>
      <c r="K39" s="918">
        <v>0</v>
      </c>
      <c r="L39" s="917">
        <v>2.3426667356340634E-3</v>
      </c>
      <c r="M39" s="1466">
        <v>8.9580780695105988E-4</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1.0325352721765499E-2</v>
      </c>
      <c r="E40" s="918">
        <v>0</v>
      </c>
      <c r="F40" s="917">
        <v>4.223840753401523E-3</v>
      </c>
      <c r="G40" s="917">
        <v>4.6943900410467559E-2</v>
      </c>
      <c r="H40" s="917">
        <v>4.2141724770683262E-3</v>
      </c>
      <c r="I40" s="917">
        <v>0.11482190743252085</v>
      </c>
      <c r="J40" s="917" t="s">
        <v>566</v>
      </c>
      <c r="K40" s="918">
        <v>0</v>
      </c>
      <c r="L40" s="918">
        <v>0</v>
      </c>
      <c r="M40" s="1466">
        <v>2.6209977158539895E-2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3.8757719775332298E-3</v>
      </c>
      <c r="E41" s="917">
        <v>3.1756995328157005E-2</v>
      </c>
      <c r="F41" s="917">
        <v>4.2083143307501854E-2</v>
      </c>
      <c r="G41" s="917">
        <v>1.3688489286964622E-3</v>
      </c>
      <c r="H41" s="917">
        <v>1.8581149909860664E-2</v>
      </c>
      <c r="I41" s="917">
        <v>7.6811738337299691E-3</v>
      </c>
      <c r="J41" s="917" t="s">
        <v>566</v>
      </c>
      <c r="K41" s="917">
        <v>2.8804396149795016E-3</v>
      </c>
      <c r="L41" s="918">
        <v>0</v>
      </c>
      <c r="M41" s="1466">
        <v>8.8654704997821604E-3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7.9473887592906967E-2</v>
      </c>
      <c r="E42" s="917">
        <v>0.12836842935449316</v>
      </c>
      <c r="F42" s="917">
        <v>4.5902813966748682E-2</v>
      </c>
      <c r="G42" s="917">
        <v>8.5452287693132869E-3</v>
      </c>
      <c r="H42" s="917">
        <v>4.0677543485398461E-2</v>
      </c>
      <c r="I42" s="917">
        <v>0.12935656683016489</v>
      </c>
      <c r="J42" s="917">
        <v>0.5576746997154951</v>
      </c>
      <c r="K42" s="918">
        <v>0</v>
      </c>
      <c r="L42" s="917">
        <v>0.27618138647827445</v>
      </c>
      <c r="M42" s="1466">
        <v>7.4947911385408433E-2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4.1514735938206974E-2</v>
      </c>
      <c r="E43" s="917">
        <v>7.5168797830843306E-2</v>
      </c>
      <c r="F43" s="917">
        <v>8.3365756881748118E-2</v>
      </c>
      <c r="G43" s="917">
        <v>4.1465203536604094E-2</v>
      </c>
      <c r="H43" s="917">
        <v>0.18266731127144267</v>
      </c>
      <c r="I43" s="917">
        <v>8.3807753279570275E-4</v>
      </c>
      <c r="J43" s="917">
        <v>0.35561299134354157</v>
      </c>
      <c r="K43" s="917">
        <v>7.1112034693521405E-3</v>
      </c>
      <c r="L43" s="917">
        <v>1.1827463596060182E-2</v>
      </c>
      <c r="M43" s="1466">
        <v>9.4068035061639993E-2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5.6511527057160907E-2</v>
      </c>
      <c r="E44" s="918">
        <v>0</v>
      </c>
      <c r="F44" s="917">
        <v>5.6402991622216342E-3</v>
      </c>
      <c r="G44" s="917">
        <v>5.7940285510333887E-3</v>
      </c>
      <c r="H44" s="917">
        <v>4.4536851411593754E-2</v>
      </c>
      <c r="I44" s="917">
        <v>9.0455106702610696E-4</v>
      </c>
      <c r="J44" s="917" t="s">
        <v>566</v>
      </c>
      <c r="K44" s="917">
        <v>3.2248857679233071E-2</v>
      </c>
      <c r="L44" s="917">
        <v>0.11999459384599469</v>
      </c>
      <c r="M44" s="1466">
        <v>3.0181439535546799E-2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7.7675533397677718E-4</v>
      </c>
      <c r="E45" s="918">
        <v>0</v>
      </c>
      <c r="F45" s="918">
        <v>0</v>
      </c>
      <c r="G45" s="917">
        <v>8.0472432022840129E-2</v>
      </c>
      <c r="H45" s="917">
        <v>7.1563229914226686E-2</v>
      </c>
      <c r="I45" s="917">
        <v>0.14476575698905353</v>
      </c>
      <c r="J45" s="917" t="s">
        <v>566</v>
      </c>
      <c r="K45" s="917">
        <v>1.003005117475984E-2</v>
      </c>
      <c r="L45" s="917">
        <v>0.10945259353564141</v>
      </c>
      <c r="M45" s="1466">
        <v>6.3405845584032047E-2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3.4322820037105753E-2</v>
      </c>
      <c r="E46" s="917">
        <v>1.489417119720041E-2</v>
      </c>
      <c r="F46" s="917">
        <v>2.6781585562152085E-2</v>
      </c>
      <c r="G46" s="917">
        <v>2.6477101446883556E-3</v>
      </c>
      <c r="H46" s="917">
        <v>9.9920023445489066E-3</v>
      </c>
      <c r="I46" s="917">
        <v>3.0973752839463846E-2</v>
      </c>
      <c r="J46" s="917" t="s">
        <v>566</v>
      </c>
      <c r="K46" s="918">
        <v>0</v>
      </c>
      <c r="L46" s="917">
        <v>8.8997976029380112E-3</v>
      </c>
      <c r="M46" s="1466">
        <v>1.24483095435769E-2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2.9776254840587553E-2</v>
      </c>
      <c r="E47" s="917">
        <v>8.9623924223133586E-4</v>
      </c>
      <c r="F47" s="918">
        <v>0</v>
      </c>
      <c r="G47" s="917">
        <v>1.2325475851858247E-4</v>
      </c>
      <c r="H47" s="917">
        <v>1.9500109119427855E-3</v>
      </c>
      <c r="I47" s="917">
        <v>3.6487281456314448E-3</v>
      </c>
      <c r="J47" s="917" t="s">
        <v>566</v>
      </c>
      <c r="K47" s="918">
        <v>0</v>
      </c>
      <c r="L47" s="917">
        <v>4.878887133186611E-4</v>
      </c>
      <c r="M47" s="1466">
        <v>5.3365965665559045E-3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1.4318393442235838E-4</v>
      </c>
      <c r="E48" s="918">
        <v>0</v>
      </c>
      <c r="F48" s="917">
        <v>3.2948385594561286E-3</v>
      </c>
      <c r="G48" s="917">
        <v>5.4876727185037208E-3</v>
      </c>
      <c r="H48" s="917">
        <v>1.348778699921577E-3</v>
      </c>
      <c r="I48" s="917">
        <v>4.8359398121234204E-5</v>
      </c>
      <c r="J48" s="917" t="s">
        <v>566</v>
      </c>
      <c r="K48" s="917">
        <v>2.6751929591508375E-4</v>
      </c>
      <c r="L48" s="917">
        <v>2.6129744358995325E-4</v>
      </c>
      <c r="M48" s="1466">
        <v>2.285005846005115E-3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v>2.7332022031314757E-3</v>
      </c>
      <c r="E49" s="918">
        <v>0</v>
      </c>
      <c r="F49" s="917">
        <v>1.306913919207022E-3</v>
      </c>
      <c r="G49" s="917">
        <v>6.5892164360543265E-3</v>
      </c>
      <c r="H49" s="917">
        <v>3.9133093779696309E-4</v>
      </c>
      <c r="I49" s="917">
        <v>2.3030090169550567E-3</v>
      </c>
      <c r="J49" s="917" t="s">
        <v>566</v>
      </c>
      <c r="K49" s="918">
        <v>0</v>
      </c>
      <c r="L49" s="917">
        <v>1.7236287307051193E-3</v>
      </c>
      <c r="M49" s="1466">
        <v>2.9084809290428519E-3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3.9334057624579527E-3</v>
      </c>
      <c r="E50" s="917">
        <v>2.50526960992789E-2</v>
      </c>
      <c r="F50" s="917">
        <v>1.2228200831350929E-3</v>
      </c>
      <c r="G50" s="917">
        <v>9.5404696970918024E-2</v>
      </c>
      <c r="H50" s="917">
        <v>4.0219415602047249E-3</v>
      </c>
      <c r="I50" s="917">
        <v>7.010904980917107E-2</v>
      </c>
      <c r="J50" s="917" t="s">
        <v>566</v>
      </c>
      <c r="K50" s="917">
        <v>2.8486980346188729E-2</v>
      </c>
      <c r="L50" s="917">
        <v>7.1297827360144962E-3</v>
      </c>
      <c r="M50" s="1466">
        <v>3.9137377654117421E-2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v>0.26058645578037848</v>
      </c>
      <c r="E51" s="1416">
        <v>0.21889845374736233</v>
      </c>
      <c r="F51" s="1013">
        <v>0.13089931766416857</v>
      </c>
      <c r="G51" s="1013">
        <v>0.10299092225820455</v>
      </c>
      <c r="H51" s="1013">
        <v>3.2088898091219016E-2</v>
      </c>
      <c r="I51" s="1013">
        <v>5.3712460712021216E-2</v>
      </c>
      <c r="J51" s="1013">
        <v>8.671230894096342E-2</v>
      </c>
      <c r="K51" s="1416">
        <v>1.4746556609204887E-2</v>
      </c>
      <c r="L51" s="1013">
        <v>0.20068110866202693</v>
      </c>
      <c r="M51" s="1467">
        <v>0.10551962763104815</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v>
      </c>
      <c r="E52" s="934">
        <f t="shared" ref="E52:M52" si="0">SUM(E22:E51)</f>
        <v>0.99998442249744501</v>
      </c>
      <c r="F52" s="934">
        <f t="shared" si="0"/>
        <v>0.99999999999999978</v>
      </c>
      <c r="G52" s="934">
        <f t="shared" si="0"/>
        <v>1.0000000000000004</v>
      </c>
      <c r="H52" s="934">
        <f t="shared" si="0"/>
        <v>0.99999999999999989</v>
      </c>
      <c r="I52" s="935">
        <f t="shared" si="0"/>
        <v>0.99995557816144143</v>
      </c>
      <c r="J52" s="934">
        <f t="shared" si="0"/>
        <v>1</v>
      </c>
      <c r="K52" s="935">
        <f t="shared" si="0"/>
        <v>1</v>
      </c>
      <c r="L52" s="934">
        <f t="shared" si="0"/>
        <v>0.99999999999999978</v>
      </c>
      <c r="M52" s="934">
        <f t="shared" si="0"/>
        <v>0.99999999999999989</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17">
        <v>6.0545491767273973E-4</v>
      </c>
      <c r="E56" s="917">
        <v>6.0231255656301042E-3</v>
      </c>
      <c r="F56" s="1501">
        <v>1.3708476372927691E-2</v>
      </c>
      <c r="G56" s="917">
        <v>3.6180818812973407E-2</v>
      </c>
      <c r="H56" s="917">
        <v>6.5438020397525026E-2</v>
      </c>
      <c r="I56" s="917">
        <v>3.6668484731965031E-2</v>
      </c>
      <c r="J56" s="944" t="s">
        <v>566</v>
      </c>
      <c r="K56" s="918">
        <v>0</v>
      </c>
      <c r="L56" s="917">
        <v>8.2020032804008564E-3</v>
      </c>
      <c r="M56" s="1466">
        <v>3.5186692018983383E-2</v>
      </c>
      <c r="O56" s="938"/>
      <c r="P56" s="936"/>
    </row>
    <row r="57" spans="1:55" ht="15.75">
      <c r="A57" s="936"/>
      <c r="B57" s="936" t="s">
        <v>598</v>
      </c>
      <c r="C57" s="932"/>
      <c r="D57" s="917">
        <v>4.2846716745356131E-2</v>
      </c>
      <c r="E57" s="918">
        <v>0</v>
      </c>
      <c r="F57" s="1502">
        <v>0</v>
      </c>
      <c r="G57" s="917">
        <v>1.348986794104793E-2</v>
      </c>
      <c r="H57" s="917">
        <v>4.144303284155198E-4</v>
      </c>
      <c r="I57" s="917">
        <v>2.7137151156371997E-3</v>
      </c>
      <c r="J57" s="944" t="s">
        <v>566</v>
      </c>
      <c r="K57" s="918">
        <v>0</v>
      </c>
      <c r="L57" s="918">
        <v>0</v>
      </c>
      <c r="M57" s="1466">
        <v>1.0983821923905511E-2</v>
      </c>
      <c r="O57" s="938"/>
      <c r="P57" s="936"/>
    </row>
    <row r="58" spans="1:55" ht="15.75">
      <c r="A58" s="936"/>
      <c r="B58" s="936" t="s">
        <v>599</v>
      </c>
      <c r="C58" s="932"/>
      <c r="D58" s="918">
        <v>0</v>
      </c>
      <c r="E58" s="918">
        <v>0</v>
      </c>
      <c r="F58" s="1502">
        <v>0</v>
      </c>
      <c r="G58" s="917">
        <v>4.6437062453417947E-3</v>
      </c>
      <c r="H58" s="917">
        <v>3.9576814695844922E-3</v>
      </c>
      <c r="I58" s="917">
        <v>1.150702714940054E-2</v>
      </c>
      <c r="J58" s="944" t="s">
        <v>566</v>
      </c>
      <c r="K58" s="918">
        <v>0</v>
      </c>
      <c r="L58" s="918">
        <v>0</v>
      </c>
      <c r="M58" s="1466">
        <v>3.5307927544252879E-3</v>
      </c>
      <c r="O58" s="938"/>
      <c r="P58" s="936"/>
    </row>
    <row r="59" spans="1:55" ht="15.75">
      <c r="A59" s="936"/>
      <c r="B59" s="936" t="s">
        <v>600</v>
      </c>
      <c r="C59" s="932"/>
      <c r="D59" s="917">
        <v>4.6721288019036758E-2</v>
      </c>
      <c r="E59" s="917">
        <v>2.880943976656692E-2</v>
      </c>
      <c r="F59" s="1501">
        <v>3.5642040093603229E-2</v>
      </c>
      <c r="G59" s="917">
        <v>8.0580339722671229E-2</v>
      </c>
      <c r="H59" s="917">
        <v>3.3366074313398761E-2</v>
      </c>
      <c r="I59" s="917">
        <v>3.0270853363067198E-2</v>
      </c>
      <c r="J59" s="944" t="s">
        <v>566</v>
      </c>
      <c r="K59" s="917">
        <v>5.341893251390694E-2</v>
      </c>
      <c r="L59" s="917">
        <v>1.2137149455129757E-3</v>
      </c>
      <c r="M59" s="1466">
        <v>4.7968085583701407E-2</v>
      </c>
      <c r="O59" s="938"/>
      <c r="P59" s="936"/>
    </row>
    <row r="60" spans="1:55" ht="15.75">
      <c r="A60" s="936"/>
      <c r="B60" s="936" t="s">
        <v>601</v>
      </c>
      <c r="C60" s="932"/>
      <c r="D60" s="918">
        <v>0</v>
      </c>
      <c r="E60" s="918">
        <v>0</v>
      </c>
      <c r="F60" s="1502">
        <v>0</v>
      </c>
      <c r="G60" s="918">
        <v>0</v>
      </c>
      <c r="H60" s="917">
        <v>3.4926794748962375E-2</v>
      </c>
      <c r="I60" s="917">
        <v>1.446736859123642E-2</v>
      </c>
      <c r="J60" s="944" t="s">
        <v>566</v>
      </c>
      <c r="K60" s="918">
        <v>0</v>
      </c>
      <c r="L60" s="918">
        <v>0</v>
      </c>
      <c r="M60" s="1466">
        <v>1.1751087913504975E-2</v>
      </c>
      <c r="O60" s="938"/>
      <c r="P60" s="936"/>
    </row>
    <row r="61" spans="1:55" ht="15.75">
      <c r="A61" s="936"/>
      <c r="B61" s="936" t="s">
        <v>602</v>
      </c>
      <c r="C61" s="932"/>
      <c r="D61" s="918">
        <v>0</v>
      </c>
      <c r="E61" s="918">
        <v>0</v>
      </c>
      <c r="F61" s="1502">
        <v>0</v>
      </c>
      <c r="G61" s="918">
        <v>0</v>
      </c>
      <c r="H61" s="918">
        <v>0</v>
      </c>
      <c r="I61" s="918">
        <v>0</v>
      </c>
      <c r="J61" s="944" t="s">
        <v>566</v>
      </c>
      <c r="K61" s="918">
        <v>0</v>
      </c>
      <c r="L61" s="918">
        <v>0</v>
      </c>
      <c r="M61" s="1471">
        <v>0</v>
      </c>
      <c r="O61" s="938"/>
      <c r="P61" s="936"/>
    </row>
    <row r="62" spans="1:55" ht="16.5" thickBot="1">
      <c r="A62" s="936"/>
      <c r="B62" s="929" t="s">
        <v>603</v>
      </c>
      <c r="C62" s="946"/>
      <c r="D62" s="1416">
        <v>6.3421177494247128E-3</v>
      </c>
      <c r="E62" s="1416">
        <v>5.1027122497546255E-2</v>
      </c>
      <c r="F62" s="1503">
        <v>3.3268972389706102E-2</v>
      </c>
      <c r="G62" s="1013">
        <v>5.4451599002891003E-2</v>
      </c>
      <c r="H62" s="1013">
        <v>8.7688449069917851E-3</v>
      </c>
      <c r="I62" s="1013">
        <v>3.1182235669756217E-3</v>
      </c>
      <c r="J62" s="931" t="s">
        <v>566</v>
      </c>
      <c r="K62" s="1416">
        <v>0.20574427780410984</v>
      </c>
      <c r="L62" s="1013">
        <v>4.3489505553822097E-3</v>
      </c>
      <c r="M62" s="1467">
        <v>2.8611674660768825E-2</v>
      </c>
      <c r="O62" s="938"/>
      <c r="P62" s="936"/>
    </row>
    <row r="63" spans="1:55" ht="15.75">
      <c r="A63" s="936"/>
      <c r="B63" s="1074" t="s">
        <v>0</v>
      </c>
      <c r="C63" s="1074" t="s">
        <v>604</v>
      </c>
      <c r="D63" s="934">
        <f t="shared" ref="D63:I63" si="1">SUM(D56:D62)</f>
        <v>9.6515577431490349E-2</v>
      </c>
      <c r="E63" s="934">
        <f t="shared" si="1"/>
        <v>8.5859687829743278E-2</v>
      </c>
      <c r="F63" s="934">
        <f t="shared" si="1"/>
        <v>8.2619488856237017E-2</v>
      </c>
      <c r="G63" s="934">
        <f t="shared" si="1"/>
        <v>0.18934633172492538</v>
      </c>
      <c r="H63" s="934">
        <f t="shared" si="1"/>
        <v>0.14687184616487794</v>
      </c>
      <c r="I63" s="935">
        <f t="shared" si="1"/>
        <v>9.8745672518282007E-2</v>
      </c>
      <c r="J63" s="944" t="s">
        <v>566</v>
      </c>
      <c r="K63" s="935">
        <f>SUM(K56:K62)</f>
        <v>0.25916321031801676</v>
      </c>
      <c r="L63" s="934">
        <f>SUM(L56:L62)</f>
        <v>1.3764668781296042E-2</v>
      </c>
      <c r="M63" s="1079">
        <f>SUM(M56:M62)</f>
        <v>0.13803215485528939</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17">
        <v>2.2000896925777891E-3</v>
      </c>
      <c r="E68" s="917">
        <v>4.3130736466298015E-3</v>
      </c>
      <c r="F68" s="918">
        <v>0</v>
      </c>
      <c r="G68" s="917">
        <v>5.6258513808718569E-3</v>
      </c>
      <c r="H68" s="917">
        <v>3.8235059651223662E-3</v>
      </c>
      <c r="I68" s="917">
        <v>7.2968371456741069E-3</v>
      </c>
      <c r="J68" s="944" t="s">
        <v>566</v>
      </c>
      <c r="K68" s="917">
        <v>2.4913650248596268E-2</v>
      </c>
      <c r="L68" s="918">
        <v>0</v>
      </c>
      <c r="M68" s="1466">
        <v>4.5641218415353266E-3</v>
      </c>
      <c r="O68" s="938"/>
      <c r="P68" s="936"/>
    </row>
    <row r="69" spans="1:16" ht="15.75">
      <c r="A69" s="936"/>
      <c r="B69" s="936" t="s">
        <v>599</v>
      </c>
      <c r="C69" s="932"/>
      <c r="D69" s="918">
        <v>0</v>
      </c>
      <c r="E69" s="918">
        <v>0</v>
      </c>
      <c r="F69" s="917">
        <v>4.4151702323730769E-3</v>
      </c>
      <c r="G69" s="917">
        <v>4.0766948433267151E-4</v>
      </c>
      <c r="H69" s="917">
        <v>6.540328825836582E-4</v>
      </c>
      <c r="I69" s="917">
        <v>1.6566272137211804E-3</v>
      </c>
      <c r="J69" s="944" t="s">
        <v>566</v>
      </c>
      <c r="K69" s="918">
        <v>0</v>
      </c>
      <c r="L69" s="917">
        <v>6.7042983930040365E-4</v>
      </c>
      <c r="M69" s="1466">
        <v>5.6556213448886159E-4</v>
      </c>
      <c r="O69" s="938"/>
      <c r="P69" s="936"/>
    </row>
    <row r="70" spans="1:16" ht="15.75">
      <c r="A70" s="936"/>
      <c r="B70" s="936" t="s">
        <v>607</v>
      </c>
      <c r="C70" s="932"/>
      <c r="D70" s="917">
        <v>1.8953110313265637E-3</v>
      </c>
      <c r="E70" s="918">
        <v>0</v>
      </c>
      <c r="F70" s="918">
        <v>0</v>
      </c>
      <c r="G70" s="917">
        <v>3.2922915256935442E-2</v>
      </c>
      <c r="H70" s="917">
        <v>5.7178513274148558E-2</v>
      </c>
      <c r="I70" s="917">
        <v>2.1828184114418135E-2</v>
      </c>
      <c r="J70" s="944" t="s">
        <v>566</v>
      </c>
      <c r="K70" s="917">
        <v>1.0713776286851889E-2</v>
      </c>
      <c r="L70" s="917">
        <v>4.0713011644922468E-4</v>
      </c>
      <c r="M70" s="1466">
        <v>3.0261997971695175E-2</v>
      </c>
      <c r="O70" s="938"/>
      <c r="P70" s="936"/>
    </row>
    <row r="71" spans="1:16" ht="15.75">
      <c r="A71" s="936"/>
      <c r="B71" s="936" t="s">
        <v>600</v>
      </c>
      <c r="C71" s="932"/>
      <c r="D71" s="917">
        <v>1.1459717686507832E-3</v>
      </c>
      <c r="E71" s="917">
        <v>1.1635762888255273E-4</v>
      </c>
      <c r="F71" s="918">
        <v>0</v>
      </c>
      <c r="G71" s="917">
        <v>2.8117375947840428E-2</v>
      </c>
      <c r="H71" s="917">
        <v>2.7869718346867765E-2</v>
      </c>
      <c r="I71" s="917">
        <v>3.0417178103882985E-2</v>
      </c>
      <c r="J71" s="944" t="s">
        <v>566</v>
      </c>
      <c r="K71" s="918">
        <v>0</v>
      </c>
      <c r="L71" s="917">
        <v>2.1063977828094313E-3</v>
      </c>
      <c r="M71" s="1466">
        <v>2.0032415028802326E-2</v>
      </c>
      <c r="O71" s="938"/>
      <c r="P71" s="936"/>
    </row>
    <row r="72" spans="1:16" ht="15.75">
      <c r="A72" s="936"/>
      <c r="B72" s="936" t="s">
        <v>608</v>
      </c>
      <c r="C72" s="932"/>
      <c r="D72" s="917">
        <v>1.8290722021248857E-4</v>
      </c>
      <c r="E72" s="917">
        <v>1.1546823768937538E-3</v>
      </c>
      <c r="F72" s="917">
        <v>1.7111320190854599E-2</v>
      </c>
      <c r="G72" s="917">
        <v>2.863008661405219E-3</v>
      </c>
      <c r="H72" s="917">
        <v>1.0137352240008094E-3</v>
      </c>
      <c r="I72" s="917">
        <v>1.8223518496521768E-3</v>
      </c>
      <c r="J72" s="944" t="s">
        <v>566</v>
      </c>
      <c r="K72" s="918">
        <v>0</v>
      </c>
      <c r="L72" s="918">
        <v>0</v>
      </c>
      <c r="M72" s="1466">
        <v>1.7465544836442787E-3</v>
      </c>
      <c r="O72" s="938"/>
      <c r="P72" s="936"/>
    </row>
    <row r="73" spans="1:16" ht="15.75">
      <c r="A73" s="936"/>
      <c r="B73" s="936" t="s">
        <v>609</v>
      </c>
      <c r="C73" s="932"/>
      <c r="D73" s="917">
        <v>1.3324811004210668E-3</v>
      </c>
      <c r="E73" s="918">
        <v>0</v>
      </c>
      <c r="F73" s="918">
        <v>0</v>
      </c>
      <c r="G73" s="917">
        <v>1.6333637989501593E-2</v>
      </c>
      <c r="H73" s="917">
        <v>7.9247530097284954E-3</v>
      </c>
      <c r="I73" s="917">
        <v>3.5004634153041378E-2</v>
      </c>
      <c r="J73" s="944" t="s">
        <v>566</v>
      </c>
      <c r="K73" s="917">
        <v>1.7389417138637614E-3</v>
      </c>
      <c r="L73" s="918">
        <v>0</v>
      </c>
      <c r="M73" s="1466">
        <v>1.0429336956600279E-2</v>
      </c>
      <c r="O73" s="938"/>
      <c r="P73" s="936"/>
    </row>
    <row r="74" spans="1:16" ht="15.75">
      <c r="A74" s="936"/>
      <c r="B74" s="936" t="s">
        <v>601</v>
      </c>
      <c r="C74" s="932"/>
      <c r="D74" s="918">
        <v>0</v>
      </c>
      <c r="E74" s="918">
        <v>0</v>
      </c>
      <c r="F74" s="918">
        <v>0</v>
      </c>
      <c r="G74" s="918">
        <v>0</v>
      </c>
      <c r="H74" s="917">
        <v>1.2537328226694903E-2</v>
      </c>
      <c r="I74" s="917">
        <v>1.2403549961958758E-4</v>
      </c>
      <c r="J74" s="944" t="s">
        <v>566</v>
      </c>
      <c r="K74" s="917">
        <v>2.0240712028237413E-2</v>
      </c>
      <c r="L74" s="918">
        <v>0</v>
      </c>
      <c r="M74" s="1466">
        <v>4.3740312122789709E-3</v>
      </c>
      <c r="O74" s="938"/>
      <c r="P74" s="936"/>
    </row>
    <row r="75" spans="1:16" ht="16.5" thickBot="1">
      <c r="A75" s="936"/>
      <c r="B75" s="929" t="s">
        <v>603</v>
      </c>
      <c r="C75" s="946"/>
      <c r="D75" s="1416">
        <v>2.2546216592166327E-2</v>
      </c>
      <c r="E75" s="1416">
        <v>0.2724014716056139</v>
      </c>
      <c r="F75" s="1013">
        <v>4.62948378508002E-2</v>
      </c>
      <c r="G75" s="1013">
        <v>2.2889801024692649E-2</v>
      </c>
      <c r="H75" s="1013">
        <v>3.2787495652620728E-2</v>
      </c>
      <c r="I75" s="1013">
        <v>1.9381733511272391E-2</v>
      </c>
      <c r="J75" s="931" t="s">
        <v>566</v>
      </c>
      <c r="K75" s="1416">
        <v>5.8038584768797051E-2</v>
      </c>
      <c r="L75" s="1416">
        <v>1.6328587375295544E-3</v>
      </c>
      <c r="M75" s="1467">
        <v>3.0707811482699719E-2</v>
      </c>
      <c r="O75" s="938"/>
      <c r="P75" s="936"/>
    </row>
    <row r="76" spans="1:16" ht="15.75">
      <c r="A76" s="936"/>
      <c r="C76" s="1074" t="s">
        <v>604</v>
      </c>
      <c r="D76" s="934">
        <f t="shared" ref="D76:I76" si="2">SUM(D68:D75)</f>
        <v>2.9302977405355021E-2</v>
      </c>
      <c r="E76" s="934">
        <f t="shared" si="2"/>
        <v>0.27798558525802003</v>
      </c>
      <c r="F76" s="934">
        <f t="shared" si="2"/>
        <v>6.782132827402787E-2</v>
      </c>
      <c r="G76" s="934">
        <f t="shared" si="2"/>
        <v>0.10916025974557986</v>
      </c>
      <c r="H76" s="934">
        <f t="shared" si="2"/>
        <v>0.14378908258176729</v>
      </c>
      <c r="I76" s="935">
        <f t="shared" si="2"/>
        <v>0.11753158159128194</v>
      </c>
      <c r="J76" s="944" t="s">
        <v>566</v>
      </c>
      <c r="K76" s="935">
        <f>SUM(K68:K75)</f>
        <v>0.11564566504634638</v>
      </c>
      <c r="L76" s="935">
        <f>SUM(L68:L75)</f>
        <v>4.8168164760886145E-3</v>
      </c>
      <c r="M76" s="1079">
        <f>SUM(M68:M75)</f>
        <v>0.10268183111174493</v>
      </c>
      <c r="O76" s="938"/>
      <c r="P76" s="936"/>
    </row>
    <row r="77" spans="1:16" ht="15">
      <c r="A77" s="936"/>
      <c r="B77" s="936"/>
      <c r="C77" s="936"/>
      <c r="D77" s="936"/>
      <c r="E77" s="936"/>
      <c r="F77" s="938"/>
      <c r="G77" s="938"/>
      <c r="H77" s="938"/>
      <c r="I77" s="967" t="s">
        <v>0</v>
      </c>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4.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16.375"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882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1423">
        <v>2583.17</v>
      </c>
      <c r="H22" s="1422">
        <v>104065.61</v>
      </c>
      <c r="I22" s="1422">
        <v>0</v>
      </c>
      <c r="J22" s="1422">
        <v>0</v>
      </c>
      <c r="K22" s="1422">
        <v>0</v>
      </c>
      <c r="L22" s="1422">
        <v>0</v>
      </c>
      <c r="M22" s="1432">
        <f t="shared" ref="M22:M51" si="0">SUM(D22:L22)</f>
        <v>106648.78</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223727</v>
      </c>
      <c r="E23" s="1423">
        <v>22251.14</v>
      </c>
      <c r="F23" s="1422">
        <v>19.41</v>
      </c>
      <c r="G23" s="1423">
        <v>215321.66</v>
      </c>
      <c r="H23" s="1423">
        <v>1040692.7</v>
      </c>
      <c r="I23" s="1422">
        <v>215246.84</v>
      </c>
      <c r="J23" s="1422">
        <v>0</v>
      </c>
      <c r="K23" s="1423">
        <v>300727.12</v>
      </c>
      <c r="L23" s="1423">
        <v>142758</v>
      </c>
      <c r="M23" s="1432">
        <f t="shared" si="0"/>
        <v>2160743.87</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3827</v>
      </c>
      <c r="E24" s="1422">
        <v>0</v>
      </c>
      <c r="F24" s="1422">
        <v>9540.07</v>
      </c>
      <c r="G24" s="1423">
        <v>665004.43999999994</v>
      </c>
      <c r="H24" s="1423">
        <v>1032914.31</v>
      </c>
      <c r="I24" s="1422">
        <v>90512.49</v>
      </c>
      <c r="J24" s="1422">
        <v>0</v>
      </c>
      <c r="K24" s="1423">
        <v>182388.78</v>
      </c>
      <c r="L24" s="1422">
        <v>80292</v>
      </c>
      <c r="M24" s="1432">
        <f t="shared" si="0"/>
        <v>2064479.0899999999</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14454</v>
      </c>
      <c r="E25" s="1422">
        <v>0</v>
      </c>
      <c r="F25" s="1422">
        <v>656.88</v>
      </c>
      <c r="G25" s="1422">
        <v>5924.5</v>
      </c>
      <c r="H25" s="1422">
        <v>0</v>
      </c>
      <c r="I25" s="1422">
        <v>0</v>
      </c>
      <c r="J25" s="1422">
        <v>0</v>
      </c>
      <c r="K25" s="1422">
        <v>0</v>
      </c>
      <c r="L25" s="1422">
        <v>0</v>
      </c>
      <c r="M25" s="1432">
        <f t="shared" si="0"/>
        <v>21035.379999999997</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0</v>
      </c>
      <c r="G26" s="1422">
        <v>459982.92</v>
      </c>
      <c r="H26" s="1422">
        <v>89144.19</v>
      </c>
      <c r="I26" s="1422">
        <v>58668.18</v>
      </c>
      <c r="J26" s="1422">
        <v>0</v>
      </c>
      <c r="K26" s="1422">
        <v>652.77</v>
      </c>
      <c r="L26" s="1422">
        <v>0</v>
      </c>
      <c r="M26" s="1432">
        <f t="shared" si="0"/>
        <v>608448.06000000006</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223934</v>
      </c>
      <c r="E27" s="1423">
        <v>0</v>
      </c>
      <c r="F27" s="1422">
        <v>0</v>
      </c>
      <c r="G27" s="1422">
        <v>591490.53</v>
      </c>
      <c r="H27" s="1422">
        <v>259885.86</v>
      </c>
      <c r="I27" s="1422">
        <v>26872.78</v>
      </c>
      <c r="J27" s="1422">
        <v>0</v>
      </c>
      <c r="K27" s="1422">
        <v>0</v>
      </c>
      <c r="L27" s="1422">
        <v>6207</v>
      </c>
      <c r="M27" s="1432">
        <f t="shared" si="0"/>
        <v>1108390.1700000002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8945.9699999999993</v>
      </c>
      <c r="G28" s="1422">
        <v>0</v>
      </c>
      <c r="H28" s="1422">
        <v>58759.42</v>
      </c>
      <c r="I28" s="1422">
        <v>368.16</v>
      </c>
      <c r="J28" s="1422">
        <v>0</v>
      </c>
      <c r="K28" s="1422">
        <v>0</v>
      </c>
      <c r="L28" s="1422">
        <v>0</v>
      </c>
      <c r="M28" s="1432">
        <f t="shared" si="0"/>
        <v>68073.55</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35094</v>
      </c>
      <c r="E29" s="1422">
        <v>0</v>
      </c>
      <c r="F29" s="1422">
        <v>0</v>
      </c>
      <c r="G29" s="1423">
        <v>267201.37</v>
      </c>
      <c r="H29" s="1423">
        <v>81969.63</v>
      </c>
      <c r="I29" s="1422">
        <v>56244.05</v>
      </c>
      <c r="J29" s="1422">
        <v>0</v>
      </c>
      <c r="K29" s="1422">
        <v>0</v>
      </c>
      <c r="L29" s="1422">
        <v>4488</v>
      </c>
      <c r="M29" s="1432">
        <f t="shared" si="0"/>
        <v>444997.05</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458981</v>
      </c>
      <c r="E30" s="1422">
        <v>0</v>
      </c>
      <c r="F30" s="1422">
        <v>16078.28</v>
      </c>
      <c r="G30" s="1423">
        <v>693142.16</v>
      </c>
      <c r="H30" s="1423">
        <v>492235.84</v>
      </c>
      <c r="I30" s="1422">
        <v>64975</v>
      </c>
      <c r="J30" s="1422">
        <v>0</v>
      </c>
      <c r="K30" s="1423">
        <v>116469.54</v>
      </c>
      <c r="L30" s="1422">
        <v>20057</v>
      </c>
      <c r="M30" s="1432">
        <f t="shared" si="0"/>
        <v>1861938.82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5318</v>
      </c>
      <c r="E31" s="1423">
        <v>800.87</v>
      </c>
      <c r="F31" s="1422">
        <v>0</v>
      </c>
      <c r="G31" s="1423">
        <v>578525.78</v>
      </c>
      <c r="H31" s="1423">
        <v>532320.65</v>
      </c>
      <c r="I31" s="1422">
        <v>120897.77</v>
      </c>
      <c r="J31" s="1422">
        <v>0</v>
      </c>
      <c r="K31" s="1422">
        <v>0</v>
      </c>
      <c r="L31" s="1423">
        <v>6998</v>
      </c>
      <c r="M31" s="1432">
        <f t="shared" si="0"/>
        <v>1244861.07</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0</v>
      </c>
      <c r="G32" s="1423">
        <v>48909.06</v>
      </c>
      <c r="H32" s="1422">
        <v>164985.21</v>
      </c>
      <c r="I32" s="1422">
        <v>337.58</v>
      </c>
      <c r="J32" s="1422">
        <v>0</v>
      </c>
      <c r="K32" s="1422">
        <v>0</v>
      </c>
      <c r="L32" s="1423">
        <v>2227</v>
      </c>
      <c r="M32" s="1432">
        <f t="shared" si="0"/>
        <v>216458.84999999998</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2998322</v>
      </c>
      <c r="E33" s="1422">
        <v>0</v>
      </c>
      <c r="F33" s="1422">
        <v>527752.35</v>
      </c>
      <c r="G33" s="1422">
        <v>896694.32</v>
      </c>
      <c r="H33" s="1422">
        <v>92435.89</v>
      </c>
      <c r="I33" s="1422">
        <v>1889.41</v>
      </c>
      <c r="J33" s="1422">
        <v>0</v>
      </c>
      <c r="K33" s="1422">
        <v>66070.95</v>
      </c>
      <c r="L33" s="1422">
        <v>0</v>
      </c>
      <c r="M33" s="1432">
        <f t="shared" si="0"/>
        <v>4583164.92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6633.13</v>
      </c>
      <c r="F34" s="1422">
        <v>1010.76</v>
      </c>
      <c r="G34" s="1422">
        <v>0</v>
      </c>
      <c r="H34" s="1422">
        <v>1725329.26</v>
      </c>
      <c r="I34" s="1422">
        <v>92537.1</v>
      </c>
      <c r="J34" s="1422">
        <v>0</v>
      </c>
      <c r="K34" s="1423">
        <v>2122.4</v>
      </c>
      <c r="L34" s="1422">
        <v>0</v>
      </c>
      <c r="M34" s="1432">
        <f t="shared" si="0"/>
        <v>1827632.65</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4254.3900000000003</v>
      </c>
      <c r="F35" s="1422">
        <v>0</v>
      </c>
      <c r="G35" s="1423">
        <v>260645.95</v>
      </c>
      <c r="H35" s="1422">
        <v>77111.960000000006</v>
      </c>
      <c r="I35" s="1422">
        <v>0</v>
      </c>
      <c r="J35" s="1422">
        <v>0</v>
      </c>
      <c r="K35" s="1422">
        <v>0</v>
      </c>
      <c r="L35" s="1422">
        <v>0</v>
      </c>
      <c r="M35" s="1432">
        <f t="shared" si="0"/>
        <v>342012.30000000005</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30949</v>
      </c>
      <c r="E36" s="1423">
        <v>161344.75</v>
      </c>
      <c r="F36" s="1423">
        <v>173220.41</v>
      </c>
      <c r="G36" s="1423">
        <v>1885338</v>
      </c>
      <c r="H36" s="1423">
        <v>748114.32</v>
      </c>
      <c r="I36" s="1422">
        <v>302024.76</v>
      </c>
      <c r="J36" s="1422">
        <v>0</v>
      </c>
      <c r="K36" s="1422">
        <v>8812.7199999999993</v>
      </c>
      <c r="L36" s="1423">
        <v>82490</v>
      </c>
      <c r="M36" s="1432">
        <f t="shared" si="0"/>
        <v>3392293.9600000004</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843481</v>
      </c>
      <c r="E37" s="1423">
        <v>135171.94</v>
      </c>
      <c r="F37" s="1423">
        <v>108438.8</v>
      </c>
      <c r="G37" s="1423">
        <v>3907598.75</v>
      </c>
      <c r="H37" s="1423">
        <v>3307179.06</v>
      </c>
      <c r="I37" s="1422">
        <v>503485.65</v>
      </c>
      <c r="J37" s="1422">
        <v>0</v>
      </c>
      <c r="K37" s="1423">
        <v>294341.77</v>
      </c>
      <c r="L37" s="1423">
        <v>51943</v>
      </c>
      <c r="M37" s="1432">
        <f t="shared" si="0"/>
        <v>9151639.9700000007</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266107</v>
      </c>
      <c r="E38" s="1422">
        <v>396242.23</v>
      </c>
      <c r="F38" s="1423">
        <v>88838.84</v>
      </c>
      <c r="G38" s="1423">
        <v>2412459.0699999998</v>
      </c>
      <c r="H38" s="1423">
        <v>2906995.2</v>
      </c>
      <c r="I38" s="1423">
        <v>524322.47</v>
      </c>
      <c r="J38" s="1422">
        <v>0</v>
      </c>
      <c r="K38" s="1423">
        <v>206777.18</v>
      </c>
      <c r="L38" s="1423">
        <v>12460</v>
      </c>
      <c r="M38" s="1432">
        <f t="shared" si="0"/>
        <v>6814201.9899999993</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1825</v>
      </c>
      <c r="E39" s="1422">
        <v>2285.21</v>
      </c>
      <c r="F39" s="1422">
        <v>90.73</v>
      </c>
      <c r="G39" s="1422">
        <v>11359.5</v>
      </c>
      <c r="H39" s="1422">
        <v>12669.5</v>
      </c>
      <c r="I39" s="1423">
        <v>13522.6</v>
      </c>
      <c r="J39" s="1422">
        <v>0</v>
      </c>
      <c r="K39" s="1422">
        <v>0</v>
      </c>
      <c r="L39" s="1422">
        <v>6269</v>
      </c>
      <c r="M39" s="1432">
        <f t="shared" si="0"/>
        <v>48021.54</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105441</v>
      </c>
      <c r="E40" s="1422">
        <v>0</v>
      </c>
      <c r="F40" s="1422">
        <v>0</v>
      </c>
      <c r="G40" s="1422">
        <v>977188.3</v>
      </c>
      <c r="H40" s="1422">
        <v>26080.39</v>
      </c>
      <c r="I40" s="1422">
        <v>556134.46</v>
      </c>
      <c r="J40" s="1422">
        <v>0</v>
      </c>
      <c r="K40" s="1422">
        <v>0</v>
      </c>
      <c r="L40" s="1422">
        <v>0</v>
      </c>
      <c r="M40" s="1432">
        <f t="shared" si="0"/>
        <v>1664844.15</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41858</v>
      </c>
      <c r="E41" s="1422">
        <v>47779.83</v>
      </c>
      <c r="F41" s="1422">
        <v>0</v>
      </c>
      <c r="G41" s="1422">
        <v>31112.11</v>
      </c>
      <c r="H41" s="1423">
        <v>323671.74</v>
      </c>
      <c r="I41" s="1422">
        <v>32603.02</v>
      </c>
      <c r="J41" s="1422">
        <v>0</v>
      </c>
      <c r="K41" s="1422">
        <v>4533.55</v>
      </c>
      <c r="L41" s="1422">
        <v>0</v>
      </c>
      <c r="M41" s="1432">
        <f t="shared" si="0"/>
        <v>481558.25</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684986</v>
      </c>
      <c r="E42" s="1423">
        <v>168576.75</v>
      </c>
      <c r="F42" s="1423">
        <v>56280.22</v>
      </c>
      <c r="G42" s="1423">
        <v>216655.71</v>
      </c>
      <c r="H42" s="1423">
        <v>822793.33</v>
      </c>
      <c r="I42" s="1422">
        <v>607876.06999999995</v>
      </c>
      <c r="J42" s="1423">
        <v>1464659.47</v>
      </c>
      <c r="K42" s="1422">
        <v>8353.35</v>
      </c>
      <c r="L42" s="1423">
        <v>842300</v>
      </c>
      <c r="M42" s="1432">
        <f t="shared" si="0"/>
        <v>4872480.9000000004</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415383</v>
      </c>
      <c r="E43" s="1422">
        <v>116285.99</v>
      </c>
      <c r="F43" s="1423">
        <v>74246.990000000005</v>
      </c>
      <c r="G43" s="1423">
        <v>856546.93</v>
      </c>
      <c r="H43" s="1423">
        <v>3570698.53</v>
      </c>
      <c r="I43" s="1423">
        <v>4276.01</v>
      </c>
      <c r="J43" s="1423">
        <v>900844.02</v>
      </c>
      <c r="K43" s="1423">
        <v>0</v>
      </c>
      <c r="L43" s="1423">
        <v>36427</v>
      </c>
      <c r="M43" s="1432">
        <f t="shared" si="0"/>
        <v>5974708.4699999988</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574045</v>
      </c>
      <c r="E44" s="1422">
        <v>0</v>
      </c>
      <c r="F44" s="1423">
        <v>1405.23</v>
      </c>
      <c r="G44" s="1422">
        <v>126662.51</v>
      </c>
      <c r="H44" s="1422">
        <v>993171.09</v>
      </c>
      <c r="I44" s="1423">
        <v>3997.12</v>
      </c>
      <c r="J44" s="1422">
        <v>0</v>
      </c>
      <c r="K44" s="1422">
        <v>41301.17</v>
      </c>
      <c r="L44" s="1423">
        <v>355418</v>
      </c>
      <c r="M44" s="1432">
        <f t="shared" si="0"/>
        <v>2096000.12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4022</v>
      </c>
      <c r="E45" s="1423">
        <v>0</v>
      </c>
      <c r="F45" s="1422">
        <v>5565.44</v>
      </c>
      <c r="G45" s="1423">
        <v>1479071.64</v>
      </c>
      <c r="H45" s="1423">
        <v>1510940.21</v>
      </c>
      <c r="I45" s="1422">
        <v>699492.07</v>
      </c>
      <c r="J45" s="1422">
        <v>0</v>
      </c>
      <c r="K45" s="1423">
        <v>21018.03</v>
      </c>
      <c r="L45" s="1422">
        <v>345522</v>
      </c>
      <c r="M45" s="1432">
        <f t="shared" si="0"/>
        <v>4065631.3899999997</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349257</v>
      </c>
      <c r="E46" s="1423">
        <v>25105.81</v>
      </c>
      <c r="F46" s="1423">
        <v>13128.1</v>
      </c>
      <c r="G46" s="1423">
        <v>64321.81</v>
      </c>
      <c r="H46" s="1423">
        <v>212554.79</v>
      </c>
      <c r="I46" s="1423">
        <v>148278.98000000001</v>
      </c>
      <c r="J46" s="1422">
        <v>0</v>
      </c>
      <c r="K46" s="1422">
        <v>1747.4</v>
      </c>
      <c r="L46" s="1423">
        <v>32304</v>
      </c>
      <c r="M46" s="1432">
        <f t="shared" si="0"/>
        <v>846697.89</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352853</v>
      </c>
      <c r="E47" s="1423">
        <v>328.4</v>
      </c>
      <c r="F47" s="1422">
        <v>0</v>
      </c>
      <c r="G47" s="1422">
        <v>2036.25</v>
      </c>
      <c r="H47" s="1422">
        <v>41386.83</v>
      </c>
      <c r="I47" s="1422">
        <v>20273.18</v>
      </c>
      <c r="J47" s="1422">
        <v>0</v>
      </c>
      <c r="K47" s="1423">
        <v>0</v>
      </c>
      <c r="L47" s="1423">
        <v>1606</v>
      </c>
      <c r="M47" s="1432">
        <f t="shared" si="0"/>
        <v>418483.66000000003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1391</v>
      </c>
      <c r="E48" s="1422">
        <v>0</v>
      </c>
      <c r="F48" s="1422">
        <v>4493.93</v>
      </c>
      <c r="G48" s="1422">
        <v>118885.84</v>
      </c>
      <c r="H48" s="1422">
        <v>19539.32</v>
      </c>
      <c r="I48" s="1422">
        <v>225.83</v>
      </c>
      <c r="J48" s="1422">
        <v>0</v>
      </c>
      <c r="K48" s="1422">
        <v>6.02</v>
      </c>
      <c r="L48" s="1423">
        <v>793</v>
      </c>
      <c r="M48" s="1432">
        <f t="shared" si="0"/>
        <v>145334.93999999997</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27889</v>
      </c>
      <c r="E49" s="1422">
        <v>0</v>
      </c>
      <c r="F49" s="1422">
        <v>1517.95</v>
      </c>
      <c r="G49" s="1423">
        <v>134442.64000000001</v>
      </c>
      <c r="H49" s="1422">
        <v>8330.19</v>
      </c>
      <c r="I49" s="1422">
        <v>9930.81</v>
      </c>
      <c r="J49" s="1422">
        <v>0</v>
      </c>
      <c r="K49" s="1422">
        <v>0</v>
      </c>
      <c r="L49" s="1423">
        <v>17343</v>
      </c>
      <c r="M49" s="1432">
        <f t="shared" si="0"/>
        <v>199453.59000000003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35665</v>
      </c>
      <c r="E50" s="1423">
        <v>37596.639999999999</v>
      </c>
      <c r="F50" s="1423">
        <v>3503.82</v>
      </c>
      <c r="G50" s="1423">
        <v>1960073.99</v>
      </c>
      <c r="H50" s="1423">
        <v>115714.35</v>
      </c>
      <c r="I50" s="1422">
        <v>326676.39</v>
      </c>
      <c r="J50" s="1422">
        <v>0</v>
      </c>
      <c r="K50" s="1422">
        <v>64041.39</v>
      </c>
      <c r="L50" s="1423">
        <v>21518</v>
      </c>
      <c r="M50" s="1432">
        <f t="shared" si="0"/>
        <v>2564789.58</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2560247</v>
      </c>
      <c r="E51" s="1433">
        <v>338847.27</v>
      </c>
      <c r="F51" s="1433">
        <v>256841.12</v>
      </c>
      <c r="G51" s="1433">
        <v>2184438.3199999998</v>
      </c>
      <c r="H51" s="1433">
        <v>627139.9</v>
      </c>
      <c r="I51" s="1473">
        <v>261148.73</v>
      </c>
      <c r="J51" s="1433">
        <v>231147.86</v>
      </c>
      <c r="K51" s="1434">
        <v>17347.13</v>
      </c>
      <c r="L51" s="1433">
        <v>586012</v>
      </c>
      <c r="M51" s="1435">
        <f t="shared" si="0"/>
        <v>7063169.330000001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10259056</v>
      </c>
      <c r="E52" s="1428">
        <f t="shared" ref="E52:L52" si="1">SUM(E22:E51)</f>
        <v>1463504.3499999999</v>
      </c>
      <c r="F52" s="1428">
        <f t="shared" si="1"/>
        <v>1351575.2999999998</v>
      </c>
      <c r="G52" s="1428">
        <f t="shared" si="1"/>
        <v>21053617.23</v>
      </c>
      <c r="H52" s="1428">
        <f t="shared" si="1"/>
        <v>20998829.280000001</v>
      </c>
      <c r="I52" s="1428">
        <f t="shared" si="1"/>
        <v>4742817.51</v>
      </c>
      <c r="J52" s="1428">
        <f t="shared" si="1"/>
        <v>2596651.35</v>
      </c>
      <c r="K52" s="1428">
        <f t="shared" si="1"/>
        <v>1336711.2699999998</v>
      </c>
      <c r="L52" s="1428">
        <f t="shared" si="1"/>
        <v>2655432</v>
      </c>
      <c r="M52" s="1428">
        <f>SUM(M22:M51)</f>
        <v>66458194.289999992</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5406</v>
      </c>
      <c r="E56" s="1426">
        <v>12926.66</v>
      </c>
      <c r="F56" s="1427">
        <v>17991.14</v>
      </c>
      <c r="G56" s="1427">
        <v>797425.95</v>
      </c>
      <c r="H56" s="1427">
        <v>1442825.75</v>
      </c>
      <c r="I56" s="1426">
        <v>177806</v>
      </c>
      <c r="J56" s="1426">
        <v>0</v>
      </c>
      <c r="K56" s="1426">
        <v>0</v>
      </c>
      <c r="L56" s="1427">
        <v>23760</v>
      </c>
      <c r="M56" s="1440">
        <f t="shared" ref="M56:M62" si="2">SUM(D56:L56)</f>
        <v>2478141.5</v>
      </c>
      <c r="O56" s="938"/>
      <c r="P56" s="936"/>
    </row>
    <row r="57" spans="1:55" ht="15.75">
      <c r="A57" s="936"/>
      <c r="B57" s="936" t="s">
        <v>598</v>
      </c>
      <c r="C57" s="932"/>
      <c r="D57" s="1427">
        <v>480407</v>
      </c>
      <c r="E57" s="1426">
        <v>0</v>
      </c>
      <c r="F57" s="1426">
        <v>0</v>
      </c>
      <c r="G57" s="1426">
        <v>137876.60999999999</v>
      </c>
      <c r="H57" s="1426">
        <v>9870.5</v>
      </c>
      <c r="I57" s="1426">
        <v>6494</v>
      </c>
      <c r="J57" s="1426">
        <v>0</v>
      </c>
      <c r="K57" s="1426">
        <v>0</v>
      </c>
      <c r="L57" s="1426">
        <v>0</v>
      </c>
      <c r="M57" s="1440">
        <f t="shared" si="2"/>
        <v>634648.11</v>
      </c>
      <c r="O57" s="938"/>
      <c r="P57" s="936"/>
    </row>
    <row r="58" spans="1:55" ht="15.75">
      <c r="A58" s="936"/>
      <c r="B58" s="936" t="s">
        <v>599</v>
      </c>
      <c r="C58" s="932"/>
      <c r="D58" s="1426">
        <v>0</v>
      </c>
      <c r="E58" s="1426">
        <v>0</v>
      </c>
      <c r="F58" s="1426">
        <v>0</v>
      </c>
      <c r="G58" s="1427">
        <v>114622.41</v>
      </c>
      <c r="H58" s="1427">
        <v>82673.820000000007</v>
      </c>
      <c r="I58" s="1426">
        <v>50565</v>
      </c>
      <c r="J58" s="1426">
        <v>0</v>
      </c>
      <c r="K58" s="1426">
        <v>0</v>
      </c>
      <c r="L58" s="1426">
        <v>0</v>
      </c>
      <c r="M58" s="1440">
        <f t="shared" si="2"/>
        <v>247861.23</v>
      </c>
      <c r="O58" s="938"/>
      <c r="P58" s="936"/>
    </row>
    <row r="59" spans="1:55" ht="15.75">
      <c r="A59" s="936"/>
      <c r="B59" s="936" t="s">
        <v>600</v>
      </c>
      <c r="C59" s="932"/>
      <c r="D59" s="1426">
        <v>295904</v>
      </c>
      <c r="E59" s="1427">
        <v>44182.47</v>
      </c>
      <c r="F59" s="1427">
        <v>46781.81</v>
      </c>
      <c r="G59" s="1427">
        <v>1706738.17</v>
      </c>
      <c r="H59" s="1427">
        <v>744906.74</v>
      </c>
      <c r="I59" s="1427">
        <v>152655</v>
      </c>
      <c r="J59" s="1426">
        <v>0</v>
      </c>
      <c r="K59" s="1426">
        <v>102512.26</v>
      </c>
      <c r="L59" s="1426">
        <v>3842</v>
      </c>
      <c r="M59" s="1440">
        <f t="shared" si="2"/>
        <v>3097522.4499999997</v>
      </c>
      <c r="O59" s="938"/>
      <c r="P59" s="936"/>
    </row>
    <row r="60" spans="1:55" ht="15.75">
      <c r="A60" s="936"/>
      <c r="B60" s="936" t="s">
        <v>601</v>
      </c>
      <c r="C60" s="932"/>
      <c r="D60" s="1426">
        <v>0</v>
      </c>
      <c r="E60" s="1426">
        <v>0</v>
      </c>
      <c r="F60" s="1426">
        <v>0</v>
      </c>
      <c r="G60" s="1426">
        <v>0</v>
      </c>
      <c r="H60" s="1426">
        <v>787257.43</v>
      </c>
      <c r="I60" s="1426">
        <v>97342</v>
      </c>
      <c r="J60" s="1426">
        <v>0</v>
      </c>
      <c r="K60" s="1426">
        <v>0</v>
      </c>
      <c r="L60" s="1426">
        <v>11309</v>
      </c>
      <c r="M60" s="1440">
        <f t="shared" si="2"/>
        <v>895908.43</v>
      </c>
      <c r="O60" s="938"/>
      <c r="P60" s="936"/>
    </row>
    <row r="61" spans="1:55" ht="15.75">
      <c r="A61" s="936"/>
      <c r="B61" s="936" t="s">
        <v>602</v>
      </c>
      <c r="C61" s="932"/>
      <c r="D61" s="1426">
        <v>0</v>
      </c>
      <c r="E61" s="1426">
        <v>0</v>
      </c>
      <c r="F61" s="1426">
        <v>0</v>
      </c>
      <c r="G61" s="1426">
        <v>0</v>
      </c>
      <c r="H61" s="1426">
        <v>0</v>
      </c>
      <c r="I61" s="1426">
        <v>0</v>
      </c>
      <c r="J61" s="1426">
        <v>0</v>
      </c>
      <c r="K61" s="1426">
        <v>0</v>
      </c>
      <c r="L61" s="1426">
        <v>0</v>
      </c>
      <c r="M61" s="1440">
        <f t="shared" si="2"/>
        <v>0</v>
      </c>
      <c r="O61" s="938"/>
      <c r="P61" s="936"/>
    </row>
    <row r="62" spans="1:55" ht="16.5" thickBot="1">
      <c r="A62" s="936"/>
      <c r="B62" s="929" t="s">
        <v>603</v>
      </c>
      <c r="C62" s="946"/>
      <c r="D62" s="1424">
        <v>61764</v>
      </c>
      <c r="E62" s="1424">
        <v>78062.81</v>
      </c>
      <c r="F62" s="1433">
        <v>43665.85</v>
      </c>
      <c r="G62" s="1433">
        <v>1150935.6100000001</v>
      </c>
      <c r="H62" s="1433">
        <v>239644.82</v>
      </c>
      <c r="I62" s="1424">
        <v>18624</v>
      </c>
      <c r="J62" s="1424">
        <v>0</v>
      </c>
      <c r="K62" s="1451">
        <v>191829.5</v>
      </c>
      <c r="L62" s="1424">
        <v>13032</v>
      </c>
      <c r="M62" s="1442">
        <f t="shared" si="2"/>
        <v>1797558.59</v>
      </c>
      <c r="O62" s="938"/>
      <c r="P62" s="936"/>
    </row>
    <row r="63" spans="1:55" ht="15.75">
      <c r="A63" s="936"/>
      <c r="B63" s="1074" t="s">
        <v>0</v>
      </c>
      <c r="C63" s="1074" t="s">
        <v>604</v>
      </c>
      <c r="D63" s="1428">
        <f t="shared" ref="D63:I63" si="3">SUM(D56:D62)</f>
        <v>843481</v>
      </c>
      <c r="E63" s="1428">
        <f t="shared" si="3"/>
        <v>135171.94</v>
      </c>
      <c r="F63" s="1428">
        <f t="shared" si="3"/>
        <v>108438.79999999999</v>
      </c>
      <c r="G63" s="1428">
        <f t="shared" si="3"/>
        <v>3907598.75</v>
      </c>
      <c r="H63" s="1428">
        <f t="shared" si="3"/>
        <v>3307179.06</v>
      </c>
      <c r="I63" s="1428">
        <f t="shared" si="3"/>
        <v>503486</v>
      </c>
      <c r="J63" s="1426" t="s">
        <v>566</v>
      </c>
      <c r="K63" s="1428">
        <f>SUM(K56:K62)</f>
        <v>294341.76000000001</v>
      </c>
      <c r="L63" s="1428">
        <f>SUM(L56:L62)</f>
        <v>51943</v>
      </c>
      <c r="M63" s="1443">
        <f>SUM(M56:M62)</f>
        <v>9151640.3099999987</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21132</v>
      </c>
      <c r="E68" s="1427">
        <v>6698.07</v>
      </c>
      <c r="F68" s="1427">
        <v>6522.86</v>
      </c>
      <c r="G68" s="1427">
        <v>114106.48</v>
      </c>
      <c r="H68" s="1427">
        <v>80269.850000000006</v>
      </c>
      <c r="I68" s="1427">
        <v>34394</v>
      </c>
      <c r="J68" s="1426">
        <v>0</v>
      </c>
      <c r="K68" s="1426">
        <v>14318.44</v>
      </c>
      <c r="L68" s="1426">
        <v>0</v>
      </c>
      <c r="M68" s="1443">
        <f t="shared" ref="M68:M75" si="4">SUM(D68:L68)</f>
        <v>277441.7</v>
      </c>
      <c r="O68" s="938"/>
      <c r="P68" s="936"/>
    </row>
    <row r="69" spans="1:16" ht="15.75">
      <c r="A69" s="936"/>
      <c r="B69" s="936" t="s">
        <v>599</v>
      </c>
      <c r="C69" s="932"/>
      <c r="D69" s="1426">
        <v>0</v>
      </c>
      <c r="E69" s="1426">
        <v>0</v>
      </c>
      <c r="F69" s="1426">
        <v>0</v>
      </c>
      <c r="G69" s="1426">
        <v>10937.59</v>
      </c>
      <c r="H69" s="1426">
        <v>10583.34</v>
      </c>
      <c r="I69" s="1426">
        <v>10782</v>
      </c>
      <c r="J69" s="1426">
        <v>0</v>
      </c>
      <c r="K69" s="1426">
        <v>0</v>
      </c>
      <c r="L69" s="1426">
        <v>1498</v>
      </c>
      <c r="M69" s="1443">
        <f t="shared" si="4"/>
        <v>33800.93</v>
      </c>
      <c r="O69" s="938"/>
      <c r="P69" s="936"/>
    </row>
    <row r="70" spans="1:16" ht="15.75">
      <c r="A70" s="936"/>
      <c r="B70" s="936" t="s">
        <v>607</v>
      </c>
      <c r="C70" s="932"/>
      <c r="D70" s="1426">
        <v>11023</v>
      </c>
      <c r="E70" s="1427">
        <v>0</v>
      </c>
      <c r="F70" s="1426">
        <v>0</v>
      </c>
      <c r="G70" s="1426">
        <v>794605.21</v>
      </c>
      <c r="H70" s="1426">
        <v>1178256.44</v>
      </c>
      <c r="I70" s="1426">
        <v>123655</v>
      </c>
      <c r="J70" s="1426">
        <v>0</v>
      </c>
      <c r="K70" s="1426">
        <v>34150.35</v>
      </c>
      <c r="L70" s="1426">
        <v>1216</v>
      </c>
      <c r="M70" s="1443">
        <f t="shared" si="4"/>
        <v>2142906</v>
      </c>
      <c r="O70" s="938"/>
      <c r="P70" s="936"/>
    </row>
    <row r="71" spans="1:16" ht="15.75">
      <c r="A71" s="936"/>
      <c r="B71" s="936" t="s">
        <v>600</v>
      </c>
      <c r="C71" s="932"/>
      <c r="D71" s="1426">
        <v>11317</v>
      </c>
      <c r="E71" s="1427">
        <v>176.88</v>
      </c>
      <c r="F71" s="1427">
        <v>22367.27</v>
      </c>
      <c r="G71" s="1427">
        <v>585274.81000000006</v>
      </c>
      <c r="H71" s="1427">
        <v>503463.4</v>
      </c>
      <c r="I71" s="1426">
        <v>162928</v>
      </c>
      <c r="J71" s="1426">
        <v>0</v>
      </c>
      <c r="K71" s="1426">
        <v>0</v>
      </c>
      <c r="L71" s="1427">
        <v>6352</v>
      </c>
      <c r="M71" s="1443">
        <f t="shared" si="4"/>
        <v>1291879.3600000001</v>
      </c>
      <c r="O71" s="938"/>
      <c r="P71" s="936"/>
    </row>
    <row r="72" spans="1:16" ht="15.75">
      <c r="A72" s="936"/>
      <c r="B72" s="936" t="s">
        <v>608</v>
      </c>
      <c r="C72" s="932"/>
      <c r="D72" s="1426">
        <v>1910</v>
      </c>
      <c r="E72" s="1426">
        <v>1749.72</v>
      </c>
      <c r="F72" s="1426">
        <v>0</v>
      </c>
      <c r="G72" s="1426">
        <v>63817.279999999999</v>
      </c>
      <c r="H72" s="1426">
        <v>22030.57</v>
      </c>
      <c r="I72" s="1426">
        <v>5197</v>
      </c>
      <c r="J72" s="1426">
        <v>0</v>
      </c>
      <c r="K72" s="1426">
        <v>0</v>
      </c>
      <c r="L72" s="1426">
        <v>0</v>
      </c>
      <c r="M72" s="1443">
        <f t="shared" si="4"/>
        <v>94704.57</v>
      </c>
      <c r="O72" s="938"/>
      <c r="P72" s="936"/>
    </row>
    <row r="73" spans="1:16" ht="15.75">
      <c r="A73" s="936"/>
      <c r="B73" s="936" t="s">
        <v>609</v>
      </c>
      <c r="C73" s="932"/>
      <c r="D73" s="1426">
        <v>13978</v>
      </c>
      <c r="E73" s="1426">
        <v>0</v>
      </c>
      <c r="F73" s="1426">
        <v>0</v>
      </c>
      <c r="G73" s="1426">
        <v>344909.53</v>
      </c>
      <c r="H73" s="1426">
        <v>93173.89</v>
      </c>
      <c r="I73" s="1426">
        <v>117078</v>
      </c>
      <c r="J73" s="1426">
        <v>0</v>
      </c>
      <c r="K73" s="1426">
        <v>2473.61</v>
      </c>
      <c r="L73" s="1426">
        <v>0</v>
      </c>
      <c r="M73" s="1443">
        <f t="shared" si="4"/>
        <v>571613.03</v>
      </c>
      <c r="O73" s="938"/>
      <c r="P73" s="936"/>
    </row>
    <row r="74" spans="1:16" ht="15.75">
      <c r="A74" s="936"/>
      <c r="B74" s="936" t="s">
        <v>601</v>
      </c>
      <c r="C74" s="932"/>
      <c r="D74" s="1426">
        <v>0</v>
      </c>
      <c r="E74" s="1426">
        <v>0</v>
      </c>
      <c r="F74" s="1426">
        <v>0</v>
      </c>
      <c r="G74" s="1426">
        <v>0</v>
      </c>
      <c r="H74" s="1426">
        <v>235251.99</v>
      </c>
      <c r="I74" s="1426">
        <v>578</v>
      </c>
      <c r="J74" s="1426">
        <v>0</v>
      </c>
      <c r="K74" s="1426">
        <v>37149.279999999999</v>
      </c>
      <c r="L74" s="1426">
        <v>850</v>
      </c>
      <c r="M74" s="1443">
        <f t="shared" si="4"/>
        <v>273829.27</v>
      </c>
      <c r="O74" s="938"/>
      <c r="P74" s="936"/>
    </row>
    <row r="75" spans="1:16" ht="16.5" thickBot="1">
      <c r="A75" s="936"/>
      <c r="B75" s="929" t="s">
        <v>603</v>
      </c>
      <c r="C75" s="946"/>
      <c r="D75" s="1424">
        <v>206747</v>
      </c>
      <c r="E75" s="1433">
        <v>387617.56</v>
      </c>
      <c r="F75" s="1433">
        <v>59948.71</v>
      </c>
      <c r="G75" s="1433">
        <v>498807.81</v>
      </c>
      <c r="H75" s="1433">
        <v>783965.72</v>
      </c>
      <c r="I75" s="1424">
        <v>69710</v>
      </c>
      <c r="J75" s="1424">
        <v>0</v>
      </c>
      <c r="K75" s="1424">
        <v>118685.5</v>
      </c>
      <c r="L75" s="1433">
        <v>2544</v>
      </c>
      <c r="M75" s="1447">
        <f t="shared" si="4"/>
        <v>2128026.2999999998</v>
      </c>
      <c r="O75" s="938"/>
      <c r="P75" s="936"/>
    </row>
    <row r="76" spans="1:16" ht="15.75">
      <c r="A76" s="936"/>
      <c r="C76" s="1074" t="s">
        <v>604</v>
      </c>
      <c r="D76" s="1428">
        <f t="shared" ref="D76:I76" si="5">SUM(D68:D75)</f>
        <v>266107</v>
      </c>
      <c r="E76" s="1428">
        <f t="shared" si="5"/>
        <v>396242.23</v>
      </c>
      <c r="F76" s="1428">
        <f t="shared" si="5"/>
        <v>88838.84</v>
      </c>
      <c r="G76" s="1428">
        <f t="shared" si="5"/>
        <v>2412458.71</v>
      </c>
      <c r="H76" s="1428">
        <f t="shared" si="5"/>
        <v>2906995.1999999993</v>
      </c>
      <c r="I76" s="1428">
        <f t="shared" si="5"/>
        <v>524322</v>
      </c>
      <c r="J76" s="1426" t="s">
        <v>566</v>
      </c>
      <c r="K76" s="1428">
        <f>SUM(K68:K75)</f>
        <v>206777.18</v>
      </c>
      <c r="L76" s="1428">
        <f>SUM(L68:L75)</f>
        <v>12460</v>
      </c>
      <c r="M76" s="1443">
        <f>SUM(M68:M75)</f>
        <v>6814201.1599999992</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5.xml><?xml version="1.0" encoding="utf-8"?>
<worksheet xmlns="http://schemas.openxmlformats.org/spreadsheetml/2006/main" xmlns:r="http://schemas.openxmlformats.org/officeDocument/2006/relationships">
  <sheetPr>
    <pageSetUpPr fitToPage="1"/>
  </sheetPr>
  <dimension ref="A1:BC239"/>
  <sheetViews>
    <sheetView topLeftCell="B19" zoomScale="110" zoomScaleNormal="110" workbookViewId="0">
      <pane xSplit="2" ySplit="3" topLeftCell="D54"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882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f>+'Secteur d''activité sept. 13'!D22/'Secteur d''activité sept. 13'!$D$52</f>
        <v>0</v>
      </c>
      <c r="E22" s="918">
        <f>+'Secteur d''activité sept. 13'!E22/'Secteur d''activité sept. 13'!$E$52</f>
        <v>0</v>
      </c>
      <c r="F22" s="918">
        <f>+'Secteur d''activité sept. 13'!F22/'Secteur d''activité sept. 13'!$F$52</f>
        <v>0</v>
      </c>
      <c r="G22" s="967">
        <f>+'Secteur d''activité sept. 13'!G22/'Secteur d''activité sept. 13'!$G$52</f>
        <v>1.2269483062127468E-4</v>
      </c>
      <c r="H22" s="917">
        <f>+'Secteur d''activité sept. 13'!H22/'Secteur d''activité sept. 13'!$H$52</f>
        <v>4.9557815158350581E-3</v>
      </c>
      <c r="I22" s="918">
        <f>+'Secteur d''activité sept. 13'!I22/'Secteur d''activité sept. 13'!$I$52</f>
        <v>0</v>
      </c>
      <c r="J22" s="917" t="s">
        <v>566</v>
      </c>
      <c r="K22" s="918">
        <f>+'Secteur d''activité sept. 13'!K22/'Secteur d''activité sept. 13'!$K$52</f>
        <v>0</v>
      </c>
      <c r="L22" s="918">
        <f>+'Secteur d''activité sept. 13'!L22/'Secteur d''activité sept. 13'!$L$52</f>
        <v>0</v>
      </c>
      <c r="M22" s="1071">
        <f>+'Secteur d''activité sept. 13'!M22/'Secteur d''activité sept. 13'!$M$52</f>
        <v>1.6047498903539652E-3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f>+'Secteur d''activité sept. 13'!D23/'Secteur d''activité sept. 13'!$D$52</f>
        <v>2.1807756971011758E-2</v>
      </c>
      <c r="E23" s="917">
        <f>+'Secteur d''activité sept. 13'!E23/'Secteur d''activité sept. 13'!$E$52</f>
        <v>1.5204013571944628E-2</v>
      </c>
      <c r="F23" s="918">
        <v>0</v>
      </c>
      <c r="G23" s="967">
        <f>+'Secteur d''activité sept. 13'!G23/'Secteur d''activité sept. 13'!$G$52</f>
        <v>1.0227300023920877E-2</v>
      </c>
      <c r="H23" s="917">
        <f>+'Secteur d''activité sept. 13'!H23/'Secteur d''activité sept. 13'!$H$52</f>
        <v>4.9559558112660648E-2</v>
      </c>
      <c r="I23" s="917">
        <f>+'Secteur d''activité sept. 13'!I23/'Secteur d''activité sept. 13'!$I$52</f>
        <v>4.5383749120889119E-2</v>
      </c>
      <c r="J23" s="917" t="s">
        <v>566</v>
      </c>
      <c r="K23" s="917">
        <f>+'Secteur d''activité sept. 13'!K23/'Secteur d''activité sept. 13'!$K$52</f>
        <v>0.22497537557231789</v>
      </c>
      <c r="L23" s="917">
        <f>+'Secteur d''activité sept. 13'!L23/'Secteur d''activité sept. 13'!$L$52</f>
        <v>5.3760744014533228E-2</v>
      </c>
      <c r="M23" s="1071">
        <f>+'Secteur d''activité sept. 13'!M23/'Secteur d''activité sept. 13'!$M$52</f>
        <v>3.2512828449284673E-2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f>+'Secteur d''activité sept. 13'!D24/'Secteur d''activité sept. 13'!$D$52</f>
        <v>3.7303627156338748E-4</v>
      </c>
      <c r="E24" s="918">
        <f>+'Secteur d''activité sept. 13'!E24/'Secteur d''activité sept. 13'!$E$52</f>
        <v>0</v>
      </c>
      <c r="F24" s="917">
        <f>+'Secteur d''activité sept. 13'!F24/'Secteur d''activité sept. 13'!$F$52</f>
        <v>7.0584820542370086E-3</v>
      </c>
      <c r="G24" s="967">
        <f>+'Secteur d''activité sept. 13'!G24/'Secteur d''activité sept. 13'!$G$52</f>
        <v>3.1586232082362213E-2</v>
      </c>
      <c r="H24" s="917">
        <f>+'Secteur d''activité sept. 13'!H24/'Secteur d''activité sept. 13'!$H$52</f>
        <v>4.9189137938455585E-2</v>
      </c>
      <c r="I24" s="917">
        <f>+'Secteur d''activité sept. 13'!I24/'Secteur d''activité sept. 13'!$I$52</f>
        <v>1.9084118208039593E-2</v>
      </c>
      <c r="J24" s="917" t="s">
        <v>566</v>
      </c>
      <c r="K24" s="917">
        <f>+'Secteur d''activité sept. 13'!K24/'Secteur d''activité sept. 13'!$K$52</f>
        <v>0.13644590577888974</v>
      </c>
      <c r="L24" s="917">
        <f>+'Secteur d''activité sept. 13'!L24/'Secteur d''activité sept. 13'!$L$52</f>
        <v>3.0236888009182686E-2</v>
      </c>
      <c r="M24" s="1071">
        <f>+'Secteur d''activité sept. 13'!M24/'Secteur d''activité sept. 13'!$M$52</f>
        <v>3.1064327161694241E-2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f>+'Secteur d''activité sept. 13'!D25/'Secteur d''activité sept. 13'!$D$52</f>
        <v>1.4089015597536459E-3</v>
      </c>
      <c r="E25" s="918">
        <f>+'Secteur d''activité sept. 13'!E25/'Secteur d''activité sept. 13'!$E$52</f>
        <v>0</v>
      </c>
      <c r="F25" s="917">
        <f>+'Secteur d''activité sept. 13'!F25/'Secteur d''activité sept. 13'!$F$52</f>
        <v>4.8601065734184403E-4</v>
      </c>
      <c r="G25" s="967">
        <f>+'Secteur d''activité sept. 13'!G25/'Secteur d''activité sept. 13'!$G$52</f>
        <v>2.8140057526827183E-4</v>
      </c>
      <c r="H25" s="918">
        <f>+'Secteur d''activité sept. 13'!H25/'Secteur d''activité sept. 13'!$H$52</f>
        <v>0</v>
      </c>
      <c r="I25" s="918">
        <f>+'Secteur d''activité sept. 13'!I25/'Secteur d''activité sept. 13'!$I$52</f>
        <v>0</v>
      </c>
      <c r="J25" s="917" t="s">
        <v>566</v>
      </c>
      <c r="K25" s="918">
        <f>+'Secteur d''activité sept. 13'!K25/'Secteur d''activité sept. 13'!$K$52</f>
        <v>0</v>
      </c>
      <c r="L25" s="918">
        <f>+'Secteur d''activité sept. 13'!L25/'Secteur d''activité sept. 13'!$L$52</f>
        <v>0</v>
      </c>
      <c r="M25" s="1071">
        <f>+'Secteur d''activité sept. 13'!M25/'Secteur d''activité sept. 13'!$M$52</f>
        <v>3.165204866718024E-4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8">
        <f>+'Secteur d''activité sept. 13'!D26/'Secteur d''activité sept. 13'!$D$52</f>
        <v>0</v>
      </c>
      <c r="E26" s="918">
        <f>+'Secteur d''activité sept. 13'!E26/'Secteur d''activité sept. 13'!$E$52</f>
        <v>0</v>
      </c>
      <c r="F26" s="918">
        <f>+'Secteur d''activité sept. 13'!F26/'Secteur d''activité sept. 13'!$F$52</f>
        <v>0</v>
      </c>
      <c r="G26" s="967">
        <f>+'Secteur d''activité sept. 13'!G26/'Secteur d''activité sept. 13'!$G$52</f>
        <v>2.1848165803287949E-2</v>
      </c>
      <c r="H26" s="917">
        <f>+'Secteur d''activité sept. 13'!H26/'Secteur d''activité sept. 13'!$H$52</f>
        <v>4.2451980923005053E-3</v>
      </c>
      <c r="I26" s="917">
        <f>+'Secteur d''activité sept. 13'!I26/'Secteur d''activité sept. 13'!$I$52</f>
        <v>1.2369900354863116E-2</v>
      </c>
      <c r="J26" s="917" t="s">
        <v>566</v>
      </c>
      <c r="K26" s="917">
        <f>+'Secteur d''activité sept. 13'!K26/'Secteur d''activité sept. 13'!$K$52</f>
        <v>4.8834031301314609E-4</v>
      </c>
      <c r="L26" s="918">
        <f>+'Secteur d''activité sept. 13'!L26/'Secteur d''activité sept. 13'!$L$52</f>
        <v>0</v>
      </c>
      <c r="M26" s="1071">
        <f>+'Secteur d''activité sept. 13'!M26/'Secteur d''activité sept. 13'!$M$52</f>
        <v>9.1553504650600127E-3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f>+'Secteur d''activité sept. 13'!D27/'Secteur d''activité sept. 13'!$D$52</f>
        <v>2.1827934266076723E-2</v>
      </c>
      <c r="E27" s="918">
        <f>+'Secteur d''activité sept. 13'!E27/'Secteur d''activité sept. 13'!$E$52</f>
        <v>0</v>
      </c>
      <c r="F27" s="918">
        <f>+'Secteur d''activité sept. 13'!F27/'Secteur d''activité sept. 13'!$F$52</f>
        <v>0</v>
      </c>
      <c r="G27" s="967">
        <f>+'Secteur d''activité sept. 13'!G27/'Secteur d''activité sept. 13'!$G$52</f>
        <v>2.8094484835468819E-2</v>
      </c>
      <c r="H27" s="917">
        <f>+'Secteur d''activité sept. 13'!H27/'Secteur d''activité sept. 13'!$H$52</f>
        <v>1.23762070987226E-2</v>
      </c>
      <c r="I27" s="917">
        <f>+'Secteur d''activité sept. 13'!I27/'Secteur d''activité sept. 13'!$I$52</f>
        <v>5.6659949372582967E-3</v>
      </c>
      <c r="J27" s="917" t="s">
        <v>566</v>
      </c>
      <c r="K27" s="918">
        <f>+'Secteur d''activité sept. 13'!K27/'Secteur d''activité sept. 13'!$K$52</f>
        <v>0</v>
      </c>
      <c r="L27" s="917">
        <f>+'Secteur d''activité sept. 13'!L27/'Secteur d''activité sept. 13'!$L$52</f>
        <v>2.3374727727917717E-3</v>
      </c>
      <c r="M27" s="1071">
        <f>+'Secteur d''activité sept. 13'!M27/'Secteur d''activité sept. 13'!$M$52</f>
        <v>1.6678006103557051E-2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7">
        <f>+'Secteur d''activité sept. 13'!D28/'Secteur d''activité sept. 13'!$D$52</f>
        <v>0</v>
      </c>
      <c r="E28" s="918">
        <f>+'Secteur d''activité sept. 13'!E28/'Secteur d''activité sept. 13'!$E$52</f>
        <v>0</v>
      </c>
      <c r="F28" s="917">
        <f>+'Secteur d''activité sept. 13'!F28/'Secteur d''activité sept. 13'!$F$52</f>
        <v>6.6189208991907448E-3</v>
      </c>
      <c r="G28" s="1456">
        <f>+'Secteur d''activité sept. 13'!G28/'Secteur d''activité sept. 13'!$G$52</f>
        <v>0</v>
      </c>
      <c r="H28" s="917">
        <f>+'Secteur d''activité sept. 13'!H28/'Secteur d''activité sept. 13'!$H$52</f>
        <v>2.7982236160167496E-3</v>
      </c>
      <c r="I28" s="917">
        <f>+'Secteur d''activité sept. 13'!I28/'Secteur d''activité sept. 13'!$I$52</f>
        <v>7.7624745043163178E-5</v>
      </c>
      <c r="J28" s="917" t="s">
        <v>566</v>
      </c>
      <c r="K28" s="918">
        <f>+'Secteur d''activité sept. 13'!K28/'Secteur d''activité sept. 13'!$K$52</f>
        <v>0</v>
      </c>
      <c r="L28" s="918">
        <f>+'Secteur d''activité sept. 13'!L28/'Secteur d''activité sept. 13'!$L$52</f>
        <v>0</v>
      </c>
      <c r="M28" s="1071">
        <f>+'Secteur d''activité sept. 13'!M28/'Secteur d''activité sept. 13'!$M$52</f>
        <v>1.0243063436684899E-3</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f>+'Secteur d''activité sept. 13'!D29/'Secteur d''activité sept. 13'!$D$52</f>
        <v>3.4207825749269717E-3</v>
      </c>
      <c r="E29" s="918">
        <f>+'Secteur d''activité sept. 13'!E29/'Secteur d''activité sept. 13'!$E$52</f>
        <v>0</v>
      </c>
      <c r="F29" s="918">
        <f>+'Secteur d''activité sept. 13'!F29/'Secteur d''activité sept. 13'!$F$52</f>
        <v>0</v>
      </c>
      <c r="G29" s="967">
        <f>+'Secteur d''activité sept. 13'!G29/'Secteur d''activité sept. 13'!$G$52</f>
        <v>1.269147088032245E-2</v>
      </c>
      <c r="H29" s="917">
        <f>+'Secteur d''activité sept. 13'!H29/'Secteur d''activité sept. 13'!$H$52</f>
        <v>3.9035333306924242E-3</v>
      </c>
      <c r="I29" s="917">
        <f>+'Secteur d''activité sept. 13'!I29/'Secteur d''activité sept. 13'!$I$52</f>
        <v>1.1858784336823452E-2</v>
      </c>
      <c r="J29" s="917" t="s">
        <v>566</v>
      </c>
      <c r="K29" s="918">
        <f>+'Secteur d''activité sept. 13'!K29/'Secteur d''activité sept. 13'!$K$52</f>
        <v>0</v>
      </c>
      <c r="L29" s="917">
        <f>+'Secteur d''activité sept. 13'!L29/'Secteur d''activité sept. 13'!$L$52</f>
        <v>1.6901204775720108E-3</v>
      </c>
      <c r="M29" s="1071">
        <f>+'Secteur d''activité sept. 13'!M29/'Secteur d''activité sept. 13'!$M$52</f>
        <v>6.6958943852460191E-3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f>+'Secteur d''activité sept. 13'!D30/'Secteur d''activité sept. 13'!$D$52</f>
        <v>4.4739106600061446E-2</v>
      </c>
      <c r="E30" s="918">
        <f>+'Secteur d''activité sept. 13'!E30/'Secteur d''activité sept. 13'!$E$52</f>
        <v>0</v>
      </c>
      <c r="F30" s="917">
        <f>+'Secteur d''activité sept. 13'!F30/'Secteur d''activité sept. 13'!$F$52</f>
        <v>1.1895955778416491E-2</v>
      </c>
      <c r="G30" s="967">
        <f>+'Secteur d''activité sept. 13'!G30/'Secteur d''activité sept. 13'!$G$52</f>
        <v>3.2922711210514398E-2</v>
      </c>
      <c r="H30" s="917">
        <f>+'Secteur d''activité sept. 13'!H30/'Secteur d''activité sept. 13'!$H$52</f>
        <v>2.344110871308536E-2</v>
      </c>
      <c r="I30" s="917">
        <f>+'Secteur d''activité sept. 13'!I30/'Secteur d''activité sept. 13'!$I$52</f>
        <v>1.3699662671608886E-2</v>
      </c>
      <c r="J30" s="917" t="s">
        <v>566</v>
      </c>
      <c r="K30" s="917">
        <f>+'Secteur d''activité sept. 13'!K30/'Secteur d''activité sept. 13'!$K$52</f>
        <v>8.7131411707181916E-2</v>
      </c>
      <c r="L30" s="917">
        <f>+'Secteur d''activité sept. 13'!L30/'Secteur d''activité sept. 13'!$L$52</f>
        <v>7.5531966173488906E-3</v>
      </c>
      <c r="M30" s="1071">
        <f>+'Secteur d''activité sept. 13'!M30/'Secteur d''activité sept. 13'!$M$52</f>
        <v>2.8016692898322808E-2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f>+'Secteur d''activité sept. 13'!D31/'Secteur d''activité sept. 13'!$D$52</f>
        <v>5.183712809443676E-4</v>
      </c>
      <c r="E31" s="917">
        <f>+'Secteur d''activité sept. 13'!E31/'Secteur d''activité sept. 13'!$E$52</f>
        <v>5.4722761842149637E-4</v>
      </c>
      <c r="F31" s="918">
        <f>+'Secteur d''activité sept. 13'!F31/'Secteur d''activité sept. 13'!$F$52</f>
        <v>0</v>
      </c>
      <c r="G31" s="967">
        <f>+'Secteur d''activité sept. 13'!G31/'Secteur d''activité sept. 13'!$G$52</f>
        <v>2.747868804110485E-2</v>
      </c>
      <c r="H31" s="917">
        <f>+'Secteur d''activité sept. 13'!H31/'Secteur d''activité sept. 13'!$H$52</f>
        <v>2.5350015608108224E-2</v>
      </c>
      <c r="I31" s="917">
        <f>+'Secteur d''activité sept. 13'!I31/'Secteur d''activité sept. 13'!$I$52</f>
        <v>2.5490706683336001E-2</v>
      </c>
      <c r="J31" s="917" t="s">
        <v>566</v>
      </c>
      <c r="K31" s="918">
        <f>+'Secteur d''activité sept. 13'!K31/'Secteur d''activité sept. 13'!$K$52</f>
        <v>0</v>
      </c>
      <c r="L31" s="917">
        <f>+'Secteur d''activité sept. 13'!L31/'Secteur d''activité sept. 13'!$L$52</f>
        <v>2.6353527410982471E-3</v>
      </c>
      <c r="M31" s="1071">
        <f>+'Secteur d''activité sept. 13'!M31/'Secteur d''activité sept. 13'!$M$52</f>
        <v>1.8731491026792991E-2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8">
        <f>+'Secteur d''activité sept. 13'!D32/'Secteur d''activité sept. 13'!$D$52</f>
        <v>0</v>
      </c>
      <c r="E32" s="918">
        <f>+'Secteur d''activité sept. 13'!E32/'Secteur d''activité sept. 13'!$E$52</f>
        <v>0</v>
      </c>
      <c r="F32" s="918">
        <f>+'Secteur d''activité sept. 13'!F32/'Secteur d''activité sept. 13'!$F$52</f>
        <v>0</v>
      </c>
      <c r="G32" s="967">
        <f>+'Secteur d''activité sept. 13'!G32/'Secteur d''activité sept. 13'!$G$52</f>
        <v>2.3230715874471134E-3</v>
      </c>
      <c r="H32" s="917">
        <f>+'Secteur d''activité sept. 13'!H32/'Secteur d''activité sept. 13'!$H$52</f>
        <v>7.8568765810738562E-3</v>
      </c>
      <c r="I32" s="917">
        <f>+'Secteur d''activité sept. 13'!I32/'Secteur d''activité sept. 13'!$I$52</f>
        <v>7.1177100803104687E-5</v>
      </c>
      <c r="J32" s="917" t="s">
        <v>566</v>
      </c>
      <c r="K32" s="918">
        <f>+'Secteur d''activité sept. 13'!K32/'Secteur d''activité sept. 13'!$K$52</f>
        <v>0</v>
      </c>
      <c r="L32" s="917">
        <f>+'Secteur d''activité sept. 13'!L32/'Secteur d''activité sept. 13'!$L$52</f>
        <v>8.3865826728005089E-4</v>
      </c>
      <c r="M32" s="1071">
        <f>+'Secteur d''activité sept. 13'!M32/'Secteur d''activité sept. 13'!$M$52</f>
        <v>3.257067880229341E-3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f>+'Secteur d''activité sept. 13'!D33/'Secteur d''activité sept. 13'!$D$52</f>
        <v>0.29226100335157545</v>
      </c>
      <c r="E33" s="918">
        <f>+'Secteur d''activité sept. 13'!E33/'Secteur d''activité sept. 13'!$E$52</f>
        <v>0</v>
      </c>
      <c r="F33" s="917">
        <f>+'Secteur d''activité sept. 13'!F33/'Secteur d''activité sept. 13'!$F$52</f>
        <v>0.3904720291943779</v>
      </c>
      <c r="G33" s="967">
        <f>+'Secteur d''activité sept. 13'!G33/'Secteur d''activité sept. 13'!$G$52</f>
        <v>4.2590986157108927E-2</v>
      </c>
      <c r="H33" s="917">
        <f>+'Secteur d''activité sept. 13'!H33/'Secteur d''activité sept. 13'!$H$52</f>
        <v>4.4019544502911451E-3</v>
      </c>
      <c r="I33" s="917">
        <f>+'Secteur d''activité sept. 13'!I33/'Secteur d''activité sept. 13'!$I$52</f>
        <v>3.983729072468572E-4</v>
      </c>
      <c r="J33" s="917" t="s">
        <v>566</v>
      </c>
      <c r="K33" s="917">
        <f>+'Secteur d''activité sept. 13'!K33/'Secteur d''activité sept. 13'!$K$52</f>
        <v>4.9427989037602718E-2</v>
      </c>
      <c r="L33" s="918">
        <f>+'Secteur d''activité sept. 13'!L33/'Secteur d''activité sept. 13'!$L$52</f>
        <v>0</v>
      </c>
      <c r="M33" s="1071">
        <f>+'Secteur d''activité sept. 13'!M33/'Secteur d''activité sept. 13'!$M$52</f>
        <v>6.8963127406090716E-2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8">
        <f>+'Secteur d''activité sept. 13'!D34/'Secteur d''activité sept. 13'!$D$52</f>
        <v>0</v>
      </c>
      <c r="E34" s="917">
        <f>+'Secteur d''activité sept. 13'!E34/'Secteur d''activité sept. 13'!$E$52</f>
        <v>4.5323609731669065E-3</v>
      </c>
      <c r="F34" s="917">
        <f>+'Secteur d''activité sept. 13'!F34/'Secteur d''activité sept. 13'!$F$52</f>
        <v>7.4783846671361938E-4</v>
      </c>
      <c r="G34" s="1456">
        <f>+'Secteur d''activité sept. 13'!G34/'Secteur d''activité sept. 13'!$G$52</f>
        <v>0</v>
      </c>
      <c r="H34" s="917">
        <f>+'Secteur d''activité sept. 13'!H34/'Secteur d''activité sept. 13'!$H$52</f>
        <v>8.2163116666854483E-2</v>
      </c>
      <c r="I34" s="917">
        <f>+'Secteur d''activité sept. 13'!I34/'Secteur d''activité sept. 13'!$I$52</f>
        <v>1.9510997377590437E-2</v>
      </c>
      <c r="J34" s="917" t="s">
        <v>566</v>
      </c>
      <c r="K34" s="917">
        <f>+'Secteur d''activité sept. 13'!K34/'Secteur d''activité sept. 13'!$K$52</f>
        <v>1.5877774412719663E-3</v>
      </c>
      <c r="L34" s="918">
        <f>+'Secteur d''activité sept. 13'!L34/'Secteur d''activité sept. 13'!$L$52</f>
        <v>0</v>
      </c>
      <c r="M34" s="1071">
        <f>+'Secteur d''activité sept. 13'!M34/'Secteur d''activité sept. 13'!$M$52</f>
        <v>2.7500486125531173E-2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8">
        <f>+'Secteur d''activité sept. 13'!D35/'Secteur d''activité sept. 13'!$D$52</f>
        <v>0</v>
      </c>
      <c r="E35" s="917">
        <f>+'Secteur d''activité sept. 13'!E35/'Secteur d''activité sept. 13'!$E$52</f>
        <v>2.9069882846607191E-3</v>
      </c>
      <c r="F35" s="918">
        <f>+'Secteur d''activité sept. 13'!F35/'Secteur d''activité sept. 13'!$F$52</f>
        <v>0</v>
      </c>
      <c r="G35" s="967">
        <f>+'Secteur d''activité sept. 13'!G35/'Secteur d''activité sept. 13'!$G$52</f>
        <v>1.2380103008075825E-2</v>
      </c>
      <c r="H35" s="917">
        <f>+'Secteur d''activité sept. 13'!H35/'Secteur d''activité sept. 13'!$H$52</f>
        <v>3.6722028152990443E-3</v>
      </c>
      <c r="I35" s="918">
        <f>+'Secteur d''activité sept. 13'!I35/'Secteur d''activité sept. 13'!$I$52</f>
        <v>0</v>
      </c>
      <c r="J35" s="917" t="s">
        <v>566</v>
      </c>
      <c r="K35" s="918">
        <f>+'Secteur d''activité sept. 13'!K35/'Secteur d''activité sept. 13'!$K$52</f>
        <v>0</v>
      </c>
      <c r="L35" s="918">
        <f>+'Secteur d''activité sept. 13'!L35/'Secteur d''activité sept. 13'!$L$52</f>
        <v>0</v>
      </c>
      <c r="M35" s="1071">
        <f>+'Secteur d''activité sept. 13'!M35/'Secteur d''activité sept. 13'!$M$52</f>
        <v>5.1462773500522696E-3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f>+'Secteur d''activité sept. 13'!D36/'Secteur d''activité sept. 13'!$D$52</f>
        <v>3.0167492993507395E-3</v>
      </c>
      <c r="E36" s="917">
        <f>+'Secteur d''activité sept. 13'!E36/'Secteur d''activité sept. 13'!$E$52</f>
        <v>0.11024548714187288</v>
      </c>
      <c r="F36" s="917">
        <f>+'Secteur d''activité sept. 13'!F36/'Secteur d''activité sept. 13'!$F$52</f>
        <v>0.12816186415954778</v>
      </c>
      <c r="G36" s="967">
        <f>+'Secteur d''activité sept. 13'!G36/'Secteur d''activité sept. 13'!$G$52</f>
        <v>8.9549362439890812E-2</v>
      </c>
      <c r="H36" s="917">
        <f>+'Secteur d''activité sept. 13'!H36/'Secteur d''activité sept. 13'!$H$52</f>
        <v>3.5626477553800079E-2</v>
      </c>
      <c r="I36" s="917">
        <f>+'Secteur d''activité sept. 13'!I36/'Secteur d''activité sept. 13'!$I$52</f>
        <v>6.3680451411675762E-2</v>
      </c>
      <c r="J36" s="917" t="s">
        <v>566</v>
      </c>
      <c r="K36" s="917">
        <f>+'Secteur d''activité sept. 13'!K36/'Secteur d''activité sept. 13'!$K$52</f>
        <v>6.5928373597089526E-3</v>
      </c>
      <c r="L36" s="917">
        <f>+'Secteur d''activité sept. 13'!L36/'Secteur d''activité sept. 13'!$L$52</f>
        <v>3.1064625266246697E-2</v>
      </c>
      <c r="M36" s="1071">
        <f>+'Secteur d''activité sept. 13'!M36/'Secteur d''activité sept. 13'!$M$52</f>
        <v>5.1044028448880702E-2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f>+'Secteur d''activité sept. 13'!D37/'Secteur d''activité sept. 13'!$D$52</f>
        <v>8.2218188496095551E-2</v>
      </c>
      <c r="E37" s="917">
        <f>+'Secteur d''activité sept. 13'!E37/'Secteur d''activité sept. 13'!$E$52</f>
        <v>9.2361830014376117E-2</v>
      </c>
      <c r="F37" s="917">
        <f>+'Secteur d''activité sept. 13'!F37/'Secteur d''activité sept. 13'!$F$52</f>
        <v>8.0231415889296012E-2</v>
      </c>
      <c r="G37" s="967">
        <f>+'Secteur d''activité sept. 13'!G37/'Secteur d''activité sept. 13'!$G$52</f>
        <v>0.18560225101993078</v>
      </c>
      <c r="H37" s="917">
        <f>+'Secteur d''activité sept. 13'!H37/'Secteur d''activité sept. 13'!$H$52</f>
        <v>0.15749349718033423</v>
      </c>
      <c r="I37" s="917">
        <f>+'Secteur d''activité sept. 13'!I37/'Secteur d''activité sept. 13'!$I$52</f>
        <v>0.10615750003841072</v>
      </c>
      <c r="J37" s="917" t="s">
        <v>566</v>
      </c>
      <c r="K37" s="917">
        <f>+'Secteur d''activité sept. 13'!K37/'Secteur d''activité sept. 13'!$K$52</f>
        <v>0.22019846514797475</v>
      </c>
      <c r="L37" s="917">
        <f>+'Secteur d''activité sept. 13'!L37/'Secteur d''activité sept. 13'!$L$52</f>
        <v>1.9561035643164654E-2</v>
      </c>
      <c r="M37" s="1071">
        <f>+'Secteur d''activité sept. 13'!M37/'Secteur d''activité sept. 13'!$M$52</f>
        <v>0.1377052155534875</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f>+'Secteur d''activité sept. 13'!D38/'Secteur d''activité sept. 13'!$D$52</f>
        <v>2.5938741342283345E-2</v>
      </c>
      <c r="E38" s="917">
        <f>+'Secteur d''activité sept. 13'!E38/'Secteur d''activité sept. 13'!$E$52</f>
        <v>0.27074892534484096</v>
      </c>
      <c r="F38" s="917">
        <f>+'Secteur d''activité sept. 13'!F38/'Secteur d''activité sept. 13'!$F$52</f>
        <v>6.5729848718010755E-2</v>
      </c>
      <c r="G38" s="967">
        <f>+'Secteur d''activité sept. 13'!G38/'Secteur d''activité sept. 13'!$G$52</f>
        <v>0.11458644106830282</v>
      </c>
      <c r="H38" s="917">
        <f>+'Secteur d''activité sept. 13'!H38/'Secteur d''activité sept. 13'!$H$52</f>
        <v>0.13843606046974824</v>
      </c>
      <c r="I38" s="917">
        <f>+'Secteur d''activité sept. 13'!I38/'Secteur d''activité sept. 13'!$I$52</f>
        <v>0.1105508421722935</v>
      </c>
      <c r="J38" s="917" t="s">
        <v>566</v>
      </c>
      <c r="K38" s="917">
        <f>+'Secteur d''activité sept. 13'!K38/'Secteur d''activité sept. 13'!$K$52</f>
        <v>0.15469098274304222</v>
      </c>
      <c r="L38" s="917">
        <f>+'Secteur d''activité sept. 13'!L38/'Secteur d''activité sept. 13'!$L$52</f>
        <v>4.6922685273055381E-3</v>
      </c>
      <c r="M38" s="1071">
        <f>+'Secteur d''activité sept. 13'!M38/'Secteur d''activité sept. 13'!$M$52</f>
        <v>0.10253366139117831</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f>+'Secteur d''activité sept. 13'!D39/'Secteur d''activité sept. 13'!$D$52</f>
        <v>1.7789161108000581E-4</v>
      </c>
      <c r="E39" s="917">
        <f>+'Secteur d''activité sept. 13'!E39/'Secteur d''activité sept. 13'!$E$52</f>
        <v>1.5614644397879652E-3</v>
      </c>
      <c r="F39" s="917">
        <f>+'Secteur d''activité sept. 13'!F39/'Secteur d''activité sept. 13'!$F$52</f>
        <v>6.7129075235393857E-5</v>
      </c>
      <c r="G39" s="967">
        <f>+'Secteur d''activité sept. 13'!G39/'Secteur d''activité sept. 13'!$G$52</f>
        <v>5.3955098907248447E-4</v>
      </c>
      <c r="H39" s="917">
        <f>+'Secteur d''activité sept. 13'!H39/'Secteur d''activité sept. 13'!$H$52</f>
        <v>6.0334315932873759E-4</v>
      </c>
      <c r="I39" s="917">
        <f>+'Secteur d''activité sept. 13'!I39/'Secteur d''activité sept. 13'!$I$52</f>
        <v>2.8511744277506476E-3</v>
      </c>
      <c r="J39" s="917" t="s">
        <v>566</v>
      </c>
      <c r="K39" s="918">
        <f>+'Secteur d''activité sept. 13'!K39/'Secteur d''activité sept. 13'!$K$52</f>
        <v>0</v>
      </c>
      <c r="L39" s="917">
        <f>+'Secteur d''activité sept. 13'!L39/'Secteur d''activité sept. 13'!$L$52</f>
        <v>2.3608211394605472E-3</v>
      </c>
      <c r="M39" s="1071">
        <f>+'Secteur d''activité sept. 13'!M39/'Secteur d''activité sept. 13'!$M$52</f>
        <v>7.2258267792307189E-4</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f>+'Secteur d''activité sept. 13'!D40/'Secteur d''activité sept. 13'!$D$52</f>
        <v>1.0277846226787337E-2</v>
      </c>
      <c r="E40" s="918">
        <f>+'Secteur d''activité sept. 13'!E40/'Secteur d''activité sept. 13'!$E$52</f>
        <v>0</v>
      </c>
      <c r="F40" s="918">
        <f>+'Secteur d''activité sept. 13'!F40/'Secteur d''activité sept. 13'!$F$52</f>
        <v>0</v>
      </c>
      <c r="G40" s="967">
        <f>+'Secteur d''activité sept. 13'!G40/'Secteur d''activité sept. 13'!$G$52</f>
        <v>4.6414271206924568E-2</v>
      </c>
      <c r="H40" s="917">
        <f>+'Secteur d''activité sept. 13'!H40/'Secteur d''activité sept. 13'!$H$52</f>
        <v>1.241992572644983E-3</v>
      </c>
      <c r="I40" s="917">
        <f>+'Secteur d''activité sept. 13'!I40/'Secteur d''activité sept. 13'!$I$52</f>
        <v>0.11725824551069433</v>
      </c>
      <c r="J40" s="917" t="s">
        <v>566</v>
      </c>
      <c r="K40" s="918">
        <f>+'Secteur d''activité sept. 13'!K40/'Secteur d''activité sept. 13'!$K$52</f>
        <v>0</v>
      </c>
      <c r="L40" s="918">
        <f>+'Secteur d''activité sept. 13'!L40/'Secteur d''activité sept. 13'!$L$52</f>
        <v>0</v>
      </c>
      <c r="M40" s="1071">
        <f>+'Secteur d''activité sept. 13'!M40/'Secteur d''activité sept. 13'!$M$52</f>
        <v>2.5050998869081673E-2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f>+'Secteur d''activité sept. 13'!D41/'Secteur d''activité sept. 13'!$D$52</f>
        <v>4.0801024967599357E-3</v>
      </c>
      <c r="E41" s="917">
        <f>+'Secteur d''activité sept. 13'!E41/'Secteur d''activité sept. 13'!$E$52</f>
        <v>3.2647549014801359E-2</v>
      </c>
      <c r="F41" s="918">
        <f>+'Secteur d''activité sept. 13'!F41/'Secteur d''activité sept. 13'!$F$52</f>
        <v>0</v>
      </c>
      <c r="G41" s="967">
        <f>+'Secteur d''activité sept. 13'!G41/'Secteur d''activité sept. 13'!$G$52</f>
        <v>1.4777560387897297E-3</v>
      </c>
      <c r="H41" s="917">
        <f>+'Secteur d''activité sept. 13'!H41/'Secteur d''activité sept. 13'!$H$52</f>
        <v>1.5413799297291109E-2</v>
      </c>
      <c r="I41" s="917">
        <f>+'Secteur d''activité sept. 13'!I41/'Secteur d''activité sept. 13'!$I$52</f>
        <v>6.8741881658440623E-3</v>
      </c>
      <c r="J41" s="917" t="s">
        <v>566</v>
      </c>
      <c r="K41" s="917">
        <f>+'Secteur d''activité sept. 13'!K41/'Secteur d''activité sept. 13'!$K$52</f>
        <v>3.3915701182051085E-3</v>
      </c>
      <c r="L41" s="918">
        <f>+'Secteur d''activité sept. 13'!L41/'Secteur d''activité sept. 13'!$L$52</f>
        <v>0</v>
      </c>
      <c r="M41" s="1071">
        <f>+'Secteur d''activité sept. 13'!M41/'Secteur d''activité sept. 13'!$M$52</f>
        <v>7.246032714922265E-3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f>+'Secteur d''activité sept. 13'!D42/'Secteur d''activité sept. 13'!$D$52</f>
        <v>6.676891129164321E-2</v>
      </c>
      <c r="E42" s="917">
        <f>+'Secteur d''activité sept. 13'!E42/'Secteur d''activité sept. 13'!$E$52</f>
        <v>0.11518705086185771</v>
      </c>
      <c r="F42" s="917">
        <f>+'Secteur d''activité sept. 13'!F42/'Secteur d''activité sept. 13'!$F$52</f>
        <v>4.1640462059346607E-2</v>
      </c>
      <c r="G42" s="967">
        <f>+'Secteur d''activité sept. 13'!G42/'Secteur d''activité sept. 13'!$G$52</f>
        <v>1.0290664432299076E-2</v>
      </c>
      <c r="H42" s="917">
        <f>+'Secteur d''activité sept. 13'!H42/'Secteur d''activité sept. 13'!$H$52</f>
        <v>3.9182819148096806E-2</v>
      </c>
      <c r="I42" s="917">
        <f>+'Secteur d''activité sept. 13'!I42/'Secteur d''activité sept. 13'!$I$52</f>
        <v>0.12816771227615711</v>
      </c>
      <c r="J42" s="967">
        <f>+'Secteur d''activité sept. 13'!J42/'Secteur d''activité sept. 13'!$J$52</f>
        <v>0.56405703830820408</v>
      </c>
      <c r="K42" s="917">
        <f>+'Secteur d''activité sept. 13'!K42/'Secteur d''activité sept. 13'!$K$52</f>
        <v>6.2491804980442794E-3</v>
      </c>
      <c r="L42" s="917">
        <f>+'Secteur d''activité sept. 13'!L42/'Secteur d''activité sept. 13'!$L$52</f>
        <v>0.31719885879209109</v>
      </c>
      <c r="M42" s="1071">
        <f>+'Secteur d''activité sept. 13'!M42/'Secteur d''activité sept. 13'!$M$52</f>
        <v>7.3316480413810545E-2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f>+'Secteur d''activité sept. 13'!D43/'Secteur d''activité sept. 13'!$D$52</f>
        <v>4.0489397854929339E-2</v>
      </c>
      <c r="E43" s="917">
        <f>+'Secteur d''activité sept. 13'!E43/'Secteur d''activité sept. 13'!$E$52</f>
        <v>7.9457221975459125E-2</v>
      </c>
      <c r="F43" s="917">
        <f>+'Secteur d''activité sept. 13'!F43/'Secteur d''activité sept. 13'!$F$52</f>
        <v>5.493366888252546E-2</v>
      </c>
      <c r="G43" s="967">
        <f>+'Secteur d''activité sept. 13'!G43/'Secteur d''activité sept. 13'!$G$52</f>
        <v>4.0684074410713512E-2</v>
      </c>
      <c r="H43" s="917">
        <f>+'Secteur d''activité sept. 13'!H43/'Secteur d''activité sept. 13'!$H$52</f>
        <v>0.17004274297333588</v>
      </c>
      <c r="I43" s="917">
        <f>+'Secteur d''activité sept. 13'!I43/'Secteur d''activité sept. 13'!$I$52</f>
        <v>9.0157590735554156E-4</v>
      </c>
      <c r="J43" s="967">
        <f>+'Secteur d''activité sept. 13'!J43/'Secteur d''activité sept. 13'!$J$52</f>
        <v>0.34692528898806535</v>
      </c>
      <c r="K43" s="918">
        <f>+'Secteur d''activité sept. 13'!K43/'Secteur d''activité sept. 13'!$K$52</f>
        <v>0</v>
      </c>
      <c r="L43" s="917">
        <f>+'Secteur d''activité sept. 13'!L43/'Secteur d''activité sept. 13'!$L$52</f>
        <v>1.3717918591023984E-2</v>
      </c>
      <c r="M43" s="1071">
        <f>+'Secteur d''activité sept. 13'!M43/'Secteur d''activité sept. 13'!$M$52</f>
        <v>8.990175754593166E-2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f>+'Secteur d''activité sept. 13'!D44/'Secteur d''activité sept. 13'!$D$52</f>
        <v>5.5954953360231194E-2</v>
      </c>
      <c r="E44" s="918">
        <f>+'Secteur d''activité sept. 13'!E44/'Secteur d''activité sept. 13'!$E$52</f>
        <v>0</v>
      </c>
      <c r="F44" s="917">
        <f>+'Secteur d''activité sept. 13'!F44/'Secteur d''activité sept. 13'!$F$52</f>
        <v>1.0396978991847514E-3</v>
      </c>
      <c r="G44" s="967">
        <f>+'Secteur d''activité sept. 13'!G44/'Secteur d''activité sept. 13'!$G$52</f>
        <v>6.0161875565740959E-3</v>
      </c>
      <c r="H44" s="917">
        <f>+'Secteur d''activité sept. 13'!H44/'Secteur d''activité sept. 13'!$H$52</f>
        <v>4.7296498140776348E-2</v>
      </c>
      <c r="I44" s="917">
        <f>+'Secteur d''activité sept. 13'!I44/'Secteur d''activité sept. 13'!$I$52</f>
        <v>8.4277330754815405E-4</v>
      </c>
      <c r="J44" s="917" t="s">
        <v>566</v>
      </c>
      <c r="K44" s="917">
        <f>+'Secteur d''activité sept. 13'!K44/'Secteur d''activité sept. 13'!$K$52</f>
        <v>3.0897599898293673E-2</v>
      </c>
      <c r="L44" s="917">
        <f>+'Secteur d''activité sept. 13'!L44/'Secteur d''activité sept. 13'!$L$52</f>
        <v>0.13384564168843338</v>
      </c>
      <c r="M44" s="1071">
        <f>+'Secteur d''activité sept. 13'!M44/'Secteur d''activité sept. 13'!$M$52</f>
        <v>3.1538625784110215E-2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f>+'Secteur d''activité sept. 13'!D45/'Secteur d''activité sept. 13'!$D$52</f>
        <v>3.9204386836371688E-4</v>
      </c>
      <c r="E45" s="918">
        <f>+'Secteur d''activité sept. 13'!E45/'Secteur d''activité sept. 13'!$E$52</f>
        <v>0</v>
      </c>
      <c r="F45" s="917">
        <f>+'Secteur d''activité sept. 13'!F45/'Secteur d''activité sept. 13'!$F$52</f>
        <v>4.1177431993615161E-3</v>
      </c>
      <c r="G45" s="967">
        <f>+'Secteur d''activité sept. 13'!G45/'Secteur d''activité sept. 13'!$G$52</f>
        <v>7.0252613783270523E-2</v>
      </c>
      <c r="H45" s="917">
        <f>+'Secteur d''activité sept. 13'!H45/'Secteur d''activité sept. 13'!$H$52</f>
        <v>7.1953545116873296E-2</v>
      </c>
      <c r="I45" s="917">
        <f>+'Secteur d''activité sept. 13'!I45/'Secteur d''activité sept. 13'!$I$52</f>
        <v>0.1474845001995449</v>
      </c>
      <c r="J45" s="917" t="s">
        <v>566</v>
      </c>
      <c r="K45" s="917">
        <f>+'Secteur d''activité sept. 13'!K45/'Secteur d''activité sept. 13'!$K$52</f>
        <v>1.572368728513825E-2</v>
      </c>
      <c r="L45" s="917">
        <f>+'Secteur d''activité sept. 13'!L45/'Secteur d''activité sept. 13'!$L$52</f>
        <v>0.13011894109884944</v>
      </c>
      <c r="M45" s="1071">
        <f>+'Secteur d''activité sept. 13'!M45/'Secteur d''activité sept. 13'!$M$52</f>
        <v>6.1175772731034882E-2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f>+'Secteur d''activité sept. 13'!D46/'Secteur d''activité sept. 13'!$D$52</f>
        <v>3.4043775567654568E-2</v>
      </c>
      <c r="E46" s="917">
        <f>+'Secteur d''activité sept. 13'!E46/'Secteur d''activité sept. 13'!$E$52</f>
        <v>1.7154585157194785E-2</v>
      </c>
      <c r="F46" s="917">
        <f>+'Secteur d''activité sept. 13'!F46/'Secteur d''activité sept. 13'!$F$52</f>
        <v>9.7131843116695024E-3</v>
      </c>
      <c r="G46" s="967">
        <f>+'Secteur d''activité sept. 13'!G46/'Secteur d''activité sept. 13'!$G$52</f>
        <v>3.0551429380194918E-3</v>
      </c>
      <c r="H46" s="917">
        <f>+'Secteur d''activité sept. 13'!H46/'Secteur d''activité sept. 13'!$H$52</f>
        <v>1.0122220966025207E-2</v>
      </c>
      <c r="I46" s="917">
        <f>+'Secteur d''activité sept. 13'!I46/'Secteur d''activité sept. 13'!$I$52</f>
        <v>3.1263901612777846E-2</v>
      </c>
      <c r="J46" s="917" t="s">
        <v>566</v>
      </c>
      <c r="K46" s="917">
        <f>+'Secteur d''activité sept. 13'!K46/'Secteur d''activité sept. 13'!$K$52</f>
        <v>1.3072381741795298E-3</v>
      </c>
      <c r="L46" s="917">
        <f>+'Secteur d''activité sept. 13'!L46/'Secteur d''activité sept. 13'!$L$52</f>
        <v>1.2165252207550411E-2</v>
      </c>
      <c r="M46" s="1071">
        <f>+'Secteur d''activité sept. 13'!M46/'Secteur d''activité sept. 13'!$M$52</f>
        <v>1.2740308385528963E-2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f>+'Secteur d''activité sept. 13'!D47/'Secteur d''activité sept. 13'!$D$52</f>
        <v>3.4394295147623717E-2</v>
      </c>
      <c r="E47" s="917">
        <f>+'Secteur d''activité sept. 13'!E47/'Secteur d''activité sept. 13'!$E$52</f>
        <v>2.2439291007232061E-4</v>
      </c>
      <c r="F47" s="918">
        <f>+'Secteur d''activité sept. 13'!F47/'Secteur d''activité sept. 13'!$F$52</f>
        <v>0</v>
      </c>
      <c r="G47" s="967">
        <f>+'Secteur d''activité sept. 13'!G47/'Secteur d''activité sept. 13'!$G$52</f>
        <v>9.6717346846150477E-5</v>
      </c>
      <c r="H47" s="917">
        <f>+'Secteur d''activité sept. 13'!H47/'Secteur d''activité sept. 13'!$H$52</f>
        <v>1.9709113040610425E-3</v>
      </c>
      <c r="I47" s="917">
        <f>+'Secteur d''activité sept. 13'!I47/'Secteur d''activité sept. 13'!$I$52</f>
        <v>4.2745013817746492E-3</v>
      </c>
      <c r="J47" s="917" t="s">
        <v>566</v>
      </c>
      <c r="K47" s="918">
        <f>+'Secteur d''activité sept. 13'!K47/'Secteur d''activité sept. 13'!$K$52</f>
        <v>0</v>
      </c>
      <c r="L47" s="917">
        <f>+'Secteur d''activité sept. 13'!L47/'Secteur d''activité sept. 13'!$L$52</f>
        <v>6.0479801403312159E-4</v>
      </c>
      <c r="M47" s="1071">
        <f>+'Secteur d''activité sept. 13'!M47/'Secteur d''activité sept. 13'!$M$52</f>
        <v>6.2969459894424117E-3</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f>+'Secteur d''activité sept. 13'!D48/'Secteur d''activité sept. 13'!$D$52</f>
        <v>1.3558752384234963E-4</v>
      </c>
      <c r="E48" s="918">
        <f>+'Secteur d''activité sept. 13'!E48/'Secteur d''activité sept. 13'!$E$52</f>
        <v>0</v>
      </c>
      <c r="F48" s="917">
        <f>+'Secteur d''activité sept. 13'!F48/'Secteur d''activité sept. 13'!$F$52</f>
        <v>3.3249571814459771E-3</v>
      </c>
      <c r="G48" s="967">
        <f>+'Secteur d''activité sept. 13'!G48/'Secteur d''activité sept. 13'!$G$52</f>
        <v>5.6468130251078946E-3</v>
      </c>
      <c r="H48" s="917">
        <f>+'Secteur d''activité sept. 13'!H48/'Secteur d''activité sept. 13'!$H$52</f>
        <v>9.3049568332887551E-4</v>
      </c>
      <c r="I48" s="917">
        <f>+'Secteur d''activité sept. 13'!I48/'Secteur d''activité sept. 13'!$I$52</f>
        <v>4.7615156923885104E-5</v>
      </c>
      <c r="J48" s="917" t="s">
        <v>566</v>
      </c>
      <c r="K48" s="918">
        <v>0</v>
      </c>
      <c r="L48" s="917">
        <f>+'Secteur d''activité sept. 13'!L48/'Secteur d''activité sept. 13'!$L$52</f>
        <v>2.9863314142482278E-4</v>
      </c>
      <c r="M48" s="1071">
        <f>+'Secteur d''activité sept. 13'!M48/'Secteur d''activité sept. 13'!$M$52</f>
        <v>2.1868626066758575E-3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f>+'Secteur d''activité sept. 13'!D49/'Secteur d''activité sept. 13'!$D$52</f>
        <v>2.7184762418686476E-3</v>
      </c>
      <c r="E49" s="918">
        <f>+'Secteur d''activité sept. 13'!E49/'Secteur d''activité sept. 13'!$E$52</f>
        <v>0</v>
      </c>
      <c r="F49" s="917">
        <f>+'Secteur d''activité sept. 13'!F49/'Secteur d''activité sept. 13'!$F$52</f>
        <v>1.1230968781391613E-3</v>
      </c>
      <c r="G49" s="967">
        <f>+'Secteur d''activité sept. 13'!G49/'Secteur d''activité sept. 13'!$G$52</f>
        <v>6.3857264303460509E-3</v>
      </c>
      <c r="H49" s="917">
        <f>+'Secteur d''activité sept. 13'!H49/'Secteur d''activité sept. 13'!$H$52</f>
        <v>3.9669782962300457E-4</v>
      </c>
      <c r="I49" s="917">
        <f>+'Secteur d''activité sept. 13'!I49/'Secteur d''activité sept. 13'!$I$52</f>
        <v>2.093862978927899E-3</v>
      </c>
      <c r="J49" s="917" t="s">
        <v>566</v>
      </c>
      <c r="K49" s="918">
        <f>+'Secteur d''activité sept. 13'!K49/'Secteur d''activité sept. 13'!$K$52</f>
        <v>0</v>
      </c>
      <c r="L49" s="917">
        <f>+'Secteur d''activité sept. 13'!L49/'Secteur d''activité sept. 13'!$L$52</f>
        <v>6.5311406957512001E-3</v>
      </c>
      <c r="M49" s="1071">
        <f>+'Secteur d''activité sept. 13'!M49/'Secteur d''activité sept. 13'!$M$52</f>
        <v>3.0011888245060538E-3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f>+'Secteur d''activité sept. 13'!D50/'Secteur d''activité sept. 13'!$D$52</f>
        <v>3.4764407173525518E-3</v>
      </c>
      <c r="E50" s="917">
        <f>+'Secteur d''activité sept. 13'!E50/'Secteur d''activité sept. 13'!$E$52</f>
        <v>2.5689462419431826E-2</v>
      </c>
      <c r="F50" s="917">
        <f>+'Secteur d''activité sept. 13'!F50/'Secteur d''activité sept. 13'!$F$52</f>
        <v>2.5923971827540803E-3</v>
      </c>
      <c r="G50" s="967">
        <f>+'Secteur d''activité sept. 13'!G50/'Secteur d''activité sept. 13'!$G$52</f>
        <v>9.309915576915806E-2</v>
      </c>
      <c r="H50" s="917">
        <f>+'Secteur d''activité sept. 13'!H50/'Secteur d''activité sept. 13'!$H$52</f>
        <v>5.5105143461597781E-3</v>
      </c>
      <c r="I50" s="917">
        <f>+'Secteur d''activité sept. 13'!I50/'Secteur d''activité sept. 13'!$I$52</f>
        <v>6.8878127676474749E-2</v>
      </c>
      <c r="J50" s="917" t="s">
        <v>566</v>
      </c>
      <c r="K50" s="917">
        <f>+'Secteur d''activité sept. 13'!K50/'Secteur d''activité sept. 13'!$K$52</f>
        <v>4.7909665637815721E-2</v>
      </c>
      <c r="L50" s="917">
        <f>+'Secteur d''activité sept. 13'!L50/'Secteur d''activité sept. 13'!$L$52</f>
        <v>8.1033895803018108E-3</v>
      </c>
      <c r="M50" s="1071">
        <f>+'Secteur d''activité sept. 13'!M50/'Secteur d''activité sept. 13'!$M$52</f>
        <v>3.8592525833731926E-2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f>+'Secteur d''activité sept. 13'!D51/'Secteur d''activité sept. 13'!$D$52</f>
        <v>0.24955970607822006</v>
      </c>
      <c r="E51" s="1013">
        <f>+'Secteur d''activité sept. 13'!E51/'Secteur d''activité sept. 13'!$E$52</f>
        <v>0.23153144027211128</v>
      </c>
      <c r="F51" s="1013">
        <f>+'Secteur d''activité sept. 13'!F51/'Secteur d''activité sept. 13'!$F$52</f>
        <v>0.19003093649314251</v>
      </c>
      <c r="G51" s="1417">
        <f>+'Secteur d''activité sept. 13'!G51/'Secteur d''activité sept. 13'!$G$52</f>
        <v>0.10375596250925095</v>
      </c>
      <c r="H51" s="1013">
        <f>+'Secteur d''activité sept. 13'!H51/'Secteur d''activité sept. 13'!$H$52</f>
        <v>2.9865469719176647E-2</v>
      </c>
      <c r="I51" s="1013">
        <f>+'Secteur d''activité sept. 13'!I51/'Secteur d''activité sept. 13'!$I$52</f>
        <v>5.5061939332344254E-2</v>
      </c>
      <c r="J51" s="1417">
        <f>+'Secteur d''activité sept. 13'!J51/'Secteur d''activité sept. 13'!$J$52</f>
        <v>8.901767270373051E-2</v>
      </c>
      <c r="K51" s="1013">
        <f>+'Secteur d''activité sept. 13'!K51/'Secteur d''activité sept. 13'!$K$52</f>
        <v>1.2977469696952584E-2</v>
      </c>
      <c r="L51" s="1013">
        <f>+'Secteur d''activité sept. 13'!L51/'Secteur d''activité sept. 13'!$L$52</f>
        <v>0.22068424271455642</v>
      </c>
      <c r="M51" s="1418">
        <f>+'Secteur d''activité sept. 13'!M51/'Secteur d''activité sept. 13'!$M$52</f>
        <v>0.10627988625719854</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v>
      </c>
      <c r="E52" s="934">
        <f t="shared" ref="E52:M52" si="0">SUM(E22:E51)</f>
        <v>1</v>
      </c>
      <c r="F52" s="934">
        <f t="shared" si="0"/>
        <v>0.9999856389799372</v>
      </c>
      <c r="G52" s="934">
        <f t="shared" si="0"/>
        <v>1</v>
      </c>
      <c r="H52" s="934">
        <f t="shared" si="0"/>
        <v>1</v>
      </c>
      <c r="I52" s="935">
        <f t="shared" si="0"/>
        <v>0.99999999999999989</v>
      </c>
      <c r="J52" s="934">
        <f t="shared" si="0"/>
        <v>0.99999999999999989</v>
      </c>
      <c r="K52" s="935">
        <f t="shared" si="0"/>
        <v>0.99999549640963259</v>
      </c>
      <c r="L52" s="934">
        <f t="shared" si="0"/>
        <v>1</v>
      </c>
      <c r="M52" s="934">
        <f t="shared" si="0"/>
        <v>1.0000000000000004</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44">
        <f>+'Secteur d''activité sept. 13'!D56/'Secteur d''activité sept. 13'!$D$52</f>
        <v>5.2694906821836235E-4</v>
      </c>
      <c r="E56" s="944">
        <f>+'Secteur d''activité sept. 13'!E56/'Secteur d''activité sept. 13'!$E$52</f>
        <v>8.8326761720933736E-3</v>
      </c>
      <c r="F56" s="944">
        <f>+'Secteur d''activité sept. 13'!F56/'Secteur d''activité sept. 13'!$F$52</f>
        <v>1.3311237635076641E-2</v>
      </c>
      <c r="G56" s="944">
        <f>+'Secteur d''activité sept. 13'!G56/'Secteur d''activité sept. 13'!$G$52</f>
        <v>3.7875959332238696E-2</v>
      </c>
      <c r="H56" s="944">
        <f>+'Secteur d''activité sept. 13'!H56/'Secteur d''activité sept. 13'!$H$52</f>
        <v>6.8709818569466452E-2</v>
      </c>
      <c r="I56" s="944">
        <f>+'Secteur d''activité sept. 13'!I56/'Secteur d''activité sept. 13'!$I$52</f>
        <v>3.7489530142179137E-2</v>
      </c>
      <c r="J56" s="944" t="s">
        <v>566</v>
      </c>
      <c r="K56" s="944" t="s">
        <v>566</v>
      </c>
      <c r="L56" s="944">
        <f>+'Secteur d''activité sept. 13'!L56/'Secteur d''activité sept. 13'!$L$52</f>
        <v>8.9476966459694687E-3</v>
      </c>
      <c r="M56" s="1419">
        <f>+'Secteur d''activité sept. 13'!M56/'Secteur d''activité sept. 13'!$M$52</f>
        <v>3.7288727544812147E-2</v>
      </c>
      <c r="O56" s="938"/>
      <c r="P56" s="936"/>
    </row>
    <row r="57" spans="1:55" ht="15.75">
      <c r="A57" s="936"/>
      <c r="B57" s="936" t="s">
        <v>598</v>
      </c>
      <c r="C57" s="932"/>
      <c r="D57" s="944">
        <f>+'Secteur d''activité sept. 13'!D57/'Secteur d''activité sept. 13'!$D$52</f>
        <v>4.6827602851568409E-2</v>
      </c>
      <c r="E57" s="944" t="s">
        <v>566</v>
      </c>
      <c r="F57" s="944" t="s">
        <v>566</v>
      </c>
      <c r="G57" s="944">
        <f>+'Secteur d''activité sept. 13'!G57/'Secteur d''activité sept. 13'!$G$52</f>
        <v>6.5488323689828947E-3</v>
      </c>
      <c r="H57" s="944">
        <f>+'Secteur d''activité sept. 13'!H57/'Secteur d''activité sept. 13'!$H$52</f>
        <v>4.7005001414059783E-4</v>
      </c>
      <c r="I57" s="944">
        <f>+'Secteur d''activité sept. 13'!I57/'Secteur d''activité sept. 13'!$I$52</f>
        <v>1.3692283091870428E-3</v>
      </c>
      <c r="J57" s="944" t="s">
        <v>566</v>
      </c>
      <c r="K57" s="944" t="s">
        <v>566</v>
      </c>
      <c r="L57" s="944" t="s">
        <v>566</v>
      </c>
      <c r="M57" s="1419">
        <f>+'Secteur d''activité sept. 13'!M57/'Secteur d''activité sept. 13'!$M$52</f>
        <v>9.5495840171434792E-3</v>
      </c>
      <c r="O57" s="938"/>
      <c r="P57" s="936"/>
    </row>
    <row r="58" spans="1:55" ht="15.75">
      <c r="A58" s="936"/>
      <c r="B58" s="936" t="s">
        <v>599</v>
      </c>
      <c r="C58" s="932"/>
      <c r="D58" s="944" t="s">
        <v>566</v>
      </c>
      <c r="E58" s="944" t="s">
        <v>566</v>
      </c>
      <c r="F58" s="944" t="s">
        <v>566</v>
      </c>
      <c r="G58" s="944">
        <f>+'Secteur d''activité sept. 13'!G58/'Secteur d''activité sept. 13'!$G$52</f>
        <v>5.444309581000205E-3</v>
      </c>
      <c r="H58" s="944">
        <f>+'Secteur d''activité sept. 13'!H58/'Secteur d''activité sept. 13'!$H$52</f>
        <v>3.9370680573483858E-3</v>
      </c>
      <c r="I58" s="944">
        <f>+'Secteur d''activité sept. 13'!I58/'Secteur d''activité sept. 13'!$I$52</f>
        <v>1.0661384270718019E-2</v>
      </c>
      <c r="J58" s="944" t="s">
        <v>566</v>
      </c>
      <c r="K58" s="944" t="s">
        <v>566</v>
      </c>
      <c r="L58" s="944" t="s">
        <v>566</v>
      </c>
      <c r="M58" s="1419">
        <f>+'Secteur d''activité sept. 13'!M58/'Secteur d''activité sept. 13'!$M$52</f>
        <v>3.7295811697564563E-3</v>
      </c>
      <c r="O58" s="938"/>
      <c r="P58" s="936"/>
    </row>
    <row r="59" spans="1:55" ht="15.75">
      <c r="A59" s="936"/>
      <c r="B59" s="936" t="s">
        <v>600</v>
      </c>
      <c r="C59" s="932"/>
      <c r="D59" s="944">
        <f>+'Secteur d''activité sept. 13'!D59/'Secteur d''activité sept. 13'!$D$52</f>
        <v>2.8843199608229061E-2</v>
      </c>
      <c r="E59" s="944">
        <f>+'Secteur d''activité sept. 13'!E59/'Secteur d''activité sept. 13'!$E$52</f>
        <v>3.0189503707317308E-2</v>
      </c>
      <c r="F59" s="944">
        <f>+'Secteur d''activité sept. 13'!F59/'Secteur d''activité sept. 13'!$F$52</f>
        <v>3.4612803297012017E-2</v>
      </c>
      <c r="G59" s="944">
        <f>+'Secteur d''activité sept. 13'!G59/'Secteur d''activité sept. 13'!$G$52</f>
        <v>8.1066267680026588E-2</v>
      </c>
      <c r="H59" s="944">
        <f>+'Secteur d''activité sept. 13'!H59/'Secteur d''activité sept. 13'!$H$52</f>
        <v>3.5473727133420459E-2</v>
      </c>
      <c r="I59" s="944">
        <f>+'Secteur d''activité sept. 13'!I59/'Secteur d''activité sept. 13'!$I$52</f>
        <v>3.2186564142123196E-2</v>
      </c>
      <c r="J59" s="944" t="s">
        <v>566</v>
      </c>
      <c r="K59" s="944">
        <f>+'Secteur d''activité sept. 13'!K59/'Secteur d''activité sept. 13'!$K$52</f>
        <v>7.6689904769038128E-2</v>
      </c>
      <c r="L59" s="944">
        <f>+'Secteur d''activité sept. 13'!L59/'Secteur d''activité sept. 13'!$L$52</f>
        <v>1.4468455603457366E-3</v>
      </c>
      <c r="M59" s="1419">
        <f>+'Secteur d''activité sept. 13'!M59/'Secteur d''activité sept. 13'!$M$52</f>
        <v>4.6608585789790047E-2</v>
      </c>
      <c r="O59" s="938"/>
      <c r="P59" s="936"/>
    </row>
    <row r="60" spans="1:55" ht="15.75">
      <c r="A60" s="936"/>
      <c r="B60" s="936" t="s">
        <v>601</v>
      </c>
      <c r="C60" s="932"/>
      <c r="D60" s="944" t="s">
        <v>566</v>
      </c>
      <c r="E60" s="945">
        <f>+'Secteur d''activité sept. 13'!E60/'Secteur d''activité sept. 13'!$E$52</f>
        <v>0</v>
      </c>
      <c r="F60" s="944" t="s">
        <v>566</v>
      </c>
      <c r="G60" s="944" t="s">
        <v>566</v>
      </c>
      <c r="H60" s="944">
        <f>+'Secteur d''activité sept. 13'!H60/'Secteur d''activité sept. 13'!$H$52</f>
        <v>3.7490539091615489E-2</v>
      </c>
      <c r="I60" s="944">
        <f>+'Secteur d''activité sept. 13'!I60/'Secteur d''activité sept. 13'!$I$52</f>
        <v>2.0524087168599495E-2</v>
      </c>
      <c r="J60" s="944" t="s">
        <v>566</v>
      </c>
      <c r="K60" s="944" t="s">
        <v>566</v>
      </c>
      <c r="L60" s="944" t="s">
        <v>566</v>
      </c>
      <c r="M60" s="1419">
        <f>+'Secteur d''activité sept. 13'!M60/'Secteur d''activité sept. 13'!$M$52</f>
        <v>1.3480782009974171E-2</v>
      </c>
      <c r="O60" s="938"/>
      <c r="P60" s="936"/>
    </row>
    <row r="61" spans="1:55" ht="15.75">
      <c r="A61" s="936"/>
      <c r="B61" s="936" t="s">
        <v>602</v>
      </c>
      <c r="C61" s="932"/>
      <c r="D61" s="944" t="s">
        <v>566</v>
      </c>
      <c r="E61" s="944" t="s">
        <v>566</v>
      </c>
      <c r="F61" s="944" t="s">
        <v>566</v>
      </c>
      <c r="G61" s="944" t="s">
        <v>566</v>
      </c>
      <c r="H61" s="944" t="s">
        <v>566</v>
      </c>
      <c r="I61" s="944" t="s">
        <v>566</v>
      </c>
      <c r="J61" s="944" t="s">
        <v>566</v>
      </c>
      <c r="K61" s="944" t="s">
        <v>566</v>
      </c>
      <c r="L61" s="944" t="s">
        <v>566</v>
      </c>
      <c r="M61" s="1448" t="s">
        <v>566</v>
      </c>
      <c r="O61" s="938"/>
      <c r="P61" s="936"/>
    </row>
    <row r="62" spans="1:55" ht="16.5" thickBot="1">
      <c r="A62" s="936"/>
      <c r="B62" s="929" t="s">
        <v>603</v>
      </c>
      <c r="C62" s="946"/>
      <c r="D62" s="1420">
        <f>+'Secteur d''activité sept. 13'!D62/'Secteur d''activité sept. 13'!$D$52</f>
        <v>6.0204369680797142E-3</v>
      </c>
      <c r="E62" s="931" t="s">
        <v>566</v>
      </c>
      <c r="F62" s="931">
        <f>+'Secteur d''activité sept. 13'!F62/'Secteur d''activité sept. 13'!$F$52</f>
        <v>3.2307374957207348E-2</v>
      </c>
      <c r="G62" s="931">
        <f>+'Secteur d''activité sept. 13'!G62/'Secteur d''activité sept. 13'!$G$52</f>
        <v>5.46668820576824E-2</v>
      </c>
      <c r="H62" s="931">
        <f>+'Secteur d''activité sept. 13'!H62/'Secteur d''activité sept. 13'!$H$52</f>
        <v>1.1412294314342842E-2</v>
      </c>
      <c r="I62" s="931">
        <f>+'Secteur d''activité sept. 13'!I62/'Secteur d''activité sept. 13'!$I$52</f>
        <v>3.9267798014012145E-3</v>
      </c>
      <c r="J62" s="931" t="s">
        <v>566</v>
      </c>
      <c r="K62" s="931">
        <f>+'Secteur d''activité sept. 13'!K62/'Secteur d''activité sept. 13'!$K$52</f>
        <v>0.1435085528978895</v>
      </c>
      <c r="L62" s="931">
        <f>+'Secteur d''activité sept. 13'!L62/'Secteur d''activité sept. 13'!$L$52</f>
        <v>4.9076760391529514E-3</v>
      </c>
      <c r="M62" s="1421">
        <f>+'Secteur d''activité sept. 13'!M62/'Secteur d''activité sept. 13'!$M$52</f>
        <v>2.7047960138009346E-2</v>
      </c>
      <c r="O62" s="938"/>
      <c r="P62" s="936"/>
    </row>
    <row r="63" spans="1:55" ht="15.75">
      <c r="A63" s="936"/>
      <c r="B63" s="1074" t="s">
        <v>0</v>
      </c>
      <c r="C63" s="1074" t="s">
        <v>604</v>
      </c>
      <c r="D63" s="934">
        <f t="shared" ref="D63:I63" si="1">SUM(D56:D62)</f>
        <v>8.2218188496095551E-2</v>
      </c>
      <c r="E63" s="934">
        <f t="shared" si="1"/>
        <v>3.902217987941068E-2</v>
      </c>
      <c r="F63" s="934">
        <f t="shared" si="1"/>
        <v>8.0231415889295998E-2</v>
      </c>
      <c r="G63" s="934">
        <f t="shared" si="1"/>
        <v>0.18560225101993078</v>
      </c>
      <c r="H63" s="934">
        <f t="shared" si="1"/>
        <v>0.15749349718033423</v>
      </c>
      <c r="I63" s="935">
        <f t="shared" si="1"/>
        <v>0.1061575738342081</v>
      </c>
      <c r="J63" s="944" t="s">
        <v>566</v>
      </c>
      <c r="K63" s="935">
        <f>SUM(K56:K62)</f>
        <v>0.22019845766692764</v>
      </c>
      <c r="L63" s="934">
        <f>SUM(L56:L62)</f>
        <v>1.5302218245468157E-2</v>
      </c>
      <c r="M63" s="1079">
        <f>SUM(M56:M62)</f>
        <v>0.13770522066948565</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44">
        <f>+'Secteur d''activité sept. 13'!D68/'Secteur d''activité sept. 13'!$D$52</f>
        <v>2.0598386440233876E-3</v>
      </c>
      <c r="E68" s="944">
        <f>+'Secteur d''activité sept. 13'!E68/'Secteur d''activité sept. 13'!$E$52</f>
        <v>4.5767339195131197E-3</v>
      </c>
      <c r="F68" s="944">
        <f>+'Secteur d''activité sept. 13'!F68/'Secteur d''activité sept. 13'!$F$52</f>
        <v>4.8261166063037703E-3</v>
      </c>
      <c r="G68" s="944">
        <f>+'Secteur d''activité sept. 13'!G68/'Secteur d''activité sept. 13'!$G$52</f>
        <v>5.4198040533104154E-3</v>
      </c>
      <c r="H68" s="944">
        <f>+'Secteur d''activité sept. 13'!H68/'Secteur d''activité sept. 13'!$H$52</f>
        <v>3.8225869132833866E-3</v>
      </c>
      <c r="I68" s="944">
        <f>+'Secteur d''activité sept. 13'!I68/'Secteur d''activité sept. 13'!$I$52</f>
        <v>7.2518075864150214E-3</v>
      </c>
      <c r="J68" s="944" t="s">
        <v>566</v>
      </c>
      <c r="K68" s="944" t="s">
        <v>566</v>
      </c>
      <c r="L68" s="944" t="s">
        <v>566</v>
      </c>
      <c r="M68" s="1419">
        <f>+'Secteur d''activité sept. 13'!M68/'Secteur d''activité sept. 13'!$M$52</f>
        <v>4.1746800821783215E-3</v>
      </c>
      <c r="O68" s="938"/>
      <c r="P68" s="936"/>
    </row>
    <row r="69" spans="1:16" ht="15.75">
      <c r="A69" s="936"/>
      <c r="B69" s="936" t="s">
        <v>599</v>
      </c>
      <c r="C69" s="932"/>
      <c r="D69" s="944" t="s">
        <v>566</v>
      </c>
      <c r="E69" s="944" t="s">
        <v>566</v>
      </c>
      <c r="F69" s="944" t="s">
        <v>566</v>
      </c>
      <c r="G69" s="944">
        <f>+'Secteur d''activité sept. 13'!G69/'Secteur d''activité sept. 13'!$G$52</f>
        <v>5.1951120230373828E-4</v>
      </c>
      <c r="H69" s="944">
        <f>+'Secteur d''activité sept. 13'!H69/'Secteur d''activité sept. 13'!$H$52</f>
        <v>5.0399666852284628E-4</v>
      </c>
      <c r="I69" s="944">
        <f>+'Secteur d''activité sept. 13'!I69/'Secteur d''activité sept. 13'!$I$52</f>
        <v>2.2733322497158447E-3</v>
      </c>
      <c r="J69" s="944" t="s">
        <v>566</v>
      </c>
      <c r="K69" s="944" t="s">
        <v>566</v>
      </c>
      <c r="L69" s="944">
        <f>+'Secteur d''activité sept. 13'!L69/'Secteur d''activité sept. 13'!$L$52</f>
        <v>5.6412666564235121E-4</v>
      </c>
      <c r="M69" s="1419">
        <f>+'Secteur d''activité sept. 13'!M69/'Secteur d''activité sept. 13'!$M$52</f>
        <v>5.0860439951926366E-4</v>
      </c>
      <c r="O69" s="938"/>
      <c r="P69" s="936"/>
    </row>
    <row r="70" spans="1:16" ht="15.75">
      <c r="A70" s="936"/>
      <c r="B70" s="936" t="s">
        <v>607</v>
      </c>
      <c r="C70" s="932"/>
      <c r="D70" s="944">
        <f>+'Secteur d''activité sept. 13'!D70/'Secteur d''activité sept. 13'!$D$52</f>
        <v>1.0744653309232351E-3</v>
      </c>
      <c r="E70" s="945">
        <f>+'Secteur d''activité sept. 13'!E70/'Secteur d''activité sept. 13'!$E$52</f>
        <v>0</v>
      </c>
      <c r="F70" s="944" t="s">
        <v>566</v>
      </c>
      <c r="G70" s="944">
        <f>+'Secteur d''activité sept. 13'!G70/'Secteur d''activité sept. 13'!$G$52</f>
        <v>3.7741980454918715E-2</v>
      </c>
      <c r="H70" s="944">
        <f>+'Secteur d''activité sept. 13'!H70/'Secteur d''activité sept. 13'!$H$52</f>
        <v>5.6110577608353217E-2</v>
      </c>
      <c r="I70" s="944">
        <f>+'Secteur d''activité sept. 13'!I70/'Secteur d''activité sept. 13'!$I$52</f>
        <v>2.6072055215972247E-2</v>
      </c>
      <c r="J70" s="944" t="s">
        <v>566</v>
      </c>
      <c r="K70" s="944">
        <f>+'Secteur d''activité sept. 13'!K70/'Secteur d''activité sept. 13'!$K$52</f>
        <v>2.5548037759867172E-2</v>
      </c>
      <c r="L70" s="944">
        <f>+'Secteur d''activité sept. 13'!L70/'Secteur d''activité sept. 13'!$L$52</f>
        <v>4.5792925595533986E-4</v>
      </c>
      <c r="M70" s="1419">
        <f>+'Secteur d''activité sept. 13'!M70/'Secteur d''activité sept. 13'!$M$52</f>
        <v>3.2244421066409332E-2</v>
      </c>
      <c r="O70" s="938"/>
      <c r="P70" s="936"/>
    </row>
    <row r="71" spans="1:16" ht="15.75">
      <c r="A71" s="936"/>
      <c r="B71" s="936" t="s">
        <v>600</v>
      </c>
      <c r="C71" s="932"/>
      <c r="D71" s="944">
        <f>+'Secteur d''activité sept. 13'!D71/'Secteur d''activité sept. 13'!$D$52</f>
        <v>1.1031229384068086E-3</v>
      </c>
      <c r="E71" s="944">
        <f>+'Secteur d''activité sept. 13'!E71/'Secteur d''activité sept. 13'!$E$52</f>
        <v>1.2086059054077975E-4</v>
      </c>
      <c r="F71" s="944">
        <f>+'Secteur d''activité sept. 13'!F71/'Secteur d''activité sept. 13'!$F$52</f>
        <v>1.6549037260447128E-2</v>
      </c>
      <c r="G71" s="944">
        <f>+'Secteur d''activité sept. 13'!G71/'Secteur d''activité sept. 13'!$G$52</f>
        <v>2.779925195780716E-2</v>
      </c>
      <c r="H71" s="944">
        <f>+'Secteur d''activité sept. 13'!H71/'Secteur d''activité sept. 13'!$H$52</f>
        <v>2.3975784234767587E-2</v>
      </c>
      <c r="I71" s="944">
        <f>+'Secteur d''activité sept. 13'!I71/'Secteur d''activité sept. 13'!$I$52</f>
        <v>3.4352576217928317E-2</v>
      </c>
      <c r="J71" s="944" t="s">
        <v>566</v>
      </c>
      <c r="K71" s="945">
        <f>+'Secteur d''activité sept. 13'!K71/'Secteur d''activité sept. 13'!$K$52</f>
        <v>0</v>
      </c>
      <c r="L71" s="944">
        <f>+'Secteur d''activité sept. 13'!L71/'Secteur d''activité sept. 13'!$L$52</f>
        <v>2.3920778238719726E-3</v>
      </c>
      <c r="M71" s="1419">
        <f>+'Secteur d''activité sept. 13'!M71/'Secteur d''activité sept. 13'!$M$52</f>
        <v>1.9438977748367593E-2</v>
      </c>
      <c r="O71" s="938"/>
      <c r="P71" s="936"/>
    </row>
    <row r="72" spans="1:16" ht="15.75">
      <c r="A72" s="936"/>
      <c r="B72" s="936" t="s">
        <v>608</v>
      </c>
      <c r="C72" s="932"/>
      <c r="D72" s="944">
        <f>+'Secteur d''activité sept. 13'!D72/'Secteur d''activité sept. 13'!$D$52</f>
        <v>1.8617697378784168E-4</v>
      </c>
      <c r="E72" s="944">
        <f>+'Secteur d''activité sept. 13'!E72/'Secteur d''activité sept. 13'!$E$52</f>
        <v>1.1955687046642535E-3</v>
      </c>
      <c r="F72" s="944" t="s">
        <v>566</v>
      </c>
      <c r="G72" s="944">
        <f>+'Secteur d''activité sept. 13'!G72/'Secteur d''activité sept. 13'!$G$52</f>
        <v>3.0311788849787121E-3</v>
      </c>
      <c r="H72" s="944">
        <f>+'Secteur d''activité sept. 13'!H72/'Secteur d''activité sept. 13'!$H$52</f>
        <v>1.0491332495846644E-3</v>
      </c>
      <c r="I72" s="944">
        <f>+'Secteur d''activité sept. 13'!I72/'Secteur d''activité sept. 13'!$I$52</f>
        <v>1.0957621685933263E-3</v>
      </c>
      <c r="J72" s="944" t="s">
        <v>566</v>
      </c>
      <c r="K72" s="944" t="s">
        <v>566</v>
      </c>
      <c r="L72" s="944" t="s">
        <v>566</v>
      </c>
      <c r="M72" s="1419">
        <f>+'Secteur d''activité sept. 13'!M72/'Secteur d''activité sept. 13'!$M$52</f>
        <v>1.4250247243664618E-3</v>
      </c>
      <c r="O72" s="938"/>
      <c r="P72" s="936"/>
    </row>
    <row r="73" spans="1:16" ht="15.75">
      <c r="A73" s="936"/>
      <c r="B73" s="936" t="s">
        <v>609</v>
      </c>
      <c r="C73" s="932"/>
      <c r="D73" s="944">
        <f>+'Secteur d''activité sept. 13'!D73/'Secteur d''activité sept. 13'!$D$52</f>
        <v>1.362503528589765E-3</v>
      </c>
      <c r="E73" s="944" t="s">
        <v>566</v>
      </c>
      <c r="F73" s="944" t="s">
        <v>566</v>
      </c>
      <c r="G73" s="944">
        <f>+'Secteur d''activité sept. 13'!G73/'Secteur d''activité sept. 13'!$G$52</f>
        <v>1.6382435675164026E-2</v>
      </c>
      <c r="H73" s="944">
        <f>+'Secteur d''activité sept. 13'!H73/'Secteur d''activité sept. 13'!$H$52</f>
        <v>4.4370992667073098E-3</v>
      </c>
      <c r="I73" s="944">
        <f>+'Secteur d''activité sept. 13'!I73/'Secteur d''activité sept. 13'!$I$52</f>
        <v>2.4685326760548288E-2</v>
      </c>
      <c r="J73" s="944" t="s">
        <v>566</v>
      </c>
      <c r="K73" s="944">
        <f>+'Secteur d''activité sept. 13'!K73/'Secteur d''activité sept. 13'!$K$52</f>
        <v>1.8505192972600587E-3</v>
      </c>
      <c r="L73" s="944" t="s">
        <v>566</v>
      </c>
      <c r="M73" s="1419">
        <f>+'Secteur d''activité sept. 13'!M73/'Secteur d''activité sept. 13'!$M$52</f>
        <v>8.6010918007444429E-3</v>
      </c>
      <c r="O73" s="938"/>
      <c r="P73" s="936"/>
    </row>
    <row r="74" spans="1:16" ht="15.75">
      <c r="A74" s="936"/>
      <c r="B74" s="936" t="s">
        <v>601</v>
      </c>
      <c r="C74" s="932"/>
      <c r="D74" s="944" t="s">
        <v>566</v>
      </c>
      <c r="E74" s="944" t="s">
        <v>566</v>
      </c>
      <c r="F74" s="944" t="s">
        <v>566</v>
      </c>
      <c r="G74" s="944" t="s">
        <v>566</v>
      </c>
      <c r="H74" s="944">
        <f>+'Secteur d''activité sept. 13'!H74/'Secteur d''activité sept. 13'!$H$52</f>
        <v>1.1203100271121398E-2</v>
      </c>
      <c r="I74" s="944">
        <f>+'Secteur d''activité sept. 13'!I74/'Secteur d''activité sept. 13'!$I$52</f>
        <v>1.2186848825224988E-4</v>
      </c>
      <c r="J74" s="944" t="s">
        <v>566</v>
      </c>
      <c r="K74" s="944">
        <f>+'Secteur d''activité sept. 13'!K74/'Secteur d''activité sept. 13'!$K$52</f>
        <v>2.7791551424564562E-2</v>
      </c>
      <c r="L74" s="944">
        <f>+'Secteur d''activité sept. 13'!L74/'Secteur d''activité sept. 13'!$L$52</f>
        <v>3.2009857529772932E-4</v>
      </c>
      <c r="M74" s="1419">
        <f>+'Secteur d''activité sept. 13'!M74/'Secteur d''activité sept. 13'!$M$52</f>
        <v>4.1203236549748282E-3</v>
      </c>
      <c r="O74" s="938"/>
      <c r="P74" s="936"/>
    </row>
    <row r="75" spans="1:16" ht="16.5" thickBot="1">
      <c r="A75" s="936"/>
      <c r="B75" s="929" t="s">
        <v>603</v>
      </c>
      <c r="C75" s="946"/>
      <c r="D75" s="1420">
        <f>+'Secteur d''activité sept. 13'!D75/'Secteur d''activité sept. 13'!$D$52</f>
        <v>2.0152633926552307E-2</v>
      </c>
      <c r="E75" s="931">
        <f>+'Secteur d''activité sept. 13'!E75/'Secteur d''activité sept. 13'!$E$52</f>
        <v>0.26485576213012285</v>
      </c>
      <c r="F75" s="931">
        <f>+'Secteur d''activité sept. 13'!F75/'Secteur d''activité sept. 13'!$F$52</f>
        <v>4.4354694851259868E-2</v>
      </c>
      <c r="G75" s="931">
        <f>+'Secteur d''activité sept. 13'!G75/'Secteur d''activité sept. 13'!$G$52</f>
        <v>2.3692261740620616E-2</v>
      </c>
      <c r="H75" s="931">
        <f>+'Secteur d''activité sept. 13'!H75/'Secteur d''activité sept. 13'!$H$52</f>
        <v>3.7333782257407827E-2</v>
      </c>
      <c r="I75" s="931">
        <f>+'Secteur d''activité sept. 13'!I75/'Secteur d''activité sept. 13'!$I$52</f>
        <v>1.4698014387654565E-2</v>
      </c>
      <c r="J75" s="931" t="s">
        <v>566</v>
      </c>
      <c r="K75" s="931">
        <f>+'Secteur d''activité sept. 13'!K75/'Secteur d''activité sept. 13'!$K$52</f>
        <v>8.8789181825331673E-2</v>
      </c>
      <c r="L75" s="931">
        <f>+'Secteur d''activité sept. 13'!L75/'Secteur d''activité sept. 13'!$L$52</f>
        <v>9.580362065381452E-4</v>
      </c>
      <c r="M75" s="1421">
        <f>+'Secteur d''activité sept. 13'!M75/'Secteur d''activité sept. 13'!$M$52</f>
        <v>3.2020525425563745E-2</v>
      </c>
      <c r="O75" s="938"/>
      <c r="P75" s="936"/>
    </row>
    <row r="76" spans="1:16" ht="15.75">
      <c r="A76" s="936"/>
      <c r="C76" s="1074" t="s">
        <v>604</v>
      </c>
      <c r="D76" s="934">
        <f t="shared" ref="D76:I76" si="2">SUM(D68:D75)</f>
        <v>2.5938741342283345E-2</v>
      </c>
      <c r="E76" s="934">
        <f t="shared" si="2"/>
        <v>0.27074892534484102</v>
      </c>
      <c r="F76" s="934">
        <f t="shared" si="2"/>
        <v>6.5729848718010769E-2</v>
      </c>
      <c r="G76" s="934">
        <f t="shared" si="2"/>
        <v>0.11458642396910337</v>
      </c>
      <c r="H76" s="934">
        <f t="shared" si="2"/>
        <v>0.13843606046974821</v>
      </c>
      <c r="I76" s="935">
        <f t="shared" si="2"/>
        <v>0.11055074307507987</v>
      </c>
      <c r="J76" s="944" t="s">
        <v>566</v>
      </c>
      <c r="K76" s="935">
        <f>SUM(K68:K75)</f>
        <v>0.14397929030702347</v>
      </c>
      <c r="L76" s="935">
        <f>SUM(L68:L75)</f>
        <v>4.6922685273055381E-3</v>
      </c>
      <c r="M76" s="1079">
        <f>SUM(M68:M75)</f>
        <v>0.10253364890212399</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6.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16.375"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872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1423">
        <v>2335.21</v>
      </c>
      <c r="H22" s="1422">
        <v>102146.72</v>
      </c>
      <c r="I22" s="1422">
        <v>0</v>
      </c>
      <c r="J22" s="1422">
        <v>0</v>
      </c>
      <c r="K22" s="1422">
        <v>0</v>
      </c>
      <c r="L22" s="1422">
        <v>0</v>
      </c>
      <c r="M22" s="1432">
        <f t="shared" ref="M22:M51" si="0">SUM(D22:L22)</f>
        <v>104481.93000000001</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4456</v>
      </c>
      <c r="E23" s="1423">
        <v>23362.76</v>
      </c>
      <c r="F23" s="1422">
        <v>19.41</v>
      </c>
      <c r="G23" s="1423">
        <v>215335.79</v>
      </c>
      <c r="H23" s="1423">
        <v>1018721.29</v>
      </c>
      <c r="I23" s="1422">
        <v>243055.14</v>
      </c>
      <c r="J23" s="1422">
        <v>0</v>
      </c>
      <c r="K23" s="1423">
        <v>390411.03</v>
      </c>
      <c r="L23" s="1423">
        <v>106917</v>
      </c>
      <c r="M23" s="1432">
        <f t="shared" si="0"/>
        <v>2002278.4200000002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3863</v>
      </c>
      <c r="E24" s="1422">
        <v>0</v>
      </c>
      <c r="F24" s="1422">
        <v>9540.07</v>
      </c>
      <c r="G24" s="1423">
        <v>659055.19999999995</v>
      </c>
      <c r="H24" s="1423">
        <v>991825.09</v>
      </c>
      <c r="I24" s="1422">
        <v>92027.65</v>
      </c>
      <c r="J24" s="1422">
        <v>0</v>
      </c>
      <c r="K24" s="1423">
        <v>207085.93</v>
      </c>
      <c r="L24" s="1422">
        <v>82854</v>
      </c>
      <c r="M24" s="1432">
        <f t="shared" si="0"/>
        <v>2046250.9399999997</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11357</v>
      </c>
      <c r="E25" s="1422">
        <v>0</v>
      </c>
      <c r="F25" s="1422">
        <v>656.88</v>
      </c>
      <c r="G25" s="1422">
        <v>3833.86</v>
      </c>
      <c r="H25" s="1422">
        <v>0</v>
      </c>
      <c r="I25" s="1422">
        <v>0</v>
      </c>
      <c r="J25" s="1422">
        <v>0</v>
      </c>
      <c r="K25" s="1422">
        <v>0</v>
      </c>
      <c r="L25" s="1422">
        <v>0</v>
      </c>
      <c r="M25" s="1432">
        <f t="shared" si="0"/>
        <v>15847.74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0</v>
      </c>
      <c r="G26" s="1422">
        <v>700701.6</v>
      </c>
      <c r="H26" s="1422">
        <v>86376.67</v>
      </c>
      <c r="I26" s="1422">
        <v>67174.36</v>
      </c>
      <c r="J26" s="1422">
        <v>0</v>
      </c>
      <c r="K26" s="1422">
        <v>0</v>
      </c>
      <c r="L26" s="1422">
        <v>0</v>
      </c>
      <c r="M26" s="1432">
        <f t="shared" si="0"/>
        <v>854252.63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228119</v>
      </c>
      <c r="E27" s="1423">
        <v>1235.98</v>
      </c>
      <c r="F27" s="1422">
        <v>0</v>
      </c>
      <c r="G27" s="1422">
        <v>599493.48</v>
      </c>
      <c r="H27" s="1422">
        <v>280585.73</v>
      </c>
      <c r="I27" s="1422">
        <v>66662.3</v>
      </c>
      <c r="J27" s="1422">
        <v>0</v>
      </c>
      <c r="K27" s="1422">
        <v>0</v>
      </c>
      <c r="L27" s="1422">
        <v>5920</v>
      </c>
      <c r="M27" s="1432">
        <f t="shared" si="0"/>
        <v>1182016.49</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8945.9699999999993</v>
      </c>
      <c r="G28" s="1422">
        <v>0</v>
      </c>
      <c r="H28" s="1422">
        <v>14586.04</v>
      </c>
      <c r="I28" s="1422">
        <v>523.17999999999995</v>
      </c>
      <c r="J28" s="1422">
        <v>0</v>
      </c>
      <c r="K28" s="1422">
        <v>0</v>
      </c>
      <c r="L28" s="1422">
        <v>0</v>
      </c>
      <c r="M28" s="1432">
        <f t="shared" si="0"/>
        <v>24055.190000000002</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92883</v>
      </c>
      <c r="E29" s="1422">
        <v>5688.75</v>
      </c>
      <c r="F29" s="1422">
        <v>0</v>
      </c>
      <c r="G29" s="1423">
        <v>153506</v>
      </c>
      <c r="H29" s="1423">
        <v>161994.37</v>
      </c>
      <c r="I29" s="1422">
        <v>66445.95</v>
      </c>
      <c r="J29" s="1422">
        <v>0</v>
      </c>
      <c r="K29" s="1422">
        <v>0</v>
      </c>
      <c r="L29" s="1422">
        <v>4498</v>
      </c>
      <c r="M29" s="1432">
        <f t="shared" si="0"/>
        <v>485016.07</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471337</v>
      </c>
      <c r="E30" s="1422">
        <v>0</v>
      </c>
      <c r="F30" s="1422">
        <v>16078.28</v>
      </c>
      <c r="G30" s="1423">
        <v>722495.33</v>
      </c>
      <c r="H30" s="1423">
        <v>450250.67</v>
      </c>
      <c r="I30" s="1422">
        <v>64975</v>
      </c>
      <c r="J30" s="1422">
        <v>0</v>
      </c>
      <c r="K30" s="1423">
        <v>202216.27</v>
      </c>
      <c r="L30" s="1422">
        <v>48608</v>
      </c>
      <c r="M30" s="1432">
        <f t="shared" si="0"/>
        <v>1975960.5499999998</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5434</v>
      </c>
      <c r="E31" s="1423">
        <v>273.97000000000003</v>
      </c>
      <c r="F31" s="1422">
        <v>0</v>
      </c>
      <c r="G31" s="1423">
        <v>488830.33</v>
      </c>
      <c r="H31" s="1423">
        <v>353713.59</v>
      </c>
      <c r="I31" s="1422">
        <v>120294.3</v>
      </c>
      <c r="J31" s="1422">
        <v>0</v>
      </c>
      <c r="K31" s="1422">
        <v>0</v>
      </c>
      <c r="L31" s="1423">
        <v>8570</v>
      </c>
      <c r="M31" s="1432">
        <f t="shared" si="0"/>
        <v>977116.19000000006</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0</v>
      </c>
      <c r="G32" s="1423">
        <v>55636.06</v>
      </c>
      <c r="H32" s="1422">
        <v>44926.48</v>
      </c>
      <c r="I32" s="1422">
        <v>1455.1</v>
      </c>
      <c r="J32" s="1422">
        <v>0</v>
      </c>
      <c r="K32" s="1422">
        <v>0</v>
      </c>
      <c r="L32" s="1423">
        <v>2336</v>
      </c>
      <c r="M32" s="1432">
        <f t="shared" si="0"/>
        <v>104353.64000000001</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3076138</v>
      </c>
      <c r="E33" s="1422">
        <v>0</v>
      </c>
      <c r="F33" s="1422">
        <v>527752.35</v>
      </c>
      <c r="G33" s="1422">
        <v>836281.89</v>
      </c>
      <c r="H33" s="1422">
        <v>91320.23</v>
      </c>
      <c r="I33" s="1422">
        <v>2027.7</v>
      </c>
      <c r="J33" s="1422">
        <v>0</v>
      </c>
      <c r="K33" s="1422">
        <v>67029.63</v>
      </c>
      <c r="L33" s="1422">
        <v>0</v>
      </c>
      <c r="M33" s="1432">
        <f t="shared" si="0"/>
        <v>4600549.8000000007</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7644.78</v>
      </c>
      <c r="F34" s="1422">
        <v>1010.76</v>
      </c>
      <c r="G34" s="1422">
        <v>118.79</v>
      </c>
      <c r="H34" s="1422">
        <v>1456293.88</v>
      </c>
      <c r="I34" s="1422">
        <v>92094.51</v>
      </c>
      <c r="J34" s="1422">
        <v>0</v>
      </c>
      <c r="K34" s="1423">
        <v>2184.5100000000002</v>
      </c>
      <c r="L34" s="1422">
        <v>0</v>
      </c>
      <c r="M34" s="1432">
        <f t="shared" si="0"/>
        <v>1559347.23</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2873.96</v>
      </c>
      <c r="F35" s="1422">
        <v>0</v>
      </c>
      <c r="G35" s="1423">
        <v>226794.64</v>
      </c>
      <c r="H35" s="1422">
        <v>82190.899999999994</v>
      </c>
      <c r="I35" s="1422">
        <v>0.39</v>
      </c>
      <c r="J35" s="1422">
        <v>0</v>
      </c>
      <c r="K35" s="1422">
        <v>0</v>
      </c>
      <c r="L35" s="1422">
        <v>0</v>
      </c>
      <c r="M35" s="1432">
        <f t="shared" si="0"/>
        <v>311859.89</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30949</v>
      </c>
      <c r="E36" s="1423">
        <v>151241.07999999999</v>
      </c>
      <c r="F36" s="1423">
        <v>173220.41</v>
      </c>
      <c r="G36" s="1423">
        <v>888112.79</v>
      </c>
      <c r="H36" s="1423">
        <v>631034.21</v>
      </c>
      <c r="I36" s="1422">
        <v>254972.27</v>
      </c>
      <c r="J36" s="1422">
        <v>0</v>
      </c>
      <c r="K36" s="1422">
        <v>0</v>
      </c>
      <c r="L36" s="1423">
        <v>95034</v>
      </c>
      <c r="M36" s="1432">
        <f t="shared" si="0"/>
        <v>2224563.7599999998</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797733</v>
      </c>
      <c r="E37" s="1423">
        <v>135832.23000000001</v>
      </c>
      <c r="F37" s="1423">
        <v>108438.8</v>
      </c>
      <c r="G37" s="1423">
        <v>3486403.86</v>
      </c>
      <c r="H37" s="1423">
        <v>2749250.74</v>
      </c>
      <c r="I37" s="1423">
        <v>530981.04</v>
      </c>
      <c r="J37" s="1422">
        <v>0</v>
      </c>
      <c r="K37" s="1423">
        <v>236653.4</v>
      </c>
      <c r="L37" s="1423">
        <v>82458</v>
      </c>
      <c r="M37" s="1432">
        <f t="shared" si="0"/>
        <v>8127751.0700000003</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219379</v>
      </c>
      <c r="E38" s="1422">
        <v>479081.79</v>
      </c>
      <c r="F38" s="1423">
        <v>88838.84</v>
      </c>
      <c r="G38" s="1423">
        <v>2267727.2200000002</v>
      </c>
      <c r="H38" s="1423">
        <v>2650612.44</v>
      </c>
      <c r="I38" s="1423">
        <v>515837.84</v>
      </c>
      <c r="J38" s="1422">
        <v>0</v>
      </c>
      <c r="K38" s="1423">
        <v>314928.58</v>
      </c>
      <c r="L38" s="1423">
        <v>14729</v>
      </c>
      <c r="M38" s="1432">
        <f t="shared" si="0"/>
        <v>6551134.71</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2017</v>
      </c>
      <c r="E39" s="1422">
        <v>2270.21</v>
      </c>
      <c r="F39" s="1422">
        <v>90.73</v>
      </c>
      <c r="G39" s="1422">
        <v>9821.34</v>
      </c>
      <c r="H39" s="1422">
        <v>16349.72</v>
      </c>
      <c r="I39" s="1422">
        <v>14070.15</v>
      </c>
      <c r="J39" s="1422">
        <v>0</v>
      </c>
      <c r="K39" s="1422">
        <v>0</v>
      </c>
      <c r="L39" s="1422">
        <v>6523</v>
      </c>
      <c r="M39" s="1432">
        <f t="shared" si="0"/>
        <v>51142.15</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110786</v>
      </c>
      <c r="E40" s="1422">
        <v>0</v>
      </c>
      <c r="F40" s="1422">
        <v>0</v>
      </c>
      <c r="G40" s="1422">
        <v>1055130.28</v>
      </c>
      <c r="H40" s="1422">
        <v>43365.98</v>
      </c>
      <c r="I40" s="1422">
        <v>558585.71</v>
      </c>
      <c r="J40" s="1422">
        <v>0</v>
      </c>
      <c r="K40" s="1422">
        <v>0</v>
      </c>
      <c r="L40" s="1422">
        <v>0</v>
      </c>
      <c r="M40" s="1432">
        <f t="shared" si="0"/>
        <v>1767867.97</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42500</v>
      </c>
      <c r="E41" s="1422">
        <v>48830.34</v>
      </c>
      <c r="F41" s="1422">
        <v>0</v>
      </c>
      <c r="G41" s="1422">
        <v>51209.35</v>
      </c>
      <c r="H41" s="1423">
        <v>310768.39</v>
      </c>
      <c r="I41" s="1422">
        <v>35272.870000000003</v>
      </c>
      <c r="J41" s="1422">
        <v>0</v>
      </c>
      <c r="K41" s="1422">
        <v>4167.59</v>
      </c>
      <c r="L41" s="1422">
        <v>0</v>
      </c>
      <c r="M41" s="1432">
        <f t="shared" si="0"/>
        <v>492748.54000000004</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627054</v>
      </c>
      <c r="E42" s="1423">
        <v>153500.79</v>
      </c>
      <c r="F42" s="1423">
        <v>56280.22</v>
      </c>
      <c r="G42" s="1423">
        <v>194044.5</v>
      </c>
      <c r="H42" s="1423">
        <v>792704.53</v>
      </c>
      <c r="I42" s="1423">
        <v>540494.23</v>
      </c>
      <c r="J42" s="1423">
        <v>1429431.02</v>
      </c>
      <c r="K42" s="1422">
        <v>0</v>
      </c>
      <c r="L42" s="1423">
        <v>849180</v>
      </c>
      <c r="M42" s="1432">
        <f t="shared" si="0"/>
        <v>4642689.29</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414715</v>
      </c>
      <c r="E43" s="1422">
        <v>116187.31</v>
      </c>
      <c r="F43" s="1423">
        <v>74246.990000000005</v>
      </c>
      <c r="G43" s="1423">
        <v>876339.36</v>
      </c>
      <c r="H43" s="1423">
        <v>3280553.57</v>
      </c>
      <c r="I43" s="1423">
        <v>4455.6899999999996</v>
      </c>
      <c r="J43" s="1423">
        <v>892774.68</v>
      </c>
      <c r="K43" s="1423">
        <v>21292.959999999999</v>
      </c>
      <c r="L43" s="1423">
        <v>11236</v>
      </c>
      <c r="M43" s="1432">
        <f t="shared" si="0"/>
        <v>5691801.5600000005</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574812</v>
      </c>
      <c r="E44" s="1422">
        <v>1146.02</v>
      </c>
      <c r="F44" s="1423">
        <v>1405.23</v>
      </c>
      <c r="G44" s="1422">
        <v>127714.81</v>
      </c>
      <c r="H44" s="1422">
        <v>1110519.6599999999</v>
      </c>
      <c r="I44" s="1422">
        <v>4105</v>
      </c>
      <c r="J44" s="1422">
        <v>0</v>
      </c>
      <c r="K44" s="1422">
        <v>16794.91</v>
      </c>
      <c r="L44" s="1423">
        <v>355819</v>
      </c>
      <c r="M44" s="1432">
        <f t="shared" si="0"/>
        <v>2192316.63</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30431</v>
      </c>
      <c r="E45" s="1423">
        <v>22672.18</v>
      </c>
      <c r="F45" s="1422">
        <v>5565.44</v>
      </c>
      <c r="G45" s="1423">
        <v>1550007.76</v>
      </c>
      <c r="H45" s="1423">
        <v>1386068.39</v>
      </c>
      <c r="I45" s="1423">
        <v>648924.04</v>
      </c>
      <c r="J45" s="1422">
        <v>0</v>
      </c>
      <c r="K45" s="1423">
        <v>16928.86</v>
      </c>
      <c r="L45" s="1422">
        <v>336364</v>
      </c>
      <c r="M45" s="1432">
        <f t="shared" si="0"/>
        <v>3996961.67</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340233</v>
      </c>
      <c r="E46" s="1423">
        <v>26919.4</v>
      </c>
      <c r="F46" s="1423">
        <v>13128.1</v>
      </c>
      <c r="G46" s="1423">
        <v>949039.93</v>
      </c>
      <c r="H46" s="1423">
        <v>201316.9</v>
      </c>
      <c r="I46" s="1422">
        <v>110152.08</v>
      </c>
      <c r="J46" s="1422">
        <v>0</v>
      </c>
      <c r="K46" s="1422">
        <v>0</v>
      </c>
      <c r="L46" s="1423">
        <v>30926</v>
      </c>
      <c r="M46" s="1432">
        <f t="shared" si="0"/>
        <v>1671715.4100000001</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2248</v>
      </c>
      <c r="E47" s="1423">
        <v>328.4</v>
      </c>
      <c r="F47" s="1422">
        <v>0</v>
      </c>
      <c r="G47" s="1422">
        <v>4491.83</v>
      </c>
      <c r="H47" s="1422">
        <v>276.32</v>
      </c>
      <c r="I47" s="1422">
        <v>17006.91</v>
      </c>
      <c r="J47" s="1422">
        <v>0</v>
      </c>
      <c r="K47" s="1423">
        <v>0</v>
      </c>
      <c r="L47" s="1423">
        <v>1776</v>
      </c>
      <c r="M47" s="1432">
        <f t="shared" si="0"/>
        <v>26127.46</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609</v>
      </c>
      <c r="E48" s="1422">
        <v>0</v>
      </c>
      <c r="F48" s="1422">
        <v>4493.93</v>
      </c>
      <c r="G48" s="1422">
        <v>79122.210000000006</v>
      </c>
      <c r="H48" s="1422">
        <v>12052.51</v>
      </c>
      <c r="I48" s="1422">
        <v>7.0000000000000001E-3</v>
      </c>
      <c r="J48" s="1422">
        <v>0</v>
      </c>
      <c r="K48" s="1422">
        <v>936.37</v>
      </c>
      <c r="L48" s="1423">
        <v>791</v>
      </c>
      <c r="M48" s="1432">
        <f t="shared" si="0"/>
        <v>98005.027000000002</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29380</v>
      </c>
      <c r="E49" s="1422">
        <v>0</v>
      </c>
      <c r="F49" s="1422">
        <v>1517.95</v>
      </c>
      <c r="G49" s="1423">
        <v>110590.67</v>
      </c>
      <c r="H49" s="1422">
        <v>22458.19</v>
      </c>
      <c r="I49" s="1422">
        <v>10435.209999999999</v>
      </c>
      <c r="J49" s="1422">
        <v>0</v>
      </c>
      <c r="K49" s="1422">
        <v>0</v>
      </c>
      <c r="L49" s="1423">
        <v>5779</v>
      </c>
      <c r="M49" s="1432">
        <f t="shared" si="0"/>
        <v>180161.02</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36617</v>
      </c>
      <c r="E50" s="1423">
        <v>43609.47</v>
      </c>
      <c r="F50" s="1423">
        <v>3503.82</v>
      </c>
      <c r="G50" s="1423">
        <v>1858405.71</v>
      </c>
      <c r="H50" s="1423">
        <v>104642.03</v>
      </c>
      <c r="I50" s="1422">
        <v>355321.79</v>
      </c>
      <c r="J50" s="1422">
        <v>0</v>
      </c>
      <c r="K50" s="1422">
        <v>55992.24</v>
      </c>
      <c r="L50" s="1423">
        <v>17870</v>
      </c>
      <c r="M50" s="1432">
        <f t="shared" si="0"/>
        <v>2475962.06</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2566564</v>
      </c>
      <c r="E51" s="1433">
        <v>363721.41</v>
      </c>
      <c r="F51" s="1433">
        <v>256841.12</v>
      </c>
      <c r="G51" s="1433">
        <v>2224212.2200000002</v>
      </c>
      <c r="H51" s="1433">
        <v>556066.57999999996</v>
      </c>
      <c r="I51" s="1433">
        <v>276288.34000000003</v>
      </c>
      <c r="J51" s="1433">
        <v>226953.91</v>
      </c>
      <c r="K51" s="1434">
        <v>27963.63</v>
      </c>
      <c r="L51" s="1433">
        <v>582009</v>
      </c>
      <c r="M51" s="1435">
        <f t="shared" si="0"/>
        <v>7080620.21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9719614</v>
      </c>
      <c r="E52" s="1428">
        <f t="shared" ref="E52:L52" si="1">SUM(E22:E51)</f>
        <v>1586420.8299999996</v>
      </c>
      <c r="F52" s="1428">
        <f t="shared" si="1"/>
        <v>1351575.2999999998</v>
      </c>
      <c r="G52" s="1428">
        <f t="shared" si="1"/>
        <v>20396792.02</v>
      </c>
      <c r="H52" s="1428">
        <f t="shared" si="1"/>
        <v>19002971.82</v>
      </c>
      <c r="I52" s="1428">
        <f t="shared" si="1"/>
        <v>4693638.7570000002</v>
      </c>
      <c r="J52" s="1428">
        <f t="shared" si="1"/>
        <v>2549159.6100000003</v>
      </c>
      <c r="K52" s="1428">
        <f t="shared" si="1"/>
        <v>1564585.9100000001</v>
      </c>
      <c r="L52" s="1428">
        <f t="shared" si="1"/>
        <v>2650197</v>
      </c>
      <c r="M52" s="1428">
        <f>SUM(M22:M51)</f>
        <v>63514955.247000024</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7051</v>
      </c>
      <c r="E56" s="1426">
        <v>12354.65</v>
      </c>
      <c r="F56" s="1427">
        <v>17991.14</v>
      </c>
      <c r="G56" s="1427">
        <v>751323.52</v>
      </c>
      <c r="H56" s="1427">
        <v>1184649.1399999999</v>
      </c>
      <c r="I56" s="1426">
        <v>218598</v>
      </c>
      <c r="J56" s="1426">
        <v>0</v>
      </c>
      <c r="K56" s="1426">
        <v>0</v>
      </c>
      <c r="L56" s="1427">
        <v>24814</v>
      </c>
      <c r="M56" s="1440">
        <f t="shared" ref="M56:M62" si="2">SUM(D56:L56)</f>
        <v>2216781.4500000002</v>
      </c>
      <c r="O56" s="938"/>
      <c r="P56" s="936"/>
    </row>
    <row r="57" spans="1:55" ht="15.75">
      <c r="A57" s="936"/>
      <c r="B57" s="936" t="s">
        <v>598</v>
      </c>
      <c r="C57" s="932"/>
      <c r="D57" s="1427">
        <v>371371</v>
      </c>
      <c r="E57" s="1426">
        <v>0</v>
      </c>
      <c r="F57" s="1426">
        <v>0</v>
      </c>
      <c r="G57" s="1426">
        <v>25307.97</v>
      </c>
      <c r="H57" s="1426">
        <v>3431.69</v>
      </c>
      <c r="I57" s="1426">
        <v>7198</v>
      </c>
      <c r="J57" s="1426">
        <v>0</v>
      </c>
      <c r="K57" s="1426">
        <v>0</v>
      </c>
      <c r="L57" s="1426">
        <v>0</v>
      </c>
      <c r="M57" s="1440">
        <f t="shared" si="2"/>
        <v>407308.66</v>
      </c>
      <c r="O57" s="938"/>
      <c r="P57" s="936"/>
    </row>
    <row r="58" spans="1:55" ht="15.75">
      <c r="A58" s="936"/>
      <c r="B58" s="936" t="s">
        <v>599</v>
      </c>
      <c r="C58" s="932"/>
      <c r="D58" s="1426">
        <v>0</v>
      </c>
      <c r="E58" s="1426">
        <v>0</v>
      </c>
      <c r="F58" s="1426">
        <v>0</v>
      </c>
      <c r="G58" s="1427">
        <v>120078.04</v>
      </c>
      <c r="H58" s="1427">
        <v>61972.39</v>
      </c>
      <c r="I58" s="1426">
        <v>54489</v>
      </c>
      <c r="J58" s="1426">
        <v>0</v>
      </c>
      <c r="K58" s="1426">
        <v>0</v>
      </c>
      <c r="L58" s="1426">
        <v>0</v>
      </c>
      <c r="M58" s="1440">
        <f t="shared" si="2"/>
        <v>236539.43</v>
      </c>
      <c r="O58" s="938"/>
      <c r="P58" s="936"/>
    </row>
    <row r="59" spans="1:55" ht="15.75">
      <c r="A59" s="936"/>
      <c r="B59" s="936" t="s">
        <v>600</v>
      </c>
      <c r="C59" s="932"/>
      <c r="D59" s="1426">
        <v>382054</v>
      </c>
      <c r="E59" s="1427">
        <v>48593.18</v>
      </c>
      <c r="F59" s="1427">
        <v>46781.81</v>
      </c>
      <c r="G59" s="1427">
        <v>1556738.5</v>
      </c>
      <c r="H59" s="1427">
        <v>687779.46</v>
      </c>
      <c r="I59" s="1427">
        <v>173069</v>
      </c>
      <c r="J59" s="1426">
        <v>0</v>
      </c>
      <c r="K59" s="1426">
        <v>85062.68</v>
      </c>
      <c r="L59" s="1426">
        <v>5863</v>
      </c>
      <c r="M59" s="1440">
        <f t="shared" si="2"/>
        <v>2985941.6300000004</v>
      </c>
      <c r="O59" s="938"/>
      <c r="P59" s="936"/>
    </row>
    <row r="60" spans="1:55" ht="15.75">
      <c r="A60" s="936"/>
      <c r="B60" s="936" t="s">
        <v>601</v>
      </c>
      <c r="C60" s="932"/>
      <c r="D60" s="1426">
        <v>0</v>
      </c>
      <c r="E60" s="1426">
        <v>74884.399999999994</v>
      </c>
      <c r="F60" s="1426">
        <v>0</v>
      </c>
      <c r="G60" s="1426">
        <v>0</v>
      </c>
      <c r="H60" s="1426">
        <v>512814.61</v>
      </c>
      <c r="I60" s="1426">
        <v>56887</v>
      </c>
      <c r="J60" s="1426">
        <v>0</v>
      </c>
      <c r="K60" s="1426">
        <v>0</v>
      </c>
      <c r="L60" s="1426">
        <v>0</v>
      </c>
      <c r="M60" s="1440">
        <f t="shared" si="2"/>
        <v>644586.01</v>
      </c>
      <c r="O60" s="938"/>
      <c r="P60" s="936"/>
    </row>
    <row r="61" spans="1:55" ht="15.75">
      <c r="A61" s="936"/>
      <c r="B61" s="936" t="s">
        <v>602</v>
      </c>
      <c r="C61" s="932"/>
      <c r="D61" s="1426">
        <v>0</v>
      </c>
      <c r="E61" s="1426">
        <v>0</v>
      </c>
      <c r="F61" s="1426">
        <v>0</v>
      </c>
      <c r="G61" s="1426">
        <v>0</v>
      </c>
      <c r="H61" s="1426">
        <v>0</v>
      </c>
      <c r="I61" s="1426">
        <v>0</v>
      </c>
      <c r="J61" s="1426">
        <v>0</v>
      </c>
      <c r="K61" s="1426">
        <v>0</v>
      </c>
      <c r="L61" s="1426">
        <v>0</v>
      </c>
      <c r="M61" s="1440">
        <f t="shared" si="2"/>
        <v>0</v>
      </c>
      <c r="O61" s="938"/>
      <c r="P61" s="936"/>
    </row>
    <row r="62" spans="1:55" ht="16.5" thickBot="1">
      <c r="A62" s="936"/>
      <c r="B62" s="929" t="s">
        <v>603</v>
      </c>
      <c r="C62" s="946"/>
      <c r="D62" s="1424">
        <v>37257</v>
      </c>
      <c r="E62" s="1424">
        <v>0</v>
      </c>
      <c r="F62" s="1433">
        <v>43665.84</v>
      </c>
      <c r="G62" s="1433">
        <v>1032955.83</v>
      </c>
      <c r="H62" s="1433">
        <v>298603.46000000002</v>
      </c>
      <c r="I62" s="1424">
        <v>20740</v>
      </c>
      <c r="J62" s="1424">
        <v>0</v>
      </c>
      <c r="K62" s="1441">
        <v>151590.72</v>
      </c>
      <c r="L62" s="1424">
        <v>51781</v>
      </c>
      <c r="M62" s="1442">
        <f t="shared" si="2"/>
        <v>1636593.8499999999</v>
      </c>
      <c r="O62" s="938"/>
      <c r="P62" s="936"/>
    </row>
    <row r="63" spans="1:55" ht="15.75">
      <c r="A63" s="936"/>
      <c r="B63" s="1074" t="s">
        <v>0</v>
      </c>
      <c r="C63" s="1074" t="s">
        <v>604</v>
      </c>
      <c r="D63" s="1428">
        <f t="shared" ref="D63:I63" si="3">SUM(D56:D62)</f>
        <v>797733</v>
      </c>
      <c r="E63" s="1428">
        <f t="shared" si="3"/>
        <v>135832.22999999998</v>
      </c>
      <c r="F63" s="1428">
        <f t="shared" si="3"/>
        <v>108438.79</v>
      </c>
      <c r="G63" s="1428">
        <f t="shared" si="3"/>
        <v>3486403.8600000003</v>
      </c>
      <c r="H63" s="1428">
        <f t="shared" si="3"/>
        <v>2749250.7499999995</v>
      </c>
      <c r="I63" s="1428">
        <f t="shared" si="3"/>
        <v>530981</v>
      </c>
      <c r="J63" s="1426" t="s">
        <v>566</v>
      </c>
      <c r="K63" s="1428">
        <f>SUM(K56:K62)</f>
        <v>236653.4</v>
      </c>
      <c r="L63" s="1428">
        <f>SUM(L56:L62)</f>
        <v>82458</v>
      </c>
      <c r="M63" s="1443">
        <f>SUM(M56:M62)</f>
        <v>8127751.0300000003</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19047</v>
      </c>
      <c r="E68" s="1427">
        <v>7958.21</v>
      </c>
      <c r="F68" s="1427">
        <v>6522.86</v>
      </c>
      <c r="G68" s="1427">
        <v>84717.35</v>
      </c>
      <c r="H68" s="1427">
        <v>85151.88</v>
      </c>
      <c r="I68" s="1427">
        <v>22349</v>
      </c>
      <c r="J68" s="1426">
        <v>0</v>
      </c>
      <c r="K68" s="1426">
        <v>0</v>
      </c>
      <c r="L68" s="1426">
        <v>0</v>
      </c>
      <c r="M68" s="1443">
        <f t="shared" ref="M68:M75" si="4">SUM(D68:L68)</f>
        <v>225746.30000000002</v>
      </c>
      <c r="O68" s="938"/>
      <c r="P68" s="936"/>
    </row>
    <row r="69" spans="1:16" ht="15.75">
      <c r="A69" s="936"/>
      <c r="B69" s="936" t="s">
        <v>599</v>
      </c>
      <c r="C69" s="932"/>
      <c r="D69" s="1426">
        <v>0</v>
      </c>
      <c r="E69" s="1426">
        <v>0</v>
      </c>
      <c r="F69" s="1426">
        <v>0</v>
      </c>
      <c r="G69" s="1426">
        <v>9621.76</v>
      </c>
      <c r="H69" s="1426">
        <v>4341.83</v>
      </c>
      <c r="I69" s="1426">
        <v>6046</v>
      </c>
      <c r="J69" s="1426">
        <v>0</v>
      </c>
      <c r="K69" s="1426">
        <v>0</v>
      </c>
      <c r="L69" s="1426">
        <v>1267</v>
      </c>
      <c r="M69" s="1443">
        <f t="shared" si="4"/>
        <v>21276.59</v>
      </c>
      <c r="O69" s="938"/>
      <c r="P69" s="936"/>
    </row>
    <row r="70" spans="1:16" ht="15.75">
      <c r="A70" s="936"/>
      <c r="B70" s="936" t="s">
        <v>607</v>
      </c>
      <c r="C70" s="932"/>
      <c r="D70" s="1426">
        <v>14326</v>
      </c>
      <c r="E70" s="1427">
        <v>1224.18</v>
      </c>
      <c r="F70" s="1426">
        <v>0</v>
      </c>
      <c r="G70" s="1426">
        <v>848353.66</v>
      </c>
      <c r="H70" s="1426">
        <v>939816.68</v>
      </c>
      <c r="I70" s="1426">
        <v>114582</v>
      </c>
      <c r="J70" s="1426">
        <v>0</v>
      </c>
      <c r="K70" s="1426">
        <v>173283.74</v>
      </c>
      <c r="L70" s="1426">
        <v>1551</v>
      </c>
      <c r="M70" s="1443">
        <f t="shared" si="4"/>
        <v>2093137.26</v>
      </c>
      <c r="O70" s="938"/>
      <c r="P70" s="936"/>
    </row>
    <row r="71" spans="1:16" ht="15.75">
      <c r="A71" s="936"/>
      <c r="B71" s="936" t="s">
        <v>600</v>
      </c>
      <c r="C71" s="932"/>
      <c r="D71" s="1426">
        <v>18949</v>
      </c>
      <c r="E71" s="1427">
        <v>5302.76</v>
      </c>
      <c r="F71" s="1427">
        <v>22367.27</v>
      </c>
      <c r="G71" s="1427">
        <v>453381.31</v>
      </c>
      <c r="H71" s="1427">
        <v>385670.83</v>
      </c>
      <c r="I71" s="1426">
        <v>164731</v>
      </c>
      <c r="J71" s="1426">
        <v>0</v>
      </c>
      <c r="K71" s="1426">
        <v>0</v>
      </c>
      <c r="L71" s="1427">
        <v>6332</v>
      </c>
      <c r="M71" s="1443">
        <f t="shared" si="4"/>
        <v>1056734.17</v>
      </c>
      <c r="O71" s="938"/>
      <c r="P71" s="936"/>
    </row>
    <row r="72" spans="1:16" ht="15.75">
      <c r="A72" s="936"/>
      <c r="B72" s="936" t="s">
        <v>608</v>
      </c>
      <c r="C72" s="932"/>
      <c r="D72" s="1426">
        <v>1988</v>
      </c>
      <c r="E72" s="1426">
        <v>1751.69</v>
      </c>
      <c r="F72" s="1426">
        <v>0</v>
      </c>
      <c r="G72" s="1426">
        <v>43005.47</v>
      </c>
      <c r="H72" s="1426">
        <v>21486.67</v>
      </c>
      <c r="I72" s="1426">
        <v>7047</v>
      </c>
      <c r="J72" s="1426">
        <v>0</v>
      </c>
      <c r="K72" s="1426">
        <v>0</v>
      </c>
      <c r="L72" s="1426">
        <v>0</v>
      </c>
      <c r="M72" s="1443">
        <f t="shared" si="4"/>
        <v>75278.83</v>
      </c>
      <c r="O72" s="938"/>
      <c r="P72" s="936"/>
    </row>
    <row r="73" spans="1:16" ht="15.75">
      <c r="A73" s="936"/>
      <c r="B73" s="936" t="s">
        <v>609</v>
      </c>
      <c r="C73" s="932"/>
      <c r="D73" s="1426">
        <v>14657</v>
      </c>
      <c r="E73" s="1426">
        <v>0</v>
      </c>
      <c r="F73" s="1426">
        <v>0</v>
      </c>
      <c r="G73" s="1426">
        <v>265866.58</v>
      </c>
      <c r="H73" s="1426">
        <v>131818.1</v>
      </c>
      <c r="I73" s="1426">
        <v>113858</v>
      </c>
      <c r="J73" s="1426">
        <v>0</v>
      </c>
      <c r="K73" s="1426">
        <v>2426.4499999999998</v>
      </c>
      <c r="L73" s="1426">
        <v>0</v>
      </c>
      <c r="M73" s="1443">
        <f t="shared" si="4"/>
        <v>528626.13</v>
      </c>
      <c r="O73" s="938"/>
      <c r="P73" s="936"/>
    </row>
    <row r="74" spans="1:16" ht="15.75">
      <c r="A74" s="936"/>
      <c r="B74" s="936" t="s">
        <v>601</v>
      </c>
      <c r="C74" s="932"/>
      <c r="D74" s="1426">
        <v>0</v>
      </c>
      <c r="E74" s="1426">
        <v>0</v>
      </c>
      <c r="F74" s="1426">
        <v>0</v>
      </c>
      <c r="G74" s="1426">
        <v>0</v>
      </c>
      <c r="H74" s="1426">
        <v>232539.59</v>
      </c>
      <c r="I74" s="1426">
        <v>699</v>
      </c>
      <c r="J74" s="1426">
        <v>0</v>
      </c>
      <c r="K74" s="1426">
        <v>23093.56</v>
      </c>
      <c r="L74" s="1426">
        <v>978</v>
      </c>
      <c r="M74" s="1443">
        <f t="shared" si="4"/>
        <v>257310.15</v>
      </c>
      <c r="O74" s="938"/>
      <c r="P74" s="936"/>
    </row>
    <row r="75" spans="1:16" ht="16.5" thickBot="1">
      <c r="A75" s="936"/>
      <c r="B75" s="929" t="s">
        <v>603</v>
      </c>
      <c r="C75" s="946"/>
      <c r="D75" s="1424">
        <v>150414</v>
      </c>
      <c r="E75" s="1433">
        <v>462844.95</v>
      </c>
      <c r="F75" s="1433">
        <v>59948.71</v>
      </c>
      <c r="G75" s="1433">
        <v>562781.09</v>
      </c>
      <c r="H75" s="1433">
        <v>849786.86</v>
      </c>
      <c r="I75" s="1424">
        <v>86526</v>
      </c>
      <c r="J75" s="1424">
        <v>0</v>
      </c>
      <c r="K75" s="1424">
        <v>116124.83</v>
      </c>
      <c r="L75" s="1433">
        <v>4601</v>
      </c>
      <c r="M75" s="1447">
        <f t="shared" si="4"/>
        <v>2293027.44</v>
      </c>
      <c r="O75" s="938"/>
      <c r="P75" s="936"/>
    </row>
    <row r="76" spans="1:16" ht="15.75">
      <c r="A76" s="936"/>
      <c r="C76" s="1074" t="s">
        <v>604</v>
      </c>
      <c r="D76" s="1428">
        <f t="shared" ref="D76:I76" si="5">SUM(D68:D75)</f>
        <v>219381</v>
      </c>
      <c r="E76" s="1428">
        <f t="shared" si="5"/>
        <v>479081.79000000004</v>
      </c>
      <c r="F76" s="1428">
        <f t="shared" si="5"/>
        <v>88838.84</v>
      </c>
      <c r="G76" s="1428">
        <f t="shared" si="5"/>
        <v>2267727.2200000002</v>
      </c>
      <c r="H76" s="1428">
        <f t="shared" si="5"/>
        <v>2650612.44</v>
      </c>
      <c r="I76" s="1428">
        <f t="shared" si="5"/>
        <v>515838</v>
      </c>
      <c r="J76" s="1426" t="s">
        <v>566</v>
      </c>
      <c r="K76" s="1428">
        <f>SUM(K68:K75)</f>
        <v>314928.58</v>
      </c>
      <c r="L76" s="1428">
        <f>SUM(L68:L75)</f>
        <v>14729</v>
      </c>
      <c r="M76" s="1443">
        <f>SUM(M68:M75)</f>
        <v>6551136.8699999992</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7.xml><?xml version="1.0" encoding="utf-8"?>
<worksheet xmlns="http://schemas.openxmlformats.org/spreadsheetml/2006/main" xmlns:r="http://schemas.openxmlformats.org/officeDocument/2006/relationships">
  <sheetPr>
    <pageSetUpPr fitToPage="1"/>
  </sheetPr>
  <dimension ref="A1:BC239"/>
  <sheetViews>
    <sheetView topLeftCell="B19" zoomScale="110" zoomScaleNormal="110"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872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7" t="s">
        <v>566</v>
      </c>
      <c r="E22" s="917" t="s">
        <v>566</v>
      </c>
      <c r="F22" s="917" t="s">
        <v>566</v>
      </c>
      <c r="G22" s="967">
        <v>1.1448908228853922E-4</v>
      </c>
      <c r="H22" s="917">
        <v>5.3753023983592902E-3</v>
      </c>
      <c r="I22" s="917" t="s">
        <v>566</v>
      </c>
      <c r="J22" s="917" t="s">
        <v>566</v>
      </c>
      <c r="K22" s="917" t="s">
        <v>566</v>
      </c>
      <c r="L22" s="917" t="s">
        <v>566</v>
      </c>
      <c r="M22" s="1071">
        <v>1.6449973017171411E-3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v>4.5845442010351438E-4</v>
      </c>
      <c r="E23" s="917">
        <v>1.4726710314311747E-2</v>
      </c>
      <c r="F23" s="917">
        <v>1.4361020063033115E-5</v>
      </c>
      <c r="G23" s="967">
        <v>1.0557336162905093E-2</v>
      </c>
      <c r="H23" s="917">
        <v>5.3608525005958779E-2</v>
      </c>
      <c r="I23" s="917">
        <v>5.1783946865853782E-2</v>
      </c>
      <c r="J23" s="917" t="s">
        <v>566</v>
      </c>
      <c r="K23" s="917">
        <v>0.24952994112033131</v>
      </c>
      <c r="L23" s="917">
        <v>4.0343038649579638E-2</v>
      </c>
      <c r="M23" s="1071">
        <v>3.1524519102838745E-2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v>3.9744376679979264E-4</v>
      </c>
      <c r="E24" s="917" t="s">
        <v>566</v>
      </c>
      <c r="F24" s="917">
        <v>7.0584820542370086E-3</v>
      </c>
      <c r="G24" s="967">
        <v>3.2311708593869358E-2</v>
      </c>
      <c r="H24" s="917">
        <v>5.2193156912232898E-2</v>
      </c>
      <c r="I24" s="917">
        <v>1.960688812336735E-2</v>
      </c>
      <c r="J24" s="917" t="s">
        <v>566</v>
      </c>
      <c r="K24" s="917">
        <v>0.13235829920007394</v>
      </c>
      <c r="L24" s="917">
        <v>3.126333627273746E-2</v>
      </c>
      <c r="M24" s="1071">
        <v>3.2216836681100383E-2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v>1.168462039747669E-3</v>
      </c>
      <c r="E25" s="917" t="s">
        <v>566</v>
      </c>
      <c r="F25" s="917">
        <v>4.8601065734184403E-4</v>
      </c>
      <c r="G25" s="967">
        <v>1.8796387178144107E-4</v>
      </c>
      <c r="H25" s="917" t="s">
        <v>566</v>
      </c>
      <c r="I25" s="917" t="s">
        <v>566</v>
      </c>
      <c r="J25" s="917" t="s">
        <v>566</v>
      </c>
      <c r="K25" s="917" t="s">
        <v>566</v>
      </c>
      <c r="L25" s="917" t="s">
        <v>566</v>
      </c>
      <c r="M25" s="1071">
        <v>2.4951194468091087E-4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7" t="s">
        <v>566</v>
      </c>
      <c r="E26" s="917" t="s">
        <v>566</v>
      </c>
      <c r="F26" s="917" t="s">
        <v>566</v>
      </c>
      <c r="G26" s="967">
        <v>3.4353519872778501E-2</v>
      </c>
      <c r="H26" s="917">
        <v>4.5454295684999859E-3</v>
      </c>
      <c r="I26" s="917">
        <v>1.4311787395188324E-2</v>
      </c>
      <c r="J26" s="917" t="s">
        <v>566</v>
      </c>
      <c r="K26" s="917" t="s">
        <v>566</v>
      </c>
      <c r="L26" s="917" t="s">
        <v>566</v>
      </c>
      <c r="M26" s="1071">
        <v>1.3449629723864893E-2</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2.3469964959513825E-2</v>
      </c>
      <c r="E27" s="917">
        <v>7.7909970458469105E-4</v>
      </c>
      <c r="F27" s="917" t="s">
        <v>566</v>
      </c>
      <c r="G27" s="967">
        <v>2.9391557231753348E-2</v>
      </c>
      <c r="H27" s="917">
        <v>1.4765360526646299E-2</v>
      </c>
      <c r="I27" s="917">
        <v>1.420269080158356E-2</v>
      </c>
      <c r="J27" s="917" t="s">
        <v>566</v>
      </c>
      <c r="K27" s="917" t="s">
        <v>566</v>
      </c>
      <c r="L27" s="917">
        <v>2.2337962045840365E-3</v>
      </c>
      <c r="M27" s="1071">
        <v>1.8610049954429112E-2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7" t="s">
        <v>566</v>
      </c>
      <c r="E28" s="917" t="s">
        <v>566</v>
      </c>
      <c r="F28" s="917">
        <v>6.6189208991907448E-3</v>
      </c>
      <c r="G28" s="917" t="s">
        <v>566</v>
      </c>
      <c r="H28" s="917">
        <v>7.6756625953887251E-4</v>
      </c>
      <c r="I28" s="917">
        <v>1.114657576107108E-4</v>
      </c>
      <c r="J28" s="917" t="s">
        <v>566</v>
      </c>
      <c r="K28" s="917" t="s">
        <v>566</v>
      </c>
      <c r="L28" s="917" t="s">
        <v>566</v>
      </c>
      <c r="M28" s="1071">
        <v>3.7873269226834872E-4</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9.5562436944512403E-3</v>
      </c>
      <c r="E29" s="917">
        <v>3.5859022350330596E-3</v>
      </c>
      <c r="F29" s="917" t="s">
        <v>566</v>
      </c>
      <c r="G29" s="967">
        <v>7.5259874126029358E-3</v>
      </c>
      <c r="H29" s="917">
        <v>8.5246861140690772E-3</v>
      </c>
      <c r="I29" s="917">
        <v>1.4156596500082972E-2</v>
      </c>
      <c r="J29" s="917" t="s">
        <v>566</v>
      </c>
      <c r="K29" s="917" t="s">
        <v>566</v>
      </c>
      <c r="L29" s="917">
        <v>1.6972323189559115E-3</v>
      </c>
      <c r="M29" s="1071">
        <v>7.6362498897125271E-3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4.8493386671528312E-2</v>
      </c>
      <c r="E30" s="917" t="s">
        <v>566</v>
      </c>
      <c r="F30" s="917">
        <v>1.1895955778416491E-2</v>
      </c>
      <c r="G30" s="967">
        <v>3.5422007994765053E-2</v>
      </c>
      <c r="H30" s="917">
        <v>2.3693697715539735E-2</v>
      </c>
      <c r="I30" s="917">
        <v>1.3843204252371908E-2</v>
      </c>
      <c r="J30" s="917" t="s">
        <v>566</v>
      </c>
      <c r="K30" s="917">
        <v>0.1292458718358265</v>
      </c>
      <c r="L30" s="917">
        <v>1.8341278025746765E-2</v>
      </c>
      <c r="M30" s="1071">
        <v>3.1110162044762357E-2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5.5907569991977049E-4</v>
      </c>
      <c r="E31" s="917">
        <v>1.7269692556923883E-4</v>
      </c>
      <c r="F31" s="917" t="s">
        <v>566</v>
      </c>
      <c r="G31" s="967">
        <v>2.3966039832179455E-2</v>
      </c>
      <c r="H31" s="917">
        <v>1.8613593355315518E-2</v>
      </c>
      <c r="I31" s="917">
        <v>2.5629219935299763E-2</v>
      </c>
      <c r="J31" s="917" t="s">
        <v>566</v>
      </c>
      <c r="K31" s="917" t="s">
        <v>566</v>
      </c>
      <c r="L31" s="917">
        <v>3.2337218704873638E-3</v>
      </c>
      <c r="M31" s="1071">
        <v>1.5384033354036753E-2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7" t="s">
        <v>566</v>
      </c>
      <c r="E32" s="917" t="s">
        <v>566</v>
      </c>
      <c r="F32" s="917" t="s">
        <v>566</v>
      </c>
      <c r="G32" s="967">
        <v>2.7276867825806266E-3</v>
      </c>
      <c r="H32" s="917">
        <v>2.3641817935401224E-3</v>
      </c>
      <c r="I32" s="917">
        <v>3.1001533678532301E-4</v>
      </c>
      <c r="J32" s="917" t="s">
        <v>566</v>
      </c>
      <c r="K32" s="917" t="s">
        <v>566</v>
      </c>
      <c r="L32" s="917">
        <v>8.8144390775478202E-4</v>
      </c>
      <c r="M32" s="1071">
        <v>1.6429774624603692E-3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0.31648767121821914</v>
      </c>
      <c r="E33" s="917" t="s">
        <v>566</v>
      </c>
      <c r="F33" s="917">
        <v>0.3904720291943779</v>
      </c>
      <c r="G33" s="967">
        <v>4.1000657808344901E-2</v>
      </c>
      <c r="H33" s="917">
        <v>4.8055762469683015E-3</v>
      </c>
      <c r="I33" s="917">
        <v>4.3201023874620269E-4</v>
      </c>
      <c r="J33" s="917" t="s">
        <v>566</v>
      </c>
      <c r="K33" s="917">
        <v>4.2841770190810424E-2</v>
      </c>
      <c r="L33" s="917" t="s">
        <v>566</v>
      </c>
      <c r="M33" s="1071">
        <v>7.2432544148211403E-2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7" t="s">
        <v>566</v>
      </c>
      <c r="E34" s="917">
        <v>4.8188852890944465E-3</v>
      </c>
      <c r="F34" s="917">
        <v>7.4783846671361938E-4</v>
      </c>
      <c r="G34" s="967">
        <v>5.8239550554577855E-6</v>
      </c>
      <c r="H34" s="917">
        <v>7.6635059705098263E-2</v>
      </c>
      <c r="I34" s="917">
        <v>1.9621132935007422E-2</v>
      </c>
      <c r="J34" s="917" t="s">
        <v>566</v>
      </c>
      <c r="K34" s="917">
        <v>1.396222467579297E-3</v>
      </c>
      <c r="L34" s="917" t="s">
        <v>566</v>
      </c>
      <c r="M34" s="1071">
        <v>2.4550867176650525E-2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7" t="s">
        <v>566</v>
      </c>
      <c r="E35" s="917">
        <v>1.811600015362885E-3</v>
      </c>
      <c r="F35" s="917" t="s">
        <v>566</v>
      </c>
      <c r="G35" s="967">
        <v>1.1119132840969177E-2</v>
      </c>
      <c r="H35" s="917">
        <v>4.3251603369477603E-3</v>
      </c>
      <c r="I35" s="917" t="s">
        <v>566</v>
      </c>
      <c r="J35" s="917" t="s">
        <v>566</v>
      </c>
      <c r="K35" s="917" t="s">
        <v>566</v>
      </c>
      <c r="L35" s="917" t="s">
        <v>566</v>
      </c>
      <c r="M35" s="1071">
        <v>4.910022982575115E-3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v>3.1841799478868195E-3</v>
      </c>
      <c r="E36" s="917">
        <v>9.5334779485970328E-2</v>
      </c>
      <c r="F36" s="917">
        <v>0.12816186415954778</v>
      </c>
      <c r="G36" s="967">
        <v>4.354178780315867E-2</v>
      </c>
      <c r="H36" s="917">
        <v>3.3207132862021996E-2</v>
      </c>
      <c r="I36" s="917">
        <v>5.43229428595755E-2</v>
      </c>
      <c r="J36" s="917" t="s">
        <v>566</v>
      </c>
      <c r="K36" s="917" t="s">
        <v>566</v>
      </c>
      <c r="L36" s="917">
        <v>3.5859221031493131E-2</v>
      </c>
      <c r="M36" s="1071">
        <v>3.5024251396368125E-2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8.2074555635645613E-2</v>
      </c>
      <c r="E37" s="917">
        <v>8.5621814484117709E-2</v>
      </c>
      <c r="F37" s="917">
        <v>8.0231415889296012E-2</v>
      </c>
      <c r="G37" s="967">
        <v>0.17092902926016107</v>
      </c>
      <c r="H37" s="917">
        <v>0.14467477855787297</v>
      </c>
      <c r="I37" s="917">
        <v>0.11312780286043646</v>
      </c>
      <c r="J37" s="917" t="s">
        <v>566</v>
      </c>
      <c r="K37" s="917">
        <v>0.15125625156626904</v>
      </c>
      <c r="L37" s="917">
        <v>3.1113913418511906E-2</v>
      </c>
      <c r="M37" s="1071">
        <v>0.12796594185404697</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2.2570752295307202E-2</v>
      </c>
      <c r="E38" s="917">
        <v>0.30198909453300615</v>
      </c>
      <c r="F38" s="917">
        <v>6.5729848718010755E-2</v>
      </c>
      <c r="G38" s="967">
        <v>0.11118058260222434</v>
      </c>
      <c r="H38" s="917">
        <v>0.13948410096626665</v>
      </c>
      <c r="I38" s="917">
        <v>0.10990147872600754</v>
      </c>
      <c r="J38" s="917" t="s">
        <v>566</v>
      </c>
      <c r="K38" s="917">
        <v>0.2012855784953349</v>
      </c>
      <c r="L38" s="917">
        <v>5.5577000502226815E-3</v>
      </c>
      <c r="M38" s="1071">
        <v>0.10314318390879174</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2.075185290280046E-4</v>
      </c>
      <c r="E39" s="917">
        <v>1.4310263437476427E-3</v>
      </c>
      <c r="F39" s="917">
        <v>6.7129075235393857E-5</v>
      </c>
      <c r="G39" s="967">
        <v>4.8151395525187102E-4</v>
      </c>
      <c r="H39" s="917">
        <v>8.6037700602136652E-4</v>
      </c>
      <c r="I39" s="917">
        <v>2.9977061994845801E-3</v>
      </c>
      <c r="J39" s="917" t="s">
        <v>566</v>
      </c>
      <c r="K39" s="917" t="s">
        <v>566</v>
      </c>
      <c r="L39" s="917">
        <v>2.4613264598820389E-3</v>
      </c>
      <c r="M39" s="1071">
        <v>8.0519855207511276E-4</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1.1398189269656182E-2</v>
      </c>
      <c r="E40" s="917" t="s">
        <v>566</v>
      </c>
      <c r="F40" s="917" t="s">
        <v>566</v>
      </c>
      <c r="G40" s="967">
        <v>5.1730207326985335E-2</v>
      </c>
      <c r="H40" s="917">
        <v>2.2820630589136981E-3</v>
      </c>
      <c r="I40" s="917">
        <v>0.11900909697554722</v>
      </c>
      <c r="J40" s="917" t="s">
        <v>566</v>
      </c>
      <c r="K40" s="917" t="s">
        <v>566</v>
      </c>
      <c r="L40" s="917" t="s">
        <v>566</v>
      </c>
      <c r="M40" s="1071">
        <v>2.7833885155472908E-2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4.3726016280070381E-3</v>
      </c>
      <c r="E41" s="917">
        <v>3.0780193424464811E-2</v>
      </c>
      <c r="F41" s="917" t="s">
        <v>566</v>
      </c>
      <c r="G41" s="967">
        <v>2.5106570655712358E-3</v>
      </c>
      <c r="H41" s="917">
        <v>1.6353673148792786E-2</v>
      </c>
      <c r="I41" s="917">
        <v>7.5150372293553138E-3</v>
      </c>
      <c r="J41" s="917" t="s">
        <v>566</v>
      </c>
      <c r="K41" s="917">
        <v>2.6637016052381553E-3</v>
      </c>
      <c r="L41" s="917" t="s">
        <v>566</v>
      </c>
      <c r="M41" s="1071">
        <v>7.7579923985426069E-3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6.451429038231353E-2</v>
      </c>
      <c r="E42" s="917">
        <v>9.675918715716815E-2</v>
      </c>
      <c r="F42" s="917">
        <v>4.1640462059346607E-2</v>
      </c>
      <c r="G42" s="967">
        <v>9.5134813263639886E-3</v>
      </c>
      <c r="H42" s="917">
        <v>4.1714766380156636E-2</v>
      </c>
      <c r="I42" s="917">
        <v>0.1151546290591532</v>
      </c>
      <c r="J42" s="967">
        <v>0.56074598639980799</v>
      </c>
      <c r="K42" s="918">
        <v>0</v>
      </c>
      <c r="L42" s="917">
        <v>0.32042146300822166</v>
      </c>
      <c r="M42" s="1071">
        <v>7.3096001909239885E-2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4.2667846686092678E-2</v>
      </c>
      <c r="E43" s="917">
        <v>7.3238643746249874E-2</v>
      </c>
      <c r="F43" s="917">
        <v>5.493366888252546E-2</v>
      </c>
      <c r="G43" s="967">
        <v>4.2964568111529926E-2</v>
      </c>
      <c r="H43" s="917">
        <v>0.17263371229900606</v>
      </c>
      <c r="I43" s="917">
        <v>9.4930399007696776E-4</v>
      </c>
      <c r="J43" s="967">
        <v>0.35022313883280143</v>
      </c>
      <c r="K43" s="917">
        <v>1.3609326189061742E-2</v>
      </c>
      <c r="L43" s="917">
        <v>4.2396848234301076E-3</v>
      </c>
      <c r="M43" s="1071">
        <v>8.9613564834698345E-2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5.9139385576423099E-2</v>
      </c>
      <c r="E44" s="917">
        <v>7.2239343957681158E-4</v>
      </c>
      <c r="F44" s="917">
        <v>1.0396978991847514E-3</v>
      </c>
      <c r="G44" s="967">
        <v>6.2615145496786803E-3</v>
      </c>
      <c r="H44" s="917">
        <v>5.8439262580561986E-2</v>
      </c>
      <c r="I44" s="917">
        <v>8.745879716196488E-4</v>
      </c>
      <c r="J44" s="917" t="s">
        <v>566</v>
      </c>
      <c r="K44" s="917">
        <v>1.0734412148707129E-2</v>
      </c>
      <c r="L44" s="917">
        <v>0.13426133981737962</v>
      </c>
      <c r="M44" s="1071">
        <v>3.4516542150969221E-2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3.1308856503972277E-3</v>
      </c>
      <c r="E45" s="917">
        <v>1.4291403372458244E-2</v>
      </c>
      <c r="F45" s="917">
        <v>4.1177431993615161E-3</v>
      </c>
      <c r="G45" s="967">
        <v>7.5992722702675278E-2</v>
      </c>
      <c r="H45" s="917">
        <v>7.293955930309852E-2</v>
      </c>
      <c r="I45" s="917">
        <v>0.13825606817998243</v>
      </c>
      <c r="J45" s="917" t="s">
        <v>566</v>
      </c>
      <c r="K45" s="917">
        <v>1.0820025855914808E-2</v>
      </c>
      <c r="L45" s="917">
        <v>0.12692037610788934</v>
      </c>
      <c r="M45" s="1071">
        <v>6.292945739245856E-2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3.5004785169452206E-2</v>
      </c>
      <c r="E46" s="917">
        <v>1.69686375083716E-2</v>
      </c>
      <c r="F46" s="917">
        <v>9.7131843116695024E-3</v>
      </c>
      <c r="G46" s="967">
        <v>4.6528882045246252E-2</v>
      </c>
      <c r="H46" s="917">
        <v>1.0593969296324515E-2</v>
      </c>
      <c r="I46" s="917">
        <v>2.3468376179509205E-2</v>
      </c>
      <c r="J46" s="917" t="s">
        <v>566</v>
      </c>
      <c r="K46" s="917" t="s">
        <v>566</v>
      </c>
      <c r="L46" s="917">
        <v>1.166932118631181E-2</v>
      </c>
      <c r="M46" s="1071">
        <v>2.6320028149259534E-2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2.3128490493552523E-4</v>
      </c>
      <c r="E47" s="917">
        <v>2.0700686336802578E-4</v>
      </c>
      <c r="F47" s="917" t="s">
        <v>566</v>
      </c>
      <c r="G47" s="967">
        <v>2.202223759302714E-4</v>
      </c>
      <c r="H47" s="917" t="s">
        <v>566</v>
      </c>
      <c r="I47" s="917">
        <v>3.6233955957169113E-3</v>
      </c>
      <c r="J47" s="917" t="s">
        <v>566</v>
      </c>
      <c r="K47" s="917" t="s">
        <v>566</v>
      </c>
      <c r="L47" s="917">
        <v>6.7013886137521099E-4</v>
      </c>
      <c r="M47" s="1071">
        <v>4.113591814462322E-4</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6.2656809210736143E-5</v>
      </c>
      <c r="E48" s="917" t="s">
        <v>566</v>
      </c>
      <c r="F48" s="917">
        <v>3.3249571814459771E-3</v>
      </c>
      <c r="G48" s="967">
        <v>3.8791497173877643E-3</v>
      </c>
      <c r="H48" s="917">
        <v>6.3424342856284888E-4</v>
      </c>
      <c r="I48" s="917" t="s">
        <v>566</v>
      </c>
      <c r="J48" s="917" t="s">
        <v>566</v>
      </c>
      <c r="K48" s="917">
        <v>5.9847784261332117E-4</v>
      </c>
      <c r="L48" s="917">
        <v>2.9846837801114406E-4</v>
      </c>
      <c r="M48" s="1071">
        <v>1.5430228458616292E-3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v>3.0227537842552185E-3</v>
      </c>
      <c r="E49" s="917" t="s">
        <v>566</v>
      </c>
      <c r="F49" s="917">
        <v>1.1230968781391613E-3</v>
      </c>
      <c r="G49" s="967">
        <v>5.4219638995956186E-3</v>
      </c>
      <c r="H49" s="917">
        <v>1.1818251488624266E-3</v>
      </c>
      <c r="I49" s="917">
        <v>2.2232665401522717E-3</v>
      </c>
      <c r="J49" s="917" t="s">
        <v>566</v>
      </c>
      <c r="K49" s="917" t="s">
        <v>566</v>
      </c>
      <c r="L49" s="917">
        <v>2.1805926125491805E-3</v>
      </c>
      <c r="M49" s="1071">
        <v>2.8365133738877894E-3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3.7673306779466755E-3</v>
      </c>
      <c r="E50" s="917">
        <v>2.7489219238252195E-2</v>
      </c>
      <c r="F50" s="917">
        <v>2.5923971827540803E-3</v>
      </c>
      <c r="G50" s="967">
        <v>9.1112646938682665E-2</v>
      </c>
      <c r="H50" s="917">
        <v>5.5066139649729796E-3</v>
      </c>
      <c r="I50" s="917">
        <v>7.570284131263405E-2</v>
      </c>
      <c r="J50" s="917" t="s">
        <v>566</v>
      </c>
      <c r="K50" s="917">
        <v>3.5787258240105202E-2</v>
      </c>
      <c r="L50" s="917">
        <v>6.7428949621480966E-3</v>
      </c>
      <c r="M50" s="1071">
        <v>3.8982347549035644E-2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v>0.26406028058315895</v>
      </c>
      <c r="E51" s="1013">
        <v>0.22927170591929258</v>
      </c>
      <c r="F51" s="1013">
        <v>0.19003093649314251</v>
      </c>
      <c r="G51" s="1417">
        <v>0.10904715887768317</v>
      </c>
      <c r="H51" s="1013">
        <v>2.9262085176317437E-2</v>
      </c>
      <c r="I51" s="1013">
        <v>5.8864423596287435E-2</v>
      </c>
      <c r="J51" s="1417">
        <v>8.903087476739048E-2</v>
      </c>
      <c r="K51" s="1013">
        <v>1.7872863242134142E-2</v>
      </c>
      <c r="L51" s="1013">
        <v>0.21960971203272814</v>
      </c>
      <c r="M51" s="1418">
        <v>0.11147957488853676</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0.99999999999999978</v>
      </c>
      <c r="E52" s="934">
        <f t="shared" ref="E52:M52" si="0">SUM(E22:E51)</f>
        <v>1.0000000000000002</v>
      </c>
      <c r="F52" s="934">
        <f t="shared" si="0"/>
        <v>1.0000000000000002</v>
      </c>
      <c r="G52" s="934">
        <f t="shared" si="0"/>
        <v>1</v>
      </c>
      <c r="H52" s="934">
        <f t="shared" si="0"/>
        <v>0.99998545911646752</v>
      </c>
      <c r="I52" s="935">
        <f t="shared" si="0"/>
        <v>0.99999991541743605</v>
      </c>
      <c r="J52" s="934">
        <f t="shared" si="0"/>
        <v>0.99999999999999989</v>
      </c>
      <c r="K52" s="935">
        <f t="shared" si="0"/>
        <v>0.99999999999999989</v>
      </c>
      <c r="L52" s="934">
        <f t="shared" si="0"/>
        <v>1</v>
      </c>
      <c r="M52" s="934">
        <f t="shared" si="0"/>
        <v>0.99999999999999933</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44">
        <v>7.2544033127241471E-4</v>
      </c>
      <c r="E56" s="944">
        <v>7.7877507445486601E-3</v>
      </c>
      <c r="F56" s="944">
        <v>1.3311237635076641E-2</v>
      </c>
      <c r="G56" s="944">
        <v>3.6835376821183083E-2</v>
      </c>
      <c r="H56" s="944">
        <v>6.2340204007101448E-2</v>
      </c>
      <c r="I56" s="944">
        <v>4.65732476053866E-2</v>
      </c>
      <c r="J56" s="944" t="s">
        <v>566</v>
      </c>
      <c r="K56" s="944" t="s">
        <v>566</v>
      </c>
      <c r="L56" s="944">
        <v>9.363077537254778E-3</v>
      </c>
      <c r="M56" s="1419">
        <v>3.4901724190456777E-2</v>
      </c>
      <c r="O56" s="938"/>
      <c r="P56" s="936"/>
    </row>
    <row r="57" spans="1:55" ht="15.75">
      <c r="A57" s="936"/>
      <c r="B57" s="936" t="s">
        <v>598</v>
      </c>
      <c r="C57" s="932"/>
      <c r="D57" s="944">
        <v>3.8208410333990632E-2</v>
      </c>
      <c r="E57" s="944" t="s">
        <v>566</v>
      </c>
      <c r="F57" s="944" t="s">
        <v>566</v>
      </c>
      <c r="G57" s="944">
        <v>1.2407818825227205E-3</v>
      </c>
      <c r="H57" s="944">
        <v>1.805870172573881E-4</v>
      </c>
      <c r="I57" s="944">
        <v>1.5335649743527971E-3</v>
      </c>
      <c r="J57" s="944" t="s">
        <v>566</v>
      </c>
      <c r="K57" s="944" t="s">
        <v>566</v>
      </c>
      <c r="L57" s="944" t="s">
        <v>566</v>
      </c>
      <c r="M57" s="1419">
        <v>6.4127992913800913E-3</v>
      </c>
      <c r="O57" s="938"/>
      <c r="P57" s="936"/>
    </row>
    <row r="58" spans="1:55" ht="15.75">
      <c r="A58" s="936"/>
      <c r="B58" s="936" t="s">
        <v>599</v>
      </c>
      <c r="C58" s="932"/>
      <c r="D58" s="944" t="s">
        <v>566</v>
      </c>
      <c r="E58" s="944" t="s">
        <v>566</v>
      </c>
      <c r="F58" s="944" t="s">
        <v>566</v>
      </c>
      <c r="G58" s="944">
        <v>5.8871042015949324E-3</v>
      </c>
      <c r="H58" s="944">
        <v>3.2611946482379198E-3</v>
      </c>
      <c r="I58" s="944">
        <v>1.1609116683455066E-2</v>
      </c>
      <c r="J58" s="944" t="s">
        <v>566</v>
      </c>
      <c r="K58" s="944" t="s">
        <v>566</v>
      </c>
      <c r="L58" s="944" t="s">
        <v>566</v>
      </c>
      <c r="M58" s="1419">
        <v>3.7241532971271731E-3</v>
      </c>
      <c r="O58" s="938"/>
      <c r="P58" s="936"/>
    </row>
    <row r="59" spans="1:55" ht="15.75">
      <c r="A59" s="936"/>
      <c r="B59" s="936" t="s">
        <v>600</v>
      </c>
      <c r="C59" s="932"/>
      <c r="D59" s="944">
        <v>3.9307528056155318E-2</v>
      </c>
      <c r="E59" s="944">
        <v>3.0630699673805981E-2</v>
      </c>
      <c r="F59" s="944">
        <v>3.4612803297012017E-2</v>
      </c>
      <c r="G59" s="944">
        <v>7.632271283021104E-2</v>
      </c>
      <c r="H59" s="944">
        <v>3.6193257902752601E-2</v>
      </c>
      <c r="I59" s="944">
        <v>3.6873097602981977E-2</v>
      </c>
      <c r="J59" s="944" t="s">
        <v>566</v>
      </c>
      <c r="K59" s="944">
        <v>5.4367535496980146E-2</v>
      </c>
      <c r="L59" s="944">
        <v>2.212288369506116E-3</v>
      </c>
      <c r="M59" s="1419">
        <v>4.7011630857459102E-2</v>
      </c>
      <c r="O59" s="938"/>
      <c r="P59" s="936"/>
    </row>
    <row r="60" spans="1:55" ht="15.75">
      <c r="A60" s="936"/>
      <c r="B60" s="936" t="s">
        <v>601</v>
      </c>
      <c r="C60" s="932"/>
      <c r="D60" s="944" t="s">
        <v>566</v>
      </c>
      <c r="E60" s="944">
        <v>4.7203364065763059E-2</v>
      </c>
      <c r="F60" s="944" t="s">
        <v>566</v>
      </c>
      <c r="G60" s="944" t="s">
        <v>566</v>
      </c>
      <c r="H60" s="944">
        <v>2.6986021705314511E-2</v>
      </c>
      <c r="I60" s="944">
        <v>1.2120020935816557E-2</v>
      </c>
      <c r="J60" s="944" t="s">
        <v>566</v>
      </c>
      <c r="K60" s="944" t="s">
        <v>566</v>
      </c>
      <c r="L60" s="944" t="s">
        <v>566</v>
      </c>
      <c r="M60" s="1419">
        <v>1.0148570639675378E-2</v>
      </c>
      <c r="O60" s="938"/>
      <c r="P60" s="936"/>
    </row>
    <row r="61" spans="1:55" ht="15.75">
      <c r="A61" s="936"/>
      <c r="B61" s="936" t="s">
        <v>602</v>
      </c>
      <c r="C61" s="932"/>
      <c r="D61" s="944" t="s">
        <v>566</v>
      </c>
      <c r="E61" s="944" t="s">
        <v>566</v>
      </c>
      <c r="F61" s="944" t="s">
        <v>566</v>
      </c>
      <c r="G61" s="944" t="s">
        <v>566</v>
      </c>
      <c r="H61" s="944" t="s">
        <v>566</v>
      </c>
      <c r="I61" s="944" t="s">
        <v>566</v>
      </c>
      <c r="J61" s="944" t="s">
        <v>566</v>
      </c>
      <c r="K61" s="944" t="s">
        <v>566</v>
      </c>
      <c r="L61" s="944" t="s">
        <v>566</v>
      </c>
      <c r="M61" s="1448" t="s">
        <v>566</v>
      </c>
      <c r="O61" s="938"/>
      <c r="P61" s="936"/>
    </row>
    <row r="62" spans="1:55" ht="16.5" thickBot="1">
      <c r="A62" s="936"/>
      <c r="B62" s="929" t="s">
        <v>603</v>
      </c>
      <c r="C62" s="946"/>
      <c r="D62" s="1420">
        <v>3.8331769142272523E-3</v>
      </c>
      <c r="E62" s="931" t="s">
        <v>566</v>
      </c>
      <c r="F62" s="931">
        <v>3.2307367558433484E-2</v>
      </c>
      <c r="G62" s="931">
        <v>5.064305352464931E-2</v>
      </c>
      <c r="H62" s="931">
        <v>1.5713513803442561E-2</v>
      </c>
      <c r="I62" s="931">
        <v>4.4187465362707712E-3</v>
      </c>
      <c r="J62" s="931" t="s">
        <v>566</v>
      </c>
      <c r="K62" s="931">
        <v>9.6888716069288894E-2</v>
      </c>
      <c r="L62" s="931">
        <v>1.9538547511751013E-2</v>
      </c>
      <c r="M62" s="1421">
        <v>2.5767062948175507E-2</v>
      </c>
      <c r="O62" s="938"/>
      <c r="P62" s="936"/>
    </row>
    <row r="63" spans="1:55" ht="15.75">
      <c r="A63" s="936"/>
      <c r="B63" s="1074" t="s">
        <v>0</v>
      </c>
      <c r="C63" s="1074" t="s">
        <v>604</v>
      </c>
      <c r="D63" s="934">
        <f t="shared" ref="D63:I63" si="1">SUM(D56:D62)</f>
        <v>8.2074555635645627E-2</v>
      </c>
      <c r="E63" s="934">
        <f t="shared" si="1"/>
        <v>8.5621814484117709E-2</v>
      </c>
      <c r="F63" s="934">
        <f t="shared" si="1"/>
        <v>8.0231408490522141E-2</v>
      </c>
      <c r="G63" s="934">
        <f t="shared" si="1"/>
        <v>0.1709290292601611</v>
      </c>
      <c r="H63" s="934">
        <f t="shared" si="1"/>
        <v>0.14467477908410642</v>
      </c>
      <c r="I63" s="935">
        <f t="shared" si="1"/>
        <v>0.11312779433826375</v>
      </c>
      <c r="J63" s="944" t="s">
        <v>566</v>
      </c>
      <c r="K63" s="935">
        <f>SUM(K56:K62)</f>
        <v>0.15125625156626904</v>
      </c>
      <c r="L63" s="934">
        <f>SUM(L56:L62)</f>
        <v>3.1113913418511906E-2</v>
      </c>
      <c r="M63" s="1079">
        <f>SUM(M56:M62)</f>
        <v>0.12796594122427402</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44">
        <v>1.959645722556472E-3</v>
      </c>
      <c r="E68" s="944">
        <v>5.0164558164557142E-3</v>
      </c>
      <c r="F68" s="944">
        <v>4.8261166063037703E-3</v>
      </c>
      <c r="G68" s="944">
        <v>4.153464423078429E-3</v>
      </c>
      <c r="H68" s="944">
        <v>4.4809770180462231E-3</v>
      </c>
      <c r="I68" s="944">
        <v>4.7615509324549403E-3</v>
      </c>
      <c r="J68" s="944" t="s">
        <v>566</v>
      </c>
      <c r="K68" s="944" t="s">
        <v>566</v>
      </c>
      <c r="L68" s="944" t="s">
        <v>566</v>
      </c>
      <c r="M68" s="1419">
        <v>3.5542227672538998E-3</v>
      </c>
      <c r="O68" s="938"/>
      <c r="P68" s="936"/>
    </row>
    <row r="69" spans="1:16" ht="15.75">
      <c r="A69" s="936"/>
      <c r="B69" s="936" t="s">
        <v>599</v>
      </c>
      <c r="C69" s="932"/>
      <c r="D69" s="944" t="s">
        <v>566</v>
      </c>
      <c r="E69" s="944" t="s">
        <v>566</v>
      </c>
      <c r="F69" s="944" t="s">
        <v>566</v>
      </c>
      <c r="G69" s="944">
        <v>4.7172908320903693E-4</v>
      </c>
      <c r="H69" s="944">
        <v>2.2848163124834859E-4</v>
      </c>
      <c r="I69" s="944">
        <v>1.2881264010748835E-3</v>
      </c>
      <c r="J69" s="944" t="s">
        <v>566</v>
      </c>
      <c r="K69" s="944" t="s">
        <v>566</v>
      </c>
      <c r="L69" s="944">
        <v>4.7807766743377945E-4</v>
      </c>
      <c r="M69" s="1419">
        <v>3.3498551510047626E-4</v>
      </c>
      <c r="O69" s="938"/>
      <c r="P69" s="936"/>
    </row>
    <row r="70" spans="1:16" ht="15.75">
      <c r="A70" s="936"/>
      <c r="B70" s="936" t="s">
        <v>607</v>
      </c>
      <c r="C70" s="932"/>
      <c r="D70" s="944">
        <v>1.4739268452430314E-3</v>
      </c>
      <c r="E70" s="944">
        <v>7.7166157733821509E-4</v>
      </c>
      <c r="F70" s="944" t="s">
        <v>566</v>
      </c>
      <c r="G70" s="944">
        <v>4.1592504309900788E-2</v>
      </c>
      <c r="H70" s="944">
        <v>4.9456300251462457E-2</v>
      </c>
      <c r="I70" s="944">
        <v>2.4412189759834984E-2</v>
      </c>
      <c r="J70" s="944" t="s">
        <v>566</v>
      </c>
      <c r="K70" s="944">
        <v>0.11075373930729056</v>
      </c>
      <c r="L70" s="944">
        <v>5.8523951238341899E-4</v>
      </c>
      <c r="M70" s="1419">
        <v>3.2955030069061794E-2</v>
      </c>
      <c r="O70" s="938"/>
      <c r="P70" s="936"/>
    </row>
    <row r="71" spans="1:16" ht="15.75">
      <c r="A71" s="936"/>
      <c r="B71" s="936" t="s">
        <v>600</v>
      </c>
      <c r="C71" s="932"/>
      <c r="D71" s="944">
        <v>1.9495630176260086E-3</v>
      </c>
      <c r="E71" s="944">
        <v>3.3425935286036314E-3</v>
      </c>
      <c r="F71" s="944">
        <v>1.6549037260447128E-2</v>
      </c>
      <c r="G71" s="944">
        <v>2.2228069470701012E-2</v>
      </c>
      <c r="H71" s="944">
        <v>2.0295290318438203E-2</v>
      </c>
      <c r="I71" s="944">
        <v>3.5096650707156243E-2</v>
      </c>
      <c r="J71" s="944" t="s">
        <v>566</v>
      </c>
      <c r="K71" s="945">
        <v>0</v>
      </c>
      <c r="L71" s="944">
        <v>2.3892563458490067E-3</v>
      </c>
      <c r="M71" s="1419">
        <v>1.6637564584443477E-2</v>
      </c>
      <c r="O71" s="938"/>
      <c r="P71" s="936"/>
    </row>
    <row r="72" spans="1:16" ht="15.75">
      <c r="A72" s="936"/>
      <c r="B72" s="936" t="s">
        <v>608</v>
      </c>
      <c r="C72" s="932"/>
      <c r="D72" s="944">
        <v>2.0453487144654099E-4</v>
      </c>
      <c r="E72" s="944">
        <v>1.1041773827440229E-3</v>
      </c>
      <c r="F72" s="944" t="s">
        <v>566</v>
      </c>
      <c r="G72" s="944">
        <v>2.1084428354140763E-3</v>
      </c>
      <c r="H72" s="944">
        <v>1.1307005137683773E-3</v>
      </c>
      <c r="I72" s="944">
        <v>1.5013937724734873E-3</v>
      </c>
      <c r="J72" s="944" t="s">
        <v>566</v>
      </c>
      <c r="K72" s="944" t="s">
        <v>566</v>
      </c>
      <c r="L72" s="944" t="s">
        <v>566</v>
      </c>
      <c r="M72" s="1419">
        <v>1.1852142492622731E-3</v>
      </c>
      <c r="O72" s="938"/>
      <c r="P72" s="936"/>
    </row>
    <row r="73" spans="1:16" ht="15.75">
      <c r="A73" s="936"/>
      <c r="B73" s="936" t="s">
        <v>609</v>
      </c>
      <c r="C73" s="932"/>
      <c r="D73" s="944">
        <v>1.507981695569392E-3</v>
      </c>
      <c r="E73" s="944" t="s">
        <v>566</v>
      </c>
      <c r="F73" s="944" t="s">
        <v>566</v>
      </c>
      <c r="G73" s="944">
        <v>1.3034725251858503E-2</v>
      </c>
      <c r="H73" s="944">
        <v>6.9367097551166082E-3</v>
      </c>
      <c r="I73" s="944">
        <v>2.4257938434267962E-2</v>
      </c>
      <c r="J73" s="944" t="s">
        <v>566</v>
      </c>
      <c r="K73" s="944">
        <v>1.5508576323558989E-3</v>
      </c>
      <c r="L73" s="944" t="s">
        <v>566</v>
      </c>
      <c r="M73" s="1419">
        <v>8.3228607804926129E-3</v>
      </c>
      <c r="O73" s="938"/>
      <c r="P73" s="936"/>
    </row>
    <row r="74" spans="1:16" ht="15.75">
      <c r="A74" s="936"/>
      <c r="B74" s="936" t="s">
        <v>601</v>
      </c>
      <c r="C74" s="932"/>
      <c r="D74" s="944" t="s">
        <v>566</v>
      </c>
      <c r="E74" s="944" t="s">
        <v>566</v>
      </c>
      <c r="F74" s="944" t="s">
        <v>566</v>
      </c>
      <c r="G74" s="944" t="s">
        <v>566</v>
      </c>
      <c r="H74" s="944">
        <v>1.2237011779139712E-2</v>
      </c>
      <c r="I74" s="944">
        <v>1.4892496763998405E-4</v>
      </c>
      <c r="J74" s="944" t="s">
        <v>566</v>
      </c>
      <c r="K74" s="944">
        <v>1.4760173827719054E-2</v>
      </c>
      <c r="L74" s="944">
        <v>3.6902917028432228E-4</v>
      </c>
      <c r="M74" s="1419">
        <v>4.0511742313185904E-3</v>
      </c>
      <c r="O74" s="938"/>
      <c r="P74" s="936"/>
    </row>
    <row r="75" spans="1:16" ht="16.5" thickBot="1">
      <c r="A75" s="936"/>
      <c r="B75" s="929" t="s">
        <v>603</v>
      </c>
      <c r="C75" s="946"/>
      <c r="D75" s="1420">
        <v>1.5475305912354133E-2</v>
      </c>
      <c r="E75" s="931">
        <v>0.29175420622786458</v>
      </c>
      <c r="F75" s="931">
        <v>4.4354694851259868E-2</v>
      </c>
      <c r="G75" s="931">
        <v>2.7591647228062482E-2</v>
      </c>
      <c r="H75" s="931">
        <v>4.4718629699046726E-2</v>
      </c>
      <c r="I75" s="931">
        <v>1.8434737839795795E-2</v>
      </c>
      <c r="J75" s="931" t="s">
        <v>566</v>
      </c>
      <c r="K75" s="931">
        <v>7.4220807727969365E-2</v>
      </c>
      <c r="L75" s="931">
        <v>1.7360973542721542E-3</v>
      </c>
      <c r="M75" s="1421">
        <v>3.6102165719597283E-2</v>
      </c>
      <c r="O75" s="938"/>
      <c r="P75" s="936"/>
    </row>
    <row r="76" spans="1:16" ht="15.75">
      <c r="A76" s="936"/>
      <c r="C76" s="1074" t="s">
        <v>604</v>
      </c>
      <c r="D76" s="934">
        <f t="shared" ref="D76:I76" si="2">SUM(D68:D75)</f>
        <v>2.2570958064795577E-2</v>
      </c>
      <c r="E76" s="934">
        <f t="shared" si="2"/>
        <v>0.30198909453300615</v>
      </c>
      <c r="F76" s="934">
        <f t="shared" si="2"/>
        <v>6.5729848718010769E-2</v>
      </c>
      <c r="G76" s="934">
        <f t="shared" si="2"/>
        <v>0.11118058260222433</v>
      </c>
      <c r="H76" s="934">
        <f t="shared" si="2"/>
        <v>0.13948410096626665</v>
      </c>
      <c r="I76" s="935">
        <f t="shared" si="2"/>
        <v>0.10990151281469829</v>
      </c>
      <c r="J76" s="944" t="s">
        <v>566</v>
      </c>
      <c r="K76" s="935">
        <f>SUM(K68:K75)</f>
        <v>0.20128557849533485</v>
      </c>
      <c r="L76" s="935">
        <f>SUM(L68:L75)</f>
        <v>5.5577000502226815E-3</v>
      </c>
      <c r="M76" s="1079">
        <f>SUM(M68:M75)</f>
        <v>0.10314321791653042</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8.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16.375"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862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1423">
        <v>2536.15</v>
      </c>
      <c r="H22" s="1422">
        <v>86000</v>
      </c>
      <c r="I22" s="1422">
        <v>0</v>
      </c>
      <c r="J22" s="1422">
        <v>0</v>
      </c>
      <c r="K22" s="1422">
        <v>0</v>
      </c>
      <c r="L22" s="1422">
        <v>0</v>
      </c>
      <c r="M22" s="1432">
        <f t="shared" ref="M22:M51" si="0">SUM(D22:L22)</f>
        <v>88536.15</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4894</v>
      </c>
      <c r="E23" s="1423">
        <v>24662.36</v>
      </c>
      <c r="F23" s="1422">
        <v>9580.2900000000009</v>
      </c>
      <c r="G23" s="1423">
        <v>220293.25</v>
      </c>
      <c r="H23" s="1423">
        <v>901241.26</v>
      </c>
      <c r="I23" s="1422">
        <v>251083.42</v>
      </c>
      <c r="J23" s="1422">
        <v>0</v>
      </c>
      <c r="K23" s="1423">
        <v>376663.35</v>
      </c>
      <c r="L23" s="1423">
        <v>109891</v>
      </c>
      <c r="M23" s="1432">
        <f t="shared" si="0"/>
        <v>1898308.9299999997</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2639</v>
      </c>
      <c r="E24" s="1422">
        <v>0</v>
      </c>
      <c r="F24" s="1422">
        <v>10266.200000000001</v>
      </c>
      <c r="G24" s="1423">
        <v>695265.44</v>
      </c>
      <c r="H24" s="1423">
        <v>969949.02</v>
      </c>
      <c r="I24" s="1422">
        <v>93272.6</v>
      </c>
      <c r="J24" s="1422">
        <v>0</v>
      </c>
      <c r="K24" s="1423">
        <v>163502.78</v>
      </c>
      <c r="L24" s="1422">
        <v>85416</v>
      </c>
      <c r="M24" s="1432">
        <f t="shared" si="0"/>
        <v>2020311.04</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0</v>
      </c>
      <c r="E25" s="1422">
        <v>0</v>
      </c>
      <c r="F25" s="1422">
        <v>10715.67</v>
      </c>
      <c r="G25" s="1422">
        <v>4091.62</v>
      </c>
      <c r="H25" s="1422">
        <v>0</v>
      </c>
      <c r="I25" s="1422">
        <v>0</v>
      </c>
      <c r="J25" s="1422">
        <v>0</v>
      </c>
      <c r="K25" s="1422">
        <v>0</v>
      </c>
      <c r="L25" s="1422">
        <v>0</v>
      </c>
      <c r="M25" s="1432">
        <f t="shared" si="0"/>
        <v>14807.29</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0</v>
      </c>
      <c r="G26" s="1422">
        <v>756434.96</v>
      </c>
      <c r="H26" s="1422">
        <v>93637.8</v>
      </c>
      <c r="I26" s="1422">
        <v>59122.87</v>
      </c>
      <c r="J26" s="1422">
        <v>0</v>
      </c>
      <c r="K26" s="1422">
        <v>0</v>
      </c>
      <c r="L26" s="1422">
        <v>0</v>
      </c>
      <c r="M26" s="1432">
        <f t="shared" si="0"/>
        <v>909195.63</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232262</v>
      </c>
      <c r="E27" s="1423">
        <v>1235.98</v>
      </c>
      <c r="F27" s="1422">
        <v>0</v>
      </c>
      <c r="G27" s="1422">
        <v>594387.79</v>
      </c>
      <c r="H27" s="1422">
        <v>306895.05</v>
      </c>
      <c r="I27" s="1422">
        <v>54415.37</v>
      </c>
      <c r="J27" s="1422">
        <v>0</v>
      </c>
      <c r="K27" s="1422">
        <v>0</v>
      </c>
      <c r="L27" s="1422">
        <v>6100</v>
      </c>
      <c r="M27" s="1432">
        <f t="shared" si="0"/>
        <v>1195296.1900000002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10023.24</v>
      </c>
      <c r="G28" s="1422">
        <v>0</v>
      </c>
      <c r="H28" s="1422">
        <v>58413.38</v>
      </c>
      <c r="I28" s="1422">
        <v>662.79</v>
      </c>
      <c r="J28" s="1422">
        <v>0</v>
      </c>
      <c r="K28" s="1422">
        <v>0</v>
      </c>
      <c r="L28" s="1422">
        <v>0</v>
      </c>
      <c r="M28" s="1432">
        <f t="shared" si="0"/>
        <v>69099.409999999989</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21334</v>
      </c>
      <c r="E29" s="1422">
        <v>7500</v>
      </c>
      <c r="F29" s="1422">
        <v>0</v>
      </c>
      <c r="G29" s="1423">
        <v>161548.47</v>
      </c>
      <c r="H29" s="1423">
        <v>125212.96</v>
      </c>
      <c r="I29" s="1422">
        <v>48147.91</v>
      </c>
      <c r="J29" s="1422">
        <v>0</v>
      </c>
      <c r="K29" s="1422">
        <v>0</v>
      </c>
      <c r="L29" s="1422">
        <v>10302</v>
      </c>
      <c r="M29" s="1432">
        <f t="shared" si="0"/>
        <v>374045.33999999997</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162603</v>
      </c>
      <c r="E30" s="1422">
        <v>0</v>
      </c>
      <c r="F30" s="1422">
        <v>57012.06</v>
      </c>
      <c r="G30" s="1423">
        <v>748785.75</v>
      </c>
      <c r="H30" s="1423">
        <v>447339.41</v>
      </c>
      <c r="I30" s="1422">
        <v>64975</v>
      </c>
      <c r="J30" s="1422">
        <v>0</v>
      </c>
      <c r="K30" s="1423">
        <v>171551.56</v>
      </c>
      <c r="L30" s="1422">
        <v>48843</v>
      </c>
      <c r="M30" s="1432">
        <f t="shared" si="0"/>
        <v>1701109.78</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834</v>
      </c>
      <c r="E31" s="1423">
        <v>4241.34</v>
      </c>
      <c r="F31" s="1422">
        <v>0</v>
      </c>
      <c r="G31" s="1423">
        <v>395786.68</v>
      </c>
      <c r="H31" s="1423">
        <v>413771.6</v>
      </c>
      <c r="I31" s="1422">
        <v>105401.78</v>
      </c>
      <c r="J31" s="1422">
        <v>0</v>
      </c>
      <c r="K31" s="1422">
        <v>0</v>
      </c>
      <c r="L31" s="1423">
        <v>5619</v>
      </c>
      <c r="M31" s="1432">
        <f t="shared" si="0"/>
        <v>925654.4</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0</v>
      </c>
      <c r="G32" s="1423">
        <v>46196.71</v>
      </c>
      <c r="H32" s="1422">
        <v>39678.14</v>
      </c>
      <c r="I32" s="1422">
        <v>323.77</v>
      </c>
      <c r="J32" s="1422">
        <v>0</v>
      </c>
      <c r="K32" s="1422">
        <v>0</v>
      </c>
      <c r="L32" s="1423">
        <v>2139</v>
      </c>
      <c r="M32" s="1432">
        <f t="shared" si="0"/>
        <v>88337.62000000001</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3027586</v>
      </c>
      <c r="E33" s="1422">
        <v>0</v>
      </c>
      <c r="F33" s="1422">
        <v>572356.68999999994</v>
      </c>
      <c r="G33" s="1422">
        <v>723198.2</v>
      </c>
      <c r="H33" s="1422">
        <v>86204.89</v>
      </c>
      <c r="I33" s="1422">
        <v>571.5</v>
      </c>
      <c r="J33" s="1422">
        <v>0</v>
      </c>
      <c r="K33" s="1422">
        <v>64651.93</v>
      </c>
      <c r="L33" s="1422">
        <v>0</v>
      </c>
      <c r="M33" s="1432">
        <f t="shared" si="0"/>
        <v>4474569.209999999</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9637.14</v>
      </c>
      <c r="F34" s="1422">
        <v>1162.0999999999999</v>
      </c>
      <c r="G34" s="1422">
        <v>3360.81</v>
      </c>
      <c r="H34" s="1422">
        <v>1151241.76</v>
      </c>
      <c r="I34" s="1422">
        <v>95899.4</v>
      </c>
      <c r="J34" s="1422">
        <v>0</v>
      </c>
      <c r="K34" s="1423">
        <v>1995.99</v>
      </c>
      <c r="L34" s="1422">
        <v>0</v>
      </c>
      <c r="M34" s="1432">
        <f t="shared" si="0"/>
        <v>1263297.2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199.88</v>
      </c>
      <c r="F35" s="1422">
        <v>0</v>
      </c>
      <c r="G35" s="1423">
        <v>211530.32</v>
      </c>
      <c r="H35" s="1422">
        <v>81448.05</v>
      </c>
      <c r="I35" s="1422">
        <v>0</v>
      </c>
      <c r="J35" s="1422">
        <v>0</v>
      </c>
      <c r="K35" s="1422">
        <v>0</v>
      </c>
      <c r="L35" s="1422">
        <v>0</v>
      </c>
      <c r="M35" s="1432">
        <f t="shared" si="0"/>
        <v>293178.25</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30112</v>
      </c>
      <c r="E36" s="1423">
        <v>179015.84</v>
      </c>
      <c r="F36" s="1423">
        <v>162161.79</v>
      </c>
      <c r="G36" s="1423">
        <v>1160667.3400000001</v>
      </c>
      <c r="H36" s="1423">
        <v>437801.33</v>
      </c>
      <c r="I36" s="1422">
        <v>169746.97</v>
      </c>
      <c r="J36" s="1422">
        <v>0</v>
      </c>
      <c r="K36" s="1422">
        <v>0</v>
      </c>
      <c r="L36" s="1423">
        <v>74691</v>
      </c>
      <c r="M36" s="1432">
        <f t="shared" si="0"/>
        <v>2214196.2700000005</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1307015</v>
      </c>
      <c r="E37" s="1423">
        <v>138174.82999999999</v>
      </c>
      <c r="F37" s="1423">
        <v>103838.16</v>
      </c>
      <c r="G37" s="1423">
        <v>3403948.79</v>
      </c>
      <c r="H37" s="1423">
        <v>3219312.36</v>
      </c>
      <c r="I37" s="1423">
        <v>591230.86</v>
      </c>
      <c r="J37" s="1422">
        <v>0</v>
      </c>
      <c r="K37" s="1423">
        <v>354931.37</v>
      </c>
      <c r="L37" s="1423">
        <v>86556</v>
      </c>
      <c r="M37" s="1432">
        <f t="shared" si="0"/>
        <v>9205007.3699999992</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201776</v>
      </c>
      <c r="E38" s="1422">
        <v>388422.66</v>
      </c>
      <c r="F38" s="1423">
        <v>88975.98</v>
      </c>
      <c r="G38" s="1423">
        <v>2111090.27</v>
      </c>
      <c r="H38" s="1423">
        <v>2701779.43</v>
      </c>
      <c r="I38" s="1423">
        <v>547034.75</v>
      </c>
      <c r="J38" s="1422">
        <v>0</v>
      </c>
      <c r="K38" s="1423">
        <v>351521.27</v>
      </c>
      <c r="L38" s="1423">
        <v>13357</v>
      </c>
      <c r="M38" s="1432">
        <f t="shared" si="0"/>
        <v>6403957.3599999994</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2150</v>
      </c>
      <c r="E39" s="1422">
        <v>2270.21</v>
      </c>
      <c r="F39" s="1422">
        <v>0</v>
      </c>
      <c r="G39" s="1422">
        <v>9040.86</v>
      </c>
      <c r="H39" s="1422">
        <v>13679.53</v>
      </c>
      <c r="I39" s="1422">
        <v>10382.48</v>
      </c>
      <c r="J39" s="1422">
        <v>0</v>
      </c>
      <c r="K39" s="1422">
        <v>0</v>
      </c>
      <c r="L39" s="1422">
        <v>3736</v>
      </c>
      <c r="M39" s="1432">
        <f t="shared" si="0"/>
        <v>41259.08</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111251</v>
      </c>
      <c r="E40" s="1422">
        <v>0</v>
      </c>
      <c r="F40" s="1422">
        <v>0</v>
      </c>
      <c r="G40" s="1422">
        <v>885670.97</v>
      </c>
      <c r="H40" s="1422">
        <v>46050.21</v>
      </c>
      <c r="I40" s="1422">
        <v>468974.71</v>
      </c>
      <c r="J40" s="1422">
        <v>0</v>
      </c>
      <c r="K40" s="1422">
        <v>0</v>
      </c>
      <c r="L40" s="1422">
        <v>0</v>
      </c>
      <c r="M40" s="1432">
        <f t="shared" si="0"/>
        <v>1511946.89</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29367</v>
      </c>
      <c r="E41" s="1422">
        <v>47883.47</v>
      </c>
      <c r="F41" s="1422">
        <v>0</v>
      </c>
      <c r="G41" s="1422">
        <v>36249.71</v>
      </c>
      <c r="H41" s="1423">
        <v>377299.79</v>
      </c>
      <c r="I41" s="1422">
        <v>12586.82</v>
      </c>
      <c r="J41" s="1422">
        <v>0</v>
      </c>
      <c r="K41" s="1422">
        <v>5201.87</v>
      </c>
      <c r="L41" s="1422">
        <v>0</v>
      </c>
      <c r="M41" s="1432">
        <f t="shared" si="0"/>
        <v>508588.66</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570890</v>
      </c>
      <c r="E42" s="1423">
        <v>118697.52</v>
      </c>
      <c r="F42" s="1423">
        <v>54659.22</v>
      </c>
      <c r="G42" s="1423">
        <v>170782.16</v>
      </c>
      <c r="H42" s="1423">
        <v>731228.39</v>
      </c>
      <c r="I42" s="1423">
        <v>502778.7</v>
      </c>
      <c r="J42" s="1423">
        <v>1354880.93</v>
      </c>
      <c r="K42" s="1422">
        <v>202.61</v>
      </c>
      <c r="L42" s="1423">
        <v>834829</v>
      </c>
      <c r="M42" s="1432">
        <f t="shared" si="0"/>
        <v>4338948.5299999993</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423569</v>
      </c>
      <c r="E43" s="1422">
        <v>112034.09</v>
      </c>
      <c r="F43" s="1423">
        <v>30608.18</v>
      </c>
      <c r="G43" s="1423">
        <v>895753.64</v>
      </c>
      <c r="H43" s="1423">
        <v>3046846.81</v>
      </c>
      <c r="I43" s="1423">
        <v>693.43</v>
      </c>
      <c r="J43" s="1423">
        <v>892757.23</v>
      </c>
      <c r="K43" s="1423">
        <v>52785.33</v>
      </c>
      <c r="L43" s="1423">
        <v>12146</v>
      </c>
      <c r="M43" s="1432">
        <f t="shared" si="0"/>
        <v>5467193.7100000009</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564404</v>
      </c>
      <c r="E44" s="1422">
        <v>1125.73</v>
      </c>
      <c r="F44" s="1423">
        <v>1559.98</v>
      </c>
      <c r="G44" s="1422">
        <v>128146.99</v>
      </c>
      <c r="H44" s="1422">
        <v>1156419.56</v>
      </c>
      <c r="I44" s="1422">
        <v>4296.41</v>
      </c>
      <c r="J44" s="1422">
        <v>0</v>
      </c>
      <c r="K44" s="1422">
        <v>19193.419999999998</v>
      </c>
      <c r="L44" s="1423">
        <v>349552</v>
      </c>
      <c r="M44" s="1432">
        <f t="shared" si="0"/>
        <v>2224698.09</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36793</v>
      </c>
      <c r="E45" s="1423">
        <v>8095.99</v>
      </c>
      <c r="F45" s="1422">
        <v>0</v>
      </c>
      <c r="G45" s="1423">
        <v>1511774.37</v>
      </c>
      <c r="H45" s="1423">
        <v>1315701.96</v>
      </c>
      <c r="I45" s="1423">
        <v>618389.37</v>
      </c>
      <c r="J45" s="1422">
        <v>0</v>
      </c>
      <c r="K45" s="1423">
        <v>35.31</v>
      </c>
      <c r="L45" s="1422">
        <v>241787</v>
      </c>
      <c r="M45" s="1432">
        <f t="shared" si="0"/>
        <v>3732577.0000000005</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329690</v>
      </c>
      <c r="E46" s="1423">
        <v>25741.25</v>
      </c>
      <c r="F46" s="1423">
        <v>13600.84</v>
      </c>
      <c r="G46" s="1423">
        <v>77568.990000000005</v>
      </c>
      <c r="H46" s="1423">
        <v>275104.57</v>
      </c>
      <c r="I46" s="1422">
        <v>115162.01</v>
      </c>
      <c r="J46" s="1422">
        <v>0</v>
      </c>
      <c r="K46" s="1422">
        <v>0</v>
      </c>
      <c r="L46" s="1423">
        <v>66790</v>
      </c>
      <c r="M46" s="1432">
        <f t="shared" si="0"/>
        <v>903657.66</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2180</v>
      </c>
      <c r="E47" s="1423">
        <v>348.8</v>
      </c>
      <c r="F47" s="1422">
        <v>0</v>
      </c>
      <c r="G47" s="1422">
        <v>6381.32</v>
      </c>
      <c r="H47" s="1422">
        <v>121.8</v>
      </c>
      <c r="I47" s="1422">
        <v>15203.76</v>
      </c>
      <c r="J47" s="1422">
        <v>0</v>
      </c>
      <c r="K47" s="1423">
        <v>0</v>
      </c>
      <c r="L47" s="1423">
        <v>1946</v>
      </c>
      <c r="M47" s="1432">
        <f t="shared" si="0"/>
        <v>26181.68</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2449</v>
      </c>
      <c r="E48" s="1422">
        <v>0</v>
      </c>
      <c r="F48" s="1422">
        <v>4529.33</v>
      </c>
      <c r="G48" s="1422">
        <v>76546.31</v>
      </c>
      <c r="H48" s="1422">
        <v>12802.24</v>
      </c>
      <c r="I48" s="1422">
        <v>0</v>
      </c>
      <c r="J48" s="1422">
        <v>0</v>
      </c>
      <c r="K48" s="1422">
        <v>834.39</v>
      </c>
      <c r="L48" s="1423">
        <v>794</v>
      </c>
      <c r="M48" s="1432">
        <f t="shared" si="0"/>
        <v>97955.27</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29522</v>
      </c>
      <c r="E49" s="1422">
        <v>0</v>
      </c>
      <c r="F49" s="1422">
        <v>25.38</v>
      </c>
      <c r="G49" s="1423">
        <v>56066.12</v>
      </c>
      <c r="H49" s="1422">
        <v>6678.19</v>
      </c>
      <c r="I49" s="1422">
        <v>8924.4</v>
      </c>
      <c r="J49" s="1422">
        <v>0</v>
      </c>
      <c r="K49" s="1422">
        <v>0</v>
      </c>
      <c r="L49" s="1423">
        <v>6016</v>
      </c>
      <c r="M49" s="1432">
        <f t="shared" si="0"/>
        <v>107232.09</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35360</v>
      </c>
      <c r="E50" s="1423">
        <v>52706.3</v>
      </c>
      <c r="F50" s="1423">
        <v>6556.31</v>
      </c>
      <c r="G50" s="1423">
        <v>1596491.18</v>
      </c>
      <c r="H50" s="1423">
        <v>90280.97</v>
      </c>
      <c r="I50" s="1422">
        <v>367979.22</v>
      </c>
      <c r="J50" s="1422">
        <v>0</v>
      </c>
      <c r="K50" s="1422">
        <v>47047.87</v>
      </c>
      <c r="L50" s="1423">
        <v>18687</v>
      </c>
      <c r="M50" s="1432">
        <f t="shared" si="0"/>
        <v>2215108.85</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1978357</v>
      </c>
      <c r="E51" s="1433">
        <v>308143.21999999997</v>
      </c>
      <c r="F51" s="1433">
        <v>251015.88</v>
      </c>
      <c r="G51" s="1433">
        <v>2195166.5699999998</v>
      </c>
      <c r="H51" s="1433">
        <v>531887.29</v>
      </c>
      <c r="I51" s="1433">
        <v>289210.15999999997</v>
      </c>
      <c r="J51" s="1433">
        <v>224543.78</v>
      </c>
      <c r="K51" s="1434">
        <v>30837.52</v>
      </c>
      <c r="L51" s="1433">
        <v>566161</v>
      </c>
      <c r="M51" s="1435">
        <f t="shared" si="0"/>
        <v>6375322.4199999999</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9107037</v>
      </c>
      <c r="E52" s="1428">
        <f t="shared" ref="E52:L52" si="1">SUM(E22:E51)</f>
        <v>1430136.61</v>
      </c>
      <c r="F52" s="1428">
        <f t="shared" si="1"/>
        <v>1388647.2999999998</v>
      </c>
      <c r="G52" s="1428">
        <f t="shared" si="1"/>
        <v>18884761.740000002</v>
      </c>
      <c r="H52" s="1428">
        <f t="shared" si="1"/>
        <v>18724027.75</v>
      </c>
      <c r="I52" s="1428">
        <f t="shared" si="1"/>
        <v>4496470.46</v>
      </c>
      <c r="J52" s="1428">
        <f t="shared" si="1"/>
        <v>2472181.94</v>
      </c>
      <c r="K52" s="1428">
        <f t="shared" si="1"/>
        <v>1640956.5700000003</v>
      </c>
      <c r="L52" s="1428">
        <f t="shared" si="1"/>
        <v>2545358</v>
      </c>
      <c r="M52" s="1428">
        <f>SUM(M22:M51)</f>
        <v>60689577.369999997</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262267</v>
      </c>
      <c r="E56" s="1426">
        <v>43109.29</v>
      </c>
      <c r="F56" s="1427">
        <v>12255.43</v>
      </c>
      <c r="G56" s="1427">
        <v>697219.12</v>
      </c>
      <c r="H56" s="1427">
        <v>1115007.73</v>
      </c>
      <c r="I56" s="1426">
        <v>230503</v>
      </c>
      <c r="J56" s="1426">
        <v>0</v>
      </c>
      <c r="K56" s="1426">
        <v>0</v>
      </c>
      <c r="L56" s="1427">
        <v>27345</v>
      </c>
      <c r="M56" s="1440">
        <f t="shared" ref="M56:M62" si="2">SUM(D56:L56)</f>
        <v>2387706.5699999998</v>
      </c>
      <c r="O56" s="938"/>
      <c r="P56" s="936"/>
    </row>
    <row r="57" spans="1:55" ht="15.75">
      <c r="A57" s="936"/>
      <c r="B57" s="936" t="s">
        <v>598</v>
      </c>
      <c r="C57" s="932"/>
      <c r="D57" s="1427">
        <v>511691</v>
      </c>
      <c r="E57" s="1426">
        <v>0</v>
      </c>
      <c r="F57" s="1426">
        <v>0</v>
      </c>
      <c r="G57" s="1426">
        <v>153061.97</v>
      </c>
      <c r="H57" s="1426">
        <v>5221.8500000000004</v>
      </c>
      <c r="I57" s="1426">
        <v>18501</v>
      </c>
      <c r="J57" s="1426">
        <v>0</v>
      </c>
      <c r="K57" s="1426">
        <v>0</v>
      </c>
      <c r="L57" s="1426">
        <v>0</v>
      </c>
      <c r="M57" s="1440">
        <f t="shared" si="2"/>
        <v>688475.82</v>
      </c>
      <c r="O57" s="938"/>
      <c r="P57" s="936"/>
    </row>
    <row r="58" spans="1:55" ht="15.75">
      <c r="A58" s="936"/>
      <c r="B58" s="936" t="s">
        <v>599</v>
      </c>
      <c r="C58" s="932"/>
      <c r="D58" s="1426">
        <v>0</v>
      </c>
      <c r="E58" s="1426">
        <v>0</v>
      </c>
      <c r="F58" s="1426">
        <v>0</v>
      </c>
      <c r="G58" s="1427">
        <v>101636.14</v>
      </c>
      <c r="H58" s="1427">
        <v>71979.02</v>
      </c>
      <c r="I58" s="1426">
        <v>46974</v>
      </c>
      <c r="J58" s="1426">
        <v>0</v>
      </c>
      <c r="K58" s="1426">
        <v>0</v>
      </c>
      <c r="L58" s="1426">
        <v>0</v>
      </c>
      <c r="M58" s="1440">
        <f t="shared" si="2"/>
        <v>220589.16</v>
      </c>
      <c r="O58" s="938"/>
      <c r="P58" s="936"/>
    </row>
    <row r="59" spans="1:55" ht="15.75">
      <c r="A59" s="936"/>
      <c r="B59" s="936" t="s">
        <v>600</v>
      </c>
      <c r="C59" s="932"/>
      <c r="D59" s="1426">
        <v>483428</v>
      </c>
      <c r="E59" s="1427">
        <v>21899.119999999999</v>
      </c>
      <c r="F59" s="1427">
        <v>44678.9</v>
      </c>
      <c r="G59" s="1427">
        <v>1547885.85</v>
      </c>
      <c r="H59" s="1427">
        <v>759513.39</v>
      </c>
      <c r="I59" s="1427">
        <v>231412</v>
      </c>
      <c r="J59" s="1426">
        <v>0</v>
      </c>
      <c r="K59" s="1426">
        <v>109652.05</v>
      </c>
      <c r="L59" s="1426">
        <v>5919</v>
      </c>
      <c r="M59" s="1440">
        <f t="shared" si="2"/>
        <v>3204388.31</v>
      </c>
      <c r="O59" s="938"/>
      <c r="P59" s="936"/>
    </row>
    <row r="60" spans="1:55" ht="15.75">
      <c r="A60" s="936"/>
      <c r="B60" s="936" t="s">
        <v>601</v>
      </c>
      <c r="C60" s="932"/>
      <c r="D60" s="1426">
        <v>0</v>
      </c>
      <c r="E60" s="1426">
        <v>73166.42</v>
      </c>
      <c r="F60" s="1426">
        <v>0</v>
      </c>
      <c r="G60" s="1426">
        <v>0</v>
      </c>
      <c r="H60" s="1426">
        <v>554060.65</v>
      </c>
      <c r="I60" s="1426">
        <v>42011</v>
      </c>
      <c r="J60" s="1426">
        <v>0</v>
      </c>
      <c r="K60" s="1426">
        <v>0</v>
      </c>
      <c r="L60" s="1426">
        <v>0</v>
      </c>
      <c r="M60" s="1440">
        <f t="shared" si="2"/>
        <v>669238.07000000007</v>
      </c>
      <c r="O60" s="938"/>
      <c r="P60" s="936"/>
    </row>
    <row r="61" spans="1:55" ht="15.75">
      <c r="A61" s="936"/>
      <c r="B61" s="936" t="s">
        <v>602</v>
      </c>
      <c r="C61" s="932"/>
      <c r="D61" s="1426">
        <v>0</v>
      </c>
      <c r="E61" s="1426">
        <v>0</v>
      </c>
      <c r="F61" s="1426">
        <v>0</v>
      </c>
      <c r="G61" s="1426">
        <v>0</v>
      </c>
      <c r="H61" s="1426">
        <v>0</v>
      </c>
      <c r="I61" s="1426">
        <v>0</v>
      </c>
      <c r="J61" s="1426">
        <v>0</v>
      </c>
      <c r="K61" s="1426">
        <v>0</v>
      </c>
      <c r="L61" s="1426">
        <v>0</v>
      </c>
      <c r="M61" s="1440">
        <f t="shared" si="2"/>
        <v>0</v>
      </c>
      <c r="O61" s="938"/>
      <c r="P61" s="936"/>
    </row>
    <row r="62" spans="1:55" ht="16.5" thickBot="1">
      <c r="A62" s="936"/>
      <c r="B62" s="929" t="s">
        <v>603</v>
      </c>
      <c r="C62" s="946"/>
      <c r="D62" s="1424">
        <v>49628</v>
      </c>
      <c r="E62" s="1424">
        <v>0</v>
      </c>
      <c r="F62" s="1433">
        <v>46903.82</v>
      </c>
      <c r="G62" s="1433">
        <v>904145.71</v>
      </c>
      <c r="H62" s="1433">
        <v>713529.71</v>
      </c>
      <c r="I62" s="1424">
        <v>21830</v>
      </c>
      <c r="J62" s="1424">
        <v>0</v>
      </c>
      <c r="K62" s="1441">
        <v>245279.32</v>
      </c>
      <c r="L62" s="1424">
        <v>53292</v>
      </c>
      <c r="M62" s="1442">
        <f t="shared" si="2"/>
        <v>2034608.56</v>
      </c>
      <c r="O62" s="938"/>
      <c r="P62" s="936"/>
    </row>
    <row r="63" spans="1:55" ht="15.75">
      <c r="A63" s="936"/>
      <c r="B63" s="1074" t="s">
        <v>0</v>
      </c>
      <c r="C63" s="1074" t="s">
        <v>604</v>
      </c>
      <c r="D63" s="1428">
        <f t="shared" ref="D63:I63" si="3">SUM(D56:D62)</f>
        <v>1307014</v>
      </c>
      <c r="E63" s="1428">
        <f t="shared" si="3"/>
        <v>138174.83000000002</v>
      </c>
      <c r="F63" s="1428">
        <f t="shared" si="3"/>
        <v>103838.15</v>
      </c>
      <c r="G63" s="1428">
        <f t="shared" si="3"/>
        <v>3403948.79</v>
      </c>
      <c r="H63" s="1428">
        <f t="shared" si="3"/>
        <v>3219312.35</v>
      </c>
      <c r="I63" s="1428">
        <f t="shared" si="3"/>
        <v>591231</v>
      </c>
      <c r="J63" s="1426" t="s">
        <v>566</v>
      </c>
      <c r="K63" s="1428">
        <f>SUM(K56:K62)</f>
        <v>354931.37</v>
      </c>
      <c r="L63" s="1428">
        <f>SUM(L56:L62)</f>
        <v>86556</v>
      </c>
      <c r="M63" s="1443">
        <f>SUM(M56:M62)</f>
        <v>9205006.4900000002</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19960</v>
      </c>
      <c r="E68" s="1427">
        <v>8058.21</v>
      </c>
      <c r="F68" s="1427">
        <v>6451.73</v>
      </c>
      <c r="G68" s="1427">
        <v>81739.62</v>
      </c>
      <c r="H68" s="1427">
        <v>81979.81</v>
      </c>
      <c r="I68" s="1427">
        <v>23163</v>
      </c>
      <c r="J68" s="1426">
        <v>0</v>
      </c>
      <c r="K68" s="1426">
        <v>0</v>
      </c>
      <c r="L68" s="1426">
        <v>0</v>
      </c>
      <c r="M68" s="1443">
        <f t="shared" ref="M68:M75" si="4">SUM(D68:L68)</f>
        <v>221352.37</v>
      </c>
      <c r="O68" s="938"/>
      <c r="P68" s="936"/>
    </row>
    <row r="69" spans="1:16" ht="15.75">
      <c r="A69" s="936"/>
      <c r="B69" s="936" t="s">
        <v>599</v>
      </c>
      <c r="C69" s="932"/>
      <c r="D69" s="1426">
        <v>0</v>
      </c>
      <c r="E69" s="1426">
        <v>0</v>
      </c>
      <c r="F69" s="1426">
        <v>0</v>
      </c>
      <c r="G69" s="1426">
        <v>9031.0300000000007</v>
      </c>
      <c r="H69" s="1426">
        <v>130.01</v>
      </c>
      <c r="I69" s="1426">
        <v>2431</v>
      </c>
      <c r="J69" s="1426">
        <v>0</v>
      </c>
      <c r="K69" s="1426">
        <v>0</v>
      </c>
      <c r="L69" s="1426">
        <v>1534</v>
      </c>
      <c r="M69" s="1443">
        <f t="shared" si="4"/>
        <v>13126.04</v>
      </c>
      <c r="O69" s="938"/>
      <c r="P69" s="936"/>
    </row>
    <row r="70" spans="1:16" ht="15.75">
      <c r="A70" s="936"/>
      <c r="B70" s="936" t="s">
        <v>607</v>
      </c>
      <c r="C70" s="932"/>
      <c r="D70" s="1426">
        <v>47080</v>
      </c>
      <c r="E70" s="1427">
        <v>1202.5</v>
      </c>
      <c r="F70" s="1426">
        <v>0</v>
      </c>
      <c r="G70" s="1426">
        <v>869775.24</v>
      </c>
      <c r="H70" s="1426">
        <v>1057402.49</v>
      </c>
      <c r="I70" s="1426">
        <v>162575</v>
      </c>
      <c r="J70" s="1426">
        <v>0</v>
      </c>
      <c r="K70" s="1426">
        <v>212513.55</v>
      </c>
      <c r="L70" s="1426">
        <v>259</v>
      </c>
      <c r="M70" s="1443">
        <f t="shared" si="4"/>
        <v>2350807.7799999998</v>
      </c>
      <c r="O70" s="938"/>
      <c r="P70" s="936"/>
    </row>
    <row r="71" spans="1:16" ht="15.75">
      <c r="A71" s="936"/>
      <c r="B71" s="936" t="s">
        <v>600</v>
      </c>
      <c r="C71" s="932"/>
      <c r="D71" s="1426">
        <v>15139</v>
      </c>
      <c r="E71" s="1427">
        <v>5270.81</v>
      </c>
      <c r="F71" s="1427">
        <v>23967.87</v>
      </c>
      <c r="G71" s="1427">
        <v>394687.72</v>
      </c>
      <c r="H71" s="1427">
        <v>400432.25</v>
      </c>
      <c r="I71" s="1426">
        <v>173194</v>
      </c>
      <c r="J71" s="1426">
        <v>0</v>
      </c>
      <c r="K71" s="1426">
        <v>7690.94</v>
      </c>
      <c r="L71" s="1427">
        <v>6810</v>
      </c>
      <c r="M71" s="1443">
        <f t="shared" si="4"/>
        <v>1027192.5899999999</v>
      </c>
      <c r="O71" s="938"/>
      <c r="P71" s="936"/>
    </row>
    <row r="72" spans="1:16" ht="15.75">
      <c r="A72" s="936"/>
      <c r="B72" s="936" t="s">
        <v>608</v>
      </c>
      <c r="C72" s="932"/>
      <c r="D72" s="1426">
        <v>2086</v>
      </c>
      <c r="E72" s="1426">
        <v>1720.66</v>
      </c>
      <c r="F72" s="1426">
        <v>0</v>
      </c>
      <c r="G72" s="1426">
        <v>45617.3</v>
      </c>
      <c r="H72" s="1426">
        <v>26366.81</v>
      </c>
      <c r="I72" s="1426">
        <v>8374</v>
      </c>
      <c r="J72" s="1426">
        <v>0</v>
      </c>
      <c r="K72" s="1426">
        <v>0</v>
      </c>
      <c r="L72" s="1426">
        <v>0</v>
      </c>
      <c r="M72" s="1443">
        <f t="shared" si="4"/>
        <v>84164.77</v>
      </c>
      <c r="O72" s="938"/>
      <c r="P72" s="936"/>
    </row>
    <row r="73" spans="1:16" ht="15.75">
      <c r="A73" s="936"/>
      <c r="B73" s="936" t="s">
        <v>609</v>
      </c>
      <c r="C73" s="932"/>
      <c r="D73" s="1426">
        <v>14550</v>
      </c>
      <c r="E73" s="1426">
        <v>0</v>
      </c>
      <c r="F73" s="1426">
        <v>0</v>
      </c>
      <c r="G73" s="1426">
        <v>253971.43</v>
      </c>
      <c r="H73" s="1426">
        <v>160806.82</v>
      </c>
      <c r="I73" s="1426">
        <v>122080</v>
      </c>
      <c r="J73" s="1426">
        <v>0</v>
      </c>
      <c r="K73" s="1426">
        <v>0.16</v>
      </c>
      <c r="L73" s="1426">
        <v>0</v>
      </c>
      <c r="M73" s="1443">
        <f t="shared" si="4"/>
        <v>551408.41</v>
      </c>
      <c r="O73" s="938"/>
      <c r="P73" s="936"/>
    </row>
    <row r="74" spans="1:16" ht="15.75">
      <c r="A74" s="936"/>
      <c r="B74" s="936" t="s">
        <v>601</v>
      </c>
      <c r="C74" s="932"/>
      <c r="D74" s="1426">
        <v>0</v>
      </c>
      <c r="E74" s="1426">
        <v>0</v>
      </c>
      <c r="F74" s="1426">
        <v>0</v>
      </c>
      <c r="G74" s="1426">
        <v>0</v>
      </c>
      <c r="H74" s="1426">
        <v>226754.27</v>
      </c>
      <c r="I74" s="1426">
        <v>1741</v>
      </c>
      <c r="J74" s="1426">
        <v>0</v>
      </c>
      <c r="K74" s="1426">
        <v>19392.7</v>
      </c>
      <c r="L74" s="1426">
        <v>0</v>
      </c>
      <c r="M74" s="1443">
        <f t="shared" si="4"/>
        <v>247887.97</v>
      </c>
      <c r="O74" s="938"/>
      <c r="P74" s="936"/>
    </row>
    <row r="75" spans="1:16" ht="16.5" thickBot="1">
      <c r="A75" s="936"/>
      <c r="B75" s="929" t="s">
        <v>603</v>
      </c>
      <c r="C75" s="946"/>
      <c r="D75" s="1424">
        <v>102961</v>
      </c>
      <c r="E75" s="1433">
        <v>372170.47</v>
      </c>
      <c r="F75" s="1433">
        <v>58556.38</v>
      </c>
      <c r="G75" s="1433">
        <v>456267.93</v>
      </c>
      <c r="H75" s="1433">
        <v>747906.96</v>
      </c>
      <c r="I75" s="1424">
        <v>53477</v>
      </c>
      <c r="J75" s="1424">
        <v>0</v>
      </c>
      <c r="K75" s="1424">
        <v>111923.93</v>
      </c>
      <c r="L75" s="1433">
        <v>4754</v>
      </c>
      <c r="M75" s="1447">
        <f t="shared" si="4"/>
        <v>1908017.67</v>
      </c>
      <c r="O75" s="938"/>
      <c r="P75" s="936"/>
    </row>
    <row r="76" spans="1:16" ht="15.75">
      <c r="A76" s="936"/>
      <c r="C76" s="1074" t="s">
        <v>604</v>
      </c>
      <c r="D76" s="1428">
        <f t="shared" ref="D76:I76" si="5">SUM(D68:D75)</f>
        <v>201776</v>
      </c>
      <c r="E76" s="1428">
        <f t="shared" si="5"/>
        <v>388422.64999999997</v>
      </c>
      <c r="F76" s="1428">
        <f t="shared" si="5"/>
        <v>88975.98</v>
      </c>
      <c r="G76" s="1428">
        <f t="shared" si="5"/>
        <v>2111090.27</v>
      </c>
      <c r="H76" s="1428">
        <f t="shared" si="5"/>
        <v>2701779.42</v>
      </c>
      <c r="I76" s="1428">
        <f t="shared" si="5"/>
        <v>547035</v>
      </c>
      <c r="J76" s="1426" t="s">
        <v>566</v>
      </c>
      <c r="K76" s="1428">
        <f>SUM(K68:K75)</f>
        <v>351521.28000000003</v>
      </c>
      <c r="L76" s="1428">
        <f>SUM(L68:L75)</f>
        <v>13357</v>
      </c>
      <c r="M76" s="1443">
        <f>SUM(M68:M75)</f>
        <v>6403957.5999999996</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59.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862</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7" t="s">
        <v>566</v>
      </c>
      <c r="E22" s="917" t="s">
        <v>566</v>
      </c>
      <c r="F22" s="917" t="s">
        <v>566</v>
      </c>
      <c r="G22" s="967">
        <v>1.3429610788407012E-4</v>
      </c>
      <c r="H22" s="917">
        <v>4.5930288690156423E-3</v>
      </c>
      <c r="I22" s="917" t="s">
        <v>566</v>
      </c>
      <c r="J22" s="917" t="s">
        <v>566</v>
      </c>
      <c r="K22" s="917" t="s">
        <v>566</v>
      </c>
      <c r="L22" s="917" t="s">
        <v>566</v>
      </c>
      <c r="M22" s="1071">
        <v>1.4588361599592401E-3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v>5.3738663848626066E-4</v>
      </c>
      <c r="E23" s="917">
        <v>1.7244758177332443E-2</v>
      </c>
      <c r="F23" s="917">
        <v>6.899008841193874E-3</v>
      </c>
      <c r="G23" s="967">
        <v>1.1665132609716472E-2</v>
      </c>
      <c r="H23" s="917">
        <v>4.8132873548000374E-2</v>
      </c>
      <c r="I23" s="917">
        <v>5.5840113314121496E-2</v>
      </c>
      <c r="J23" s="917" t="s">
        <v>566</v>
      </c>
      <c r="K23" s="917">
        <v>0.22953889023400534</v>
      </c>
      <c r="L23" s="917">
        <v>4.3173101779788933E-2</v>
      </c>
      <c r="M23" s="1071">
        <v>3.1278994059009045E-2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v>2.897759172385047E-4</v>
      </c>
      <c r="E24" s="917" t="s">
        <v>566</v>
      </c>
      <c r="F24" s="917">
        <v>7.3929499592877198E-3</v>
      </c>
      <c r="G24" s="967">
        <v>3.6816214552887437E-2</v>
      </c>
      <c r="H24" s="917">
        <v>5.180237035271431E-2</v>
      </c>
      <c r="I24" s="917">
        <v>2.0743514458671661E-2</v>
      </c>
      <c r="J24" s="917" t="s">
        <v>566</v>
      </c>
      <c r="K24" s="917">
        <v>9.9638700370967143E-2</v>
      </c>
      <c r="L24" s="917">
        <v>3.3557558504540425E-2</v>
      </c>
      <c r="M24" s="1071">
        <v>3.3289258675883907E-2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t="s">
        <v>566</v>
      </c>
      <c r="E25" s="917" t="s">
        <v>566</v>
      </c>
      <c r="F25" s="917">
        <v>7.7166246605599575E-3</v>
      </c>
      <c r="G25" s="967">
        <v>2.1666251638925889E-4</v>
      </c>
      <c r="H25" s="917" t="s">
        <v>566</v>
      </c>
      <c r="I25" s="917" t="s">
        <v>566</v>
      </c>
      <c r="J25" s="917" t="s">
        <v>566</v>
      </c>
      <c r="K25" s="917" t="s">
        <v>566</v>
      </c>
      <c r="L25" s="917" t="s">
        <v>566</v>
      </c>
      <c r="M25" s="1071">
        <v>2.439840684624626E-4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7" t="s">
        <v>566</v>
      </c>
      <c r="E26" s="917" t="s">
        <v>566</v>
      </c>
      <c r="F26" s="917" t="s">
        <v>566</v>
      </c>
      <c r="G26" s="967">
        <v>4.0055308635310316E-2</v>
      </c>
      <c r="H26" s="917">
        <v>5.0009432398966614E-3</v>
      </c>
      <c r="I26" s="917">
        <v>1.3148728658611048E-2</v>
      </c>
      <c r="J26" s="917" t="s">
        <v>566</v>
      </c>
      <c r="K26" s="917" t="s">
        <v>566</v>
      </c>
      <c r="L26" s="917" t="s">
        <v>566</v>
      </c>
      <c r="M26" s="1071">
        <v>1.4981083563278076E-2</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2.5503574872925188E-2</v>
      </c>
      <c r="E27" s="917">
        <v>8.6423911628973678E-4</v>
      </c>
      <c r="F27" s="917" t="s">
        <v>566</v>
      </c>
      <c r="G27" s="967">
        <v>3.1474465930963869E-2</v>
      </c>
      <c r="H27" s="917">
        <v>1.6390439818697661E-2</v>
      </c>
      <c r="I27" s="917">
        <v>1.2101796394321247E-2</v>
      </c>
      <c r="J27" s="917" t="s">
        <v>566</v>
      </c>
      <c r="K27" s="917" t="s">
        <v>566</v>
      </c>
      <c r="L27" s="917">
        <v>2.396519467988393E-3</v>
      </c>
      <c r="M27" s="1071">
        <v>1.969524656124657E-2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7" t="s">
        <v>566</v>
      </c>
      <c r="E28" s="917" t="s">
        <v>566</v>
      </c>
      <c r="F28" s="917">
        <v>7.217988325761337E-3</v>
      </c>
      <c r="G28" s="917" t="s">
        <v>566</v>
      </c>
      <c r="H28" s="917">
        <v>3.1197016357765225E-3</v>
      </c>
      <c r="I28" s="917">
        <v>1.4740228049891379E-4</v>
      </c>
      <c r="J28" s="917" t="s">
        <v>566</v>
      </c>
      <c r="K28" s="917" t="s">
        <v>566</v>
      </c>
      <c r="L28" s="917" t="s">
        <v>566</v>
      </c>
      <c r="M28" s="1071">
        <v>1.1385712834796758E-3</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2.3425840918401891E-3</v>
      </c>
      <c r="E29" s="917">
        <v>5.2442542534450604E-3</v>
      </c>
      <c r="F29" s="917" t="s">
        <v>566</v>
      </c>
      <c r="G29" s="967">
        <v>8.5544351696967714E-3</v>
      </c>
      <c r="H29" s="917">
        <v>6.687287675056987E-3</v>
      </c>
      <c r="I29" s="917">
        <v>1.0707934240493154E-2</v>
      </c>
      <c r="J29" s="917" t="s">
        <v>566</v>
      </c>
      <c r="K29" s="917" t="s">
        <v>566</v>
      </c>
      <c r="L29" s="917">
        <v>4.0473677965928564E-3</v>
      </c>
      <c r="M29" s="1071">
        <v>6.1632549806632467E-3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1.7854654592926327E-2</v>
      </c>
      <c r="E30" s="917" t="s">
        <v>566</v>
      </c>
      <c r="F30" s="917">
        <v>4.1055824614356723E-2</v>
      </c>
      <c r="G30" s="967">
        <v>3.9650261957713206E-2</v>
      </c>
      <c r="H30" s="917">
        <v>2.3891195632307263E-2</v>
      </c>
      <c r="I30" s="917">
        <v>1.4450222808758316E-2</v>
      </c>
      <c r="J30" s="917" t="s">
        <v>566</v>
      </c>
      <c r="K30" s="917">
        <v>0.1045436321328114</v>
      </c>
      <c r="L30" s="917">
        <v>1.9189049241796242E-2</v>
      </c>
      <c r="M30" s="1071">
        <v>2.8029685717351701E-2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9.1577535042407319E-5</v>
      </c>
      <c r="E31" s="917">
        <v>2.9656887113742232E-3</v>
      </c>
      <c r="F31" s="917" t="s">
        <v>566</v>
      </c>
      <c r="G31" s="967">
        <v>2.0957991710410635E-2</v>
      </c>
      <c r="H31" s="917">
        <v>2.2098429116032471E-2</v>
      </c>
      <c r="I31" s="917">
        <v>2.3441003546590629E-2</v>
      </c>
      <c r="J31" s="917" t="s">
        <v>566</v>
      </c>
      <c r="K31" s="917" t="s">
        <v>566</v>
      </c>
      <c r="L31" s="917">
        <v>2.2075480148568494E-3</v>
      </c>
      <c r="M31" s="1071">
        <v>1.5252279552989084E-2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7" t="s">
        <v>566</v>
      </c>
      <c r="E32" s="917" t="s">
        <v>566</v>
      </c>
      <c r="F32" s="917" t="s">
        <v>566</v>
      </c>
      <c r="G32" s="967">
        <v>2.4462426709970235E-3</v>
      </c>
      <c r="H32" s="917">
        <v>2.1191028196377248E-3</v>
      </c>
      <c r="I32" s="917">
        <v>7.2005365737463331E-5</v>
      </c>
      <c r="J32" s="917" t="s">
        <v>566</v>
      </c>
      <c r="K32" s="917" t="s">
        <v>566</v>
      </c>
      <c r="L32" s="917">
        <v>8.4035330197166768E-4</v>
      </c>
      <c r="M32" s="1071">
        <v>1.4555649228110618E-3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0.33244467986678872</v>
      </c>
      <c r="E33" s="917" t="s">
        <v>566</v>
      </c>
      <c r="F33" s="917">
        <v>0.41216851103948426</v>
      </c>
      <c r="G33" s="967">
        <v>3.8295330910539722E-2</v>
      </c>
      <c r="H33" s="917">
        <v>4.6039714932595097E-3</v>
      </c>
      <c r="I33" s="917">
        <v>1.2709968965302621E-4</v>
      </c>
      <c r="J33" s="917" t="s">
        <v>566</v>
      </c>
      <c r="K33" s="917">
        <v>3.9398928150791941E-2</v>
      </c>
      <c r="L33" s="917" t="s">
        <v>566</v>
      </c>
      <c r="M33" s="1071">
        <v>7.3728791728443682E-2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7" t="s">
        <v>566</v>
      </c>
      <c r="E34" s="917">
        <v>6.7386149914727368E-3</v>
      </c>
      <c r="F34" s="917">
        <v>8.3685756635252162E-4</v>
      </c>
      <c r="G34" s="967">
        <v>1.779641197633664E-4</v>
      </c>
      <c r="H34" s="917">
        <v>6.14847283592602E-2</v>
      </c>
      <c r="I34" s="917">
        <v>2.1327705998095223E-2</v>
      </c>
      <c r="J34" s="917" t="s">
        <v>566</v>
      </c>
      <c r="K34" s="917">
        <v>1.2163576029315631E-3</v>
      </c>
      <c r="L34" s="917" t="s">
        <v>566</v>
      </c>
      <c r="M34" s="1071">
        <v>2.081571918516064E-2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7" t="s">
        <v>566</v>
      </c>
      <c r="E35" s="917">
        <v>1.3976287202381317E-4</v>
      </c>
      <c r="F35" s="917" t="s">
        <v>566</v>
      </c>
      <c r="G35" s="967">
        <v>1.1201111399354089E-2</v>
      </c>
      <c r="H35" s="917">
        <v>4.349921453198017E-3</v>
      </c>
      <c r="I35" s="917" t="s">
        <v>566</v>
      </c>
      <c r="J35" s="917" t="s">
        <v>566</v>
      </c>
      <c r="K35" s="917" t="s">
        <v>566</v>
      </c>
      <c r="L35" s="917" t="s">
        <v>566</v>
      </c>
      <c r="M35" s="1071">
        <v>4.8307841758826213E-3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v>3.3064541189412101E-3</v>
      </c>
      <c r="E36" s="917">
        <v>0.12517394404720539</v>
      </c>
      <c r="F36" s="917">
        <v>0.1167768014239469</v>
      </c>
      <c r="G36" s="967">
        <v>6.1460523356330149E-2</v>
      </c>
      <c r="H36" s="917">
        <v>2.3381792413760975E-2</v>
      </c>
      <c r="I36" s="917">
        <v>3.7751158716608141E-2</v>
      </c>
      <c r="J36" s="917" t="s">
        <v>566</v>
      </c>
      <c r="K36" s="917" t="s">
        <v>566</v>
      </c>
      <c r="L36" s="917">
        <v>2.934400583336411E-2</v>
      </c>
      <c r="M36" s="1071">
        <v>3.6483962583903566E-2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0.14351704072356355</v>
      </c>
      <c r="E37" s="917">
        <v>9.6616525326206404E-2</v>
      </c>
      <c r="F37" s="917">
        <v>7.4776482120405968E-2</v>
      </c>
      <c r="G37" s="967">
        <v>0.18024843717196931</v>
      </c>
      <c r="H37" s="917">
        <v>0.17193482102161486</v>
      </c>
      <c r="I37" s="917">
        <v>0.13148776696289027</v>
      </c>
      <c r="J37" s="917" t="s">
        <v>566</v>
      </c>
      <c r="K37" s="917">
        <v>0.21629540750124784</v>
      </c>
      <c r="L37" s="917">
        <v>3.4005432634623502E-2</v>
      </c>
      <c r="M37" s="1071">
        <v>0.15167361133330626</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2.2156053609972158E-2</v>
      </c>
      <c r="E38" s="917">
        <v>0.27159829157859261</v>
      </c>
      <c r="F38" s="917">
        <v>6.4073850861914333E-2</v>
      </c>
      <c r="G38" s="967">
        <v>0.11178802777948099</v>
      </c>
      <c r="H38" s="917">
        <v>0.14429477813607705</v>
      </c>
      <c r="I38" s="917">
        <v>0.12165869983275727</v>
      </c>
      <c r="J38" s="917" t="s">
        <v>566</v>
      </c>
      <c r="K38" s="917">
        <v>0.21421729034547207</v>
      </c>
      <c r="L38" s="917">
        <v>5.247591890806716E-3</v>
      </c>
      <c r="M38" s="1071">
        <v>0.10551988722804315</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2.3608117546903564E-4</v>
      </c>
      <c r="E39" s="917">
        <v>1.5874077931618015E-3</v>
      </c>
      <c r="F39" s="917" t="s">
        <v>566</v>
      </c>
      <c r="G39" s="967">
        <v>4.7873836718047996E-4</v>
      </c>
      <c r="H39" s="917">
        <v>7.3058693261122737E-4</v>
      </c>
      <c r="I39" s="917">
        <v>2.309028846594491E-3</v>
      </c>
      <c r="J39" s="917" t="s">
        <v>566</v>
      </c>
      <c r="K39" s="917" t="s">
        <v>566</v>
      </c>
      <c r="L39" s="917">
        <v>1.4677699561319077E-3</v>
      </c>
      <c r="M39" s="1071">
        <v>6.7983798516934712E-4</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1.2215938070746829E-2</v>
      </c>
      <c r="E40" s="917" t="s">
        <v>566</v>
      </c>
      <c r="F40" s="917" t="s">
        <v>566</v>
      </c>
      <c r="G40" s="967">
        <v>4.6898710303771081E-2</v>
      </c>
      <c r="H40" s="917">
        <v>2.4594179529561955E-3</v>
      </c>
      <c r="I40" s="917">
        <v>0.10429840786722304</v>
      </c>
      <c r="J40" s="917" t="s">
        <v>566</v>
      </c>
      <c r="K40" s="917" t="s">
        <v>566</v>
      </c>
      <c r="L40" s="917" t="s">
        <v>566</v>
      </c>
      <c r="M40" s="1071">
        <v>2.491279319317494E-2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3.224649246511242E-3</v>
      </c>
      <c r="E41" s="917">
        <v>3.3481745495627858E-2</v>
      </c>
      <c r="F41" s="917" t="s">
        <v>566</v>
      </c>
      <c r="G41" s="967">
        <v>1.9195217021573075E-3</v>
      </c>
      <c r="H41" s="917">
        <v>2.0150567764459757E-2</v>
      </c>
      <c r="I41" s="917">
        <v>2.7992666941706094E-3</v>
      </c>
      <c r="J41" s="917" t="s">
        <v>566</v>
      </c>
      <c r="K41" s="917">
        <v>3.1700229580116182E-3</v>
      </c>
      <c r="L41" s="917" t="s">
        <v>566</v>
      </c>
      <c r="M41" s="1071">
        <v>8.3801647999513819E-3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6.2686689424891986E-2</v>
      </c>
      <c r="E42" s="917">
        <v>8.2997329884450688E-2</v>
      </c>
      <c r="F42" s="917">
        <v>3.9361485094163227E-2</v>
      </c>
      <c r="G42" s="967">
        <v>9.0433844149732968E-3</v>
      </c>
      <c r="H42" s="917">
        <v>3.9052943082718942E-2</v>
      </c>
      <c r="I42" s="917">
        <v>0.11181630224698508</v>
      </c>
      <c r="J42" s="967">
        <v>0.5480506543947975</v>
      </c>
      <c r="K42" s="917">
        <v>1.2347066564960947E-4</v>
      </c>
      <c r="L42" s="917">
        <v>0.32798097556414463</v>
      </c>
      <c r="M42" s="1071">
        <v>7.1494129931852571E-2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4.6510077866159981E-2</v>
      </c>
      <c r="E43" s="917">
        <v>7.8338033735112889E-2</v>
      </c>
      <c r="F43" s="917">
        <v>2.2041723625574331E-2</v>
      </c>
      <c r="G43" s="967">
        <v>4.7432615371720326E-2</v>
      </c>
      <c r="H43" s="917">
        <v>0.16272389950928159</v>
      </c>
      <c r="I43" s="917">
        <v>1.5421651407891156E-4</v>
      </c>
      <c r="J43" s="967">
        <v>0.36112116812891204</v>
      </c>
      <c r="K43" s="917">
        <v>3.2167414400248263E-2</v>
      </c>
      <c r="L43" s="917">
        <v>4.7718238456044299E-3</v>
      </c>
      <c r="M43" s="1071">
        <v>9.0084557298343249E-2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6.1974492911360743E-2</v>
      </c>
      <c r="E44" s="917">
        <v>7.8714857876409437E-4</v>
      </c>
      <c r="F44" s="917">
        <v>1.1233810053856009E-3</v>
      </c>
      <c r="G44" s="967">
        <v>6.7857350685325609E-3</v>
      </c>
      <c r="H44" s="917">
        <v>6.1761260741562407E-2</v>
      </c>
      <c r="I44" s="917">
        <v>9.5550722243597261E-4</v>
      </c>
      <c r="J44" s="917" t="s">
        <v>566</v>
      </c>
      <c r="K44" s="917">
        <v>1.1696482619281018E-2</v>
      </c>
      <c r="L44" s="917">
        <v>0.13732920870070142</v>
      </c>
      <c r="M44" s="1071">
        <v>3.6657004158010667E-2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4.0400626460615017E-3</v>
      </c>
      <c r="E45" s="917">
        <v>5.6609906657798231E-3</v>
      </c>
      <c r="F45" s="917" t="s">
        <v>566</v>
      </c>
      <c r="G45" s="967">
        <v>8.005260488925818E-2</v>
      </c>
      <c r="H45" s="917">
        <v>7.0268105643028642E-2</v>
      </c>
      <c r="I45" s="917">
        <v>0.13752772880442765</v>
      </c>
      <c r="J45" s="917" t="s">
        <v>566</v>
      </c>
      <c r="K45" s="917" t="s">
        <v>566</v>
      </c>
      <c r="L45" s="917">
        <v>9.4991352886313052E-2</v>
      </c>
      <c r="M45" s="1071">
        <v>6.1502768049346866E-2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3.6201675693202956E-2</v>
      </c>
      <c r="E46" s="917">
        <v>1.7999154640199022E-2</v>
      </c>
      <c r="F46" s="917">
        <v>9.7943084611909741E-3</v>
      </c>
      <c r="G46" s="967">
        <v>4.1074910590849743E-3</v>
      </c>
      <c r="H46" s="917">
        <v>1.4692595721024821E-2</v>
      </c>
      <c r="I46" s="917">
        <v>2.561164607317358E-2</v>
      </c>
      <c r="J46" s="917" t="s">
        <v>566</v>
      </c>
      <c r="K46" s="917" t="s">
        <v>566</v>
      </c>
      <c r="L46" s="917">
        <v>2.623992381425324E-2</v>
      </c>
      <c r="M46" s="1071">
        <v>1.488983280425174E-2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2.393753314058129E-4</v>
      </c>
      <c r="E47" s="917">
        <v>2.4389278448021828E-4</v>
      </c>
      <c r="F47" s="917" t="s">
        <v>566</v>
      </c>
      <c r="G47" s="967">
        <v>3.3790841991316532E-4</v>
      </c>
      <c r="H47" s="917" t="s">
        <v>566</v>
      </c>
      <c r="I47" s="917">
        <v>3.3812654025530951E-3</v>
      </c>
      <c r="J47" s="917" t="s">
        <v>566</v>
      </c>
      <c r="K47" s="917" t="s">
        <v>566</v>
      </c>
      <c r="L47" s="917">
        <v>7.6452899749269066E-4</v>
      </c>
      <c r="M47" s="1071">
        <v>4.3140323486487317E-4</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2.6891292963891549E-4</v>
      </c>
      <c r="E48" s="917" t="s">
        <v>566</v>
      </c>
      <c r="F48" s="917">
        <v>3.2616849505270351E-3</v>
      </c>
      <c r="G48" s="967">
        <v>4.053337344355608E-3</v>
      </c>
      <c r="H48" s="917">
        <v>6.8373323148914898E-4</v>
      </c>
      <c r="I48" s="917" t="s">
        <v>566</v>
      </c>
      <c r="J48" s="917" t="s">
        <v>566</v>
      </c>
      <c r="K48" s="917">
        <v>5.0847780816039507E-4</v>
      </c>
      <c r="L48" s="917">
        <v>3.1194040288242363E-4</v>
      </c>
      <c r="M48" s="1071">
        <v>1.6140377680142017E-3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17">
        <v>3.2416690521845908E-3</v>
      </c>
      <c r="E49" s="917" t="s">
        <v>566</v>
      </c>
      <c r="F49" s="917" t="s">
        <v>566</v>
      </c>
      <c r="G49" s="967">
        <v>2.9688550362404519E-3</v>
      </c>
      <c r="H49" s="917">
        <v>3.5666417979966943E-4</v>
      </c>
      <c r="I49" s="917">
        <v>1.9847567285030043E-3</v>
      </c>
      <c r="J49" s="917" t="s">
        <v>566</v>
      </c>
      <c r="K49" s="917" t="s">
        <v>566</v>
      </c>
      <c r="L49" s="917">
        <v>2.3635182162980608E-3</v>
      </c>
      <c r="M49" s="1071">
        <v>1.7668946571542091E-3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3.8827117974814421E-3</v>
      </c>
      <c r="E50" s="917">
        <v>3.6854031727780186E-2</v>
      </c>
      <c r="F50" s="917">
        <v>4.7213644530184166E-3</v>
      </c>
      <c r="G50" s="967">
        <v>8.4538592648402661E-2</v>
      </c>
      <c r="H50" s="917">
        <v>4.8216639713108732E-3</v>
      </c>
      <c r="I50" s="917">
        <v>8.1837348487773673E-2</v>
      </c>
      <c r="J50" s="917" t="s">
        <v>566</v>
      </c>
      <c r="K50" s="917">
        <v>2.8671002548227097E-2</v>
      </c>
      <c r="L50" s="917">
        <v>7.3415998849670656E-3</v>
      </c>
      <c r="M50" s="1071">
        <v>3.6498999432725825E-2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16">
        <v>0.21723388188716045</v>
      </c>
      <c r="E51" s="1013">
        <v>0.21546418562070091</v>
      </c>
      <c r="F51" s="1013">
        <v>0.18076287621774084</v>
      </c>
      <c r="G51" s="1417">
        <v>0.1162400987750031</v>
      </c>
      <c r="H51" s="1013">
        <v>2.8406670674796453E-2</v>
      </c>
      <c r="I51" s="1013">
        <v>6.4319372844273054E-2</v>
      </c>
      <c r="J51" s="1417">
        <v>9.0828177476290434E-2</v>
      </c>
      <c r="K51" s="1013">
        <v>1.8792404725251195E-2</v>
      </c>
      <c r="L51" s="1013">
        <v>0.22242882926488142</v>
      </c>
      <c r="M51" s="1418">
        <v>0.10504806090726614</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v>
      </c>
      <c r="E52" s="934">
        <f t="shared" ref="E52:M52" si="0">SUM(E22:E51)</f>
        <v>1</v>
      </c>
      <c r="F52" s="934">
        <f t="shared" si="0"/>
        <v>0.99998172322086409</v>
      </c>
      <c r="G52" s="934">
        <f t="shared" si="0"/>
        <v>0.99999999999999978</v>
      </c>
      <c r="H52" s="934">
        <f t="shared" si="0"/>
        <v>0.99999349498934587</v>
      </c>
      <c r="I52" s="935">
        <f t="shared" si="0"/>
        <v>1</v>
      </c>
      <c r="J52" s="934">
        <f t="shared" si="0"/>
        <v>1</v>
      </c>
      <c r="K52" s="935">
        <f t="shared" si="0"/>
        <v>0.99997848206305662</v>
      </c>
      <c r="L52" s="934">
        <f t="shared" si="0"/>
        <v>1</v>
      </c>
      <c r="M52" s="934">
        <f t="shared" si="0"/>
        <v>1</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44">
        <v>2.8798279835691894E-2</v>
      </c>
      <c r="E56" s="944">
        <v>3.0143476992732881E-2</v>
      </c>
      <c r="F56" s="944">
        <v>8.8254447331586657E-3</v>
      </c>
      <c r="G56" s="944">
        <v>3.6919667274552544E-2</v>
      </c>
      <c r="H56" s="944">
        <v>5.9549566198437189E-2</v>
      </c>
      <c r="I56" s="944">
        <v>5.1263096700072619E-2</v>
      </c>
      <c r="J56" s="944" t="s">
        <v>566</v>
      </c>
      <c r="K56" s="944" t="s">
        <v>566</v>
      </c>
      <c r="L56" s="944">
        <v>1.0743086041334853E-2</v>
      </c>
      <c r="M56" s="1419">
        <v>3.9342942783125862E-2</v>
      </c>
      <c r="O56" s="938"/>
      <c r="P56" s="936"/>
    </row>
    <row r="57" spans="1:55" ht="15.75">
      <c r="A57" s="936"/>
      <c r="B57" s="936" t="s">
        <v>598</v>
      </c>
      <c r="C57" s="932"/>
      <c r="D57" s="944">
        <v>5.6186331514849454E-2</v>
      </c>
      <c r="E57" s="944" t="s">
        <v>566</v>
      </c>
      <c r="F57" s="944" t="s">
        <v>566</v>
      </c>
      <c r="G57" s="944">
        <v>8.1050516870328267E-3</v>
      </c>
      <c r="H57" s="944">
        <v>2.7888497441475968E-4</v>
      </c>
      <c r="I57" s="944">
        <v>4.1145605569040036E-3</v>
      </c>
      <c r="J57" s="944" t="s">
        <v>566</v>
      </c>
      <c r="K57" s="944" t="s">
        <v>566</v>
      </c>
      <c r="L57" s="944" t="s">
        <v>566</v>
      </c>
      <c r="M57" s="1419">
        <v>1.134421839523843E-2</v>
      </c>
      <c r="O57" s="938"/>
      <c r="P57" s="936"/>
    </row>
    <row r="58" spans="1:55" ht="15.75">
      <c r="A58" s="936"/>
      <c r="B58" s="936" t="s">
        <v>599</v>
      </c>
      <c r="C58" s="932"/>
      <c r="D58" s="944" t="s">
        <v>566</v>
      </c>
      <c r="E58" s="944" t="s">
        <v>566</v>
      </c>
      <c r="F58" s="944" t="s">
        <v>566</v>
      </c>
      <c r="G58" s="944">
        <v>5.3819127505709257E-3</v>
      </c>
      <c r="H58" s="944">
        <v>3.8442060095750501E-3</v>
      </c>
      <c r="I58" s="944">
        <v>1.0446860580509629E-2</v>
      </c>
      <c r="J58" s="944" t="s">
        <v>566</v>
      </c>
      <c r="K58" s="944" t="s">
        <v>566</v>
      </c>
      <c r="L58" s="944" t="s">
        <v>566</v>
      </c>
      <c r="M58" s="1419">
        <v>3.6347124095980504E-3</v>
      </c>
      <c r="O58" s="938"/>
      <c r="P58" s="936"/>
    </row>
    <row r="59" spans="1:55" ht="15.75">
      <c r="A59" s="936"/>
      <c r="B59" s="936" t="s">
        <v>600</v>
      </c>
      <c r="C59" s="932"/>
      <c r="D59" s="944">
        <v>5.3082907206811615E-2</v>
      </c>
      <c r="E59" s="944">
        <v>1.5312607094227172E-2</v>
      </c>
      <c r="F59" s="944">
        <v>3.2174404544624113E-2</v>
      </c>
      <c r="G59" s="944">
        <v>8.1964806933275083E-2</v>
      </c>
      <c r="H59" s="944">
        <v>4.0563568914813213E-2</v>
      </c>
      <c r="I59" s="944">
        <v>5.1465255261567984E-2</v>
      </c>
      <c r="J59" s="944" t="s">
        <v>566</v>
      </c>
      <c r="K59" s="944">
        <v>6.682203051845545E-2</v>
      </c>
      <c r="L59" s="944">
        <v>2.3254096280366063E-3</v>
      </c>
      <c r="M59" s="1419">
        <v>5.2799647795603033E-2</v>
      </c>
      <c r="O59" s="938"/>
      <c r="P59" s="936"/>
    </row>
    <row r="60" spans="1:55" ht="15.75">
      <c r="A60" s="936"/>
      <c r="B60" s="936" t="s">
        <v>601</v>
      </c>
      <c r="C60" s="932"/>
      <c r="D60" s="944" t="s">
        <v>566</v>
      </c>
      <c r="E60" s="944">
        <v>5.1160441239246367E-2</v>
      </c>
      <c r="F60" s="944" t="s">
        <v>566</v>
      </c>
      <c r="G60" s="944" t="s">
        <v>566</v>
      </c>
      <c r="H60" s="944">
        <v>2.9590890239948507E-2</v>
      </c>
      <c r="I60" s="944">
        <v>9.3431059702769621E-3</v>
      </c>
      <c r="J60" s="944" t="s">
        <v>566</v>
      </c>
      <c r="K60" s="944" t="s">
        <v>566</v>
      </c>
      <c r="L60" s="944" t="s">
        <v>566</v>
      </c>
      <c r="M60" s="1419">
        <v>1.1027232335462218E-2</v>
      </c>
      <c r="O60" s="938"/>
      <c r="P60" s="936"/>
    </row>
    <row r="61" spans="1:55" ht="15.75">
      <c r="A61" s="936"/>
      <c r="B61" s="936" t="s">
        <v>602</v>
      </c>
      <c r="C61" s="932"/>
      <c r="D61" s="944" t="s">
        <v>566</v>
      </c>
      <c r="E61" s="944" t="s">
        <v>566</v>
      </c>
      <c r="F61" s="944" t="s">
        <v>566</v>
      </c>
      <c r="G61" s="944" t="s">
        <v>566</v>
      </c>
      <c r="H61" s="944" t="s">
        <v>566</v>
      </c>
      <c r="I61" s="944" t="s">
        <v>566</v>
      </c>
      <c r="J61" s="944" t="s">
        <v>566</v>
      </c>
      <c r="K61" s="944" t="s">
        <v>566</v>
      </c>
      <c r="L61" s="944" t="s">
        <v>566</v>
      </c>
      <c r="M61" s="1448" t="s">
        <v>566</v>
      </c>
      <c r="O61" s="938"/>
      <c r="P61" s="936"/>
    </row>
    <row r="62" spans="1:55" ht="16.5" thickBot="1">
      <c r="A62" s="936"/>
      <c r="B62" s="929" t="s">
        <v>603</v>
      </c>
      <c r="C62" s="946"/>
      <c r="D62" s="1420">
        <v>5.4494123610126979E-3</v>
      </c>
      <c r="E62" s="931" t="s">
        <v>566</v>
      </c>
      <c r="F62" s="931">
        <v>3.3776625641370565E-2</v>
      </c>
      <c r="G62" s="931">
        <v>4.7876998526537928E-2</v>
      </c>
      <c r="H62" s="931">
        <v>3.8107704150353014E-2</v>
      </c>
      <c r="I62" s="931">
        <v>4.8549190290910977E-3</v>
      </c>
      <c r="J62" s="931" t="s">
        <v>566</v>
      </c>
      <c r="K62" s="931">
        <v>0.14947337698279239</v>
      </c>
      <c r="L62" s="931">
        <v>2.0936936965252038E-2</v>
      </c>
      <c r="M62" s="1421">
        <v>3.35248431142601E-2</v>
      </c>
      <c r="O62" s="938"/>
      <c r="P62" s="936"/>
    </row>
    <row r="63" spans="1:55" ht="15.75">
      <c r="A63" s="936"/>
      <c r="B63" s="1074" t="s">
        <v>0</v>
      </c>
      <c r="C63" s="1074" t="s">
        <v>604</v>
      </c>
      <c r="D63" s="934">
        <f t="shared" ref="D63:I63" si="1">SUM(D56:D62)</f>
        <v>0.14351693091836568</v>
      </c>
      <c r="E63" s="934">
        <f t="shared" si="1"/>
        <v>9.6616525326206418E-2</v>
      </c>
      <c r="F63" s="934">
        <f t="shared" si="1"/>
        <v>7.4776474919153346E-2</v>
      </c>
      <c r="G63" s="934">
        <f t="shared" si="1"/>
        <v>0.18024843717196931</v>
      </c>
      <c r="H63" s="934">
        <f t="shared" si="1"/>
        <v>0.17193482048754172</v>
      </c>
      <c r="I63" s="935">
        <f t="shared" si="1"/>
        <v>0.13148779809842229</v>
      </c>
      <c r="J63" s="944" t="s">
        <v>566</v>
      </c>
      <c r="K63" s="935">
        <f>SUM(K56:K62)</f>
        <v>0.21629540750124784</v>
      </c>
      <c r="L63" s="934">
        <f>SUM(L56:L62)</f>
        <v>3.4005432634623495E-2</v>
      </c>
      <c r="M63" s="1079">
        <f>SUM(M56:M62)</f>
        <v>0.15167359683328768</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44">
        <v>2.1917117499357913E-3</v>
      </c>
      <c r="E68" s="944">
        <v>5.634573609020469E-3</v>
      </c>
      <c r="F68" s="944">
        <v>4.646053753174042E-3</v>
      </c>
      <c r="G68" s="944">
        <v>4.3283373719704647E-3</v>
      </c>
      <c r="H68" s="944">
        <v>4.3783213256560144E-3</v>
      </c>
      <c r="I68" s="944">
        <v>5.1513737732861702E-3</v>
      </c>
      <c r="J68" s="944" t="s">
        <v>566</v>
      </c>
      <c r="K68" s="944" t="s">
        <v>566</v>
      </c>
      <c r="L68" s="944" t="s">
        <v>566</v>
      </c>
      <c r="M68" s="1419">
        <v>3.6472880450378396E-3</v>
      </c>
      <c r="O68" s="938"/>
      <c r="P68" s="936"/>
    </row>
    <row r="69" spans="1:16" ht="15.75">
      <c r="A69" s="936"/>
      <c r="B69" s="936" t="s">
        <v>599</v>
      </c>
      <c r="C69" s="932"/>
      <c r="D69" s="944" t="s">
        <v>566</v>
      </c>
      <c r="E69" s="944" t="s">
        <v>566</v>
      </c>
      <c r="F69" s="944" t="s">
        <v>566</v>
      </c>
      <c r="G69" s="944">
        <v>4.7821784168297372E-4</v>
      </c>
      <c r="H69" s="944" t="s">
        <v>566</v>
      </c>
      <c r="I69" s="944">
        <v>5.4064627392214645E-4</v>
      </c>
      <c r="J69" s="944" t="s">
        <v>566</v>
      </c>
      <c r="K69" s="944" t="s">
        <v>566</v>
      </c>
      <c r="L69" s="944">
        <v>6.0266571539249096E-4</v>
      </c>
      <c r="M69" s="1419">
        <v>2.1628161817598108E-4</v>
      </c>
      <c r="O69" s="938"/>
      <c r="P69" s="936"/>
    </row>
    <row r="70" spans="1:16" ht="15.75">
      <c r="A70" s="936"/>
      <c r="B70" s="936" t="s">
        <v>607</v>
      </c>
      <c r="C70" s="932"/>
      <c r="D70" s="944">
        <v>5.169628716782418E-3</v>
      </c>
      <c r="E70" s="944">
        <v>8.4082876530235801E-4</v>
      </c>
      <c r="F70" s="944" t="s">
        <v>566</v>
      </c>
      <c r="G70" s="944">
        <v>4.6056987743600723E-2</v>
      </c>
      <c r="H70" s="944">
        <v>5.6473025148128186E-2</v>
      </c>
      <c r="I70" s="944">
        <v>3.6156136562276002E-2</v>
      </c>
      <c r="J70" s="944" t="s">
        <v>566</v>
      </c>
      <c r="K70" s="944">
        <v>0.12950589545462496</v>
      </c>
      <c r="L70" s="944">
        <v>1.0175385937852357E-4</v>
      </c>
      <c r="M70" s="1419">
        <v>3.873495057756076E-2</v>
      </c>
      <c r="O70" s="938"/>
      <c r="P70" s="936"/>
    </row>
    <row r="71" spans="1:16" ht="15.75">
      <c r="A71" s="936"/>
      <c r="B71" s="936" t="s">
        <v>600</v>
      </c>
      <c r="C71" s="932"/>
      <c r="D71" s="944">
        <v>1.6623408908956886E-3</v>
      </c>
      <c r="E71" s="944">
        <v>3.6855290348801013E-3</v>
      </c>
      <c r="F71" s="944">
        <v>1.725986865059256E-2</v>
      </c>
      <c r="G71" s="944">
        <v>2.089979876018282E-2</v>
      </c>
      <c r="H71" s="944">
        <v>2.1386010282963823E-2</v>
      </c>
      <c r="I71" s="944">
        <v>3.8517766666257607E-2</v>
      </c>
      <c r="J71" s="944" t="s">
        <v>566</v>
      </c>
      <c r="K71" s="944">
        <v>4.6868638333310659E-3</v>
      </c>
      <c r="L71" s="944">
        <v>2.6754586191804846E-3</v>
      </c>
      <c r="M71" s="1419">
        <v>1.6925354146686816E-2</v>
      </c>
      <c r="O71" s="938"/>
      <c r="P71" s="936"/>
    </row>
    <row r="72" spans="1:16" ht="15.75">
      <c r="A72" s="936"/>
      <c r="B72" s="936" t="s">
        <v>608</v>
      </c>
      <c r="C72" s="932"/>
      <c r="D72" s="944">
        <v>2.2905364280391085E-4</v>
      </c>
      <c r="E72" s="944">
        <v>1.2031438031643703E-3</v>
      </c>
      <c r="F72" s="944" t="s">
        <v>566</v>
      </c>
      <c r="G72" s="944">
        <v>2.415561320182163E-3</v>
      </c>
      <c r="H72" s="944">
        <v>1.408180459463376E-3</v>
      </c>
      <c r="I72" s="944">
        <v>1.8623496083192328E-3</v>
      </c>
      <c r="J72" s="944" t="s">
        <v>566</v>
      </c>
      <c r="K72" s="944" t="s">
        <v>566</v>
      </c>
      <c r="L72" s="944" t="s">
        <v>566</v>
      </c>
      <c r="M72" s="1419">
        <v>1.3868076471661877E-3</v>
      </c>
      <c r="O72" s="938"/>
      <c r="P72" s="936"/>
    </row>
    <row r="73" spans="1:16" ht="15.75">
      <c r="A73" s="936"/>
      <c r="B73" s="936" t="s">
        <v>609</v>
      </c>
      <c r="C73" s="932"/>
      <c r="D73" s="944">
        <v>1.5976656293369622E-3</v>
      </c>
      <c r="E73" s="944" t="s">
        <v>566</v>
      </c>
      <c r="F73" s="944" t="s">
        <v>566</v>
      </c>
      <c r="G73" s="944">
        <v>1.3448484735820658E-2</v>
      </c>
      <c r="H73" s="944">
        <v>8.5882600766814185E-3</v>
      </c>
      <c r="I73" s="944">
        <v>2.7150183924481961E-2</v>
      </c>
      <c r="J73" s="944" t="s">
        <v>566</v>
      </c>
      <c r="K73" s="944" t="s">
        <v>566</v>
      </c>
      <c r="L73" s="944" t="s">
        <v>566</v>
      </c>
      <c r="M73" s="1419">
        <v>9.0857184033146954E-3</v>
      </c>
      <c r="O73" s="938"/>
      <c r="P73" s="936"/>
    </row>
    <row r="74" spans="1:16" ht="15.75">
      <c r="A74" s="936"/>
      <c r="B74" s="936" t="s">
        <v>601</v>
      </c>
      <c r="C74" s="932"/>
      <c r="D74" s="944" t="s">
        <v>566</v>
      </c>
      <c r="E74" s="944" t="s">
        <v>566</v>
      </c>
      <c r="F74" s="944" t="s">
        <v>566</v>
      </c>
      <c r="G74" s="944" t="s">
        <v>566</v>
      </c>
      <c r="H74" s="944">
        <v>1.2110336142820553E-2</v>
      </c>
      <c r="I74" s="944">
        <v>3.8719258037781039E-4</v>
      </c>
      <c r="J74" s="944" t="s">
        <v>566</v>
      </c>
      <c r="K74" s="944">
        <v>1.1817923980766899E-2</v>
      </c>
      <c r="L74" s="944" t="s">
        <v>566</v>
      </c>
      <c r="M74" s="1419">
        <v>4.084522923742351E-3</v>
      </c>
      <c r="O74" s="938"/>
      <c r="P74" s="936"/>
    </row>
    <row r="75" spans="1:16" ht="16.5" thickBot="1">
      <c r="A75" s="936"/>
      <c r="B75" s="929" t="s">
        <v>603</v>
      </c>
      <c r="C75" s="946"/>
      <c r="D75" s="1420">
        <v>1.1305652980217386E-2</v>
      </c>
      <c r="E75" s="931">
        <v>0.2602342093738863</v>
      </c>
      <c r="F75" s="931">
        <v>4.2167928458147728E-2</v>
      </c>
      <c r="G75" s="931">
        <v>2.4160640006041186E-2</v>
      </c>
      <c r="H75" s="931">
        <v>3.9943700681601475E-2</v>
      </c>
      <c r="I75" s="931">
        <v>1.189310604300067E-2</v>
      </c>
      <c r="J75" s="931" t="s">
        <v>566</v>
      </c>
      <c r="K75" s="931">
        <v>6.820651566665166E-2</v>
      </c>
      <c r="L75" s="931">
        <v>1.8677136968552163E-3</v>
      </c>
      <c r="M75" s="1421">
        <v>3.1438967820909047E-2</v>
      </c>
      <c r="O75" s="938"/>
      <c r="P75" s="936"/>
    </row>
    <row r="76" spans="1:16" ht="15.75">
      <c r="A76" s="936"/>
      <c r="C76" s="1074" t="s">
        <v>604</v>
      </c>
      <c r="D76" s="934">
        <f t="shared" ref="D76:I76" si="2">SUM(D68:D75)</f>
        <v>2.2156053609972158E-2</v>
      </c>
      <c r="E76" s="934">
        <f t="shared" si="2"/>
        <v>0.27159828458625362</v>
      </c>
      <c r="F76" s="934">
        <f t="shared" si="2"/>
        <v>6.4073850861914333E-2</v>
      </c>
      <c r="G76" s="934">
        <f t="shared" si="2"/>
        <v>0.11178802777948099</v>
      </c>
      <c r="H76" s="934">
        <f t="shared" si="2"/>
        <v>0.14428783411731486</v>
      </c>
      <c r="I76" s="935">
        <f t="shared" si="2"/>
        <v>0.1216587554319216</v>
      </c>
      <c r="J76" s="944" t="s">
        <v>566</v>
      </c>
      <c r="K76" s="935">
        <f>SUM(K68:K75)</f>
        <v>0.21421719893537455</v>
      </c>
      <c r="L76" s="935">
        <f>SUM(L68:L75)</f>
        <v>5.247591890806716E-3</v>
      </c>
      <c r="M76" s="1079">
        <f>SUM(M68:M75)</f>
        <v>0.10551989118259368</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60.xml><?xml version="1.0" encoding="utf-8"?>
<worksheet xmlns="http://schemas.openxmlformats.org/spreadsheetml/2006/main" xmlns:r="http://schemas.openxmlformats.org/officeDocument/2006/relationships">
  <sheetPr>
    <pageSetUpPr fitToPage="1"/>
  </sheetPr>
  <dimension ref="A1:BC239"/>
  <sheetViews>
    <sheetView topLeftCell="B19" workbookViewId="0">
      <pane xSplit="2" ySplit="3"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6" width="14.625" style="889" customWidth="1"/>
    <col min="7" max="7" width="16.375" style="889" customWidth="1"/>
    <col min="8" max="8" width="16.75" style="889" customWidth="1"/>
    <col min="9" max="12" width="14.625" style="889" customWidth="1"/>
    <col min="13" max="13" width="17.125"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847</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870</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8">
        <v>0</v>
      </c>
      <c r="E22" s="1422">
        <v>0</v>
      </c>
      <c r="F22" s="1422">
        <v>0</v>
      </c>
      <c r="G22" s="1423">
        <v>2807.37</v>
      </c>
      <c r="H22" s="1422">
        <v>86000</v>
      </c>
      <c r="I22" s="1422">
        <v>0</v>
      </c>
      <c r="J22" s="1422">
        <v>0</v>
      </c>
      <c r="K22" s="1422">
        <v>0</v>
      </c>
      <c r="L22" s="1422">
        <v>0</v>
      </c>
      <c r="M22" s="1432">
        <f t="shared" ref="M22:M51" si="0">SUM(D22:L22)</f>
        <v>88807.37</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1422">
        <v>0</v>
      </c>
      <c r="E23" s="1423">
        <v>23669.15</v>
      </c>
      <c r="F23" s="1422">
        <v>9422.4</v>
      </c>
      <c r="G23" s="1423">
        <v>205235.4</v>
      </c>
      <c r="H23" s="1423">
        <v>933491.98</v>
      </c>
      <c r="I23" s="1422">
        <v>82038.22</v>
      </c>
      <c r="J23" s="1422">
        <v>0</v>
      </c>
      <c r="K23" s="1423">
        <v>248824.88</v>
      </c>
      <c r="L23" s="1423">
        <v>89575</v>
      </c>
      <c r="M23" s="1432">
        <f t="shared" si="0"/>
        <v>1592257.0299999998</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1422">
        <v>121</v>
      </c>
      <c r="E24" s="1422">
        <v>0</v>
      </c>
      <c r="F24" s="1422">
        <v>10188.89</v>
      </c>
      <c r="G24" s="1423">
        <v>704625.68</v>
      </c>
      <c r="H24" s="1423">
        <v>843649.79</v>
      </c>
      <c r="I24" s="1422">
        <v>94221.54</v>
      </c>
      <c r="J24" s="1422">
        <v>0</v>
      </c>
      <c r="K24" s="1423">
        <v>166646.93</v>
      </c>
      <c r="L24" s="1422">
        <v>87979</v>
      </c>
      <c r="M24" s="1432">
        <f t="shared" si="0"/>
        <v>1907432.83</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1422">
        <v>7691</v>
      </c>
      <c r="E25" s="1422">
        <v>0</v>
      </c>
      <c r="F25" s="1422">
        <v>8770.7900000000009</v>
      </c>
      <c r="G25" s="1422">
        <v>4050.49</v>
      </c>
      <c r="H25" s="1422">
        <v>0</v>
      </c>
      <c r="I25" s="1422">
        <v>0</v>
      </c>
      <c r="J25" s="1422">
        <v>0</v>
      </c>
      <c r="K25" s="1422">
        <v>0</v>
      </c>
      <c r="L25" s="1422">
        <v>0</v>
      </c>
      <c r="M25" s="1432">
        <f t="shared" si="0"/>
        <v>20512.28</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1422">
        <v>0</v>
      </c>
      <c r="E26" s="1422">
        <v>0</v>
      </c>
      <c r="F26" s="1422">
        <v>0</v>
      </c>
      <c r="G26" s="1422">
        <v>777609.97</v>
      </c>
      <c r="H26" s="1422">
        <v>46191.28</v>
      </c>
      <c r="I26" s="1422">
        <v>68317.83</v>
      </c>
      <c r="J26" s="1422">
        <v>0</v>
      </c>
      <c r="K26" s="1422">
        <v>0</v>
      </c>
      <c r="L26" s="1422">
        <v>0</v>
      </c>
      <c r="M26" s="1432">
        <f t="shared" si="0"/>
        <v>892119.08</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1422">
        <v>235000</v>
      </c>
      <c r="E27" s="1423">
        <v>1235.98</v>
      </c>
      <c r="F27" s="1422">
        <v>0</v>
      </c>
      <c r="G27" s="1422">
        <v>606753.36</v>
      </c>
      <c r="H27" s="1422">
        <v>339788.7</v>
      </c>
      <c r="I27" s="1422">
        <v>72412.679999999993</v>
      </c>
      <c r="J27" s="1422">
        <v>0</v>
      </c>
      <c r="K27" s="1422">
        <v>0</v>
      </c>
      <c r="L27" s="1422">
        <v>5584</v>
      </c>
      <c r="M27" s="1432">
        <f t="shared" si="0"/>
        <v>1260774.72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1422">
        <v>0</v>
      </c>
      <c r="E28" s="1422">
        <v>0</v>
      </c>
      <c r="F28" s="1422">
        <v>7868.15</v>
      </c>
      <c r="G28" s="1422">
        <v>0</v>
      </c>
      <c r="H28" s="1422">
        <v>55872.54</v>
      </c>
      <c r="I28" s="1422">
        <v>800.03</v>
      </c>
      <c r="J28" s="1422">
        <v>0</v>
      </c>
      <c r="K28" s="1422">
        <v>0</v>
      </c>
      <c r="L28" s="1422">
        <v>0</v>
      </c>
      <c r="M28" s="1432">
        <f t="shared" si="0"/>
        <v>64540.72</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1422">
        <v>45715</v>
      </c>
      <c r="E29" s="1422">
        <v>7500</v>
      </c>
      <c r="F29" s="1422">
        <v>0</v>
      </c>
      <c r="G29" s="1423">
        <v>117188.85</v>
      </c>
      <c r="H29" s="1423">
        <v>116685.12</v>
      </c>
      <c r="I29" s="1422">
        <v>18180.89</v>
      </c>
      <c r="J29" s="1422">
        <v>0</v>
      </c>
      <c r="K29" s="1422">
        <v>0</v>
      </c>
      <c r="L29" s="1422">
        <v>4158</v>
      </c>
      <c r="M29" s="1432">
        <f t="shared" si="0"/>
        <v>309427.86</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1422">
        <v>33446</v>
      </c>
      <c r="E30" s="1422">
        <v>27268.5</v>
      </c>
      <c r="F30" s="1422">
        <v>55416.92</v>
      </c>
      <c r="G30" s="1423">
        <v>779215.55</v>
      </c>
      <c r="H30" s="1423">
        <v>478928.77</v>
      </c>
      <c r="I30" s="1422">
        <v>64975</v>
      </c>
      <c r="J30" s="1422">
        <v>0</v>
      </c>
      <c r="K30" s="1423">
        <v>155514.84</v>
      </c>
      <c r="L30" s="1422">
        <v>49253</v>
      </c>
      <c r="M30" s="1432">
        <f t="shared" si="0"/>
        <v>1644018.5800000003</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1422">
        <v>834</v>
      </c>
      <c r="E31" s="1423">
        <v>7269.81</v>
      </c>
      <c r="F31" s="1422">
        <v>0</v>
      </c>
      <c r="G31" s="1423">
        <v>353413.51</v>
      </c>
      <c r="H31" s="1423">
        <v>426639.71</v>
      </c>
      <c r="I31" s="1422">
        <v>108889.36</v>
      </c>
      <c r="J31" s="1422">
        <v>0</v>
      </c>
      <c r="K31" s="1422">
        <v>0</v>
      </c>
      <c r="L31" s="1423">
        <v>4362</v>
      </c>
      <c r="M31" s="1432">
        <f t="shared" si="0"/>
        <v>901408.39</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1422">
        <v>0</v>
      </c>
      <c r="E32" s="1422">
        <v>0</v>
      </c>
      <c r="F32" s="1422">
        <v>0</v>
      </c>
      <c r="G32" s="1423">
        <v>45820.03</v>
      </c>
      <c r="H32" s="1422">
        <v>43162.68</v>
      </c>
      <c r="I32" s="1422">
        <v>401.03</v>
      </c>
      <c r="J32" s="1422">
        <v>0</v>
      </c>
      <c r="K32" s="1422">
        <v>0</v>
      </c>
      <c r="L32" s="1423">
        <v>2152</v>
      </c>
      <c r="M32" s="1432">
        <f t="shared" si="0"/>
        <v>91535.739999999991</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1422">
        <v>2932357</v>
      </c>
      <c r="E33" s="1422">
        <v>0</v>
      </c>
      <c r="F33" s="1422">
        <v>612647</v>
      </c>
      <c r="G33" s="1422">
        <v>881271.85</v>
      </c>
      <c r="H33" s="1422">
        <v>0</v>
      </c>
      <c r="I33" s="1422">
        <v>621.41600000000005</v>
      </c>
      <c r="J33" s="1422">
        <v>0</v>
      </c>
      <c r="K33" s="1422">
        <v>8.98</v>
      </c>
      <c r="L33" s="1422">
        <v>0</v>
      </c>
      <c r="M33" s="1432">
        <f t="shared" si="0"/>
        <v>4426906.2460000003</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1422">
        <v>0</v>
      </c>
      <c r="E34" s="1423">
        <v>9922.89</v>
      </c>
      <c r="F34" s="1422">
        <v>0</v>
      </c>
      <c r="G34" s="1422">
        <v>570.16999999999996</v>
      </c>
      <c r="H34" s="1422">
        <v>761473.8</v>
      </c>
      <c r="I34" s="1422">
        <v>83870.399999999994</v>
      </c>
      <c r="J34" s="1422">
        <v>0</v>
      </c>
      <c r="K34" s="1423">
        <v>2899.71</v>
      </c>
      <c r="L34" s="1422">
        <v>0</v>
      </c>
      <c r="M34" s="1432">
        <f t="shared" si="0"/>
        <v>858736.97000000009</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1422">
        <v>0</v>
      </c>
      <c r="E35" s="1423">
        <v>4468.82</v>
      </c>
      <c r="F35" s="1422">
        <v>0</v>
      </c>
      <c r="G35" s="1423">
        <v>22498.05</v>
      </c>
      <c r="H35" s="1422">
        <v>80073.86</v>
      </c>
      <c r="I35" s="1422">
        <v>1.669</v>
      </c>
      <c r="J35" s="1422">
        <v>0</v>
      </c>
      <c r="K35" s="1422">
        <v>0</v>
      </c>
      <c r="L35" s="1422">
        <v>0</v>
      </c>
      <c r="M35" s="1432">
        <f t="shared" si="0"/>
        <v>107042.39899999999</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1422">
        <v>50999</v>
      </c>
      <c r="E36" s="1423">
        <v>195010.4</v>
      </c>
      <c r="F36" s="1423">
        <v>172683.25</v>
      </c>
      <c r="G36" s="1423">
        <v>1190500.8700000001</v>
      </c>
      <c r="H36" s="1423">
        <v>658595.93000000005</v>
      </c>
      <c r="I36" s="1422">
        <v>280157.84000000003</v>
      </c>
      <c r="J36" s="1422">
        <v>0</v>
      </c>
      <c r="K36" s="1422">
        <v>0</v>
      </c>
      <c r="L36" s="1423">
        <v>100820</v>
      </c>
      <c r="M36" s="1432">
        <f t="shared" si="0"/>
        <v>2648767.29</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1422">
        <v>1073011</v>
      </c>
      <c r="E37" s="1423">
        <v>110234.53</v>
      </c>
      <c r="F37" s="1423">
        <v>71054.720000000001</v>
      </c>
      <c r="G37" s="1423">
        <v>3337075.04</v>
      </c>
      <c r="H37" s="1423">
        <v>3071820.82</v>
      </c>
      <c r="I37" s="1423">
        <v>693017.99</v>
      </c>
      <c r="J37" s="1422">
        <v>0</v>
      </c>
      <c r="K37" s="1423">
        <v>360174.67</v>
      </c>
      <c r="L37" s="1423">
        <v>90502</v>
      </c>
      <c r="M37" s="1432">
        <f t="shared" si="0"/>
        <v>8806890.7699999996</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1422">
        <v>158199</v>
      </c>
      <c r="E38" s="1422">
        <v>362452.93</v>
      </c>
      <c r="F38" s="1423">
        <v>90162.8</v>
      </c>
      <c r="G38" s="1423">
        <v>2140767.98</v>
      </c>
      <c r="H38" s="1423">
        <v>2606572.31</v>
      </c>
      <c r="I38" s="1423">
        <v>537789.41</v>
      </c>
      <c r="J38" s="1422">
        <v>0</v>
      </c>
      <c r="K38" s="1423">
        <v>336590.43</v>
      </c>
      <c r="L38" s="1423">
        <v>13810</v>
      </c>
      <c r="M38" s="1432">
        <f t="shared" si="0"/>
        <v>6246344.8599999994</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1422">
        <v>2366</v>
      </c>
      <c r="E39" s="1422">
        <v>2270.21</v>
      </c>
      <c r="F39" s="1422">
        <v>66.739999999999995</v>
      </c>
      <c r="G39" s="1422">
        <v>8281.27</v>
      </c>
      <c r="H39" s="1422">
        <v>17874.939999999999</v>
      </c>
      <c r="I39" s="1422">
        <v>6349.61</v>
      </c>
      <c r="J39" s="1422">
        <v>0</v>
      </c>
      <c r="K39" s="1422">
        <v>0</v>
      </c>
      <c r="L39" s="1422">
        <v>3896</v>
      </c>
      <c r="M39" s="1432">
        <f t="shared" si="0"/>
        <v>41104.769999999997</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1422">
        <v>113295</v>
      </c>
      <c r="E40" s="1422">
        <v>0</v>
      </c>
      <c r="F40" s="1422">
        <v>0</v>
      </c>
      <c r="G40" s="1422">
        <v>862656.56</v>
      </c>
      <c r="H40" s="1422">
        <v>25925.79</v>
      </c>
      <c r="I40" s="1422">
        <v>479815.27</v>
      </c>
      <c r="J40" s="1422">
        <v>0</v>
      </c>
      <c r="K40" s="1422">
        <v>0</v>
      </c>
      <c r="L40" s="1422">
        <v>0</v>
      </c>
      <c r="M40" s="1432">
        <f t="shared" si="0"/>
        <v>1481692.62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1422">
        <v>19135</v>
      </c>
      <c r="E41" s="1422">
        <v>47764.1</v>
      </c>
      <c r="F41" s="1422">
        <v>0</v>
      </c>
      <c r="G41" s="1422">
        <v>27478.62</v>
      </c>
      <c r="H41" s="1423">
        <v>394571.57</v>
      </c>
      <c r="I41" s="1422">
        <v>27042.65</v>
      </c>
      <c r="J41" s="1422">
        <v>0</v>
      </c>
      <c r="K41" s="1422">
        <v>5003.01</v>
      </c>
      <c r="L41" s="1422">
        <v>0</v>
      </c>
      <c r="M41" s="1432">
        <f t="shared" si="0"/>
        <v>520994.95000000007</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869</v>
      </c>
      <c r="C42" s="927"/>
      <c r="D42" s="1422">
        <v>527424</v>
      </c>
      <c r="E42" s="1423">
        <v>128927.44</v>
      </c>
      <c r="F42" s="1423">
        <v>53350.76</v>
      </c>
      <c r="G42" s="1423">
        <v>178340.98</v>
      </c>
      <c r="H42" s="1423">
        <v>730279.11</v>
      </c>
      <c r="I42" s="1423">
        <v>461049.65</v>
      </c>
      <c r="J42" s="1423">
        <v>1332398.29</v>
      </c>
      <c r="K42" s="1422">
        <v>0</v>
      </c>
      <c r="L42" s="1423">
        <v>797905</v>
      </c>
      <c r="M42" s="1432">
        <f t="shared" si="0"/>
        <v>4209675.2300000004</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1422">
        <v>401611</v>
      </c>
      <c r="E43" s="1422">
        <v>64366.54</v>
      </c>
      <c r="F43" s="1423">
        <v>30891.759999999998</v>
      </c>
      <c r="G43" s="1423">
        <v>895767.49</v>
      </c>
      <c r="H43" s="1423">
        <v>2899186.07</v>
      </c>
      <c r="I43" s="1423">
        <v>4522.8100000000004</v>
      </c>
      <c r="J43" s="1423">
        <v>821836.59</v>
      </c>
      <c r="K43" s="1423">
        <v>71347.839999999997</v>
      </c>
      <c r="L43" s="1423">
        <v>12987</v>
      </c>
      <c r="M43" s="1432">
        <f t="shared" si="0"/>
        <v>5202517.0999999987</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1422">
        <v>557417</v>
      </c>
      <c r="E44" s="1422">
        <v>1113.5999999999999</v>
      </c>
      <c r="F44" s="1423">
        <v>1377.28</v>
      </c>
      <c r="G44" s="1422">
        <v>128927.86</v>
      </c>
      <c r="H44" s="1422">
        <v>937495.52</v>
      </c>
      <c r="I44" s="1422">
        <v>4637.3900000000003</v>
      </c>
      <c r="J44" s="1422">
        <v>0</v>
      </c>
      <c r="K44" s="1422">
        <v>0</v>
      </c>
      <c r="L44" s="1423">
        <v>345835</v>
      </c>
      <c r="M44" s="1432">
        <f t="shared" si="0"/>
        <v>1976803.65</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1422">
        <v>24136</v>
      </c>
      <c r="E45" s="1423">
        <v>343.65</v>
      </c>
      <c r="F45" s="1422">
        <v>4.6500000000000004</v>
      </c>
      <c r="G45" s="1423">
        <v>1716469.61</v>
      </c>
      <c r="H45" s="1423">
        <v>1427916.37</v>
      </c>
      <c r="I45" s="1423">
        <v>684395.11</v>
      </c>
      <c r="J45" s="1422">
        <v>0</v>
      </c>
      <c r="K45" s="1423">
        <v>24242.52</v>
      </c>
      <c r="L45" s="1422">
        <v>273223</v>
      </c>
      <c r="M45" s="1432">
        <f t="shared" si="0"/>
        <v>4150730.91</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1422">
        <v>351940</v>
      </c>
      <c r="E46" s="1423">
        <v>23308.19</v>
      </c>
      <c r="F46" s="1423">
        <v>20776.080000000002</v>
      </c>
      <c r="G46" s="1423">
        <v>106060.28</v>
      </c>
      <c r="H46" s="1423">
        <v>273034.3</v>
      </c>
      <c r="I46" s="1422">
        <v>105199.03999999999</v>
      </c>
      <c r="J46" s="1422">
        <v>0</v>
      </c>
      <c r="K46" s="1422">
        <v>0</v>
      </c>
      <c r="L46" s="1423">
        <v>27202</v>
      </c>
      <c r="M46" s="1432">
        <f t="shared" si="0"/>
        <v>907519.89000000013</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1422">
        <v>2167</v>
      </c>
      <c r="E47" s="1423">
        <v>359.1</v>
      </c>
      <c r="F47" s="1422">
        <v>0</v>
      </c>
      <c r="G47" s="1422">
        <v>7404.5</v>
      </c>
      <c r="H47" s="1422">
        <v>353.95</v>
      </c>
      <c r="I47" s="1422">
        <v>15237.96</v>
      </c>
      <c r="J47" s="1422">
        <v>0</v>
      </c>
      <c r="K47" s="1423">
        <v>0</v>
      </c>
      <c r="L47" s="1423">
        <v>2132</v>
      </c>
      <c r="M47" s="1432">
        <f t="shared" si="0"/>
        <v>27654.510000000002</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1422">
        <v>683</v>
      </c>
      <c r="E48" s="1422">
        <v>0</v>
      </c>
      <c r="F48" s="1422">
        <v>4587.53</v>
      </c>
      <c r="G48" s="1422">
        <v>75707.59</v>
      </c>
      <c r="H48" s="1422">
        <v>15383.62</v>
      </c>
      <c r="I48" s="1422">
        <v>648.39</v>
      </c>
      <c r="J48" s="1422">
        <v>0</v>
      </c>
      <c r="K48" s="1422">
        <v>1051.6400000000001</v>
      </c>
      <c r="L48" s="1423">
        <v>4244</v>
      </c>
      <c r="M48" s="1432">
        <f t="shared" si="0"/>
        <v>102305.76999999999</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1423">
        <v>29315</v>
      </c>
      <c r="E49" s="1422">
        <v>0</v>
      </c>
      <c r="F49" s="1422">
        <v>65.05</v>
      </c>
      <c r="G49" s="1423">
        <v>64862.33</v>
      </c>
      <c r="H49" s="1422">
        <v>5589.87</v>
      </c>
      <c r="I49" s="1422">
        <v>9509.15</v>
      </c>
      <c r="J49" s="1422">
        <v>0</v>
      </c>
      <c r="K49" s="1422">
        <v>0</v>
      </c>
      <c r="L49" s="1423">
        <v>2470</v>
      </c>
      <c r="M49" s="1432">
        <f t="shared" si="0"/>
        <v>111811.4</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1422">
        <v>16281</v>
      </c>
      <c r="E50" s="1423">
        <v>55632.46</v>
      </c>
      <c r="F50" s="1423">
        <v>6397.39</v>
      </c>
      <c r="G50" s="1423">
        <v>1690717.78</v>
      </c>
      <c r="H50" s="1423">
        <v>69924.42</v>
      </c>
      <c r="I50" s="1422">
        <v>325819.83</v>
      </c>
      <c r="J50" s="1422">
        <v>279959.34999999998</v>
      </c>
      <c r="K50" s="1422">
        <v>39361.42</v>
      </c>
      <c r="L50" s="1423">
        <v>20816</v>
      </c>
      <c r="M50" s="1432">
        <f t="shared" si="0"/>
        <v>2504909.65</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1424">
        <v>1580707</v>
      </c>
      <c r="E51" s="1433">
        <v>301166.18</v>
      </c>
      <c r="F51" s="1433">
        <v>261587.6</v>
      </c>
      <c r="G51" s="1433">
        <v>2182565.1800000002</v>
      </c>
      <c r="H51" s="1433">
        <v>539421.65</v>
      </c>
      <c r="I51" s="1433">
        <v>252055.54</v>
      </c>
      <c r="J51" s="1433">
        <v>180343.39</v>
      </c>
      <c r="K51" s="1434">
        <v>31154.37</v>
      </c>
      <c r="L51" s="1433">
        <v>592877</v>
      </c>
      <c r="M51" s="1435">
        <f t="shared" si="0"/>
        <v>5921877.9100000001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1425">
        <f>SUM(D22:D51)</f>
        <v>8163850</v>
      </c>
      <c r="E52" s="1428">
        <f t="shared" ref="E52:L52" si="1">SUM(E22:E51)</f>
        <v>1374284.48</v>
      </c>
      <c r="F52" s="1428">
        <f t="shared" si="1"/>
        <v>1417319.76</v>
      </c>
      <c r="G52" s="1428">
        <f t="shared" si="1"/>
        <v>19114644.219999999</v>
      </c>
      <c r="H52" s="1428">
        <f t="shared" si="1"/>
        <v>17885904.470000003</v>
      </c>
      <c r="I52" s="1428">
        <f t="shared" si="1"/>
        <v>4481977.7050000001</v>
      </c>
      <c r="J52" s="1428">
        <f t="shared" si="1"/>
        <v>2614537.62</v>
      </c>
      <c r="K52" s="1428">
        <f t="shared" si="1"/>
        <v>1442821.24</v>
      </c>
      <c r="L52" s="1428">
        <f t="shared" si="1"/>
        <v>2531782</v>
      </c>
      <c r="M52" s="1428">
        <f>SUM(M22:M51)</f>
        <v>59027121.49499999</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1436"/>
      <c r="F53" s="1436"/>
      <c r="G53" s="1436"/>
      <c r="H53" s="1436"/>
      <c r="I53" s="1436"/>
      <c r="J53" s="1436"/>
      <c r="K53" s="1437"/>
      <c r="L53" s="1436"/>
      <c r="M53" s="1436"/>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1436"/>
      <c r="F54" s="1436"/>
      <c r="G54" s="1436"/>
      <c r="H54" s="1436"/>
      <c r="I54" s="1436"/>
      <c r="J54" s="1436"/>
      <c r="K54" s="1437"/>
      <c r="L54" s="1436"/>
      <c r="M54" s="1436"/>
      <c r="O54" s="938"/>
      <c r="P54" s="936"/>
    </row>
    <row r="55" spans="1:55" ht="16.5" thickBot="1">
      <c r="A55" s="936"/>
      <c r="B55" s="1075" t="s">
        <v>596</v>
      </c>
      <c r="C55" s="940"/>
      <c r="D55" s="929"/>
      <c r="E55" s="1438"/>
      <c r="F55" s="1438"/>
      <c r="G55" s="1438"/>
      <c r="H55" s="1438"/>
      <c r="I55" s="1438"/>
      <c r="J55" s="1438"/>
      <c r="K55" s="1439"/>
      <c r="L55" s="1438"/>
      <c r="M55" s="1438"/>
      <c r="O55" s="938"/>
      <c r="P55" s="936"/>
    </row>
    <row r="56" spans="1:55" ht="15.75">
      <c r="A56" s="936"/>
      <c r="B56" s="936" t="s">
        <v>597</v>
      </c>
      <c r="C56" s="943"/>
      <c r="D56" s="1426">
        <v>150171</v>
      </c>
      <c r="E56" s="1426">
        <v>19236.599999999999</v>
      </c>
      <c r="F56" s="1427">
        <v>1808.02</v>
      </c>
      <c r="G56" s="1427">
        <v>659451.32999999996</v>
      </c>
      <c r="H56" s="1427">
        <v>1071843.22</v>
      </c>
      <c r="I56" s="1426">
        <v>236266</v>
      </c>
      <c r="J56" s="1426">
        <v>0</v>
      </c>
      <c r="K56" s="1426">
        <v>0</v>
      </c>
      <c r="L56" s="1427">
        <v>29677</v>
      </c>
      <c r="M56" s="1440">
        <f t="shared" ref="M56:M62" si="2">SUM(D56:L56)</f>
        <v>2168453.17</v>
      </c>
      <c r="O56" s="938"/>
      <c r="P56" s="936"/>
    </row>
    <row r="57" spans="1:55" ht="15.75">
      <c r="A57" s="936"/>
      <c r="B57" s="936" t="s">
        <v>598</v>
      </c>
      <c r="C57" s="932"/>
      <c r="D57" s="1427">
        <v>519715</v>
      </c>
      <c r="E57" s="1426">
        <v>0</v>
      </c>
      <c r="F57" s="1426">
        <v>0</v>
      </c>
      <c r="G57" s="1426">
        <v>0</v>
      </c>
      <c r="H57" s="1426">
        <v>5692.13</v>
      </c>
      <c r="I57" s="1426">
        <v>15443</v>
      </c>
      <c r="J57" s="1426">
        <v>0</v>
      </c>
      <c r="K57" s="1426">
        <v>0</v>
      </c>
      <c r="L57" s="1426">
        <v>0</v>
      </c>
      <c r="M57" s="1440">
        <f t="shared" si="2"/>
        <v>540850.13</v>
      </c>
      <c r="O57" s="938"/>
      <c r="P57" s="936"/>
    </row>
    <row r="58" spans="1:55" ht="15.75">
      <c r="A58" s="936"/>
      <c r="B58" s="936" t="s">
        <v>599</v>
      </c>
      <c r="C58" s="932"/>
      <c r="D58" s="1426">
        <v>0</v>
      </c>
      <c r="E58" s="1426">
        <v>0</v>
      </c>
      <c r="F58" s="1426">
        <v>0</v>
      </c>
      <c r="G58" s="1427">
        <v>105502.98</v>
      </c>
      <c r="H58" s="1427">
        <v>68012.05</v>
      </c>
      <c r="I58" s="1426">
        <v>49619</v>
      </c>
      <c r="J58" s="1426">
        <v>0</v>
      </c>
      <c r="K58" s="1426">
        <v>0</v>
      </c>
      <c r="L58" s="1426">
        <v>0</v>
      </c>
      <c r="M58" s="1440">
        <f t="shared" si="2"/>
        <v>223134.03</v>
      </c>
      <c r="O58" s="938"/>
      <c r="P58" s="936"/>
    </row>
    <row r="59" spans="1:55" ht="15.75">
      <c r="A59" s="936"/>
      <c r="B59" s="936" t="s">
        <v>600</v>
      </c>
      <c r="C59" s="932"/>
      <c r="D59" s="1426">
        <v>344113</v>
      </c>
      <c r="E59" s="1427">
        <v>22122.73</v>
      </c>
      <c r="F59" s="1427">
        <v>38594.800000000003</v>
      </c>
      <c r="G59" s="1427">
        <v>1588533.53</v>
      </c>
      <c r="H59" s="1427">
        <v>851680.46</v>
      </c>
      <c r="I59" s="1427">
        <v>208861</v>
      </c>
      <c r="J59" s="1426">
        <v>0</v>
      </c>
      <c r="K59" s="1426">
        <v>116820.24</v>
      </c>
      <c r="L59" s="1426">
        <v>6351</v>
      </c>
      <c r="M59" s="1440">
        <f t="shared" si="2"/>
        <v>3177076.7600000002</v>
      </c>
      <c r="O59" s="938"/>
      <c r="P59" s="936"/>
    </row>
    <row r="60" spans="1:55" ht="15.75">
      <c r="A60" s="936"/>
      <c r="B60" s="936" t="s">
        <v>601</v>
      </c>
      <c r="C60" s="932"/>
      <c r="D60" s="1426">
        <v>0</v>
      </c>
      <c r="E60" s="1426">
        <v>68875.199999999997</v>
      </c>
      <c r="F60" s="1426">
        <v>0</v>
      </c>
      <c r="G60" s="1426">
        <v>0</v>
      </c>
      <c r="H60" s="1426">
        <v>452335.17</v>
      </c>
      <c r="I60" s="1426">
        <v>156203</v>
      </c>
      <c r="J60" s="1426">
        <v>0</v>
      </c>
      <c r="K60" s="1426">
        <v>0</v>
      </c>
      <c r="L60" s="1426">
        <v>0</v>
      </c>
      <c r="M60" s="1440">
        <f t="shared" si="2"/>
        <v>677413.37</v>
      </c>
      <c r="O60" s="938"/>
      <c r="P60" s="936"/>
    </row>
    <row r="61" spans="1:55" ht="15.75">
      <c r="A61" s="936"/>
      <c r="B61" s="936" t="s">
        <v>602</v>
      </c>
      <c r="C61" s="932"/>
      <c r="D61" s="1426">
        <v>0</v>
      </c>
      <c r="E61" s="1426">
        <v>0</v>
      </c>
      <c r="F61" s="1426">
        <v>0</v>
      </c>
      <c r="G61" s="1426">
        <v>0</v>
      </c>
      <c r="H61" s="1426">
        <v>0</v>
      </c>
      <c r="I61" s="1426">
        <v>26625</v>
      </c>
      <c r="J61" s="1426">
        <v>0</v>
      </c>
      <c r="K61" s="1426">
        <v>243354.43</v>
      </c>
      <c r="L61" s="1426">
        <v>0</v>
      </c>
      <c r="M61" s="1440">
        <f t="shared" si="2"/>
        <v>269979.43</v>
      </c>
      <c r="O61" s="938"/>
      <c r="P61" s="936"/>
    </row>
    <row r="62" spans="1:55" ht="16.5" thickBot="1">
      <c r="A62" s="936"/>
      <c r="B62" s="929" t="s">
        <v>603</v>
      </c>
      <c r="C62" s="946"/>
      <c r="D62" s="1424">
        <v>59011</v>
      </c>
      <c r="E62" s="1424">
        <v>0</v>
      </c>
      <c r="F62" s="1433">
        <v>30651.91</v>
      </c>
      <c r="G62" s="1433">
        <v>983587.2</v>
      </c>
      <c r="H62" s="1433">
        <v>622257.80000000005</v>
      </c>
      <c r="I62" s="1424">
        <v>0</v>
      </c>
      <c r="J62" s="1424">
        <v>0</v>
      </c>
      <c r="K62" s="1441">
        <v>0</v>
      </c>
      <c r="L62" s="1424">
        <v>54474</v>
      </c>
      <c r="M62" s="1442">
        <f t="shared" si="2"/>
        <v>1749981.91</v>
      </c>
      <c r="O62" s="938"/>
      <c r="P62" s="936"/>
    </row>
    <row r="63" spans="1:55" ht="15.75">
      <c r="A63" s="936"/>
      <c r="B63" s="1074" t="s">
        <v>0</v>
      </c>
      <c r="C63" s="1074" t="s">
        <v>604</v>
      </c>
      <c r="D63" s="1428">
        <f t="shared" ref="D63:I63" si="3">SUM(D56:D62)</f>
        <v>1073010</v>
      </c>
      <c r="E63" s="1428">
        <f t="shared" si="3"/>
        <v>110234.53</v>
      </c>
      <c r="F63" s="1428">
        <f t="shared" si="3"/>
        <v>71054.73</v>
      </c>
      <c r="G63" s="1428">
        <f t="shared" si="3"/>
        <v>3337075.04</v>
      </c>
      <c r="H63" s="1428">
        <f t="shared" si="3"/>
        <v>3071820.83</v>
      </c>
      <c r="I63" s="1428">
        <f t="shared" si="3"/>
        <v>693017</v>
      </c>
      <c r="J63" s="1426" t="s">
        <v>566</v>
      </c>
      <c r="K63" s="1428">
        <f>SUM(K56:K62)</f>
        <v>360174.67</v>
      </c>
      <c r="L63" s="1428">
        <f>SUM(L56:L62)</f>
        <v>90502</v>
      </c>
      <c r="M63" s="1443">
        <f>SUM(M56:M62)</f>
        <v>8806888.7999999989</v>
      </c>
      <c r="O63" s="938"/>
      <c r="P63" s="936"/>
    </row>
    <row r="64" spans="1:55" ht="15.75">
      <c r="A64" s="936"/>
      <c r="B64" s="1074"/>
      <c r="C64" s="907"/>
      <c r="D64" s="1429"/>
      <c r="E64" s="1444"/>
      <c r="F64" s="1444"/>
      <c r="G64" s="1444"/>
      <c r="H64" s="1444"/>
      <c r="I64" s="1444"/>
      <c r="J64" s="1429"/>
      <c r="K64" s="1445"/>
      <c r="L64" s="1444"/>
      <c r="M64" s="1446"/>
      <c r="O64" s="938"/>
      <c r="P64" s="936"/>
    </row>
    <row r="65" spans="1:16" ht="15.75">
      <c r="A65" s="936"/>
      <c r="B65" s="1074"/>
      <c r="C65" s="907"/>
      <c r="D65" s="1429"/>
      <c r="E65" s="1444"/>
      <c r="F65" s="1444"/>
      <c r="G65" s="1444"/>
      <c r="H65" s="1444"/>
      <c r="I65" s="1444"/>
      <c r="J65" s="1429"/>
      <c r="K65" s="1445"/>
      <c r="L65" s="1444"/>
      <c r="M65" s="1446"/>
      <c r="O65" s="938"/>
      <c r="P65" s="936"/>
    </row>
    <row r="66" spans="1:16" ht="15">
      <c r="A66" s="936"/>
      <c r="B66" s="936"/>
      <c r="C66" s="936"/>
      <c r="D66" s="1430"/>
      <c r="E66" s="1436"/>
      <c r="F66" s="1436"/>
      <c r="G66" s="1436"/>
      <c r="H66" s="1436"/>
      <c r="I66" s="1436"/>
      <c r="J66" s="1436"/>
      <c r="K66" s="1437"/>
      <c r="L66" s="1436"/>
      <c r="M66" s="1436"/>
      <c r="O66" s="938"/>
      <c r="P66" s="936"/>
    </row>
    <row r="67" spans="1:16" ht="16.5" thickBot="1">
      <c r="A67" s="936"/>
      <c r="B67" s="1075" t="s">
        <v>605</v>
      </c>
      <c r="C67" s="929"/>
      <c r="D67" s="1431"/>
      <c r="E67" s="1438"/>
      <c r="F67" s="1438"/>
      <c r="G67" s="1438"/>
      <c r="H67" s="1438"/>
      <c r="I67" s="1438"/>
      <c r="J67" s="1438"/>
      <c r="K67" s="1439"/>
      <c r="L67" s="1438"/>
      <c r="M67" s="1438"/>
      <c r="O67" s="938"/>
      <c r="P67" s="936"/>
    </row>
    <row r="68" spans="1:16" ht="15.75">
      <c r="A68" s="936"/>
      <c r="B68" s="936" t="s">
        <v>606</v>
      </c>
      <c r="C68" s="932"/>
      <c r="D68" s="1426">
        <v>17264</v>
      </c>
      <c r="E68" s="1427">
        <v>6014.46</v>
      </c>
      <c r="F68" s="1427">
        <v>9518.01</v>
      </c>
      <c r="G68" s="1427">
        <v>71977.56</v>
      </c>
      <c r="H68" s="1427">
        <v>83588.3</v>
      </c>
      <c r="I68" s="1427">
        <v>25837</v>
      </c>
      <c r="J68" s="1426">
        <v>0</v>
      </c>
      <c r="K68" s="1426">
        <v>0</v>
      </c>
      <c r="L68" s="1426">
        <v>0</v>
      </c>
      <c r="M68" s="1443">
        <f t="shared" ref="M68:M75" si="4">SUM(D68:L68)</f>
        <v>214199.33000000002</v>
      </c>
      <c r="O68" s="938"/>
      <c r="P68" s="936"/>
    </row>
    <row r="69" spans="1:16" ht="15.75">
      <c r="A69" s="936"/>
      <c r="B69" s="936" t="s">
        <v>599</v>
      </c>
      <c r="C69" s="932"/>
      <c r="D69" s="1426">
        <v>0</v>
      </c>
      <c r="E69" s="1426">
        <v>0</v>
      </c>
      <c r="F69" s="1426">
        <v>0</v>
      </c>
      <c r="G69" s="1426">
        <v>2584.35</v>
      </c>
      <c r="H69" s="1426">
        <v>183.73</v>
      </c>
      <c r="I69" s="1426">
        <v>5136</v>
      </c>
      <c r="J69" s="1426">
        <v>0</v>
      </c>
      <c r="K69" s="1426">
        <v>0</v>
      </c>
      <c r="L69" s="1426">
        <v>709</v>
      </c>
      <c r="M69" s="1443">
        <f t="shared" si="4"/>
        <v>8613.08</v>
      </c>
      <c r="O69" s="938"/>
      <c r="P69" s="936"/>
    </row>
    <row r="70" spans="1:16" ht="15.75">
      <c r="A70" s="936"/>
      <c r="B70" s="936" t="s">
        <v>607</v>
      </c>
      <c r="C70" s="932"/>
      <c r="D70" s="1426">
        <v>14825</v>
      </c>
      <c r="E70" s="1427">
        <v>1189.54</v>
      </c>
      <c r="F70" s="1426">
        <v>0</v>
      </c>
      <c r="G70" s="1426">
        <v>903031.35</v>
      </c>
      <c r="H70" s="1426">
        <v>1087984.8700000001</v>
      </c>
      <c r="I70" s="1426">
        <v>156207</v>
      </c>
      <c r="J70" s="1426">
        <v>0</v>
      </c>
      <c r="K70" s="1426">
        <v>154823.54999999999</v>
      </c>
      <c r="L70" s="1426">
        <v>866</v>
      </c>
      <c r="M70" s="1443">
        <f t="shared" si="4"/>
        <v>2318927.31</v>
      </c>
      <c r="O70" s="938"/>
      <c r="P70" s="936"/>
    </row>
    <row r="71" spans="1:16" ht="15.75">
      <c r="A71" s="936"/>
      <c r="B71" s="936" t="s">
        <v>600</v>
      </c>
      <c r="C71" s="932"/>
      <c r="D71" s="1426">
        <v>27971</v>
      </c>
      <c r="E71" s="1427">
        <v>5251.7</v>
      </c>
      <c r="F71" s="1427">
        <v>20676.91</v>
      </c>
      <c r="G71" s="1427">
        <v>388390.94</v>
      </c>
      <c r="H71" s="1427">
        <v>385404.21</v>
      </c>
      <c r="I71" s="1426">
        <v>179208</v>
      </c>
      <c r="J71" s="1426">
        <v>0</v>
      </c>
      <c r="K71" s="1426">
        <v>5939.93</v>
      </c>
      <c r="L71" s="1427">
        <v>6993</v>
      </c>
      <c r="M71" s="1443">
        <f t="shared" si="4"/>
        <v>1019835.6900000001</v>
      </c>
      <c r="O71" s="938"/>
      <c r="P71" s="936"/>
    </row>
    <row r="72" spans="1:16" ht="15.75">
      <c r="A72" s="936"/>
      <c r="B72" s="936" t="s">
        <v>608</v>
      </c>
      <c r="C72" s="932"/>
      <c r="D72" s="1426">
        <v>2134</v>
      </c>
      <c r="E72" s="1426">
        <v>1702.12</v>
      </c>
      <c r="F72" s="1426">
        <v>0</v>
      </c>
      <c r="G72" s="1426">
        <v>46345.11</v>
      </c>
      <c r="H72" s="1426">
        <v>19883</v>
      </c>
      <c r="I72" s="1426">
        <v>7979</v>
      </c>
      <c r="J72" s="1426">
        <v>0</v>
      </c>
      <c r="K72" s="1426">
        <v>0</v>
      </c>
      <c r="L72" s="1426">
        <v>0</v>
      </c>
      <c r="M72" s="1443">
        <f t="shared" si="4"/>
        <v>78043.23000000001</v>
      </c>
      <c r="O72" s="938"/>
      <c r="P72" s="936"/>
    </row>
    <row r="73" spans="1:16" ht="15.75">
      <c r="A73" s="936"/>
      <c r="B73" s="936" t="s">
        <v>609</v>
      </c>
      <c r="C73" s="932"/>
      <c r="D73" s="1426">
        <v>0</v>
      </c>
      <c r="E73" s="1426">
        <v>0</v>
      </c>
      <c r="F73" s="1426">
        <v>0</v>
      </c>
      <c r="G73" s="1426">
        <v>287864.90000000002</v>
      </c>
      <c r="H73" s="1426">
        <v>78463.09</v>
      </c>
      <c r="I73" s="1426">
        <v>120586</v>
      </c>
      <c r="J73" s="1426">
        <v>0</v>
      </c>
      <c r="K73" s="1426">
        <v>0.16</v>
      </c>
      <c r="L73" s="1426">
        <v>0</v>
      </c>
      <c r="M73" s="1443">
        <f t="shared" si="4"/>
        <v>486914.14999999997</v>
      </c>
      <c r="O73" s="938"/>
      <c r="P73" s="936"/>
    </row>
    <row r="74" spans="1:16" ht="15.75">
      <c r="A74" s="936"/>
      <c r="B74" s="936" t="s">
        <v>601</v>
      </c>
      <c r="C74" s="932"/>
      <c r="D74" s="1426">
        <v>0</v>
      </c>
      <c r="E74" s="1426">
        <v>0</v>
      </c>
      <c r="F74" s="1426">
        <v>0</v>
      </c>
      <c r="G74" s="1426">
        <v>0</v>
      </c>
      <c r="H74" s="1426">
        <v>218568.15</v>
      </c>
      <c r="I74" s="1426">
        <v>1905</v>
      </c>
      <c r="J74" s="1426">
        <v>0</v>
      </c>
      <c r="K74" s="1426">
        <v>18901.16</v>
      </c>
      <c r="L74" s="1426">
        <v>0</v>
      </c>
      <c r="M74" s="1443">
        <f t="shared" si="4"/>
        <v>239374.31</v>
      </c>
      <c r="O74" s="938"/>
      <c r="P74" s="936"/>
    </row>
    <row r="75" spans="1:16" ht="16.5" thickBot="1">
      <c r="A75" s="936"/>
      <c r="B75" s="929" t="s">
        <v>603</v>
      </c>
      <c r="C75" s="946"/>
      <c r="D75" s="1424">
        <v>96006</v>
      </c>
      <c r="E75" s="1433">
        <v>348295.1</v>
      </c>
      <c r="F75" s="1433">
        <v>59967.87</v>
      </c>
      <c r="G75" s="1433">
        <v>404303.78</v>
      </c>
      <c r="H75" s="1433">
        <v>732496.97</v>
      </c>
      <c r="I75" s="1424">
        <v>40930</v>
      </c>
      <c r="J75" s="1424">
        <v>0</v>
      </c>
      <c r="K75" s="1424">
        <v>156925.63</v>
      </c>
      <c r="L75" s="1433">
        <v>5242</v>
      </c>
      <c r="M75" s="1447">
        <f t="shared" si="4"/>
        <v>1844167.35</v>
      </c>
      <c r="O75" s="938"/>
      <c r="P75" s="936"/>
    </row>
    <row r="76" spans="1:16" ht="15.75">
      <c r="A76" s="936"/>
      <c r="C76" s="1074" t="s">
        <v>604</v>
      </c>
      <c r="D76" s="1428">
        <f t="shared" ref="D76:I76" si="5">SUM(D68:D75)</f>
        <v>158200</v>
      </c>
      <c r="E76" s="1428">
        <f t="shared" si="5"/>
        <v>362452.92</v>
      </c>
      <c r="F76" s="1428">
        <f t="shared" si="5"/>
        <v>90162.790000000008</v>
      </c>
      <c r="G76" s="1428">
        <f t="shared" si="5"/>
        <v>2104497.9900000002</v>
      </c>
      <c r="H76" s="1428">
        <f t="shared" si="5"/>
        <v>2606572.3200000003</v>
      </c>
      <c r="I76" s="1428">
        <f t="shared" si="5"/>
        <v>537788</v>
      </c>
      <c r="J76" s="1426" t="s">
        <v>566</v>
      </c>
      <c r="K76" s="1428">
        <f>SUM(K68:K75)</f>
        <v>336590.43</v>
      </c>
      <c r="L76" s="1428">
        <f>SUM(L68:L75)</f>
        <v>13810</v>
      </c>
      <c r="M76" s="1443">
        <f>SUM(M68:M75)</f>
        <v>6210074.4499999993</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61.xml><?xml version="1.0" encoding="utf-8"?>
<worksheet xmlns="http://schemas.openxmlformats.org/spreadsheetml/2006/main" xmlns:r="http://schemas.openxmlformats.org/officeDocument/2006/relationships">
  <sheetPr>
    <pageSetUpPr fitToPage="1"/>
  </sheetPr>
  <dimension ref="A1:BC239"/>
  <sheetViews>
    <sheetView topLeftCell="B18" workbookViewId="0">
      <pane xSplit="2" ySplit="4" topLeftCell="D22" activePane="bottomRight" state="frozen"/>
      <selection activeCell="E46" sqref="E46"/>
      <selection pane="topRight" activeCell="E46" sqref="E46"/>
      <selection pane="bottomLeft" activeCell="E46" sqref="E46"/>
      <selection pane="bottomRight" activeCell="E46" sqref="E46"/>
    </sheetView>
  </sheetViews>
  <sheetFormatPr baseColWidth="10" defaultColWidth="9" defaultRowHeight="12.75"/>
  <cols>
    <col min="1" max="2" width="18.125" style="889" customWidth="1"/>
    <col min="3" max="3" width="28.25" style="889" customWidth="1"/>
    <col min="4" max="4" width="11.75" style="889" customWidth="1"/>
    <col min="5" max="13" width="12" style="889" customWidth="1"/>
    <col min="14" max="14" width="13.625" style="889" customWidth="1"/>
    <col min="15" max="16384" width="9" style="889"/>
  </cols>
  <sheetData>
    <row r="1" spans="1:14" ht="18">
      <c r="A1" s="888"/>
      <c r="B1" s="888"/>
      <c r="C1" s="888"/>
      <c r="D1" s="888"/>
      <c r="E1" s="888"/>
      <c r="F1" s="888"/>
    </row>
    <row r="2" spans="1:14" ht="30">
      <c r="A2" s="890" t="s">
        <v>515</v>
      </c>
      <c r="B2" s="891"/>
      <c r="C2" s="892"/>
      <c r="D2" s="892"/>
      <c r="E2" s="892"/>
      <c r="F2" s="892"/>
      <c r="G2" s="893"/>
      <c r="H2" s="893"/>
      <c r="I2" s="893"/>
      <c r="J2" s="893"/>
      <c r="K2" s="893"/>
      <c r="L2" s="893"/>
      <c r="M2" s="893"/>
      <c r="N2" s="893"/>
    </row>
    <row r="3" spans="1:14" ht="30">
      <c r="A3" s="894"/>
      <c r="B3" s="891"/>
      <c r="C3" s="892"/>
      <c r="D3" s="892"/>
      <c r="E3" s="892"/>
      <c r="F3" s="892"/>
      <c r="G3" s="893"/>
      <c r="H3" s="893"/>
      <c r="I3" s="893"/>
      <c r="J3" s="893"/>
      <c r="K3" s="893"/>
      <c r="L3" s="893"/>
      <c r="M3" s="893"/>
      <c r="N3" s="893"/>
    </row>
    <row r="4" spans="1:14" ht="30">
      <c r="A4" s="890" t="s">
        <v>560</v>
      </c>
      <c r="B4" s="891"/>
      <c r="C4" s="892"/>
      <c r="D4" s="892"/>
      <c r="E4" s="892"/>
      <c r="F4" s="892"/>
      <c r="G4" s="893"/>
      <c r="H4" s="893"/>
      <c r="I4" s="893"/>
      <c r="J4" s="893"/>
      <c r="K4" s="893"/>
      <c r="L4" s="893"/>
      <c r="M4" s="893"/>
      <c r="N4" s="893"/>
    </row>
    <row r="5" spans="1:14" ht="30">
      <c r="A5" s="890"/>
      <c r="B5" s="890" t="s">
        <v>847</v>
      </c>
      <c r="C5" s="892"/>
      <c r="D5" s="892"/>
      <c r="E5" s="892"/>
      <c r="F5" s="892"/>
      <c r="G5" s="893"/>
      <c r="H5" s="893"/>
      <c r="I5" s="893"/>
      <c r="J5" s="893"/>
      <c r="K5" s="893"/>
      <c r="L5" s="893"/>
      <c r="M5" s="893"/>
      <c r="N5" s="893"/>
    </row>
    <row r="6" spans="1:14" ht="18.75" thickBot="1">
      <c r="A6" s="895"/>
      <c r="B6" s="891"/>
      <c r="C6" s="892"/>
      <c r="D6" s="892"/>
      <c r="E6" s="892"/>
      <c r="F6" s="892"/>
    </row>
    <row r="7" spans="1:14" ht="18">
      <c r="A7" s="895"/>
      <c r="D7" s="1396"/>
      <c r="E7" s="896"/>
      <c r="F7" s="896"/>
      <c r="G7" s="896"/>
      <c r="H7" s="896"/>
      <c r="I7" s="897"/>
      <c r="J7" s="897"/>
      <c r="K7" s="897"/>
      <c r="L7" s="897"/>
      <c r="M7" s="897"/>
      <c r="N7" s="898"/>
    </row>
    <row r="8" spans="1:14" ht="18">
      <c r="D8" s="1393" t="s">
        <v>549</v>
      </c>
      <c r="E8" s="899"/>
      <c r="F8" s="899"/>
      <c r="G8" s="899"/>
      <c r="H8" s="899"/>
      <c r="I8" s="900"/>
      <c r="J8" s="901"/>
      <c r="K8" s="901"/>
      <c r="L8" s="901"/>
      <c r="M8" s="901"/>
      <c r="N8" s="902"/>
    </row>
    <row r="9" spans="1:14" ht="18">
      <c r="D9" s="1394" t="s">
        <v>833</v>
      </c>
      <c r="E9" s="907"/>
      <c r="F9" s="899"/>
      <c r="G9" s="899"/>
      <c r="H9" s="899"/>
      <c r="I9" s="900"/>
      <c r="K9" s="901"/>
      <c r="N9" s="902"/>
    </row>
    <row r="10" spans="1:14" ht="18">
      <c r="D10" s="1394" t="s">
        <v>834</v>
      </c>
      <c r="E10" s="907"/>
      <c r="F10" s="899"/>
      <c r="G10" s="899"/>
      <c r="H10" s="899"/>
      <c r="I10" s="900"/>
      <c r="K10" s="901"/>
      <c r="N10" s="902"/>
    </row>
    <row r="11" spans="1:14" ht="18">
      <c r="D11" s="1394" t="s">
        <v>835</v>
      </c>
      <c r="E11" s="907"/>
      <c r="F11" s="899"/>
      <c r="G11" s="899"/>
      <c r="H11" s="899"/>
      <c r="I11" s="900"/>
      <c r="K11" s="901"/>
      <c r="N11" s="902"/>
    </row>
    <row r="12" spans="1:14" ht="9.75" customHeight="1">
      <c r="D12" s="1394" t="s">
        <v>0</v>
      </c>
      <c r="E12" s="907"/>
      <c r="F12" s="899"/>
      <c r="G12" s="899"/>
      <c r="H12" s="899"/>
      <c r="I12" s="900"/>
      <c r="K12" s="901"/>
      <c r="N12" s="902"/>
    </row>
    <row r="13" spans="1:14" ht="18">
      <c r="D13" s="1394" t="s">
        <v>836</v>
      </c>
      <c r="E13" s="907"/>
      <c r="F13" s="899"/>
      <c r="G13" s="899"/>
      <c r="H13" s="899"/>
      <c r="I13" s="900"/>
      <c r="K13" s="901"/>
      <c r="N13" s="902"/>
    </row>
    <row r="14" spans="1:14" ht="18">
      <c r="D14" s="1394" t="s">
        <v>837</v>
      </c>
      <c r="E14" s="899"/>
      <c r="F14" s="899"/>
      <c r="G14" s="899"/>
      <c r="H14" s="900"/>
      <c r="J14" s="901"/>
      <c r="M14" s="902"/>
      <c r="N14" s="985"/>
    </row>
    <row r="15" spans="1:14" ht="18.75" thickBot="1">
      <c r="D15" s="1395"/>
      <c r="E15" s="903"/>
      <c r="F15" s="903"/>
      <c r="G15" s="903"/>
      <c r="H15" s="904"/>
      <c r="I15" s="905"/>
      <c r="J15" s="905"/>
      <c r="K15" s="905"/>
      <c r="L15" s="905"/>
      <c r="M15" s="905"/>
      <c r="N15" s="906"/>
    </row>
    <row r="16" spans="1:14" ht="15">
      <c r="B16" s="907"/>
      <c r="D16" s="899"/>
      <c r="E16" s="899"/>
      <c r="F16" s="899"/>
    </row>
    <row r="17" spans="1:55" ht="15">
      <c r="B17" s="907"/>
      <c r="C17" s="907"/>
      <c r="D17" s="899"/>
      <c r="E17" s="899"/>
      <c r="F17" s="899"/>
    </row>
    <row r="18" spans="1:55" ht="18">
      <c r="A18" s="891" t="s">
        <v>0</v>
      </c>
      <c r="B18" s="891"/>
      <c r="C18" s="900"/>
      <c r="D18" s="900"/>
      <c r="E18" s="900"/>
      <c r="F18" s="900"/>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901"/>
      <c r="AF18" s="901"/>
      <c r="AG18" s="901"/>
      <c r="AH18" s="901"/>
      <c r="AI18" s="901"/>
      <c r="AJ18" s="901"/>
      <c r="AK18" s="901"/>
      <c r="AL18" s="901"/>
      <c r="AM18" s="901"/>
      <c r="AN18" s="901"/>
      <c r="AO18" s="901"/>
      <c r="AP18" s="901"/>
      <c r="AQ18" s="901"/>
      <c r="AR18" s="901"/>
      <c r="AS18" s="901"/>
      <c r="AT18" s="901"/>
      <c r="AU18" s="901"/>
      <c r="AV18" s="901"/>
      <c r="AW18" s="901"/>
      <c r="AX18" s="901"/>
      <c r="AY18" s="901"/>
      <c r="AZ18" s="901"/>
      <c r="BA18" s="901"/>
      <c r="BB18" s="901"/>
      <c r="BC18" s="901"/>
    </row>
    <row r="19" spans="1:55" ht="18">
      <c r="A19" s="908" t="s">
        <v>561</v>
      </c>
      <c r="B19" s="888"/>
      <c r="C19" s="909"/>
      <c r="D19" s="909"/>
      <c r="E19" s="909"/>
      <c r="F19" s="909"/>
      <c r="G19" s="901"/>
      <c r="H19" s="901" t="s">
        <v>0</v>
      </c>
      <c r="I19" s="901"/>
      <c r="J19" s="901" t="s">
        <v>0</v>
      </c>
      <c r="K19" s="901"/>
      <c r="L19" s="901"/>
      <c r="M19" s="901"/>
      <c r="N19" s="901"/>
      <c r="O19" s="901"/>
      <c r="P19" s="901"/>
      <c r="Q19" s="901"/>
      <c r="R19" s="901"/>
      <c r="S19" s="901"/>
      <c r="T19" s="901"/>
      <c r="U19" s="901"/>
      <c r="V19" s="901"/>
      <c r="W19" s="901"/>
      <c r="X19" s="901"/>
      <c r="Y19" s="901"/>
      <c r="Z19" s="901"/>
      <c r="AA19" s="901"/>
      <c r="AB19" s="901"/>
      <c r="AC19" s="901"/>
      <c r="AD19" s="901"/>
      <c r="AE19" s="901"/>
      <c r="AF19" s="901"/>
      <c r="AG19" s="901"/>
      <c r="AH19" s="901"/>
      <c r="AI19" s="901"/>
      <c r="AJ19" s="901"/>
      <c r="AK19" s="901"/>
      <c r="AL19" s="901"/>
      <c r="AM19" s="901"/>
      <c r="AN19" s="901"/>
      <c r="AO19" s="901"/>
      <c r="AP19" s="901"/>
      <c r="AQ19" s="901"/>
      <c r="AR19" s="901"/>
      <c r="AS19" s="901"/>
      <c r="AT19" s="901"/>
      <c r="AU19" s="901"/>
      <c r="AV19" s="901"/>
      <c r="AW19" s="901"/>
      <c r="AX19" s="901"/>
      <c r="AY19" s="901"/>
      <c r="AZ19" s="901"/>
      <c r="BA19" s="901"/>
      <c r="BB19" s="901"/>
      <c r="BC19" s="901"/>
    </row>
    <row r="20" spans="1:55" ht="18">
      <c r="A20" s="891"/>
      <c r="B20" s="888"/>
      <c r="C20" s="909"/>
      <c r="D20" s="909"/>
      <c r="E20" s="909"/>
      <c r="F20" s="909"/>
      <c r="G20" s="901"/>
      <c r="H20" s="901"/>
      <c r="I20" s="901"/>
      <c r="J20" s="901"/>
      <c r="K20" s="901"/>
      <c r="L20" s="901"/>
      <c r="M20" s="901"/>
      <c r="N20" s="901"/>
      <c r="O20" s="901"/>
      <c r="P20" s="901"/>
      <c r="Q20" s="901"/>
      <c r="R20" s="901"/>
      <c r="S20" s="901"/>
      <c r="T20" s="901"/>
      <c r="U20" s="901"/>
      <c r="V20" s="901"/>
      <c r="W20" s="901"/>
      <c r="X20" s="901"/>
      <c r="Y20" s="901"/>
      <c r="Z20" s="901"/>
      <c r="AA20" s="901"/>
      <c r="AB20" s="901"/>
      <c r="AC20" s="901"/>
      <c r="AD20" s="901"/>
      <c r="AE20" s="901"/>
      <c r="AF20" s="901"/>
      <c r="AG20" s="901"/>
      <c r="AH20" s="901"/>
      <c r="AI20" s="901"/>
      <c r="AJ20" s="901"/>
      <c r="AK20" s="901"/>
      <c r="AL20" s="901"/>
      <c r="AM20" s="901"/>
      <c r="AN20" s="901"/>
      <c r="AO20" s="901"/>
      <c r="AP20" s="901"/>
      <c r="AQ20" s="901"/>
      <c r="AR20" s="901"/>
      <c r="AS20" s="901"/>
      <c r="AT20" s="901"/>
      <c r="AU20" s="901"/>
      <c r="AV20" s="901"/>
      <c r="AW20" s="901"/>
      <c r="AX20" s="901"/>
      <c r="AY20" s="901"/>
      <c r="AZ20" s="901"/>
      <c r="BA20" s="901"/>
      <c r="BB20" s="901"/>
      <c r="BC20" s="901"/>
    </row>
    <row r="21" spans="1:55" ht="16.5" thickBot="1">
      <c r="A21" s="910" t="s">
        <v>562</v>
      </c>
      <c r="B21" s="911" t="s">
        <v>563</v>
      </c>
      <c r="C21" s="912"/>
      <c r="D21" s="913" t="s">
        <v>59</v>
      </c>
      <c r="E21" s="913" t="s">
        <v>60</v>
      </c>
      <c r="F21" s="913" t="s">
        <v>61</v>
      </c>
      <c r="G21" s="1208" t="s">
        <v>64</v>
      </c>
      <c r="H21" s="913" t="s">
        <v>65</v>
      </c>
      <c r="I21" s="913" t="s">
        <v>66</v>
      </c>
      <c r="J21" s="913" t="s">
        <v>564</v>
      </c>
      <c r="K21" s="913" t="s">
        <v>68</v>
      </c>
      <c r="L21" s="913" t="s">
        <v>69</v>
      </c>
      <c r="M21" s="911" t="s">
        <v>621</v>
      </c>
      <c r="O21" s="907"/>
      <c r="P21" s="901"/>
      <c r="Q21" s="901"/>
      <c r="R21" s="901"/>
      <c r="S21" s="901"/>
      <c r="T21" s="901"/>
      <c r="U21" s="901"/>
      <c r="V21" s="901"/>
      <c r="W21" s="901"/>
      <c r="X21" s="901"/>
      <c r="Y21" s="901"/>
      <c r="Z21" s="901"/>
      <c r="AA21" s="901"/>
      <c r="AB21" s="901"/>
      <c r="AC21" s="901"/>
      <c r="AD21" s="901"/>
      <c r="AE21" s="901"/>
      <c r="AF21" s="901"/>
      <c r="AG21" s="901"/>
      <c r="AH21" s="901"/>
      <c r="AI21" s="901"/>
      <c r="AJ21" s="901"/>
      <c r="AK21" s="901"/>
      <c r="AL21" s="901"/>
      <c r="AM21" s="901"/>
      <c r="AN21" s="901"/>
      <c r="AO21" s="901"/>
      <c r="AP21" s="901"/>
      <c r="AQ21" s="901"/>
      <c r="AR21" s="901"/>
      <c r="AS21" s="901"/>
      <c r="AT21" s="901"/>
      <c r="AU21" s="901"/>
      <c r="AV21" s="901"/>
      <c r="AW21" s="901"/>
      <c r="AX21" s="901"/>
      <c r="AY21" s="901"/>
      <c r="AZ21" s="901"/>
      <c r="BA21" s="901"/>
      <c r="BB21" s="901"/>
      <c r="BC21" s="901"/>
    </row>
    <row r="22" spans="1:55" ht="15.75">
      <c r="A22" s="914">
        <v>100</v>
      </c>
      <c r="B22" s="915" t="s">
        <v>565</v>
      </c>
      <c r="C22" s="916"/>
      <c r="D22" s="917" t="s">
        <v>566</v>
      </c>
      <c r="E22" s="917" t="s">
        <v>566</v>
      </c>
      <c r="F22" s="917" t="s">
        <v>566</v>
      </c>
      <c r="G22" s="967">
        <v>1E-4</v>
      </c>
      <c r="H22" s="917">
        <v>4.7999999999999996E-3</v>
      </c>
      <c r="I22" s="917" t="s">
        <v>566</v>
      </c>
      <c r="J22" s="917" t="s">
        <v>566</v>
      </c>
      <c r="K22" s="917" t="s">
        <v>566</v>
      </c>
      <c r="L22" s="917" t="s">
        <v>566</v>
      </c>
      <c r="M22" s="1071">
        <v>1.5E-3</v>
      </c>
      <c r="O22" s="919"/>
      <c r="P22" s="907"/>
      <c r="Q22" s="901"/>
      <c r="R22" s="901"/>
      <c r="S22" s="901"/>
      <c r="T22" s="901"/>
      <c r="U22" s="901"/>
      <c r="V22" s="901"/>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row>
    <row r="23" spans="1:55" ht="15.75">
      <c r="A23" s="914">
        <v>200</v>
      </c>
      <c r="B23" s="915" t="s">
        <v>567</v>
      </c>
      <c r="C23" s="916"/>
      <c r="D23" s="917" t="s">
        <v>566</v>
      </c>
      <c r="E23" s="967">
        <v>1.72E-2</v>
      </c>
      <c r="F23" s="917">
        <v>6.6E-3</v>
      </c>
      <c r="G23" s="967">
        <v>1.06E-2</v>
      </c>
      <c r="H23" s="967">
        <v>5.2200000000000003E-2</v>
      </c>
      <c r="I23" s="917">
        <v>1.83E-2</v>
      </c>
      <c r="J23" s="917" t="s">
        <v>566</v>
      </c>
      <c r="K23" s="967">
        <v>0.17249999999999999</v>
      </c>
      <c r="L23" s="967">
        <v>3.5400000000000001E-2</v>
      </c>
      <c r="M23" s="1071">
        <v>2.69E-2</v>
      </c>
      <c r="O23" s="919"/>
      <c r="P23" s="907"/>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row>
    <row r="24" spans="1:55" ht="15.75">
      <c r="A24" s="914">
        <v>210</v>
      </c>
      <c r="B24" s="915" t="s">
        <v>568</v>
      </c>
      <c r="C24" s="920"/>
      <c r="D24" s="917" t="s">
        <v>566</v>
      </c>
      <c r="E24" s="917" t="s">
        <v>566</v>
      </c>
      <c r="F24" s="917">
        <v>7.1999999999999998E-3</v>
      </c>
      <c r="G24" s="967">
        <v>3.6499999999999998E-2</v>
      </c>
      <c r="H24" s="967">
        <v>4.7199999999999999E-2</v>
      </c>
      <c r="I24" s="917">
        <v>2.1000000000000001E-2</v>
      </c>
      <c r="J24" s="917" t="s">
        <v>566</v>
      </c>
      <c r="K24" s="967">
        <v>0.11550000000000001</v>
      </c>
      <c r="L24" s="917">
        <v>3.4700000000000002E-2</v>
      </c>
      <c r="M24" s="1071">
        <v>3.2199999999999999E-2</v>
      </c>
      <c r="O24" s="919"/>
      <c r="P24" s="907"/>
      <c r="Q24" s="921"/>
      <c r="R24" s="92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row>
    <row r="25" spans="1:55" ht="15.75">
      <c r="A25" s="914">
        <v>220</v>
      </c>
      <c r="B25" s="915" t="s">
        <v>569</v>
      </c>
      <c r="C25" s="920"/>
      <c r="D25" s="917">
        <v>8.9999999999999998E-4</v>
      </c>
      <c r="E25" s="917" t="s">
        <v>566</v>
      </c>
      <c r="F25" s="917">
        <v>6.1999999999999998E-3</v>
      </c>
      <c r="G25" s="917">
        <v>2.0000000000000001E-4</v>
      </c>
      <c r="H25" s="917" t="s">
        <v>566</v>
      </c>
      <c r="I25" s="917" t="s">
        <v>566</v>
      </c>
      <c r="J25" s="917" t="s">
        <v>566</v>
      </c>
      <c r="K25" s="917" t="s">
        <v>566</v>
      </c>
      <c r="L25" s="917" t="s">
        <v>566</v>
      </c>
      <c r="M25" s="1071">
        <v>2.9999999999999997E-4</v>
      </c>
      <c r="O25" s="919"/>
      <c r="P25" s="907"/>
      <c r="Q25" s="921"/>
      <c r="R25" s="921"/>
      <c r="S25" s="901"/>
      <c r="T25" s="901"/>
      <c r="U25" s="901"/>
      <c r="V25" s="901"/>
      <c r="W25" s="901"/>
      <c r="X25" s="901"/>
      <c r="Y25" s="901"/>
      <c r="Z25" s="901"/>
      <c r="AA25" s="901"/>
      <c r="AB25" s="901"/>
      <c r="AC25" s="901"/>
      <c r="AD25" s="901"/>
      <c r="AE25" s="901"/>
      <c r="AF25" s="901"/>
      <c r="AG25" s="901"/>
      <c r="AH25" s="901"/>
      <c r="AI25" s="901"/>
      <c r="AJ25" s="901"/>
      <c r="AK25" s="901"/>
      <c r="AL25" s="901"/>
      <c r="AM25" s="901"/>
      <c r="AN25" s="901"/>
      <c r="AO25" s="901"/>
      <c r="AP25" s="901"/>
      <c r="AQ25" s="901"/>
      <c r="AR25" s="901"/>
      <c r="AS25" s="901"/>
      <c r="AT25" s="901"/>
      <c r="AU25" s="901"/>
      <c r="AV25" s="901"/>
      <c r="AW25" s="901"/>
      <c r="AX25" s="901"/>
      <c r="AY25" s="901"/>
      <c r="AZ25" s="901"/>
      <c r="BA25" s="901"/>
      <c r="BB25" s="901"/>
      <c r="BC25" s="901"/>
    </row>
    <row r="26" spans="1:55" ht="15.75">
      <c r="A26" s="914">
        <v>230</v>
      </c>
      <c r="B26" s="915" t="s">
        <v>570</v>
      </c>
      <c r="C26" s="920"/>
      <c r="D26" s="917" t="s">
        <v>566</v>
      </c>
      <c r="E26" s="917" t="s">
        <v>566</v>
      </c>
      <c r="F26" s="917" t="s">
        <v>566</v>
      </c>
      <c r="G26" s="917">
        <v>4.0300000000000002E-2</v>
      </c>
      <c r="H26" s="917">
        <v>2.5999999999999999E-3</v>
      </c>
      <c r="I26" s="917">
        <v>1.52E-2</v>
      </c>
      <c r="J26" s="917" t="s">
        <v>566</v>
      </c>
      <c r="K26" s="917" t="s">
        <v>566</v>
      </c>
      <c r="L26" s="917" t="s">
        <v>566</v>
      </c>
      <c r="M26" s="1071">
        <v>1.5100000000000001E-2</v>
      </c>
      <c r="O26" s="919"/>
      <c r="P26" s="907"/>
      <c r="Q26" s="921"/>
      <c r="R26" s="921"/>
      <c r="S26" s="901"/>
      <c r="T26" s="901"/>
      <c r="U26" s="901"/>
      <c r="V26" s="901"/>
      <c r="W26" s="901"/>
      <c r="X26" s="901"/>
      <c r="Y26" s="901"/>
      <c r="Z26" s="901"/>
      <c r="AA26" s="901"/>
      <c r="AB26" s="901"/>
      <c r="AC26" s="901"/>
      <c r="AD26" s="901"/>
      <c r="AE26" s="901"/>
      <c r="AF26" s="901"/>
      <c r="AG26" s="901"/>
      <c r="AH26" s="901"/>
      <c r="AI26" s="901"/>
      <c r="AJ26" s="901"/>
      <c r="AK26" s="901"/>
      <c r="AL26" s="901"/>
      <c r="AM26" s="901"/>
      <c r="AN26" s="901"/>
      <c r="AO26" s="901"/>
      <c r="AP26" s="901"/>
      <c r="AQ26" s="901"/>
      <c r="AR26" s="901"/>
      <c r="AS26" s="901"/>
      <c r="AT26" s="901"/>
      <c r="AU26" s="901"/>
      <c r="AV26" s="901"/>
      <c r="AW26" s="901"/>
      <c r="AX26" s="901"/>
      <c r="AY26" s="901"/>
      <c r="AZ26" s="901"/>
      <c r="BA26" s="901"/>
      <c r="BB26" s="901"/>
      <c r="BC26" s="901"/>
    </row>
    <row r="27" spans="1:55" ht="15.75">
      <c r="A27" s="914">
        <v>240</v>
      </c>
      <c r="B27" s="915" t="s">
        <v>571</v>
      </c>
      <c r="C27" s="920"/>
      <c r="D27" s="917">
        <v>2.8799999999999999E-2</v>
      </c>
      <c r="E27" s="967">
        <v>8.9999999999999998E-4</v>
      </c>
      <c r="F27" s="917" t="s">
        <v>566</v>
      </c>
      <c r="G27" s="917">
        <v>3.1399999999999997E-2</v>
      </c>
      <c r="H27" s="917">
        <v>1.9E-2</v>
      </c>
      <c r="I27" s="917">
        <v>1.6199999999999999E-2</v>
      </c>
      <c r="J27" s="917" t="s">
        <v>566</v>
      </c>
      <c r="K27" s="917" t="s">
        <v>566</v>
      </c>
      <c r="L27" s="917">
        <v>2.2000000000000001E-3</v>
      </c>
      <c r="M27" s="1072">
        <v>2.1299999999999999E-2</v>
      </c>
      <c r="O27" s="919"/>
      <c r="P27" s="907"/>
      <c r="Q27" s="921"/>
      <c r="R27" s="92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row>
    <row r="28" spans="1:55" ht="15.75">
      <c r="A28" s="914">
        <v>250</v>
      </c>
      <c r="B28" s="915" t="s">
        <v>572</v>
      </c>
      <c r="C28" s="920"/>
      <c r="D28" s="917" t="s">
        <v>566</v>
      </c>
      <c r="E28" s="917" t="s">
        <v>566</v>
      </c>
      <c r="F28" s="917">
        <v>5.5999999999999999E-3</v>
      </c>
      <c r="G28" s="917" t="s">
        <v>566</v>
      </c>
      <c r="H28" s="917">
        <v>3.0999999999999999E-3</v>
      </c>
      <c r="I28" s="917">
        <v>2.0000000000000001E-4</v>
      </c>
      <c r="J28" s="917" t="s">
        <v>566</v>
      </c>
      <c r="K28" s="917" t="s">
        <v>566</v>
      </c>
      <c r="L28" s="918" t="s">
        <v>566</v>
      </c>
      <c r="M28" s="1071">
        <v>1.1000000000000001E-3</v>
      </c>
      <c r="O28" s="919"/>
      <c r="P28" s="907"/>
      <c r="Q28" s="921"/>
      <c r="R28" s="921"/>
      <c r="S28" s="901"/>
      <c r="T28" s="901"/>
      <c r="U28" s="901"/>
      <c r="V28" s="901"/>
      <c r="W28" s="901"/>
      <c r="X28" s="901"/>
      <c r="Y28" s="901"/>
      <c r="Z28" s="901"/>
      <c r="AA28" s="901"/>
      <c r="AB28" s="901"/>
      <c r="AC28" s="901"/>
      <c r="AD28" s="901"/>
      <c r="AE28" s="901"/>
      <c r="AF28" s="901"/>
      <c r="AG28" s="901"/>
      <c r="AH28" s="901"/>
      <c r="AI28" s="901"/>
      <c r="AJ28" s="901"/>
      <c r="AK28" s="901"/>
      <c r="AL28" s="901"/>
      <c r="AM28" s="901"/>
      <c r="AN28" s="901"/>
      <c r="AO28" s="901"/>
      <c r="AP28" s="901"/>
      <c r="AQ28" s="901"/>
      <c r="AR28" s="901"/>
      <c r="AS28" s="901"/>
      <c r="AT28" s="901"/>
      <c r="AU28" s="901"/>
      <c r="AV28" s="901"/>
      <c r="AW28" s="901"/>
      <c r="AX28" s="901"/>
      <c r="AY28" s="901"/>
      <c r="AZ28" s="901"/>
      <c r="BA28" s="901"/>
      <c r="BB28" s="901"/>
      <c r="BC28" s="901"/>
    </row>
    <row r="29" spans="1:55" ht="15.75">
      <c r="A29" s="914">
        <v>260</v>
      </c>
      <c r="B29" s="915" t="s">
        <v>573</v>
      </c>
      <c r="C29" s="920"/>
      <c r="D29" s="917">
        <v>5.5999999999999999E-3</v>
      </c>
      <c r="E29" s="917">
        <v>5.4999999999999997E-3</v>
      </c>
      <c r="F29" s="917" t="s">
        <v>566</v>
      </c>
      <c r="G29" s="967">
        <v>6.1000000000000004E-3</v>
      </c>
      <c r="H29" s="967">
        <v>6.4999999999999997E-3</v>
      </c>
      <c r="I29" s="917">
        <v>4.1000000000000003E-3</v>
      </c>
      <c r="J29" s="917" t="s">
        <v>566</v>
      </c>
      <c r="K29" s="917" t="s">
        <v>566</v>
      </c>
      <c r="L29" s="917">
        <v>1.6000000000000001E-3</v>
      </c>
      <c r="M29" s="1071">
        <v>5.1999999999999998E-3</v>
      </c>
      <c r="O29" s="919"/>
      <c r="P29" s="907"/>
      <c r="Q29" s="921"/>
      <c r="R29" s="921"/>
      <c r="S29" s="901"/>
      <c r="T29" s="901"/>
      <c r="U29" s="901"/>
      <c r="V29" s="901"/>
      <c r="W29" s="901"/>
      <c r="X29" s="901"/>
      <c r="Y29" s="901"/>
      <c r="Z29" s="901"/>
      <c r="AA29" s="901"/>
      <c r="AB29" s="901"/>
      <c r="AC29" s="901"/>
      <c r="AD29" s="901"/>
      <c r="AE29" s="901"/>
      <c r="AF29" s="901"/>
      <c r="AG29" s="901"/>
      <c r="AH29" s="901"/>
      <c r="AI29" s="901"/>
      <c r="AJ29" s="901"/>
      <c r="AK29" s="901"/>
      <c r="AL29" s="901"/>
      <c r="AM29" s="901"/>
      <c r="AN29" s="901"/>
      <c r="AO29" s="901"/>
      <c r="AP29" s="901"/>
      <c r="AQ29" s="901"/>
      <c r="AR29" s="901"/>
      <c r="AS29" s="901"/>
      <c r="AT29" s="901"/>
      <c r="AU29" s="901"/>
      <c r="AV29" s="901"/>
      <c r="AW29" s="901"/>
      <c r="AX29" s="901"/>
      <c r="AY29" s="901"/>
      <c r="AZ29" s="901"/>
      <c r="BA29" s="901"/>
      <c r="BB29" s="901"/>
      <c r="BC29" s="901"/>
    </row>
    <row r="30" spans="1:55" ht="15.75">
      <c r="A30" s="914">
        <v>270</v>
      </c>
      <c r="B30" s="915" t="s">
        <v>574</v>
      </c>
      <c r="C30" s="920"/>
      <c r="D30" s="917">
        <v>4.1000000000000003E-3</v>
      </c>
      <c r="E30" s="917">
        <v>1.9800000000000002E-2</v>
      </c>
      <c r="F30" s="917">
        <v>3.9100000000000003E-2</v>
      </c>
      <c r="G30" s="967">
        <v>4.0300000000000002E-2</v>
      </c>
      <c r="H30" s="967">
        <v>2.6800000000000001E-2</v>
      </c>
      <c r="I30" s="917">
        <v>1.4500000000000001E-2</v>
      </c>
      <c r="J30" s="917" t="s">
        <v>566</v>
      </c>
      <c r="K30" s="967">
        <v>0.10780000000000001</v>
      </c>
      <c r="L30" s="917">
        <v>1.95E-2</v>
      </c>
      <c r="M30" s="1071">
        <v>2.7799999999999998E-2</v>
      </c>
      <c r="O30" s="919"/>
      <c r="P30" s="907"/>
      <c r="Q30" s="921"/>
      <c r="R30" s="921"/>
      <c r="S30" s="901"/>
      <c r="T30" s="901"/>
      <c r="U30" s="901"/>
      <c r="V30" s="901"/>
      <c r="W30" s="901"/>
      <c r="X30" s="901"/>
      <c r="Y30" s="901"/>
      <c r="Z30" s="901"/>
      <c r="AA30" s="901"/>
      <c r="AB30" s="901"/>
      <c r="AC30" s="901"/>
      <c r="AD30" s="901"/>
      <c r="AE30" s="901"/>
      <c r="AF30" s="901"/>
      <c r="AG30" s="901"/>
      <c r="AH30" s="901"/>
      <c r="AI30" s="901"/>
      <c r="AJ30" s="901"/>
      <c r="AK30" s="901"/>
      <c r="AL30" s="901"/>
      <c r="AM30" s="901"/>
      <c r="AN30" s="901"/>
      <c r="AO30" s="901"/>
      <c r="AP30" s="901"/>
      <c r="AQ30" s="901"/>
      <c r="AR30" s="901"/>
      <c r="AS30" s="901"/>
      <c r="AT30" s="901"/>
      <c r="AU30" s="901"/>
      <c r="AV30" s="901"/>
      <c r="AW30" s="901"/>
      <c r="AX30" s="901"/>
      <c r="AY30" s="901"/>
      <c r="AZ30" s="901"/>
      <c r="BA30" s="901"/>
      <c r="BB30" s="901"/>
      <c r="BC30" s="901"/>
    </row>
    <row r="31" spans="1:55" ht="15.75">
      <c r="A31" s="914">
        <v>280</v>
      </c>
      <c r="B31" s="915" t="s">
        <v>575</v>
      </c>
      <c r="C31" s="920"/>
      <c r="D31" s="917">
        <v>1E-4</v>
      </c>
      <c r="E31" s="967">
        <v>5.3E-3</v>
      </c>
      <c r="F31" s="917" t="s">
        <v>566</v>
      </c>
      <c r="G31" s="967">
        <v>1.83E-2</v>
      </c>
      <c r="H31" s="967">
        <v>2.3900000000000001E-2</v>
      </c>
      <c r="I31" s="917">
        <v>2.4299999999999999E-2</v>
      </c>
      <c r="J31" s="917" t="s">
        <v>566</v>
      </c>
      <c r="K31" s="917" t="s">
        <v>566</v>
      </c>
      <c r="L31" s="967">
        <v>1.6999999999999999E-3</v>
      </c>
      <c r="M31" s="1071">
        <v>1.52E-2</v>
      </c>
      <c r="O31" s="919"/>
      <c r="P31" s="907"/>
      <c r="Q31" s="921"/>
      <c r="R31" s="921"/>
      <c r="S31" s="901"/>
      <c r="T31" s="901"/>
      <c r="U31" s="901"/>
      <c r="V31" s="901"/>
      <c r="W31" s="901"/>
      <c r="X31" s="901"/>
      <c r="Y31" s="901"/>
      <c r="Z31" s="901"/>
      <c r="AA31" s="901"/>
      <c r="AB31" s="901"/>
      <c r="AC31" s="901"/>
      <c r="AD31" s="901"/>
      <c r="AE31" s="901"/>
      <c r="AF31" s="901"/>
      <c r="AG31" s="901"/>
      <c r="AH31" s="901"/>
      <c r="AI31" s="901"/>
      <c r="AJ31" s="901"/>
      <c r="AK31" s="901"/>
      <c r="AL31" s="901"/>
      <c r="AM31" s="901"/>
      <c r="AN31" s="901"/>
      <c r="AO31" s="901"/>
      <c r="AP31" s="901"/>
      <c r="AQ31" s="901"/>
      <c r="AR31" s="901"/>
      <c r="AS31" s="901"/>
      <c r="AT31" s="901"/>
      <c r="AU31" s="901"/>
      <c r="AV31" s="901"/>
      <c r="AW31" s="901"/>
      <c r="AX31" s="901"/>
      <c r="AY31" s="901"/>
      <c r="AZ31" s="901"/>
      <c r="BA31" s="901"/>
      <c r="BB31" s="901"/>
      <c r="BC31" s="901"/>
    </row>
    <row r="32" spans="1:55" ht="15.75">
      <c r="A32" s="914">
        <v>290</v>
      </c>
      <c r="B32" s="915" t="s">
        <v>576</v>
      </c>
      <c r="C32" s="920"/>
      <c r="D32" s="917" t="s">
        <v>566</v>
      </c>
      <c r="E32" s="917" t="s">
        <v>566</v>
      </c>
      <c r="F32" s="917" t="s">
        <v>566</v>
      </c>
      <c r="G32" s="967">
        <v>2.3999999999999998E-3</v>
      </c>
      <c r="H32" s="917">
        <v>2.3999999999999998E-3</v>
      </c>
      <c r="I32" s="917">
        <v>1E-4</v>
      </c>
      <c r="J32" s="917" t="s">
        <v>566</v>
      </c>
      <c r="K32" s="917" t="s">
        <v>566</v>
      </c>
      <c r="L32" s="967">
        <v>8.0000000000000004E-4</v>
      </c>
      <c r="M32" s="1071">
        <v>1.5E-3</v>
      </c>
      <c r="O32" s="919"/>
      <c r="P32" s="907"/>
      <c r="Q32" s="921"/>
      <c r="R32" s="921"/>
      <c r="S32" s="901"/>
      <c r="T32" s="901"/>
      <c r="U32" s="901"/>
      <c r="V32" s="901"/>
      <c r="W32" s="901"/>
      <c r="X32" s="901"/>
      <c r="Y32" s="901"/>
      <c r="Z32" s="901"/>
      <c r="AA32" s="901"/>
      <c r="AB32" s="901"/>
      <c r="AC32" s="901"/>
      <c r="AD32" s="901"/>
      <c r="AE32" s="901"/>
      <c r="AF32" s="901"/>
      <c r="AG32" s="901"/>
      <c r="AH32" s="901"/>
      <c r="AI32" s="901"/>
      <c r="AJ32" s="901"/>
      <c r="AK32" s="901"/>
      <c r="AL32" s="901"/>
      <c r="AM32" s="901"/>
      <c r="AN32" s="901"/>
      <c r="AO32" s="901"/>
      <c r="AP32" s="901"/>
      <c r="AQ32" s="901"/>
      <c r="AR32" s="901"/>
      <c r="AS32" s="901"/>
      <c r="AT32" s="901"/>
      <c r="AU32" s="901"/>
      <c r="AV32" s="901"/>
      <c r="AW32" s="901"/>
      <c r="AX32" s="901"/>
      <c r="AY32" s="901"/>
      <c r="AZ32" s="901"/>
      <c r="BA32" s="901"/>
      <c r="BB32" s="901"/>
      <c r="BC32" s="901"/>
    </row>
    <row r="33" spans="1:55" ht="15.75">
      <c r="A33" s="914">
        <v>300</v>
      </c>
      <c r="B33" s="915" t="s">
        <v>577</v>
      </c>
      <c r="C33" s="920"/>
      <c r="D33" s="917">
        <v>0.35920000000000002</v>
      </c>
      <c r="E33" s="917" t="s">
        <v>566</v>
      </c>
      <c r="F33" s="917">
        <v>0.43230000000000002</v>
      </c>
      <c r="G33" s="917">
        <v>4.5600000000000002E-2</v>
      </c>
      <c r="H33" s="918">
        <v>0</v>
      </c>
      <c r="I33" s="917">
        <v>1E-4</v>
      </c>
      <c r="J33" s="917" t="s">
        <v>566</v>
      </c>
      <c r="K33" s="917" t="s">
        <v>566</v>
      </c>
      <c r="L33" s="917" t="s">
        <v>566</v>
      </c>
      <c r="M33" s="1071">
        <v>7.4700000000000003E-2</v>
      </c>
      <c r="O33" s="922"/>
      <c r="P33" s="923"/>
      <c r="Q33" s="924"/>
      <c r="R33" s="924"/>
      <c r="S33" s="925"/>
      <c r="T33" s="925"/>
      <c r="U33" s="925"/>
      <c r="V33" s="925"/>
      <c r="W33" s="925"/>
      <c r="X33" s="901"/>
      <c r="Y33" s="901"/>
      <c r="Z33" s="901"/>
      <c r="AA33" s="901"/>
      <c r="AB33" s="901"/>
      <c r="AC33" s="901"/>
      <c r="AD33" s="901"/>
      <c r="AE33" s="901"/>
      <c r="AF33" s="901"/>
      <c r="AG33" s="901"/>
      <c r="AH33" s="901"/>
      <c r="AI33" s="901"/>
      <c r="AJ33" s="901"/>
      <c r="AK33" s="901"/>
      <c r="AL33" s="901"/>
      <c r="AM33" s="901"/>
      <c r="AN33" s="901"/>
      <c r="AO33" s="901"/>
      <c r="AP33" s="901"/>
      <c r="AQ33" s="901"/>
      <c r="AR33" s="901"/>
      <c r="AS33" s="901"/>
      <c r="AT33" s="901"/>
      <c r="AU33" s="901"/>
      <c r="AV33" s="901"/>
      <c r="AW33" s="901"/>
      <c r="AX33" s="901"/>
      <c r="AY33" s="901"/>
      <c r="AZ33" s="901"/>
      <c r="BA33" s="901"/>
      <c r="BB33" s="901"/>
      <c r="BC33" s="901"/>
    </row>
    <row r="34" spans="1:55" ht="15.75">
      <c r="A34" s="914">
        <v>400</v>
      </c>
      <c r="B34" s="915" t="s">
        <v>578</v>
      </c>
      <c r="C34" s="920"/>
      <c r="D34" s="917" t="s">
        <v>566</v>
      </c>
      <c r="E34" s="967">
        <v>7.1999999999999998E-3</v>
      </c>
      <c r="F34" s="917" t="s">
        <v>566</v>
      </c>
      <c r="G34" s="918">
        <v>0</v>
      </c>
      <c r="H34" s="917">
        <v>4.2599999999999999E-2</v>
      </c>
      <c r="I34" s="917">
        <v>1.8700000000000001E-2</v>
      </c>
      <c r="J34" s="917" t="s">
        <v>566</v>
      </c>
      <c r="K34" s="967">
        <v>2E-3</v>
      </c>
      <c r="L34" s="918" t="s">
        <v>566</v>
      </c>
      <c r="M34" s="1071">
        <v>1.4500000000000001E-2</v>
      </c>
      <c r="O34" s="922"/>
      <c r="P34" s="923"/>
      <c r="Q34" s="924"/>
      <c r="R34" s="924"/>
      <c r="S34" s="925"/>
      <c r="T34" s="925"/>
      <c r="U34" s="925"/>
      <c r="V34" s="925"/>
      <c r="W34" s="925"/>
      <c r="X34" s="901"/>
      <c r="Y34" s="901"/>
      <c r="Z34" s="901"/>
      <c r="AA34" s="901"/>
      <c r="AB34" s="901"/>
      <c r="AC34" s="901"/>
      <c r="AD34" s="901"/>
      <c r="AE34" s="901"/>
      <c r="AF34" s="901"/>
      <c r="AG34" s="901"/>
      <c r="AH34" s="901"/>
      <c r="AI34" s="901"/>
      <c r="AJ34" s="901"/>
      <c r="AK34" s="901"/>
      <c r="AL34" s="901"/>
      <c r="AM34" s="901"/>
      <c r="AN34" s="901"/>
      <c r="AO34" s="901"/>
      <c r="AP34" s="901"/>
      <c r="AQ34" s="901"/>
      <c r="AR34" s="901"/>
      <c r="AS34" s="901"/>
      <c r="AT34" s="901"/>
      <c r="AU34" s="901"/>
      <c r="AV34" s="901"/>
      <c r="AW34" s="901"/>
      <c r="AX34" s="901"/>
      <c r="AY34" s="901"/>
      <c r="AZ34" s="901"/>
      <c r="BA34" s="901"/>
      <c r="BB34" s="901"/>
      <c r="BC34" s="901"/>
    </row>
    <row r="35" spans="1:55" ht="15.75">
      <c r="A35" s="914">
        <v>500</v>
      </c>
      <c r="B35" s="915" t="s">
        <v>579</v>
      </c>
      <c r="C35" s="920"/>
      <c r="D35" s="918">
        <v>0</v>
      </c>
      <c r="E35" s="967">
        <v>3.3E-3</v>
      </c>
      <c r="F35" s="917" t="s">
        <v>566</v>
      </c>
      <c r="G35" s="967">
        <v>1.15E-2</v>
      </c>
      <c r="H35" s="917">
        <v>4.4999999999999997E-3</v>
      </c>
      <c r="I35" s="917" t="s">
        <v>566</v>
      </c>
      <c r="J35" s="917" t="s">
        <v>566</v>
      </c>
      <c r="K35" s="917" t="s">
        <v>566</v>
      </c>
      <c r="L35" s="918" t="s">
        <v>566</v>
      </c>
      <c r="M35" s="1071">
        <v>5.1999999999999998E-3</v>
      </c>
      <c r="O35" s="919"/>
      <c r="P35" s="907"/>
      <c r="Q35" s="921"/>
      <c r="R35" s="921"/>
      <c r="S35" s="901"/>
      <c r="T35" s="901"/>
      <c r="U35" s="901"/>
      <c r="V35" s="901"/>
      <c r="W35" s="901"/>
      <c r="X35" s="901"/>
      <c r="Y35" s="901"/>
      <c r="Z35" s="901"/>
      <c r="AA35" s="901"/>
      <c r="AB35" s="901"/>
      <c r="AC35" s="901"/>
      <c r="AD35" s="901"/>
      <c r="AE35" s="901"/>
      <c r="AF35" s="901"/>
      <c r="AG35" s="901"/>
      <c r="AH35" s="901"/>
      <c r="AI35" s="901"/>
      <c r="AJ35" s="901"/>
      <c r="AK35" s="901"/>
      <c r="AL35" s="901"/>
      <c r="AM35" s="901"/>
      <c r="AN35" s="901"/>
      <c r="AO35" s="901"/>
      <c r="AP35" s="901"/>
      <c r="AQ35" s="901"/>
      <c r="AR35" s="901"/>
      <c r="AS35" s="901"/>
      <c r="AT35" s="901"/>
      <c r="AU35" s="901"/>
      <c r="AV35" s="901"/>
      <c r="AW35" s="901"/>
      <c r="AX35" s="901"/>
      <c r="AY35" s="901"/>
      <c r="AZ35" s="901"/>
      <c r="BA35" s="901"/>
      <c r="BB35" s="901"/>
      <c r="BC35" s="901"/>
    </row>
    <row r="36" spans="1:55" ht="15.75">
      <c r="A36" s="914">
        <v>600</v>
      </c>
      <c r="B36" s="915" t="s">
        <v>580</v>
      </c>
      <c r="C36" s="920"/>
      <c r="D36" s="917">
        <v>6.1999999999999998E-3</v>
      </c>
      <c r="E36" s="967">
        <v>0.1419</v>
      </c>
      <c r="F36" s="967">
        <v>0.12180000000000001</v>
      </c>
      <c r="G36" s="967">
        <v>6.1600000000000002E-2</v>
      </c>
      <c r="H36" s="967">
        <v>3.6799999999999999E-2</v>
      </c>
      <c r="I36" s="917">
        <v>6.25E-2</v>
      </c>
      <c r="J36" s="917" t="s">
        <v>566</v>
      </c>
      <c r="K36" s="917" t="s">
        <v>566</v>
      </c>
      <c r="L36" s="967">
        <v>3.9800000000000002E-2</v>
      </c>
      <c r="M36" s="1071">
        <v>4.4699999999999997E-2</v>
      </c>
      <c r="O36" s="919"/>
      <c r="P36" s="907"/>
      <c r="Q36" s="921"/>
      <c r="R36" s="921"/>
      <c r="S36" s="901"/>
      <c r="T36" s="901"/>
      <c r="U36" s="901"/>
      <c r="V36" s="901"/>
      <c r="W36" s="901"/>
      <c r="X36" s="901"/>
      <c r="Y36" s="901"/>
      <c r="Z36" s="901"/>
      <c r="AA36" s="901"/>
      <c r="AB36" s="901"/>
      <c r="AC36" s="901"/>
      <c r="AD36" s="901"/>
      <c r="AE36" s="901"/>
      <c r="AF36" s="901"/>
      <c r="AG36" s="901"/>
      <c r="AH36" s="901"/>
      <c r="AI36" s="901"/>
      <c r="AJ36" s="901"/>
      <c r="AK36" s="901"/>
      <c r="AL36" s="901"/>
      <c r="AM36" s="901"/>
      <c r="AN36" s="901"/>
      <c r="AO36" s="901"/>
      <c r="AP36" s="901"/>
      <c r="AQ36" s="901"/>
      <c r="AR36" s="901"/>
      <c r="AS36" s="901"/>
      <c r="AT36" s="901"/>
      <c r="AU36" s="901"/>
      <c r="AV36" s="901"/>
      <c r="AW36" s="901"/>
      <c r="AX36" s="901"/>
      <c r="AY36" s="901"/>
      <c r="AZ36" s="901"/>
      <c r="BA36" s="901"/>
      <c r="BB36" s="901"/>
      <c r="BC36" s="901"/>
    </row>
    <row r="37" spans="1:55" ht="15.75">
      <c r="A37" s="914">
        <v>700</v>
      </c>
      <c r="B37" s="915" t="s">
        <v>581</v>
      </c>
      <c r="C37" s="920"/>
      <c r="D37" s="917">
        <v>0.13139999999999999</v>
      </c>
      <c r="E37" s="967">
        <v>8.0199999999999994E-2</v>
      </c>
      <c r="F37" s="967">
        <v>5.0099999999999999E-2</v>
      </c>
      <c r="G37" s="967">
        <v>0.17280000000000001</v>
      </c>
      <c r="H37" s="967">
        <v>0.17169999999999999</v>
      </c>
      <c r="I37" s="967">
        <v>0.15459999999999999</v>
      </c>
      <c r="J37" s="917" t="s">
        <v>566</v>
      </c>
      <c r="K37" s="967">
        <v>0.24959999999999999</v>
      </c>
      <c r="L37" s="967">
        <v>3.5700000000000003E-2</v>
      </c>
      <c r="M37" s="1071">
        <v>0.1487</v>
      </c>
      <c r="O37" s="919"/>
      <c r="P37" s="907"/>
      <c r="Q37" s="921"/>
      <c r="R37" s="921"/>
      <c r="S37" s="901"/>
      <c r="T37" s="901"/>
      <c r="U37" s="901"/>
      <c r="V37" s="901"/>
      <c r="W37" s="901"/>
      <c r="X37" s="901"/>
      <c r="Y37" s="901"/>
      <c r="Z37" s="901"/>
      <c r="AA37" s="901"/>
      <c r="AB37" s="901"/>
      <c r="AC37" s="901"/>
      <c r="AD37" s="901"/>
      <c r="AE37" s="901"/>
      <c r="AF37" s="901"/>
      <c r="AG37" s="901"/>
      <c r="AH37" s="901"/>
      <c r="AI37" s="901"/>
      <c r="AJ37" s="901"/>
      <c r="AK37" s="901"/>
      <c r="AL37" s="901"/>
      <c r="AM37" s="901"/>
      <c r="AN37" s="901"/>
      <c r="AO37" s="901"/>
      <c r="AP37" s="901"/>
      <c r="AQ37" s="901"/>
      <c r="AR37" s="901"/>
      <c r="AS37" s="901"/>
      <c r="AT37" s="901"/>
      <c r="AU37" s="901"/>
      <c r="AV37" s="901"/>
      <c r="AW37" s="901"/>
      <c r="AX37" s="901"/>
      <c r="AY37" s="901"/>
      <c r="AZ37" s="901"/>
      <c r="BA37" s="901"/>
      <c r="BB37" s="901"/>
      <c r="BC37" s="901"/>
    </row>
    <row r="38" spans="1:55" ht="15.75">
      <c r="A38" s="914">
        <v>800</v>
      </c>
      <c r="B38" s="915" t="s">
        <v>582</v>
      </c>
      <c r="C38" s="926"/>
      <c r="D38" s="917">
        <v>1.9400000000000001E-2</v>
      </c>
      <c r="E38" s="917">
        <v>0.26369999999999999</v>
      </c>
      <c r="F38" s="967">
        <v>6.3600000000000004E-2</v>
      </c>
      <c r="G38" s="967">
        <v>0.1108</v>
      </c>
      <c r="H38" s="967">
        <v>0.1457</v>
      </c>
      <c r="I38" s="967">
        <v>0.12</v>
      </c>
      <c r="J38" s="917" t="s">
        <v>566</v>
      </c>
      <c r="K38" s="967">
        <v>0.23330000000000001</v>
      </c>
      <c r="L38" s="967">
        <v>5.4999999999999997E-3</v>
      </c>
      <c r="M38" s="1071">
        <v>0.1055</v>
      </c>
      <c r="O38" s="919"/>
      <c r="P38" s="907"/>
      <c r="Q38" s="921"/>
      <c r="R38" s="921"/>
      <c r="S38" s="901"/>
      <c r="T38" s="901"/>
      <c r="U38" s="901"/>
      <c r="V38" s="901"/>
      <c r="W38" s="901"/>
      <c r="X38" s="901"/>
      <c r="Y38" s="901"/>
      <c r="Z38" s="901"/>
      <c r="AA38" s="901"/>
      <c r="AB38" s="901"/>
      <c r="AC38" s="901"/>
      <c r="AD38" s="901"/>
      <c r="AE38" s="901"/>
      <c r="AF38" s="901"/>
      <c r="AG38" s="901"/>
      <c r="AH38" s="901"/>
      <c r="AI38" s="901"/>
      <c r="AJ38" s="901"/>
      <c r="AK38" s="901"/>
      <c r="AL38" s="901"/>
      <c r="AM38" s="901"/>
      <c r="AN38" s="901"/>
      <c r="AO38" s="901"/>
      <c r="AP38" s="901"/>
      <c r="AQ38" s="901"/>
      <c r="AR38" s="901"/>
      <c r="AS38" s="901"/>
      <c r="AT38" s="901"/>
      <c r="AU38" s="901"/>
      <c r="AV38" s="901"/>
      <c r="AW38" s="901"/>
      <c r="AX38" s="901"/>
      <c r="AY38" s="901"/>
      <c r="AZ38" s="901"/>
      <c r="BA38" s="901"/>
      <c r="BB38" s="901"/>
      <c r="BC38" s="901"/>
    </row>
    <row r="39" spans="1:55" ht="15.75">
      <c r="A39" s="914">
        <v>900</v>
      </c>
      <c r="B39" s="915" t="s">
        <v>583</v>
      </c>
      <c r="C39" s="926"/>
      <c r="D39" s="917">
        <v>2.9999999999999997E-4</v>
      </c>
      <c r="E39" s="917">
        <v>1.6999999999999999E-3</v>
      </c>
      <c r="F39" s="917" t="s">
        <v>566</v>
      </c>
      <c r="G39" s="917">
        <v>4.0000000000000002E-4</v>
      </c>
      <c r="H39" s="917">
        <v>1E-3</v>
      </c>
      <c r="I39" s="917">
        <v>1.4E-3</v>
      </c>
      <c r="J39" s="917" t="s">
        <v>566</v>
      </c>
      <c r="K39" s="918" t="s">
        <v>566</v>
      </c>
      <c r="L39" s="917">
        <v>1.5E-3</v>
      </c>
      <c r="M39" s="1071">
        <v>6.9999999999999999E-4</v>
      </c>
      <c r="O39" s="922"/>
      <c r="P39" s="923"/>
      <c r="Q39" s="924"/>
      <c r="R39" s="924"/>
      <c r="S39" s="925"/>
      <c r="T39" s="925"/>
      <c r="U39" s="925"/>
      <c r="V39" s="925"/>
      <c r="W39" s="925"/>
      <c r="X39" s="925"/>
      <c r="Y39" s="925"/>
      <c r="Z39" s="925"/>
      <c r="AA39" s="925"/>
      <c r="AB39" s="925"/>
      <c r="AC39" s="925"/>
      <c r="AD39" s="925"/>
      <c r="AE39" s="925"/>
      <c r="AF39" s="925"/>
      <c r="AG39" s="925"/>
      <c r="AH39" s="925"/>
      <c r="AI39" s="925"/>
      <c r="AJ39" s="925"/>
      <c r="AK39" s="925"/>
      <c r="AL39" s="901"/>
      <c r="AM39" s="901"/>
      <c r="AN39" s="901"/>
      <c r="AO39" s="901"/>
      <c r="AP39" s="901"/>
      <c r="AQ39" s="901"/>
      <c r="AR39" s="901"/>
      <c r="AS39" s="901"/>
      <c r="AT39" s="901"/>
      <c r="AU39" s="901"/>
      <c r="AV39" s="901"/>
      <c r="AW39" s="901"/>
      <c r="AX39" s="901"/>
      <c r="AY39" s="901"/>
      <c r="AZ39" s="901"/>
      <c r="BA39" s="901"/>
      <c r="BB39" s="901"/>
      <c r="BC39" s="901"/>
    </row>
    <row r="40" spans="1:55" ht="15.75">
      <c r="A40" s="914">
        <v>1000</v>
      </c>
      <c r="B40" s="915" t="s">
        <v>584</v>
      </c>
      <c r="C40" s="926"/>
      <c r="D40" s="917">
        <v>1.3899999999999999E-2</v>
      </c>
      <c r="E40" s="917" t="s">
        <v>566</v>
      </c>
      <c r="F40" s="917" t="s">
        <v>566</v>
      </c>
      <c r="G40" s="917">
        <v>4.4699999999999997E-2</v>
      </c>
      <c r="H40" s="917">
        <v>1.4E-3</v>
      </c>
      <c r="I40" s="917">
        <v>0.1071</v>
      </c>
      <c r="J40" s="917" t="s">
        <v>566</v>
      </c>
      <c r="K40" s="918" t="s">
        <v>566</v>
      </c>
      <c r="L40" s="917" t="s">
        <v>566</v>
      </c>
      <c r="M40" s="1071">
        <v>2.5000000000000001E-2</v>
      </c>
      <c r="O40" s="922"/>
      <c r="P40" s="923"/>
      <c r="Q40" s="924"/>
      <c r="R40" s="924"/>
      <c r="S40" s="925"/>
      <c r="T40" s="925"/>
      <c r="U40" s="925"/>
      <c r="V40" s="925"/>
      <c r="W40" s="925"/>
      <c r="X40" s="925"/>
      <c r="Y40" s="925"/>
      <c r="Z40" s="925"/>
      <c r="AA40" s="925"/>
      <c r="AB40" s="925"/>
      <c r="AC40" s="925"/>
      <c r="AD40" s="925"/>
      <c r="AE40" s="925"/>
      <c r="AF40" s="925"/>
      <c r="AG40" s="925"/>
      <c r="AH40" s="925"/>
      <c r="AI40" s="925"/>
      <c r="AJ40" s="925"/>
      <c r="AK40" s="925"/>
      <c r="AL40" s="901"/>
      <c r="AM40" s="901"/>
      <c r="AN40" s="901"/>
      <c r="AO40" s="901"/>
      <c r="AP40" s="901"/>
      <c r="AQ40" s="901"/>
      <c r="AR40" s="901"/>
      <c r="AS40" s="901"/>
      <c r="AT40" s="901"/>
      <c r="AU40" s="901"/>
      <c r="AV40" s="901"/>
      <c r="AW40" s="901"/>
      <c r="AX40" s="901"/>
      <c r="AY40" s="901"/>
      <c r="AZ40" s="901"/>
      <c r="BA40" s="901"/>
      <c r="BB40" s="901"/>
      <c r="BC40" s="901"/>
    </row>
    <row r="41" spans="1:55" ht="15.75">
      <c r="A41" s="914">
        <v>1100</v>
      </c>
      <c r="B41" s="915" t="s">
        <v>585</v>
      </c>
      <c r="C41" s="926"/>
      <c r="D41" s="917">
        <v>2.3E-3</v>
      </c>
      <c r="E41" s="917">
        <v>3.4799999999999998E-2</v>
      </c>
      <c r="F41" s="917" t="s">
        <v>566</v>
      </c>
      <c r="G41" s="917">
        <v>1.4E-3</v>
      </c>
      <c r="H41" s="967">
        <v>2.2100000000000002E-2</v>
      </c>
      <c r="I41" s="917">
        <v>6.0000000000000001E-3</v>
      </c>
      <c r="J41" s="917" t="s">
        <v>566</v>
      </c>
      <c r="K41" s="917">
        <v>3.5000000000000001E-3</v>
      </c>
      <c r="L41" s="918" t="s">
        <v>566</v>
      </c>
      <c r="M41" s="1071">
        <v>8.8000000000000005E-3</v>
      </c>
      <c r="O41" s="919"/>
      <c r="P41" s="907"/>
      <c r="Q41" s="921"/>
      <c r="R41" s="92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1"/>
      <c r="AP41" s="901"/>
      <c r="AQ41" s="901"/>
      <c r="AR41" s="901"/>
      <c r="AS41" s="901"/>
      <c r="AT41" s="901"/>
      <c r="AU41" s="901"/>
      <c r="AV41" s="901"/>
      <c r="AW41" s="901"/>
      <c r="AX41" s="901"/>
      <c r="AY41" s="901"/>
      <c r="AZ41" s="901"/>
      <c r="BA41" s="901"/>
      <c r="BB41" s="901"/>
      <c r="BC41" s="901"/>
    </row>
    <row r="42" spans="1:55" ht="15.75">
      <c r="A42" s="914">
        <v>1200</v>
      </c>
      <c r="B42" s="915" t="s">
        <v>586</v>
      </c>
      <c r="C42" s="927"/>
      <c r="D42" s="917">
        <v>6.4600000000000005E-2</v>
      </c>
      <c r="E42" s="967">
        <v>9.3799999999999994E-2</v>
      </c>
      <c r="F42" s="967">
        <v>3.7600000000000001E-2</v>
      </c>
      <c r="G42" s="967">
        <v>9.1999999999999998E-3</v>
      </c>
      <c r="H42" s="967">
        <v>4.0800000000000003E-2</v>
      </c>
      <c r="I42" s="967">
        <v>0.10290000000000001</v>
      </c>
      <c r="J42" s="967">
        <v>0.50960000000000005</v>
      </c>
      <c r="K42" s="917" t="s">
        <v>566</v>
      </c>
      <c r="L42" s="967">
        <v>0.31519999999999998</v>
      </c>
      <c r="M42" s="1072">
        <v>7.1099999999999997E-2</v>
      </c>
      <c r="O42" s="919"/>
      <c r="P42" s="907"/>
      <c r="Q42" s="921"/>
      <c r="R42" s="921"/>
      <c r="S42" s="901"/>
      <c r="T42" s="901"/>
      <c r="U42" s="901"/>
      <c r="V42" s="901"/>
      <c r="W42" s="901"/>
      <c r="X42" s="901"/>
      <c r="Y42" s="901"/>
      <c r="Z42" s="901"/>
      <c r="AA42" s="901"/>
      <c r="AB42" s="901"/>
      <c r="AC42" s="901"/>
      <c r="AD42" s="901"/>
      <c r="AE42" s="901"/>
      <c r="AF42" s="901"/>
      <c r="AG42" s="901"/>
      <c r="AH42" s="901"/>
      <c r="AI42" s="901"/>
      <c r="AJ42" s="901"/>
      <c r="AK42" s="901"/>
      <c r="AL42" s="901"/>
      <c r="AM42" s="901"/>
      <c r="AN42" s="901"/>
      <c r="AO42" s="901"/>
      <c r="AP42" s="901"/>
      <c r="AQ42" s="901"/>
      <c r="AR42" s="901"/>
      <c r="AS42" s="901"/>
      <c r="AT42" s="901"/>
      <c r="AU42" s="901"/>
      <c r="AV42" s="901"/>
      <c r="AW42" s="901"/>
      <c r="AX42" s="901"/>
      <c r="AY42" s="901"/>
      <c r="AZ42" s="901"/>
      <c r="BA42" s="901"/>
      <c r="BB42" s="901"/>
      <c r="BC42" s="901"/>
    </row>
    <row r="43" spans="1:55" ht="15.75">
      <c r="A43" s="914">
        <v>1300</v>
      </c>
      <c r="B43" s="915" t="s">
        <v>587</v>
      </c>
      <c r="C43" s="916"/>
      <c r="D43" s="917">
        <v>4.9200000000000001E-2</v>
      </c>
      <c r="E43" s="917">
        <v>4.6800000000000001E-2</v>
      </c>
      <c r="F43" s="967">
        <v>2.18E-2</v>
      </c>
      <c r="G43" s="967">
        <v>4.6399999999999997E-2</v>
      </c>
      <c r="H43" s="967">
        <v>0.16209999999999999</v>
      </c>
      <c r="I43" s="967">
        <v>1E-3</v>
      </c>
      <c r="J43" s="967">
        <v>0.31430000000000002</v>
      </c>
      <c r="K43" s="967">
        <v>4.9500000000000002E-2</v>
      </c>
      <c r="L43" s="967">
        <v>5.1000000000000004E-3</v>
      </c>
      <c r="M43" s="1071">
        <v>8.7800000000000003E-2</v>
      </c>
      <c r="O43" s="919"/>
      <c r="P43" s="907"/>
      <c r="Q43" s="921"/>
      <c r="R43" s="921"/>
      <c r="S43" s="901"/>
      <c r="T43" s="901"/>
      <c r="U43" s="901"/>
      <c r="V43" s="901"/>
      <c r="W43" s="901"/>
      <c r="X43" s="901"/>
      <c r="Y43" s="901"/>
      <c r="Z43" s="901"/>
      <c r="AA43" s="901"/>
      <c r="AB43" s="901"/>
      <c r="AC43" s="901"/>
      <c r="AD43" s="901"/>
      <c r="AE43" s="901"/>
      <c r="AF43" s="901"/>
      <c r="AG43" s="901"/>
      <c r="AH43" s="901"/>
      <c r="AI43" s="901"/>
      <c r="AJ43" s="901"/>
      <c r="AK43" s="901"/>
      <c r="AL43" s="901"/>
      <c r="AM43" s="901"/>
      <c r="AN43" s="901"/>
      <c r="AO43" s="901"/>
      <c r="AP43" s="901"/>
      <c r="AQ43" s="901"/>
      <c r="AR43" s="901"/>
      <c r="AS43" s="901"/>
      <c r="AT43" s="901"/>
      <c r="AU43" s="901"/>
      <c r="AV43" s="901"/>
      <c r="AW43" s="901"/>
      <c r="AX43" s="901"/>
      <c r="AY43" s="901"/>
      <c r="AZ43" s="901"/>
      <c r="BA43" s="901"/>
      <c r="BB43" s="901"/>
      <c r="BC43" s="901"/>
    </row>
    <row r="44" spans="1:55" ht="15.75">
      <c r="A44" s="914">
        <v>1400</v>
      </c>
      <c r="B44" s="915" t="s">
        <v>588</v>
      </c>
      <c r="C44" s="916"/>
      <c r="D44" s="917">
        <v>6.83E-2</v>
      </c>
      <c r="E44" s="917">
        <v>8.0000000000000004E-4</v>
      </c>
      <c r="F44" s="967">
        <v>1E-3</v>
      </c>
      <c r="G44" s="917">
        <v>6.7000000000000002E-3</v>
      </c>
      <c r="H44" s="917">
        <v>5.2400000000000002E-2</v>
      </c>
      <c r="I44" s="917">
        <v>1E-3</v>
      </c>
      <c r="J44" s="917" t="s">
        <v>566</v>
      </c>
      <c r="K44" s="917" t="s">
        <v>566</v>
      </c>
      <c r="L44" s="967">
        <v>0.1366</v>
      </c>
      <c r="M44" s="1071">
        <v>3.3399999999999999E-2</v>
      </c>
      <c r="O44" s="919"/>
      <c r="P44" s="907"/>
      <c r="Q44" s="921"/>
      <c r="R44" s="92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1"/>
      <c r="AP44" s="901"/>
      <c r="AQ44" s="901"/>
      <c r="AR44" s="901"/>
      <c r="AS44" s="901"/>
      <c r="AT44" s="901"/>
      <c r="AU44" s="901"/>
      <c r="AV44" s="901"/>
      <c r="AW44" s="901"/>
      <c r="AX44" s="901"/>
      <c r="AY44" s="901"/>
      <c r="AZ44" s="901"/>
      <c r="BA44" s="901"/>
      <c r="BB44" s="901"/>
      <c r="BC44" s="901"/>
    </row>
    <row r="45" spans="1:55" ht="15.75">
      <c r="A45" s="914">
        <v>1500</v>
      </c>
      <c r="B45" s="915" t="s">
        <v>589</v>
      </c>
      <c r="C45" s="916"/>
      <c r="D45" s="917">
        <v>3.0000000000000001E-3</v>
      </c>
      <c r="E45" s="967">
        <v>2.9999999999999997E-4</v>
      </c>
      <c r="F45" s="917" t="s">
        <v>566</v>
      </c>
      <c r="G45" s="967">
        <v>8.8900000000000007E-2</v>
      </c>
      <c r="H45" s="967">
        <v>7.9799999999999996E-2</v>
      </c>
      <c r="I45" s="967">
        <v>0.1527</v>
      </c>
      <c r="J45" s="917" t="s">
        <v>566</v>
      </c>
      <c r="K45" s="967">
        <v>1.6799999999999999E-2</v>
      </c>
      <c r="L45" s="917">
        <v>0.1079</v>
      </c>
      <c r="M45" s="1071">
        <v>7.0099999999999996E-2</v>
      </c>
      <c r="O45" s="919"/>
      <c r="P45" s="907"/>
      <c r="Q45" s="921"/>
      <c r="R45" s="921"/>
      <c r="S45" s="901"/>
      <c r="T45" s="901"/>
      <c r="U45" s="901"/>
      <c r="V45" s="901"/>
      <c r="W45" s="901"/>
      <c r="X45" s="901"/>
      <c r="Y45" s="901"/>
      <c r="Z45" s="901"/>
      <c r="AA45" s="901"/>
      <c r="AB45" s="901"/>
      <c r="AC45" s="901"/>
      <c r="AD45" s="901"/>
      <c r="AE45" s="901"/>
      <c r="AF45" s="901"/>
      <c r="AG45" s="901"/>
      <c r="AH45" s="901"/>
      <c r="AI45" s="901"/>
      <c r="AJ45" s="901"/>
      <c r="AK45" s="901"/>
      <c r="AL45" s="901"/>
      <c r="AM45" s="901"/>
      <c r="AN45" s="901"/>
      <c r="AO45" s="901"/>
      <c r="AP45" s="901"/>
      <c r="AQ45" s="901"/>
      <c r="AR45" s="901"/>
      <c r="AS45" s="901"/>
      <c r="AT45" s="901"/>
      <c r="AU45" s="901"/>
      <c r="AV45" s="901"/>
      <c r="AW45" s="901"/>
      <c r="AX45" s="901"/>
      <c r="AY45" s="901"/>
      <c r="AZ45" s="901"/>
      <c r="BA45" s="901"/>
      <c r="BB45" s="901"/>
      <c r="BC45" s="901"/>
    </row>
    <row r="46" spans="1:55" ht="15.75">
      <c r="A46" s="914">
        <v>1510</v>
      </c>
      <c r="B46" s="915" t="s">
        <v>590</v>
      </c>
      <c r="C46" s="920"/>
      <c r="D46" s="917">
        <v>4.3099999999999999E-2</v>
      </c>
      <c r="E46" s="967">
        <v>1.7000000000000001E-2</v>
      </c>
      <c r="F46" s="967">
        <v>1.47E-2</v>
      </c>
      <c r="G46" s="967">
        <v>5.4999999999999997E-3</v>
      </c>
      <c r="H46" s="967">
        <v>1.5299999999999999E-2</v>
      </c>
      <c r="I46" s="917">
        <v>2.35E-2</v>
      </c>
      <c r="J46" s="917" t="s">
        <v>566</v>
      </c>
      <c r="K46" s="917" t="s">
        <v>566</v>
      </c>
      <c r="L46" s="967">
        <v>1.0699999999999999E-2</v>
      </c>
      <c r="M46" s="1071">
        <v>1.5299999999999999E-2</v>
      </c>
      <c r="O46" s="919"/>
      <c r="P46" s="907"/>
      <c r="Q46" s="921"/>
      <c r="R46" s="921"/>
      <c r="S46" s="901"/>
      <c r="T46" s="901"/>
      <c r="U46" s="901"/>
      <c r="V46" s="901"/>
      <c r="W46" s="901"/>
      <c r="X46" s="901"/>
      <c r="Y46" s="901"/>
      <c r="Z46" s="901"/>
      <c r="AA46" s="901"/>
      <c r="AB46" s="901"/>
      <c r="AC46" s="901"/>
      <c r="AD46" s="901"/>
      <c r="AE46" s="901"/>
      <c r="AF46" s="901"/>
      <c r="AG46" s="901"/>
      <c r="AH46" s="901"/>
      <c r="AI46" s="901"/>
      <c r="AJ46" s="901"/>
      <c r="AK46" s="901"/>
      <c r="AL46" s="901"/>
      <c r="AM46" s="901"/>
      <c r="AN46" s="901"/>
      <c r="AO46" s="901"/>
      <c r="AP46" s="901"/>
      <c r="AQ46" s="901"/>
      <c r="AR46" s="901"/>
      <c r="AS46" s="901"/>
      <c r="AT46" s="901"/>
      <c r="AU46" s="901"/>
      <c r="AV46" s="901"/>
      <c r="AW46" s="901"/>
      <c r="AX46" s="901"/>
      <c r="AY46" s="901"/>
      <c r="AZ46" s="901"/>
      <c r="BA46" s="901"/>
      <c r="BB46" s="901"/>
      <c r="BC46" s="901"/>
    </row>
    <row r="47" spans="1:55" ht="15.75">
      <c r="A47" s="914">
        <v>1520</v>
      </c>
      <c r="B47" s="915" t="s">
        <v>591</v>
      </c>
      <c r="C47" s="920"/>
      <c r="D47" s="917">
        <v>2.9999999999999997E-4</v>
      </c>
      <c r="E47" s="967">
        <v>2.9999999999999997E-4</v>
      </c>
      <c r="F47" s="917" t="s">
        <v>566</v>
      </c>
      <c r="G47" s="917">
        <v>4.0000000000000002E-4</v>
      </c>
      <c r="H47" s="917" t="s">
        <v>566</v>
      </c>
      <c r="I47" s="917">
        <v>3.3999999999999998E-3</v>
      </c>
      <c r="J47" s="917" t="s">
        <v>566</v>
      </c>
      <c r="K47" s="967" t="s">
        <v>566</v>
      </c>
      <c r="L47" s="967">
        <v>8.0000000000000004E-4</v>
      </c>
      <c r="M47" s="1071">
        <v>5.0000000000000001E-4</v>
      </c>
      <c r="O47" s="919"/>
      <c r="P47" s="907"/>
      <c r="Q47" s="921"/>
      <c r="R47" s="921"/>
      <c r="S47" s="901"/>
      <c r="T47" s="901"/>
      <c r="U47" s="901"/>
      <c r="V47" s="901"/>
      <c r="W47" s="901"/>
      <c r="X47" s="901"/>
      <c r="Y47" s="901"/>
      <c r="Z47" s="901"/>
      <c r="AA47" s="901"/>
      <c r="AB47" s="901"/>
      <c r="AC47" s="901"/>
      <c r="AD47" s="901"/>
      <c r="AE47" s="901"/>
      <c r="AF47" s="901"/>
      <c r="AG47" s="901"/>
      <c r="AH47" s="901"/>
      <c r="AI47" s="901"/>
      <c r="AJ47" s="901"/>
      <c r="AK47" s="901"/>
      <c r="AL47" s="901"/>
      <c r="AM47" s="901"/>
      <c r="AN47" s="901"/>
      <c r="AO47" s="901"/>
      <c r="AP47" s="901"/>
      <c r="AQ47" s="901"/>
      <c r="AR47" s="901"/>
      <c r="AS47" s="901"/>
      <c r="AT47" s="901"/>
      <c r="AU47" s="901"/>
      <c r="AV47" s="901"/>
      <c r="AW47" s="901"/>
      <c r="AX47" s="901"/>
      <c r="AY47" s="901"/>
      <c r="AZ47" s="901"/>
      <c r="BA47" s="901"/>
      <c r="BB47" s="901"/>
      <c r="BC47" s="901"/>
    </row>
    <row r="48" spans="1:55" ht="15.75">
      <c r="A48" s="914">
        <v>1530</v>
      </c>
      <c r="B48" s="915" t="s">
        <v>592</v>
      </c>
      <c r="C48" s="920"/>
      <c r="D48" s="917">
        <v>1E-4</v>
      </c>
      <c r="E48" s="917" t="s">
        <v>566</v>
      </c>
      <c r="F48" s="917">
        <v>3.2000000000000002E-3</v>
      </c>
      <c r="G48" s="917">
        <v>3.8999999999999998E-3</v>
      </c>
      <c r="H48" s="917">
        <v>8.9999999999999998E-4</v>
      </c>
      <c r="I48" s="917">
        <v>1E-4</v>
      </c>
      <c r="J48" s="917" t="s">
        <v>566</v>
      </c>
      <c r="K48" s="917">
        <v>6.9999999999999999E-4</v>
      </c>
      <c r="L48" s="967">
        <v>1.6999999999999999E-3</v>
      </c>
      <c r="M48" s="1071">
        <v>1.6999999999999999E-3</v>
      </c>
      <c r="O48" s="919"/>
      <c r="P48" s="907"/>
      <c r="Q48" s="921"/>
      <c r="R48" s="921"/>
      <c r="S48" s="901"/>
      <c r="T48" s="901"/>
      <c r="U48" s="901"/>
      <c r="V48" s="901"/>
      <c r="W48" s="901"/>
      <c r="X48" s="901"/>
      <c r="Y48" s="901"/>
      <c r="Z48" s="901"/>
      <c r="AA48" s="901"/>
      <c r="AB48" s="901"/>
      <c r="AC48" s="901"/>
      <c r="AD48" s="901"/>
      <c r="AE48" s="901"/>
      <c r="AF48" s="901"/>
      <c r="AG48" s="901"/>
      <c r="AH48" s="901"/>
      <c r="AI48" s="901"/>
      <c r="AJ48" s="901"/>
      <c r="AK48" s="901"/>
      <c r="AL48" s="901"/>
      <c r="AM48" s="901"/>
      <c r="AN48" s="901"/>
      <c r="AO48" s="901"/>
      <c r="AP48" s="901"/>
      <c r="AQ48" s="901"/>
      <c r="AR48" s="901"/>
      <c r="AS48" s="901"/>
      <c r="AT48" s="901"/>
      <c r="AU48" s="901"/>
      <c r="AV48" s="901"/>
      <c r="AW48" s="901"/>
      <c r="AX48" s="901"/>
      <c r="AY48" s="901"/>
      <c r="AZ48" s="901"/>
      <c r="BA48" s="901"/>
      <c r="BB48" s="901"/>
      <c r="BC48" s="901"/>
    </row>
    <row r="49" spans="1:55" ht="15.75">
      <c r="A49" s="914">
        <v>1540</v>
      </c>
      <c r="B49" s="915" t="s">
        <v>593</v>
      </c>
      <c r="C49" s="920"/>
      <c r="D49" s="967">
        <v>3.5999999999999999E-3</v>
      </c>
      <c r="E49" s="917" t="s">
        <v>566</v>
      </c>
      <c r="F49" s="917" t="s">
        <v>566</v>
      </c>
      <c r="G49" s="967">
        <v>3.5000000000000001E-3</v>
      </c>
      <c r="H49" s="917">
        <v>2.9999999999999997E-4</v>
      </c>
      <c r="I49" s="917">
        <v>2.0999999999999999E-3</v>
      </c>
      <c r="J49" s="917" t="s">
        <v>566</v>
      </c>
      <c r="K49" s="918" t="s">
        <v>566</v>
      </c>
      <c r="L49" s="967">
        <v>1.1000000000000001E-3</v>
      </c>
      <c r="M49" s="1071">
        <v>1.9E-3</v>
      </c>
      <c r="O49" s="919"/>
      <c r="P49" s="907"/>
      <c r="Q49" s="901"/>
      <c r="R49" s="901"/>
      <c r="S49" s="901"/>
      <c r="T49" s="901"/>
      <c r="U49" s="901"/>
      <c r="V49" s="901"/>
      <c r="W49" s="901"/>
      <c r="X49" s="901"/>
      <c r="Y49" s="901"/>
      <c r="Z49" s="901"/>
      <c r="AA49" s="901"/>
      <c r="AB49" s="901"/>
      <c r="AC49" s="901"/>
      <c r="AD49" s="901"/>
      <c r="AE49" s="901"/>
      <c r="AF49" s="901"/>
      <c r="AG49" s="901"/>
      <c r="AH49" s="901"/>
      <c r="AI49" s="901"/>
      <c r="AJ49" s="901"/>
      <c r="AK49" s="901"/>
      <c r="AL49" s="901"/>
      <c r="AM49" s="901"/>
      <c r="AN49" s="901"/>
      <c r="AO49" s="901"/>
      <c r="AP49" s="901"/>
      <c r="AQ49" s="901"/>
      <c r="AR49" s="901"/>
      <c r="AS49" s="901"/>
      <c r="AT49" s="901"/>
      <c r="AU49" s="901"/>
      <c r="AV49" s="901"/>
      <c r="AW49" s="901"/>
      <c r="AX49" s="901"/>
      <c r="AY49" s="901"/>
      <c r="AZ49" s="901"/>
      <c r="BA49" s="901"/>
      <c r="BB49" s="901"/>
      <c r="BC49" s="901"/>
    </row>
    <row r="50" spans="1:55" ht="15.75">
      <c r="A50" s="914">
        <v>1550</v>
      </c>
      <c r="B50" s="915" t="s">
        <v>594</v>
      </c>
      <c r="C50" s="920"/>
      <c r="D50" s="917">
        <v>2E-3</v>
      </c>
      <c r="E50" s="967">
        <v>4.0500000000000001E-2</v>
      </c>
      <c r="F50" s="967">
        <v>4.4999999999999997E-3</v>
      </c>
      <c r="G50" s="967">
        <v>8.7499999999999994E-2</v>
      </c>
      <c r="H50" s="967">
        <v>3.8999999999999998E-3</v>
      </c>
      <c r="I50" s="917">
        <v>7.2700000000000001E-2</v>
      </c>
      <c r="J50" s="917">
        <v>0.1071</v>
      </c>
      <c r="K50" s="917">
        <v>2.7300000000000001E-2</v>
      </c>
      <c r="L50" s="967">
        <v>8.3000000000000001E-3</v>
      </c>
      <c r="M50" s="1071">
        <v>4.2299999999999997E-2</v>
      </c>
      <c r="O50" s="919"/>
      <c r="P50" s="907"/>
      <c r="Q50" s="901"/>
      <c r="R50" s="901"/>
      <c r="S50" s="901"/>
      <c r="T50" s="901"/>
      <c r="U50" s="901"/>
      <c r="V50" s="901"/>
      <c r="W50" s="901"/>
      <c r="X50" s="901"/>
      <c r="Y50" s="901"/>
      <c r="Z50" s="901"/>
      <c r="AA50" s="901"/>
      <c r="AB50" s="901"/>
      <c r="AC50" s="901"/>
      <c r="AD50" s="901"/>
      <c r="AE50" s="901"/>
      <c r="AF50" s="901"/>
      <c r="AG50" s="901"/>
      <c r="AH50" s="901"/>
      <c r="AI50" s="901"/>
      <c r="AJ50" s="901"/>
      <c r="AK50" s="901"/>
      <c r="AL50" s="901"/>
      <c r="AM50" s="901"/>
      <c r="AN50" s="901"/>
      <c r="AO50" s="901"/>
      <c r="AP50" s="901"/>
      <c r="AQ50" s="901"/>
      <c r="AR50" s="901"/>
      <c r="AS50" s="901"/>
      <c r="AT50" s="901"/>
      <c r="AU50" s="901"/>
      <c r="AV50" s="901"/>
      <c r="AW50" s="901"/>
      <c r="AX50" s="901"/>
      <c r="AY50" s="901"/>
      <c r="AZ50" s="901"/>
      <c r="BA50" s="901"/>
      <c r="BB50" s="901"/>
      <c r="BC50" s="901"/>
    </row>
    <row r="51" spans="1:55" ht="16.5" thickBot="1">
      <c r="A51" s="928">
        <v>1560</v>
      </c>
      <c r="B51" s="929" t="s">
        <v>595</v>
      </c>
      <c r="C51" s="930"/>
      <c r="D51" s="931">
        <v>0.19359999999999999</v>
      </c>
      <c r="E51" s="968">
        <v>0.219</v>
      </c>
      <c r="F51" s="968">
        <v>0.1847</v>
      </c>
      <c r="G51" s="968">
        <v>0.113</v>
      </c>
      <c r="H51" s="968">
        <v>3.0200000000000001E-2</v>
      </c>
      <c r="I51" s="968">
        <v>5.6300000000000003E-2</v>
      </c>
      <c r="J51" s="968">
        <v>6.9000000000000006E-2</v>
      </c>
      <c r="K51" s="1013">
        <v>2.1499999999999998E-2</v>
      </c>
      <c r="L51" s="968">
        <v>0.23419999999999999</v>
      </c>
      <c r="M51" s="1073">
        <v>0.1</v>
      </c>
      <c r="O51" s="919"/>
      <c r="P51" s="907"/>
      <c r="Q51" s="901"/>
      <c r="R51" s="901"/>
      <c r="S51" s="901"/>
      <c r="T51" s="901"/>
      <c r="U51" s="901"/>
      <c r="V51" s="901"/>
      <c r="W51" s="901"/>
      <c r="X51" s="901"/>
      <c r="Y51" s="901"/>
      <c r="Z51" s="901"/>
      <c r="AA51" s="901"/>
      <c r="AB51" s="901"/>
      <c r="AC51" s="901"/>
      <c r="AD51" s="901"/>
      <c r="AE51" s="901"/>
      <c r="AF51" s="901"/>
      <c r="AG51" s="901"/>
      <c r="AH51" s="901"/>
      <c r="AI51" s="901"/>
      <c r="AJ51" s="901"/>
      <c r="AK51" s="901"/>
      <c r="AL51" s="901"/>
      <c r="AM51" s="901"/>
      <c r="AN51" s="901"/>
      <c r="AO51" s="901"/>
      <c r="AP51" s="901"/>
      <c r="AQ51" s="901"/>
      <c r="AR51" s="901"/>
      <c r="AS51" s="901"/>
      <c r="AT51" s="901"/>
      <c r="AU51" s="901"/>
      <c r="AV51" s="901"/>
      <c r="AW51" s="901"/>
      <c r="AX51" s="901"/>
      <c r="AY51" s="901"/>
      <c r="AZ51" s="901"/>
      <c r="BA51" s="901"/>
      <c r="BB51" s="901"/>
      <c r="BC51" s="901"/>
    </row>
    <row r="52" spans="1:55" ht="15.75">
      <c r="A52" s="932"/>
      <c r="B52" s="1074" t="s">
        <v>0</v>
      </c>
      <c r="C52" s="1074" t="s">
        <v>295</v>
      </c>
      <c r="D52" s="933">
        <f>SUM(D22:D51)</f>
        <v>1</v>
      </c>
      <c r="E52" s="934">
        <f t="shared" ref="E52:M52" si="0">SUM(E22:E51)</f>
        <v>0.99999999999999978</v>
      </c>
      <c r="F52" s="934">
        <f t="shared" si="0"/>
        <v>1</v>
      </c>
      <c r="G52" s="934">
        <f t="shared" si="0"/>
        <v>0.99999999999999978</v>
      </c>
      <c r="H52" s="934">
        <f t="shared" si="0"/>
        <v>0.99999999999999978</v>
      </c>
      <c r="I52" s="935">
        <f t="shared" si="0"/>
        <v>1</v>
      </c>
      <c r="J52" s="934">
        <f t="shared" si="0"/>
        <v>1</v>
      </c>
      <c r="K52" s="935">
        <f t="shared" si="0"/>
        <v>1</v>
      </c>
      <c r="L52" s="934">
        <f t="shared" si="0"/>
        <v>1</v>
      </c>
      <c r="M52" s="934">
        <f t="shared" si="0"/>
        <v>1</v>
      </c>
      <c r="O52" s="919"/>
      <c r="P52" s="907"/>
      <c r="Q52" s="901"/>
      <c r="R52" s="901"/>
      <c r="S52" s="901"/>
      <c r="T52" s="901"/>
      <c r="U52" s="901"/>
      <c r="V52" s="901"/>
      <c r="W52" s="901"/>
      <c r="X52" s="901"/>
      <c r="Y52" s="901"/>
      <c r="Z52" s="901"/>
      <c r="AA52" s="901"/>
      <c r="AB52" s="901"/>
      <c r="AC52" s="901"/>
      <c r="AD52" s="901"/>
      <c r="AE52" s="901"/>
      <c r="AF52" s="901"/>
      <c r="AG52" s="901"/>
      <c r="AH52" s="901"/>
      <c r="AI52" s="901"/>
      <c r="AJ52" s="901"/>
      <c r="AK52" s="901"/>
      <c r="AL52" s="901"/>
      <c r="AM52" s="901"/>
      <c r="AN52" s="901"/>
      <c r="AO52" s="901"/>
      <c r="AP52" s="901"/>
      <c r="AQ52" s="901"/>
      <c r="AR52" s="901"/>
      <c r="AS52" s="901"/>
      <c r="AT52" s="901"/>
      <c r="AU52" s="901"/>
      <c r="AV52" s="901"/>
      <c r="AW52" s="901"/>
      <c r="AX52" s="901"/>
      <c r="AY52" s="901"/>
      <c r="AZ52" s="901"/>
      <c r="BA52" s="901"/>
      <c r="BB52" s="901"/>
      <c r="BC52" s="901"/>
    </row>
    <row r="53" spans="1:55" ht="15">
      <c r="A53" s="936"/>
      <c r="B53" s="936"/>
      <c r="C53" s="937"/>
      <c r="D53" s="936"/>
      <c r="E53" s="938"/>
      <c r="F53" s="938"/>
      <c r="G53" s="938"/>
      <c r="H53" s="938"/>
      <c r="I53" s="938"/>
      <c r="J53" s="938"/>
      <c r="K53" s="939"/>
      <c r="L53" s="938"/>
      <c r="M53" s="938"/>
      <c r="O53" s="919"/>
      <c r="P53" s="907"/>
      <c r="Q53" s="901"/>
      <c r="R53" s="901"/>
      <c r="S53" s="901"/>
      <c r="T53" s="901"/>
      <c r="U53" s="901"/>
      <c r="V53" s="901"/>
      <c r="W53" s="901"/>
      <c r="X53" s="901"/>
      <c r="Y53" s="901"/>
      <c r="Z53" s="901"/>
      <c r="AA53" s="901"/>
      <c r="AB53" s="901"/>
      <c r="AC53" s="901"/>
      <c r="AD53" s="901"/>
      <c r="AE53" s="901"/>
      <c r="AF53" s="901"/>
      <c r="AG53" s="901"/>
      <c r="AH53" s="901"/>
      <c r="AI53" s="901"/>
      <c r="AJ53" s="901"/>
      <c r="AK53" s="901"/>
      <c r="AL53" s="901"/>
      <c r="AM53" s="901"/>
      <c r="AN53" s="901"/>
      <c r="AO53" s="901"/>
      <c r="AP53" s="901"/>
      <c r="AQ53" s="901"/>
      <c r="AR53" s="901"/>
      <c r="AS53" s="901"/>
      <c r="AT53" s="901"/>
      <c r="AU53" s="901"/>
      <c r="AV53" s="901"/>
      <c r="AW53" s="901"/>
      <c r="AX53" s="901"/>
      <c r="AY53" s="901"/>
      <c r="AZ53" s="901"/>
      <c r="BA53" s="901"/>
      <c r="BB53" s="901"/>
      <c r="BC53" s="901"/>
    </row>
    <row r="54" spans="1:55" ht="15">
      <c r="A54" s="936"/>
      <c r="B54" s="936"/>
      <c r="C54" s="937"/>
      <c r="D54" s="936"/>
      <c r="E54" s="938"/>
      <c r="F54" s="938"/>
      <c r="G54" s="938"/>
      <c r="H54" s="938"/>
      <c r="I54" s="938"/>
      <c r="J54" s="938"/>
      <c r="K54" s="939"/>
      <c r="L54" s="938"/>
      <c r="M54" s="938"/>
      <c r="O54" s="938"/>
      <c r="P54" s="936"/>
    </row>
    <row r="55" spans="1:55" ht="16.5" thickBot="1">
      <c r="A55" s="936"/>
      <c r="B55" s="1075" t="s">
        <v>596</v>
      </c>
      <c r="C55" s="940"/>
      <c r="D55" s="929"/>
      <c r="E55" s="941"/>
      <c r="F55" s="941"/>
      <c r="G55" s="941"/>
      <c r="H55" s="941"/>
      <c r="I55" s="941"/>
      <c r="J55" s="941"/>
      <c r="K55" s="942"/>
      <c r="L55" s="941"/>
      <c r="M55" s="941"/>
      <c r="O55" s="938"/>
      <c r="P55" s="936"/>
    </row>
    <row r="56" spans="1:55" ht="15.75">
      <c r="A56" s="936"/>
      <c r="B56" s="936" t="s">
        <v>597</v>
      </c>
      <c r="C56" s="943"/>
      <c r="D56" s="944">
        <v>1.84E-2</v>
      </c>
      <c r="E56" s="944">
        <v>1.4E-2</v>
      </c>
      <c r="F56" s="969">
        <v>1.2999999999999999E-3</v>
      </c>
      <c r="G56" s="969">
        <v>3.4099999999999998E-2</v>
      </c>
      <c r="H56" s="969">
        <v>5.9900000000000002E-2</v>
      </c>
      <c r="I56" s="944">
        <v>5.2699999999999997E-2</v>
      </c>
      <c r="J56" s="944" t="s">
        <v>566</v>
      </c>
      <c r="K56" s="944" t="s">
        <v>566</v>
      </c>
      <c r="L56" s="969">
        <v>1.17E-2</v>
      </c>
      <c r="M56" s="1076">
        <v>3.6600000000000001E-2</v>
      </c>
      <c r="O56" s="938"/>
      <c r="P56" s="936"/>
    </row>
    <row r="57" spans="1:55" ht="15.75">
      <c r="A57" s="936"/>
      <c r="B57" s="936" t="s">
        <v>598</v>
      </c>
      <c r="C57" s="932"/>
      <c r="D57" s="969">
        <v>6.3700000000000007E-2</v>
      </c>
      <c r="E57" s="944" t="s">
        <v>566</v>
      </c>
      <c r="F57" s="944" t="s">
        <v>566</v>
      </c>
      <c r="G57" s="944" t="s">
        <v>566</v>
      </c>
      <c r="H57" s="944">
        <v>2.9999999999999997E-4</v>
      </c>
      <c r="I57" s="944">
        <v>3.3999999999999998E-3</v>
      </c>
      <c r="J57" s="944" t="s">
        <v>566</v>
      </c>
      <c r="K57" s="944" t="s">
        <v>566</v>
      </c>
      <c r="L57" s="944" t="s">
        <v>566</v>
      </c>
      <c r="M57" s="1077">
        <v>9.1000000000000004E-3</v>
      </c>
      <c r="O57" s="938"/>
      <c r="P57" s="936"/>
    </row>
    <row r="58" spans="1:55" ht="15.75">
      <c r="A58" s="936"/>
      <c r="B58" s="936" t="s">
        <v>599</v>
      </c>
      <c r="C58" s="932"/>
      <c r="D58" s="945">
        <v>0</v>
      </c>
      <c r="E58" s="944" t="s">
        <v>566</v>
      </c>
      <c r="F58" s="944" t="s">
        <v>566</v>
      </c>
      <c r="G58" s="969">
        <v>5.5999999999999999E-3</v>
      </c>
      <c r="H58" s="969">
        <v>3.8E-3</v>
      </c>
      <c r="I58" s="944">
        <v>1.11E-2</v>
      </c>
      <c r="J58" s="944" t="s">
        <v>566</v>
      </c>
      <c r="K58" s="944" t="s">
        <v>566</v>
      </c>
      <c r="L58" s="944" t="s">
        <v>566</v>
      </c>
      <c r="M58" s="1077">
        <v>3.8E-3</v>
      </c>
      <c r="O58" s="938"/>
      <c r="P58" s="936"/>
    </row>
    <row r="59" spans="1:55" ht="15.75">
      <c r="A59" s="936"/>
      <c r="B59" s="936" t="s">
        <v>600</v>
      </c>
      <c r="C59" s="932"/>
      <c r="D59" s="944">
        <v>4.2200000000000001E-2</v>
      </c>
      <c r="E59" s="969">
        <v>1.61E-2</v>
      </c>
      <c r="F59" s="969">
        <v>2.7199999999999998E-2</v>
      </c>
      <c r="G59" s="969">
        <v>8.2199999999999995E-2</v>
      </c>
      <c r="H59" s="969">
        <v>4.7600000000000003E-2</v>
      </c>
      <c r="I59" s="969">
        <v>4.6600000000000003E-2</v>
      </c>
      <c r="J59" s="944" t="s">
        <v>566</v>
      </c>
      <c r="K59" s="944">
        <v>8.09E-2</v>
      </c>
      <c r="L59" s="944">
        <v>2.5000000000000001E-3</v>
      </c>
      <c r="M59" s="1076">
        <v>5.3600000000000002E-2</v>
      </c>
      <c r="O59" s="938"/>
      <c r="P59" s="936"/>
    </row>
    <row r="60" spans="1:55" ht="15.75">
      <c r="A60" s="936"/>
      <c r="B60" s="936" t="s">
        <v>601</v>
      </c>
      <c r="C60" s="932"/>
      <c r="D60" s="945">
        <v>0</v>
      </c>
      <c r="E60" s="944">
        <v>5.0099999999999999E-2</v>
      </c>
      <c r="F60" s="944" t="s">
        <v>566</v>
      </c>
      <c r="G60" s="944" t="s">
        <v>566</v>
      </c>
      <c r="H60" s="944">
        <v>2.53E-2</v>
      </c>
      <c r="I60" s="944">
        <v>3.49E-2</v>
      </c>
      <c r="J60" s="944" t="s">
        <v>566</v>
      </c>
      <c r="K60" s="944" t="s">
        <v>566</v>
      </c>
      <c r="L60" s="944" t="s">
        <v>566</v>
      </c>
      <c r="M60" s="1076">
        <v>1.14E-2</v>
      </c>
      <c r="O60" s="938"/>
      <c r="P60" s="936"/>
    </row>
    <row r="61" spans="1:55" ht="15.75">
      <c r="A61" s="936"/>
      <c r="B61" s="936" t="s">
        <v>602</v>
      </c>
      <c r="C61" s="932"/>
      <c r="D61" s="945">
        <v>0</v>
      </c>
      <c r="E61" s="944" t="s">
        <v>566</v>
      </c>
      <c r="F61" s="944" t="s">
        <v>566</v>
      </c>
      <c r="G61" s="944" t="s">
        <v>566</v>
      </c>
      <c r="H61" s="944" t="s">
        <v>566</v>
      </c>
      <c r="I61" s="944">
        <v>5.8999999999999999E-3</v>
      </c>
      <c r="J61" s="944" t="s">
        <v>566</v>
      </c>
      <c r="K61" s="944">
        <v>0.16869999999999999</v>
      </c>
      <c r="L61" s="944" t="s">
        <v>566</v>
      </c>
      <c r="M61" s="1076">
        <v>4.7000000000000002E-3</v>
      </c>
      <c r="O61" s="938"/>
      <c r="P61" s="936"/>
    </row>
    <row r="62" spans="1:55" ht="16.5" thickBot="1">
      <c r="A62" s="936"/>
      <c r="B62" s="929" t="s">
        <v>603</v>
      </c>
      <c r="C62" s="946"/>
      <c r="D62" s="931">
        <v>7.1000000000000004E-3</v>
      </c>
      <c r="E62" s="931" t="s">
        <v>566</v>
      </c>
      <c r="F62" s="968">
        <v>2.1600000000000001E-2</v>
      </c>
      <c r="G62" s="968">
        <v>5.0900000000000001E-2</v>
      </c>
      <c r="H62" s="968">
        <v>3.4799999999999998E-2</v>
      </c>
      <c r="I62" s="931" t="s">
        <v>566</v>
      </c>
      <c r="J62" s="931" t="s">
        <v>566</v>
      </c>
      <c r="K62" s="1406" t="s">
        <v>566</v>
      </c>
      <c r="L62" s="931">
        <v>2.1499999999999998E-2</v>
      </c>
      <c r="M62" s="1078">
        <v>2.9499999999999998E-2</v>
      </c>
      <c r="O62" s="938"/>
      <c r="P62" s="936"/>
    </row>
    <row r="63" spans="1:55" ht="15.75">
      <c r="A63" s="936"/>
      <c r="B63" s="1074" t="s">
        <v>0</v>
      </c>
      <c r="C63" s="1074" t="s">
        <v>604</v>
      </c>
      <c r="D63" s="934">
        <f t="shared" ref="D63:I63" si="1">SUM(D56:D62)</f>
        <v>0.13140000000000002</v>
      </c>
      <c r="E63" s="934">
        <f t="shared" si="1"/>
        <v>8.0199999999999994E-2</v>
      </c>
      <c r="F63" s="934">
        <f t="shared" si="1"/>
        <v>5.0099999999999999E-2</v>
      </c>
      <c r="G63" s="934">
        <f t="shared" si="1"/>
        <v>0.17280000000000001</v>
      </c>
      <c r="H63" s="934">
        <f t="shared" si="1"/>
        <v>0.17169999999999999</v>
      </c>
      <c r="I63" s="935">
        <f t="shared" si="1"/>
        <v>0.15459999999999999</v>
      </c>
      <c r="J63" s="944" t="s">
        <v>566</v>
      </c>
      <c r="K63" s="935">
        <f>SUM(K56:K62)</f>
        <v>0.24959999999999999</v>
      </c>
      <c r="L63" s="934">
        <f>SUM(L56:L62)</f>
        <v>3.5699999999999996E-2</v>
      </c>
      <c r="M63" s="1079">
        <f>SUM(M56:M62)</f>
        <v>0.1487</v>
      </c>
      <c r="O63" s="938"/>
      <c r="P63" s="936"/>
    </row>
    <row r="64" spans="1:55" ht="15.75">
      <c r="A64" s="936"/>
      <c r="B64" s="1074"/>
      <c r="C64" s="907"/>
      <c r="D64" s="947"/>
      <c r="E64" s="1080"/>
      <c r="F64" s="1080"/>
      <c r="G64" s="1080"/>
      <c r="H64" s="1080"/>
      <c r="I64" s="1080"/>
      <c r="J64" s="947"/>
      <c r="K64" s="1081"/>
      <c r="L64" s="1080"/>
      <c r="M64" s="1079"/>
      <c r="O64" s="938"/>
      <c r="P64" s="936"/>
    </row>
    <row r="65" spans="1:16" ht="15.75">
      <c r="A65" s="936"/>
      <c r="B65" s="1074"/>
      <c r="C65" s="907"/>
      <c r="D65" s="947"/>
      <c r="E65" s="1080"/>
      <c r="F65" s="1080"/>
      <c r="G65" s="1080"/>
      <c r="H65" s="1080"/>
      <c r="I65" s="1080"/>
      <c r="J65" s="947"/>
      <c r="K65" s="1081"/>
      <c r="L65" s="1080"/>
      <c r="M65" s="1079"/>
      <c r="O65" s="938"/>
      <c r="P65" s="936"/>
    </row>
    <row r="66" spans="1:16" ht="15">
      <c r="A66" s="936"/>
      <c r="B66" s="936"/>
      <c r="C66" s="936"/>
      <c r="D66" s="948"/>
      <c r="E66" s="938"/>
      <c r="F66" s="938"/>
      <c r="G66" s="938"/>
      <c r="H66" s="938"/>
      <c r="I66" s="938"/>
      <c r="J66" s="938"/>
      <c r="K66" s="939"/>
      <c r="L66" s="938"/>
      <c r="M66" s="938"/>
      <c r="O66" s="938"/>
      <c r="P66" s="936"/>
    </row>
    <row r="67" spans="1:16" ht="16.5" thickBot="1">
      <c r="A67" s="936"/>
      <c r="B67" s="1075" t="s">
        <v>605</v>
      </c>
      <c r="C67" s="929"/>
      <c r="D67" s="929"/>
      <c r="E67" s="941"/>
      <c r="F67" s="941"/>
      <c r="G67" s="941"/>
      <c r="H67" s="941"/>
      <c r="I67" s="941"/>
      <c r="J67" s="941"/>
      <c r="K67" s="942"/>
      <c r="L67" s="941"/>
      <c r="M67" s="941"/>
      <c r="O67" s="938"/>
      <c r="P67" s="936"/>
    </row>
    <row r="68" spans="1:16" ht="15.75">
      <c r="A68" s="936"/>
      <c r="B68" s="936" t="s">
        <v>606</v>
      </c>
      <c r="C68" s="932"/>
      <c r="D68" s="944">
        <v>2.0999999999999999E-3</v>
      </c>
      <c r="E68" s="969">
        <v>4.4000000000000003E-3</v>
      </c>
      <c r="F68" s="969">
        <v>6.7000000000000002E-3</v>
      </c>
      <c r="G68" s="969">
        <v>3.7000000000000002E-3</v>
      </c>
      <c r="H68" s="969">
        <v>4.7000000000000002E-3</v>
      </c>
      <c r="I68" s="969">
        <v>5.7999999999999996E-3</v>
      </c>
      <c r="J68" s="944" t="s">
        <v>566</v>
      </c>
      <c r="K68" s="944" t="s">
        <v>566</v>
      </c>
      <c r="L68" s="944" t="s">
        <v>566</v>
      </c>
      <c r="M68" s="1077">
        <v>3.7000000000000002E-3</v>
      </c>
      <c r="O68" s="938"/>
      <c r="P68" s="936"/>
    </row>
    <row r="69" spans="1:16" ht="15.75">
      <c r="A69" s="936"/>
      <c r="B69" s="936" t="s">
        <v>599</v>
      </c>
      <c r="C69" s="932"/>
      <c r="D69" s="944" t="s">
        <v>566</v>
      </c>
      <c r="E69" s="944" t="s">
        <v>566</v>
      </c>
      <c r="F69" s="944" t="s">
        <v>566</v>
      </c>
      <c r="G69" s="944">
        <v>1E-4</v>
      </c>
      <c r="H69" s="944" t="s">
        <v>566</v>
      </c>
      <c r="I69" s="944">
        <v>1.1000000000000001E-3</v>
      </c>
      <c r="J69" s="944" t="s">
        <v>566</v>
      </c>
      <c r="K69" s="944" t="s">
        <v>566</v>
      </c>
      <c r="L69" s="944">
        <v>2.9999999999999997E-4</v>
      </c>
      <c r="M69" s="1076">
        <v>1E-4</v>
      </c>
      <c r="O69" s="938"/>
      <c r="P69" s="936"/>
    </row>
    <row r="70" spans="1:16" ht="15.75">
      <c r="A70" s="936"/>
      <c r="B70" s="936" t="s">
        <v>607</v>
      </c>
      <c r="C70" s="932"/>
      <c r="D70" s="944">
        <v>1.8E-3</v>
      </c>
      <c r="E70" s="969">
        <v>8.9999999999999998E-4</v>
      </c>
      <c r="F70" s="944" t="s">
        <v>566</v>
      </c>
      <c r="G70" s="944">
        <v>4.6800000000000001E-2</v>
      </c>
      <c r="H70" s="944">
        <v>6.08E-2</v>
      </c>
      <c r="I70" s="944">
        <v>3.49E-2</v>
      </c>
      <c r="J70" s="944" t="s">
        <v>566</v>
      </c>
      <c r="K70" s="944">
        <v>0.10730000000000001</v>
      </c>
      <c r="L70" s="944">
        <v>2.9999999999999997E-4</v>
      </c>
      <c r="M70" s="1076">
        <v>3.9199999999999999E-2</v>
      </c>
      <c r="O70" s="938"/>
      <c r="P70" s="936"/>
    </row>
    <row r="71" spans="1:16" ht="15.75">
      <c r="A71" s="936"/>
      <c r="B71" s="936" t="s">
        <v>600</v>
      </c>
      <c r="C71" s="932"/>
      <c r="D71" s="944">
        <v>3.3999999999999998E-3</v>
      </c>
      <c r="E71" s="969">
        <v>3.8E-3</v>
      </c>
      <c r="F71" s="969">
        <v>1.46E-2</v>
      </c>
      <c r="G71" s="969">
        <v>2.01E-2</v>
      </c>
      <c r="H71" s="969">
        <v>2.1499999999999998E-2</v>
      </c>
      <c r="I71" s="944">
        <v>0.04</v>
      </c>
      <c r="J71" s="944" t="s">
        <v>566</v>
      </c>
      <c r="K71" s="944">
        <v>4.1000000000000003E-3</v>
      </c>
      <c r="L71" s="969">
        <v>2.8E-3</v>
      </c>
      <c r="M71" s="1076">
        <v>1.72E-2</v>
      </c>
      <c r="O71" s="938"/>
      <c r="P71" s="936"/>
    </row>
    <row r="72" spans="1:16" ht="15.75">
      <c r="A72" s="936"/>
      <c r="B72" s="936" t="s">
        <v>608</v>
      </c>
      <c r="C72" s="932"/>
      <c r="D72" s="944">
        <v>2.9999999999999997E-4</v>
      </c>
      <c r="E72" s="944">
        <v>1.1999999999999999E-3</v>
      </c>
      <c r="F72" s="944" t="s">
        <v>566</v>
      </c>
      <c r="G72" s="944">
        <v>2.3999999999999998E-3</v>
      </c>
      <c r="H72" s="944">
        <v>1.1000000000000001E-3</v>
      </c>
      <c r="I72" s="944">
        <v>1.8E-3</v>
      </c>
      <c r="J72" s="944" t="s">
        <v>566</v>
      </c>
      <c r="K72" s="944" t="s">
        <v>566</v>
      </c>
      <c r="L72" s="944" t="s">
        <v>566</v>
      </c>
      <c r="M72" s="1076">
        <v>1.4E-3</v>
      </c>
      <c r="O72" s="938"/>
      <c r="P72" s="936"/>
    </row>
    <row r="73" spans="1:16" ht="15.75">
      <c r="A73" s="936"/>
      <c r="B73" s="936" t="s">
        <v>609</v>
      </c>
      <c r="C73" s="932"/>
      <c r="D73" s="945">
        <v>0</v>
      </c>
      <c r="E73" s="944" t="s">
        <v>566</v>
      </c>
      <c r="F73" s="944" t="s">
        <v>566</v>
      </c>
      <c r="G73" s="944">
        <v>1.49E-2</v>
      </c>
      <c r="H73" s="944">
        <v>4.4000000000000003E-3</v>
      </c>
      <c r="I73" s="944">
        <v>2.69E-2</v>
      </c>
      <c r="J73" s="944" t="s">
        <v>566</v>
      </c>
      <c r="K73" s="944" t="s">
        <v>566</v>
      </c>
      <c r="L73" s="944" t="s">
        <v>566</v>
      </c>
      <c r="M73" s="1076">
        <v>8.2000000000000007E-3</v>
      </c>
      <c r="O73" s="938"/>
      <c r="P73" s="936"/>
    </row>
    <row r="74" spans="1:16" ht="15.75">
      <c r="A74" s="936"/>
      <c r="B74" s="936" t="s">
        <v>601</v>
      </c>
      <c r="C74" s="932"/>
      <c r="D74" s="945">
        <v>0</v>
      </c>
      <c r="E74" s="944" t="s">
        <v>566</v>
      </c>
      <c r="F74" s="944" t="s">
        <v>566</v>
      </c>
      <c r="G74" s="944" t="s">
        <v>566</v>
      </c>
      <c r="H74" s="944">
        <v>1.2200000000000001E-2</v>
      </c>
      <c r="I74" s="944">
        <v>4.0000000000000002E-4</v>
      </c>
      <c r="J74" s="944" t="s">
        <v>566</v>
      </c>
      <c r="K74" s="944">
        <v>1.3100000000000001E-2</v>
      </c>
      <c r="L74" s="944" t="s">
        <v>566</v>
      </c>
      <c r="M74" s="1076">
        <v>4.0000000000000001E-3</v>
      </c>
      <c r="O74" s="938"/>
      <c r="P74" s="936"/>
    </row>
    <row r="75" spans="1:16" ht="16.5" thickBot="1">
      <c r="A75" s="936"/>
      <c r="B75" s="929" t="s">
        <v>603</v>
      </c>
      <c r="C75" s="946"/>
      <c r="D75" s="931">
        <v>1.18E-2</v>
      </c>
      <c r="E75" s="968">
        <v>0.25340000000000001</v>
      </c>
      <c r="F75" s="968">
        <v>4.2299999999999997E-2</v>
      </c>
      <c r="G75" s="968">
        <v>2.2800000000000001E-2</v>
      </c>
      <c r="H75" s="968">
        <v>4.1000000000000002E-2</v>
      </c>
      <c r="I75" s="931">
        <v>9.1000000000000004E-3</v>
      </c>
      <c r="J75" s="931" t="s">
        <v>566</v>
      </c>
      <c r="K75" s="931">
        <v>0.10879999999999999</v>
      </c>
      <c r="L75" s="968">
        <v>2.0999999999999999E-3</v>
      </c>
      <c r="M75" s="1073">
        <v>3.1699999999999999E-2</v>
      </c>
      <c r="O75" s="938"/>
      <c r="P75" s="936"/>
    </row>
    <row r="76" spans="1:16" ht="15.75">
      <c r="A76" s="936"/>
      <c r="C76" s="1074" t="s">
        <v>604</v>
      </c>
      <c r="D76" s="934">
        <f t="shared" ref="D76:I76" si="2">SUM(D68:D75)</f>
        <v>1.9400000000000001E-2</v>
      </c>
      <c r="E76" s="934">
        <f t="shared" si="2"/>
        <v>0.26369999999999999</v>
      </c>
      <c r="F76" s="934">
        <f t="shared" si="2"/>
        <v>6.359999999999999E-2</v>
      </c>
      <c r="G76" s="934">
        <f t="shared" si="2"/>
        <v>0.1108</v>
      </c>
      <c r="H76" s="934">
        <f t="shared" si="2"/>
        <v>0.1457</v>
      </c>
      <c r="I76" s="935">
        <f t="shared" si="2"/>
        <v>0.12000000000000001</v>
      </c>
      <c r="J76" s="944" t="s">
        <v>566</v>
      </c>
      <c r="K76" s="935">
        <f>SUM(K68:K75)</f>
        <v>0.23330000000000001</v>
      </c>
      <c r="L76" s="935">
        <f>SUM(L68:L75)</f>
        <v>5.4999999999999997E-3</v>
      </c>
      <c r="M76" s="1079">
        <f>SUM(M68:M75)</f>
        <v>0.10550000000000001</v>
      </c>
      <c r="O76" s="938"/>
      <c r="P76" s="936"/>
    </row>
    <row r="77" spans="1:16" ht="15">
      <c r="A77" s="936"/>
      <c r="B77" s="936"/>
      <c r="C77" s="936"/>
      <c r="D77" s="936"/>
      <c r="E77" s="936"/>
      <c r="F77" s="938"/>
      <c r="G77" s="938"/>
      <c r="H77" s="938"/>
      <c r="I77" s="938"/>
      <c r="J77" s="938"/>
      <c r="K77" s="938"/>
      <c r="L77" s="938"/>
      <c r="M77" s="938"/>
      <c r="N77" s="938"/>
      <c r="O77" s="938"/>
      <c r="P77" s="936"/>
    </row>
    <row r="78" spans="1:16" ht="15">
      <c r="A78" s="936"/>
      <c r="B78" s="936"/>
      <c r="C78" s="936"/>
      <c r="D78" s="936"/>
      <c r="E78" s="936"/>
      <c r="F78" s="938"/>
      <c r="G78" s="938"/>
      <c r="H78" s="938"/>
      <c r="I78" s="938" t="s">
        <v>0</v>
      </c>
      <c r="J78" s="938"/>
      <c r="K78" s="938"/>
      <c r="L78" s="938"/>
      <c r="M78" s="938"/>
      <c r="N78" s="938"/>
      <c r="O78" s="938"/>
      <c r="P78" s="936"/>
    </row>
    <row r="79" spans="1:16" ht="15">
      <c r="A79" s="936"/>
      <c r="B79" s="936"/>
      <c r="C79" s="936"/>
      <c r="D79" s="936"/>
      <c r="E79" s="936"/>
      <c r="F79" s="938"/>
      <c r="G79" s="938"/>
      <c r="H79" s="938"/>
      <c r="I79" s="938"/>
      <c r="J79" s="938"/>
      <c r="K79" s="938"/>
      <c r="L79" s="938"/>
      <c r="M79" s="938"/>
      <c r="N79" s="938"/>
      <c r="O79" s="938"/>
      <c r="P79" s="936"/>
    </row>
    <row r="80" spans="1:16" ht="15">
      <c r="A80" s="936"/>
      <c r="B80" s="936"/>
      <c r="C80" s="936"/>
      <c r="D80" s="936"/>
      <c r="E80" s="936"/>
      <c r="F80" s="938"/>
      <c r="G80" s="938"/>
      <c r="H80" s="938"/>
      <c r="I80" s="938"/>
      <c r="J80" s="938"/>
      <c r="K80" s="938"/>
      <c r="L80" s="938"/>
      <c r="M80" s="938"/>
      <c r="N80" s="938"/>
      <c r="O80" s="938"/>
      <c r="P80" s="936"/>
    </row>
    <row r="81" spans="1:16" ht="15">
      <c r="A81" s="936"/>
      <c r="B81" s="936"/>
      <c r="C81" s="936"/>
      <c r="D81" s="936"/>
      <c r="E81" s="936"/>
      <c r="F81" s="938"/>
      <c r="G81" s="938"/>
      <c r="H81" s="938"/>
      <c r="I81" s="938"/>
      <c r="J81" s="938"/>
      <c r="K81" s="938"/>
      <c r="L81" s="938"/>
      <c r="M81" s="938"/>
      <c r="N81" s="938"/>
      <c r="O81" s="938"/>
      <c r="P81" s="936"/>
    </row>
    <row r="82" spans="1:16" ht="15">
      <c r="A82" s="936"/>
      <c r="B82" s="936"/>
      <c r="C82" s="936"/>
      <c r="D82" s="936"/>
      <c r="E82" s="936"/>
      <c r="F82" s="938"/>
      <c r="G82" s="938"/>
      <c r="H82" s="938"/>
      <c r="I82" s="938"/>
      <c r="J82" s="938"/>
      <c r="K82" s="938"/>
      <c r="L82" s="938"/>
      <c r="M82" s="938"/>
      <c r="N82" s="938"/>
      <c r="O82" s="938"/>
      <c r="P82" s="936"/>
    </row>
    <row r="83" spans="1:16" ht="15">
      <c r="A83" s="936"/>
      <c r="B83" s="936"/>
      <c r="C83" s="936"/>
      <c r="D83" s="936"/>
      <c r="E83" s="936"/>
      <c r="F83" s="938"/>
      <c r="G83" s="938"/>
      <c r="H83" s="938"/>
      <c r="I83" s="938"/>
      <c r="J83" s="938"/>
      <c r="K83" s="938"/>
      <c r="L83" s="938"/>
      <c r="M83" s="938"/>
      <c r="N83" s="938"/>
      <c r="O83" s="938"/>
      <c r="P83" s="936"/>
    </row>
    <row r="84" spans="1:16" ht="15">
      <c r="A84" s="936"/>
      <c r="B84" s="936"/>
      <c r="C84" s="936"/>
      <c r="D84" s="936"/>
      <c r="E84" s="936"/>
      <c r="F84" s="938"/>
      <c r="G84" s="938"/>
      <c r="H84" s="938"/>
      <c r="I84" s="938"/>
      <c r="J84" s="938"/>
      <c r="K84" s="938"/>
      <c r="L84" s="938"/>
      <c r="M84" s="938"/>
      <c r="N84" s="938"/>
      <c r="O84" s="938"/>
      <c r="P84" s="936"/>
    </row>
    <row r="85" spans="1:16" ht="15">
      <c r="A85" s="936"/>
      <c r="B85" s="936"/>
      <c r="C85" s="936"/>
      <c r="D85" s="936"/>
      <c r="E85" s="936"/>
      <c r="F85" s="938"/>
      <c r="G85" s="938"/>
      <c r="H85" s="938"/>
      <c r="I85" s="938"/>
      <c r="J85" s="938"/>
      <c r="K85" s="938"/>
      <c r="L85" s="938"/>
      <c r="M85" s="938"/>
      <c r="N85" s="938"/>
      <c r="O85" s="938"/>
      <c r="P85" s="936"/>
    </row>
    <row r="86" spans="1:16" ht="15">
      <c r="A86" s="936"/>
      <c r="B86" s="936"/>
      <c r="C86" s="936"/>
      <c r="D86" s="936"/>
      <c r="E86" s="936"/>
      <c r="F86" s="938"/>
      <c r="G86" s="938"/>
      <c r="H86" s="938"/>
      <c r="I86" s="938"/>
      <c r="J86" s="938"/>
      <c r="K86" s="938"/>
      <c r="L86" s="938"/>
      <c r="M86" s="938"/>
      <c r="N86" s="938"/>
      <c r="O86" s="938"/>
      <c r="P86" s="936"/>
    </row>
    <row r="87" spans="1:16" ht="15">
      <c r="A87" s="936"/>
      <c r="B87" s="936"/>
      <c r="C87" s="936"/>
      <c r="D87" s="936"/>
      <c r="E87" s="936"/>
      <c r="F87" s="938"/>
      <c r="G87" s="938"/>
      <c r="H87" s="938"/>
      <c r="I87" s="938"/>
      <c r="J87" s="938"/>
      <c r="K87" s="938"/>
      <c r="L87" s="938"/>
      <c r="M87" s="938"/>
      <c r="N87" s="938"/>
      <c r="O87" s="938"/>
      <c r="P87" s="936"/>
    </row>
    <row r="88" spans="1:16" ht="15">
      <c r="A88" s="936"/>
      <c r="B88" s="936"/>
      <c r="C88" s="936"/>
      <c r="D88" s="936"/>
      <c r="E88" s="936"/>
      <c r="F88" s="938"/>
      <c r="G88" s="938"/>
      <c r="H88" s="938"/>
      <c r="I88" s="938"/>
      <c r="J88" s="938"/>
      <c r="K88" s="938"/>
      <c r="L88" s="938"/>
      <c r="M88" s="938"/>
      <c r="N88" s="938"/>
      <c r="O88" s="938"/>
      <c r="P88" s="936"/>
    </row>
    <row r="89" spans="1:16" ht="15">
      <c r="A89" s="936"/>
      <c r="B89" s="936"/>
      <c r="C89" s="936"/>
      <c r="D89" s="936"/>
      <c r="E89" s="936"/>
      <c r="F89" s="938"/>
      <c r="G89" s="938"/>
      <c r="H89" s="938"/>
      <c r="I89" s="938"/>
      <c r="J89" s="938"/>
      <c r="K89" s="938"/>
      <c r="L89" s="938"/>
      <c r="M89" s="938"/>
      <c r="N89" s="938"/>
      <c r="O89" s="938"/>
      <c r="P89" s="936"/>
    </row>
    <row r="90" spans="1:16" ht="15">
      <c r="A90" s="936"/>
      <c r="B90" s="936"/>
      <c r="C90" s="936"/>
      <c r="D90" s="936"/>
      <c r="E90" s="936"/>
      <c r="F90" s="938"/>
      <c r="G90" s="938"/>
      <c r="H90" s="938"/>
      <c r="I90" s="938"/>
      <c r="J90" s="938"/>
      <c r="K90" s="938"/>
      <c r="L90" s="938"/>
      <c r="M90" s="938"/>
      <c r="N90" s="938"/>
      <c r="O90" s="938"/>
      <c r="P90" s="936"/>
    </row>
    <row r="91" spans="1:16" ht="15">
      <c r="A91" s="936"/>
      <c r="B91" s="936"/>
      <c r="C91" s="936"/>
      <c r="D91" s="936"/>
      <c r="E91" s="936"/>
      <c r="F91" s="938"/>
      <c r="G91" s="938"/>
      <c r="H91" s="938"/>
      <c r="I91" s="938"/>
      <c r="J91" s="938"/>
      <c r="K91" s="938"/>
      <c r="L91" s="938"/>
      <c r="M91" s="938"/>
      <c r="N91" s="938"/>
      <c r="O91" s="938"/>
      <c r="P91" s="936"/>
    </row>
    <row r="92" spans="1:16" ht="15">
      <c r="A92" s="936"/>
      <c r="B92" s="936"/>
      <c r="C92" s="936"/>
      <c r="D92" s="936"/>
      <c r="E92" s="936"/>
      <c r="F92" s="938"/>
      <c r="G92" s="938"/>
      <c r="H92" s="938"/>
      <c r="I92" s="938"/>
      <c r="J92" s="938"/>
      <c r="K92" s="938"/>
      <c r="L92" s="938"/>
      <c r="M92" s="938"/>
      <c r="N92" s="938"/>
      <c r="O92" s="938"/>
      <c r="P92" s="936"/>
    </row>
    <row r="93" spans="1:16" ht="15">
      <c r="A93" s="936"/>
      <c r="B93" s="936"/>
      <c r="C93" s="936"/>
      <c r="D93" s="936"/>
      <c r="E93" s="936"/>
      <c r="F93" s="938"/>
      <c r="G93" s="938"/>
      <c r="H93" s="938"/>
      <c r="I93" s="938"/>
      <c r="J93" s="938"/>
      <c r="K93" s="938"/>
      <c r="L93" s="938"/>
      <c r="M93" s="938"/>
      <c r="N93" s="938"/>
      <c r="O93" s="938"/>
      <c r="P93" s="936"/>
    </row>
    <row r="94" spans="1:16" ht="15">
      <c r="A94" s="936"/>
      <c r="B94" s="936"/>
      <c r="C94" s="936"/>
      <c r="D94" s="936"/>
      <c r="E94" s="936"/>
      <c r="F94" s="938"/>
      <c r="G94" s="938"/>
      <c r="H94" s="938"/>
      <c r="I94" s="938"/>
      <c r="J94" s="938"/>
      <c r="K94" s="938"/>
      <c r="L94" s="938"/>
      <c r="M94" s="938"/>
      <c r="N94" s="938"/>
      <c r="O94" s="938"/>
      <c r="P94" s="936"/>
    </row>
    <row r="95" spans="1:16" ht="15">
      <c r="A95" s="936"/>
      <c r="B95" s="936"/>
      <c r="C95" s="936"/>
      <c r="D95" s="936"/>
      <c r="E95" s="936"/>
      <c r="F95" s="938"/>
      <c r="G95" s="938"/>
      <c r="H95" s="938"/>
      <c r="I95" s="938"/>
      <c r="J95" s="938"/>
      <c r="K95" s="938"/>
      <c r="L95" s="938"/>
      <c r="M95" s="938"/>
      <c r="N95" s="938"/>
      <c r="O95" s="938"/>
      <c r="P95" s="936"/>
    </row>
    <row r="96" spans="1:16" ht="15">
      <c r="A96" s="936"/>
      <c r="B96" s="936"/>
      <c r="C96" s="936"/>
      <c r="D96" s="936"/>
      <c r="E96" s="936"/>
      <c r="F96" s="938"/>
      <c r="G96" s="938"/>
      <c r="H96" s="938"/>
      <c r="I96" s="938"/>
      <c r="J96" s="938"/>
      <c r="K96" s="938"/>
      <c r="L96" s="938"/>
      <c r="M96" s="938"/>
      <c r="N96" s="938"/>
      <c r="O96" s="938"/>
      <c r="P96" s="936"/>
    </row>
    <row r="97" spans="1:16" ht="15">
      <c r="A97" s="936"/>
      <c r="B97" s="936"/>
      <c r="C97" s="936"/>
      <c r="D97" s="936"/>
      <c r="E97" s="936"/>
      <c r="F97" s="938"/>
      <c r="G97" s="938"/>
      <c r="H97" s="938"/>
      <c r="I97" s="938"/>
      <c r="J97" s="938"/>
      <c r="K97" s="938"/>
      <c r="L97" s="938"/>
      <c r="M97" s="938"/>
      <c r="N97" s="938"/>
      <c r="O97" s="938"/>
      <c r="P97" s="936"/>
    </row>
    <row r="98" spans="1:16" ht="15">
      <c r="A98" s="936"/>
      <c r="B98" s="936"/>
      <c r="C98" s="936"/>
      <c r="D98" s="936"/>
      <c r="E98" s="936"/>
      <c r="F98" s="938"/>
      <c r="G98" s="938"/>
      <c r="H98" s="938"/>
      <c r="I98" s="938"/>
      <c r="J98" s="938"/>
      <c r="K98" s="938"/>
      <c r="L98" s="938"/>
      <c r="M98" s="938"/>
      <c r="N98" s="938"/>
      <c r="O98" s="938"/>
      <c r="P98" s="936"/>
    </row>
    <row r="99" spans="1:16" ht="15">
      <c r="A99" s="936"/>
      <c r="B99" s="936"/>
      <c r="C99" s="936"/>
      <c r="D99" s="936"/>
      <c r="E99" s="936"/>
      <c r="F99" s="938"/>
      <c r="G99" s="938"/>
      <c r="H99" s="938"/>
      <c r="I99" s="938"/>
      <c r="J99" s="938"/>
      <c r="K99" s="938"/>
      <c r="L99" s="938"/>
      <c r="M99" s="938"/>
      <c r="N99" s="938"/>
      <c r="O99" s="938"/>
      <c r="P99" s="936"/>
    </row>
    <row r="100" spans="1:16" ht="15">
      <c r="A100" s="936"/>
      <c r="B100" s="936"/>
      <c r="C100" s="936"/>
      <c r="D100" s="936"/>
      <c r="E100" s="936"/>
      <c r="F100" s="938"/>
      <c r="G100" s="938"/>
      <c r="H100" s="938"/>
      <c r="I100" s="938"/>
      <c r="J100" s="938"/>
      <c r="K100" s="938"/>
      <c r="L100" s="938"/>
      <c r="M100" s="938"/>
      <c r="N100" s="938"/>
      <c r="O100" s="938"/>
      <c r="P100" s="936"/>
    </row>
    <row r="101" spans="1:16" ht="15">
      <c r="A101" s="936"/>
      <c r="B101" s="936"/>
      <c r="C101" s="936"/>
      <c r="D101" s="936"/>
      <c r="E101" s="936"/>
      <c r="F101" s="938"/>
      <c r="G101" s="938"/>
      <c r="H101" s="938"/>
      <c r="I101" s="938"/>
      <c r="J101" s="938"/>
      <c r="K101" s="938"/>
      <c r="L101" s="938"/>
      <c r="M101" s="938"/>
      <c r="N101" s="938"/>
      <c r="O101" s="938"/>
      <c r="P101" s="936"/>
    </row>
    <row r="102" spans="1:16" ht="15">
      <c r="A102" s="936"/>
      <c r="B102" s="936"/>
      <c r="C102" s="936"/>
      <c r="D102" s="936"/>
      <c r="E102" s="936"/>
      <c r="F102" s="938"/>
      <c r="G102" s="938"/>
      <c r="H102" s="938"/>
      <c r="I102" s="938"/>
      <c r="J102" s="938"/>
      <c r="K102" s="938"/>
      <c r="L102" s="938"/>
      <c r="M102" s="938"/>
      <c r="N102" s="938"/>
      <c r="O102" s="938"/>
      <c r="P102" s="936"/>
    </row>
    <row r="103" spans="1:16" ht="15">
      <c r="A103" s="936"/>
      <c r="B103" s="936"/>
      <c r="C103" s="936"/>
      <c r="D103" s="936"/>
      <c r="E103" s="936"/>
      <c r="F103" s="938"/>
      <c r="G103" s="938"/>
      <c r="H103" s="938"/>
      <c r="I103" s="938"/>
      <c r="J103" s="938"/>
      <c r="K103" s="938"/>
      <c r="L103" s="938"/>
      <c r="M103" s="938"/>
      <c r="N103" s="938"/>
      <c r="O103" s="938"/>
      <c r="P103" s="936"/>
    </row>
    <row r="104" spans="1:16" ht="15">
      <c r="A104" s="936"/>
      <c r="B104" s="936"/>
      <c r="C104" s="936"/>
      <c r="D104" s="936"/>
      <c r="E104" s="936"/>
      <c r="F104" s="938"/>
      <c r="G104" s="938"/>
      <c r="H104" s="938"/>
      <c r="I104" s="938"/>
      <c r="J104" s="938"/>
      <c r="K104" s="938"/>
      <c r="L104" s="938"/>
      <c r="M104" s="938"/>
      <c r="N104" s="938"/>
      <c r="O104" s="938"/>
      <c r="P104" s="936"/>
    </row>
    <row r="105" spans="1:16" ht="15">
      <c r="A105" s="936"/>
      <c r="B105" s="936"/>
      <c r="C105" s="936"/>
      <c r="D105" s="936"/>
      <c r="E105" s="936"/>
      <c r="F105" s="938"/>
      <c r="G105" s="938"/>
      <c r="H105" s="938"/>
      <c r="I105" s="938"/>
      <c r="J105" s="938"/>
      <c r="K105" s="938"/>
      <c r="L105" s="938"/>
      <c r="M105" s="938"/>
      <c r="N105" s="938"/>
      <c r="O105" s="938"/>
      <c r="P105" s="936"/>
    </row>
    <row r="106" spans="1:16" ht="15">
      <c r="A106" s="936"/>
      <c r="B106" s="936"/>
      <c r="C106" s="936"/>
      <c r="D106" s="936"/>
      <c r="E106" s="936"/>
      <c r="F106" s="938"/>
      <c r="G106" s="938"/>
      <c r="H106" s="938"/>
      <c r="I106" s="938"/>
      <c r="J106" s="938"/>
      <c r="K106" s="938"/>
      <c r="L106" s="938"/>
      <c r="M106" s="938"/>
      <c r="N106" s="938"/>
      <c r="O106" s="938"/>
      <c r="P106" s="936"/>
    </row>
    <row r="107" spans="1:16" ht="15">
      <c r="A107" s="936"/>
      <c r="B107" s="936"/>
      <c r="C107" s="936"/>
      <c r="D107" s="936"/>
      <c r="E107" s="936"/>
      <c r="F107" s="938"/>
      <c r="G107" s="938"/>
      <c r="H107" s="938"/>
      <c r="I107" s="938"/>
      <c r="J107" s="938"/>
      <c r="K107" s="938"/>
      <c r="L107" s="938"/>
      <c r="M107" s="938"/>
      <c r="N107" s="938"/>
      <c r="O107" s="938"/>
      <c r="P107" s="936"/>
    </row>
    <row r="108" spans="1:16" ht="15">
      <c r="A108" s="936"/>
      <c r="B108" s="936"/>
      <c r="C108" s="936"/>
      <c r="D108" s="936"/>
      <c r="E108" s="936"/>
      <c r="F108" s="938"/>
      <c r="G108" s="938"/>
      <c r="H108" s="938"/>
      <c r="I108" s="938"/>
      <c r="J108" s="938"/>
      <c r="K108" s="938"/>
      <c r="L108" s="938"/>
      <c r="M108" s="938"/>
      <c r="N108" s="938"/>
      <c r="O108" s="938"/>
      <c r="P108" s="936"/>
    </row>
    <row r="109" spans="1:16" ht="15">
      <c r="A109" s="936"/>
      <c r="B109" s="936"/>
      <c r="C109" s="936"/>
      <c r="D109" s="936"/>
      <c r="E109" s="936"/>
      <c r="F109" s="938"/>
      <c r="G109" s="938"/>
      <c r="H109" s="938"/>
      <c r="I109" s="938"/>
      <c r="J109" s="938"/>
      <c r="K109" s="938"/>
      <c r="L109" s="938"/>
      <c r="M109" s="938"/>
      <c r="N109" s="938"/>
      <c r="O109" s="938"/>
      <c r="P109" s="936"/>
    </row>
    <row r="110" spans="1:16" ht="15">
      <c r="A110" s="936"/>
      <c r="B110" s="936"/>
      <c r="C110" s="936"/>
      <c r="D110" s="936"/>
      <c r="E110" s="936"/>
      <c r="F110" s="938"/>
      <c r="G110" s="938"/>
      <c r="H110" s="938"/>
      <c r="I110" s="938"/>
      <c r="J110" s="938"/>
      <c r="K110" s="938"/>
      <c r="L110" s="938"/>
      <c r="M110" s="938"/>
      <c r="N110" s="938"/>
      <c r="O110" s="938"/>
      <c r="P110" s="936"/>
    </row>
    <row r="111" spans="1:16" ht="15">
      <c r="A111" s="936"/>
      <c r="B111" s="936"/>
      <c r="C111" s="936"/>
      <c r="D111" s="936"/>
      <c r="E111" s="936"/>
      <c r="F111" s="938"/>
      <c r="G111" s="938"/>
      <c r="H111" s="938"/>
      <c r="I111" s="938"/>
      <c r="J111" s="938"/>
      <c r="K111" s="938"/>
      <c r="L111" s="938"/>
      <c r="M111" s="938"/>
      <c r="N111" s="938"/>
      <c r="O111" s="938"/>
      <c r="P111" s="936"/>
    </row>
    <row r="112" spans="1:16" ht="15">
      <c r="A112" s="936"/>
      <c r="B112" s="936"/>
      <c r="C112" s="936"/>
      <c r="D112" s="936"/>
      <c r="E112" s="936"/>
      <c r="F112" s="938"/>
      <c r="G112" s="938"/>
      <c r="H112" s="938"/>
      <c r="I112" s="938"/>
      <c r="J112" s="938"/>
      <c r="K112" s="938"/>
      <c r="L112" s="938"/>
      <c r="M112" s="938"/>
      <c r="N112" s="938"/>
      <c r="O112" s="938"/>
      <c r="P112" s="936"/>
    </row>
    <row r="113" spans="1:16" ht="15">
      <c r="A113" s="936"/>
      <c r="B113" s="936"/>
      <c r="C113" s="936"/>
      <c r="D113" s="936"/>
      <c r="E113" s="936"/>
      <c r="F113" s="938"/>
      <c r="G113" s="938"/>
      <c r="H113" s="938"/>
      <c r="I113" s="938"/>
      <c r="J113" s="938"/>
      <c r="K113" s="938"/>
      <c r="L113" s="938"/>
      <c r="M113" s="938"/>
      <c r="N113" s="938"/>
      <c r="O113" s="938"/>
      <c r="P113" s="936"/>
    </row>
    <row r="114" spans="1:16" ht="15">
      <c r="A114" s="936"/>
      <c r="B114" s="936"/>
      <c r="C114" s="936"/>
      <c r="D114" s="936"/>
      <c r="E114" s="936"/>
      <c r="F114" s="936"/>
      <c r="G114" s="936"/>
      <c r="H114" s="936"/>
      <c r="I114" s="936"/>
      <c r="J114" s="936"/>
      <c r="K114" s="936"/>
      <c r="L114" s="936"/>
      <c r="M114" s="936"/>
      <c r="N114" s="936"/>
      <c r="O114" s="936"/>
      <c r="P114" s="936"/>
    </row>
    <row r="115" spans="1:16" ht="15">
      <c r="A115" s="936"/>
      <c r="B115" s="936"/>
      <c r="C115" s="936"/>
      <c r="D115" s="936"/>
      <c r="E115" s="936"/>
      <c r="F115" s="936"/>
      <c r="G115" s="936"/>
      <c r="H115" s="936"/>
      <c r="I115" s="936"/>
      <c r="J115" s="936"/>
      <c r="K115" s="936"/>
      <c r="L115" s="936"/>
      <c r="M115" s="936"/>
      <c r="N115" s="936"/>
      <c r="O115" s="936"/>
      <c r="P115" s="936"/>
    </row>
    <row r="116" spans="1:16" ht="15">
      <c r="A116" s="936"/>
      <c r="B116" s="936"/>
      <c r="C116" s="936"/>
      <c r="D116" s="936"/>
      <c r="E116" s="936"/>
      <c r="F116" s="936"/>
      <c r="G116" s="936"/>
      <c r="H116" s="936"/>
      <c r="I116" s="936"/>
      <c r="J116" s="936"/>
      <c r="K116" s="936"/>
      <c r="L116" s="936"/>
      <c r="M116" s="936"/>
      <c r="N116" s="936"/>
      <c r="O116" s="936"/>
      <c r="P116" s="936"/>
    </row>
    <row r="117" spans="1:16" ht="15">
      <c r="A117" s="936"/>
      <c r="B117" s="936"/>
      <c r="C117" s="936"/>
      <c r="D117" s="936"/>
      <c r="E117" s="936"/>
      <c r="F117" s="936"/>
      <c r="G117" s="936"/>
      <c r="H117" s="936"/>
      <c r="I117" s="936"/>
      <c r="J117" s="936"/>
      <c r="K117" s="936"/>
      <c r="L117" s="936"/>
      <c r="M117" s="936"/>
      <c r="N117" s="936"/>
      <c r="O117" s="936"/>
      <c r="P117" s="936"/>
    </row>
    <row r="118" spans="1:16" ht="15">
      <c r="A118" s="936"/>
      <c r="B118" s="936"/>
      <c r="C118" s="936"/>
      <c r="D118" s="936"/>
      <c r="E118" s="936"/>
      <c r="F118" s="936"/>
      <c r="G118" s="936"/>
      <c r="H118" s="936"/>
      <c r="I118" s="936"/>
      <c r="J118" s="936"/>
      <c r="K118" s="936"/>
      <c r="L118" s="936"/>
      <c r="M118" s="936"/>
      <c r="N118" s="936"/>
      <c r="O118" s="936"/>
      <c r="P118" s="936"/>
    </row>
    <row r="119" spans="1:16" ht="15">
      <c r="A119" s="936"/>
      <c r="B119" s="936"/>
      <c r="C119" s="936"/>
      <c r="D119" s="936"/>
      <c r="E119" s="936"/>
      <c r="F119" s="936"/>
      <c r="G119" s="936"/>
      <c r="H119" s="936"/>
      <c r="I119" s="936"/>
      <c r="J119" s="936"/>
      <c r="K119" s="936"/>
      <c r="L119" s="936"/>
      <c r="M119" s="936"/>
      <c r="N119" s="936"/>
      <c r="O119" s="936"/>
      <c r="P119" s="936"/>
    </row>
    <row r="120" spans="1:16" ht="15">
      <c r="A120" s="936"/>
      <c r="B120" s="936"/>
      <c r="C120" s="936"/>
      <c r="D120" s="936"/>
      <c r="E120" s="936"/>
      <c r="F120" s="936"/>
      <c r="G120" s="936"/>
      <c r="H120" s="936"/>
      <c r="I120" s="936"/>
      <c r="J120" s="936"/>
      <c r="K120" s="936"/>
      <c r="L120" s="936"/>
      <c r="M120" s="936"/>
      <c r="N120" s="936"/>
      <c r="O120" s="936"/>
      <c r="P120" s="936"/>
    </row>
    <row r="121" spans="1:16" ht="15">
      <c r="A121" s="936"/>
      <c r="B121" s="936"/>
      <c r="C121" s="936"/>
      <c r="D121" s="936"/>
      <c r="E121" s="936"/>
      <c r="F121" s="936"/>
      <c r="G121" s="936"/>
      <c r="H121" s="936"/>
      <c r="I121" s="936"/>
      <c r="J121" s="936"/>
      <c r="K121" s="936"/>
      <c r="L121" s="936"/>
      <c r="M121" s="936"/>
      <c r="N121" s="936"/>
      <c r="O121" s="936"/>
      <c r="P121" s="936"/>
    </row>
    <row r="122" spans="1:16" ht="15">
      <c r="A122" s="936"/>
      <c r="B122" s="936"/>
      <c r="C122" s="936"/>
      <c r="D122" s="936"/>
      <c r="E122" s="936"/>
      <c r="F122" s="936"/>
      <c r="G122" s="936"/>
      <c r="H122" s="936"/>
      <c r="I122" s="936"/>
      <c r="J122" s="936"/>
      <c r="K122" s="936"/>
      <c r="L122" s="936"/>
      <c r="M122" s="936"/>
      <c r="N122" s="936"/>
      <c r="O122" s="936"/>
      <c r="P122" s="936"/>
    </row>
    <row r="123" spans="1:16" ht="15">
      <c r="A123" s="936"/>
      <c r="B123" s="936"/>
      <c r="C123" s="936"/>
      <c r="D123" s="936"/>
      <c r="E123" s="936"/>
      <c r="F123" s="936"/>
      <c r="G123" s="936"/>
      <c r="H123" s="936"/>
      <c r="I123" s="936"/>
      <c r="J123" s="936"/>
      <c r="K123" s="936"/>
      <c r="L123" s="936"/>
      <c r="M123" s="936"/>
      <c r="N123" s="936"/>
      <c r="O123" s="936"/>
      <c r="P123" s="936"/>
    </row>
    <row r="124" spans="1:16" ht="15">
      <c r="A124" s="936"/>
      <c r="B124" s="936"/>
      <c r="C124" s="936"/>
      <c r="D124" s="936"/>
      <c r="E124" s="936"/>
      <c r="F124" s="936"/>
      <c r="G124" s="936"/>
      <c r="H124" s="936"/>
      <c r="I124" s="936"/>
      <c r="J124" s="936"/>
      <c r="K124" s="936"/>
      <c r="L124" s="936"/>
      <c r="M124" s="936"/>
      <c r="N124" s="936"/>
      <c r="O124" s="936"/>
      <c r="P124" s="936"/>
    </row>
    <row r="125" spans="1:16" ht="15">
      <c r="A125" s="936"/>
      <c r="B125" s="936"/>
      <c r="C125" s="936"/>
      <c r="D125" s="936"/>
      <c r="E125" s="936"/>
      <c r="F125" s="936"/>
      <c r="G125" s="936"/>
      <c r="H125" s="936"/>
      <c r="I125" s="936"/>
      <c r="J125" s="936"/>
      <c r="K125" s="936"/>
      <c r="L125" s="936"/>
      <c r="M125" s="936"/>
      <c r="N125" s="936"/>
      <c r="O125" s="936"/>
      <c r="P125" s="936"/>
    </row>
    <row r="126" spans="1:16" ht="15">
      <c r="A126" s="936"/>
      <c r="B126" s="936"/>
      <c r="C126" s="936"/>
      <c r="D126" s="936"/>
      <c r="E126" s="936"/>
      <c r="F126" s="936"/>
      <c r="G126" s="936"/>
      <c r="H126" s="936"/>
      <c r="I126" s="936"/>
      <c r="J126" s="936"/>
      <c r="K126" s="936"/>
      <c r="L126" s="936"/>
      <c r="M126" s="936"/>
      <c r="N126" s="936"/>
      <c r="O126" s="936"/>
      <c r="P126" s="936"/>
    </row>
    <row r="127" spans="1:16" ht="15">
      <c r="A127" s="936"/>
      <c r="B127" s="936"/>
      <c r="C127" s="936"/>
      <c r="D127" s="936"/>
      <c r="E127" s="936"/>
      <c r="F127" s="936"/>
      <c r="G127" s="936"/>
      <c r="H127" s="936"/>
      <c r="I127" s="936"/>
      <c r="J127" s="936"/>
      <c r="K127" s="936"/>
      <c r="L127" s="936"/>
      <c r="M127" s="936"/>
      <c r="N127" s="936"/>
      <c r="O127" s="936"/>
      <c r="P127" s="936"/>
    </row>
    <row r="128" spans="1:16" ht="15">
      <c r="A128" s="936"/>
      <c r="B128" s="936"/>
      <c r="C128" s="936"/>
      <c r="D128" s="936"/>
      <c r="E128" s="936"/>
      <c r="F128" s="936"/>
      <c r="G128" s="936"/>
      <c r="H128" s="936"/>
      <c r="I128" s="936"/>
      <c r="J128" s="936"/>
      <c r="K128" s="936"/>
      <c r="L128" s="936"/>
      <c r="M128" s="936"/>
      <c r="N128" s="936"/>
      <c r="O128" s="936"/>
      <c r="P128" s="936"/>
    </row>
    <row r="129" spans="1:16" ht="15">
      <c r="A129" s="936"/>
      <c r="B129" s="936"/>
      <c r="C129" s="936"/>
      <c r="D129" s="936"/>
      <c r="E129" s="936"/>
      <c r="F129" s="936"/>
      <c r="G129" s="936"/>
      <c r="H129" s="936"/>
      <c r="I129" s="936"/>
      <c r="J129" s="936"/>
      <c r="K129" s="936"/>
      <c r="L129" s="936"/>
      <c r="M129" s="936"/>
      <c r="N129" s="936"/>
      <c r="O129" s="936"/>
      <c r="P129" s="936"/>
    </row>
    <row r="130" spans="1:16" ht="15">
      <c r="A130" s="936"/>
      <c r="B130" s="936"/>
      <c r="C130" s="936"/>
      <c r="D130" s="936"/>
      <c r="E130" s="936"/>
      <c r="F130" s="936"/>
      <c r="G130" s="936"/>
      <c r="H130" s="936"/>
      <c r="I130" s="936"/>
      <c r="J130" s="936"/>
      <c r="K130" s="936"/>
      <c r="L130" s="936"/>
      <c r="M130" s="936"/>
      <c r="N130" s="936"/>
      <c r="O130" s="936"/>
      <c r="P130" s="936"/>
    </row>
    <row r="131" spans="1:16" ht="15">
      <c r="A131" s="936"/>
      <c r="B131" s="936"/>
      <c r="C131" s="936"/>
      <c r="D131" s="936"/>
      <c r="E131" s="936"/>
      <c r="F131" s="936"/>
      <c r="G131" s="936"/>
      <c r="H131" s="936"/>
      <c r="I131" s="936"/>
      <c r="J131" s="936"/>
      <c r="K131" s="936"/>
      <c r="L131" s="936"/>
      <c r="M131" s="936"/>
      <c r="N131" s="936"/>
      <c r="O131" s="936"/>
      <c r="P131" s="936"/>
    </row>
    <row r="132" spans="1:16" ht="15">
      <c r="A132" s="936"/>
      <c r="B132" s="936"/>
      <c r="C132" s="936"/>
      <c r="D132" s="936"/>
      <c r="E132" s="936"/>
      <c r="F132" s="936"/>
      <c r="G132" s="936"/>
      <c r="H132" s="936"/>
      <c r="I132" s="936"/>
      <c r="J132" s="936"/>
      <c r="K132" s="936"/>
      <c r="L132" s="936"/>
      <c r="M132" s="936"/>
      <c r="N132" s="936"/>
      <c r="O132" s="936"/>
      <c r="P132" s="936"/>
    </row>
    <row r="133" spans="1:16" ht="15">
      <c r="A133" s="936"/>
      <c r="B133" s="936"/>
      <c r="C133" s="936"/>
      <c r="D133" s="936"/>
      <c r="E133" s="936"/>
      <c r="F133" s="936"/>
      <c r="G133" s="936"/>
      <c r="H133" s="936"/>
      <c r="I133" s="936"/>
      <c r="J133" s="936"/>
      <c r="K133" s="936"/>
      <c r="L133" s="936"/>
      <c r="M133" s="936"/>
      <c r="N133" s="936"/>
      <c r="O133" s="936"/>
      <c r="P133" s="936"/>
    </row>
    <row r="134" spans="1:16" ht="15">
      <c r="A134" s="936"/>
      <c r="B134" s="936"/>
      <c r="C134" s="936"/>
      <c r="D134" s="936"/>
      <c r="E134" s="936"/>
      <c r="F134" s="936"/>
      <c r="G134" s="936"/>
      <c r="H134" s="936"/>
      <c r="I134" s="936"/>
      <c r="J134" s="936"/>
      <c r="K134" s="936"/>
      <c r="L134" s="936"/>
      <c r="M134" s="936"/>
      <c r="N134" s="936"/>
      <c r="O134" s="936"/>
      <c r="P134" s="936"/>
    </row>
    <row r="135" spans="1:16" ht="15">
      <c r="A135" s="936"/>
      <c r="B135" s="936"/>
      <c r="C135" s="936"/>
      <c r="D135" s="936"/>
      <c r="E135" s="936"/>
      <c r="F135" s="936"/>
      <c r="G135" s="936"/>
      <c r="H135" s="936"/>
      <c r="I135" s="936"/>
      <c r="J135" s="936"/>
      <c r="K135" s="936"/>
      <c r="L135" s="936"/>
      <c r="M135" s="936"/>
      <c r="N135" s="936"/>
      <c r="O135" s="936"/>
      <c r="P135" s="936"/>
    </row>
    <row r="136" spans="1:16" ht="15">
      <c r="A136" s="936"/>
      <c r="B136" s="936"/>
      <c r="C136" s="936"/>
      <c r="D136" s="936"/>
      <c r="E136" s="936"/>
      <c r="F136" s="936"/>
      <c r="G136" s="936"/>
      <c r="H136" s="936"/>
      <c r="I136" s="936"/>
      <c r="J136" s="936"/>
      <c r="K136" s="936"/>
      <c r="L136" s="936"/>
      <c r="M136" s="936"/>
      <c r="N136" s="936"/>
      <c r="O136" s="936"/>
      <c r="P136" s="936"/>
    </row>
    <row r="137" spans="1:16" ht="15">
      <c r="A137" s="936"/>
      <c r="B137" s="936"/>
      <c r="C137" s="936"/>
      <c r="D137" s="936"/>
      <c r="E137" s="936"/>
      <c r="F137" s="936"/>
      <c r="G137" s="936"/>
      <c r="H137" s="936"/>
      <c r="I137" s="936"/>
      <c r="J137" s="936"/>
      <c r="K137" s="936"/>
      <c r="L137" s="936"/>
      <c r="M137" s="936"/>
      <c r="N137" s="936"/>
      <c r="O137" s="936"/>
      <c r="P137" s="936"/>
    </row>
    <row r="138" spans="1:16" ht="15">
      <c r="A138" s="936"/>
      <c r="B138" s="936"/>
      <c r="C138" s="936"/>
      <c r="D138" s="936"/>
      <c r="E138" s="936"/>
      <c r="F138" s="936"/>
      <c r="G138" s="936"/>
      <c r="H138" s="936"/>
      <c r="I138" s="936"/>
      <c r="J138" s="936"/>
      <c r="K138" s="936"/>
      <c r="L138" s="936"/>
      <c r="M138" s="936"/>
      <c r="N138" s="936"/>
      <c r="O138" s="936"/>
      <c r="P138" s="936"/>
    </row>
    <row r="139" spans="1:16" ht="15">
      <c r="A139" s="936"/>
      <c r="B139" s="936"/>
      <c r="C139" s="936"/>
      <c r="D139" s="936"/>
      <c r="E139" s="936"/>
      <c r="F139" s="936"/>
      <c r="G139" s="936"/>
      <c r="H139" s="936"/>
      <c r="I139" s="936"/>
      <c r="J139" s="936"/>
      <c r="K139" s="936"/>
      <c r="L139" s="936"/>
      <c r="M139" s="936"/>
      <c r="N139" s="936"/>
      <c r="O139" s="936"/>
      <c r="P139" s="936"/>
    </row>
    <row r="140" spans="1:16" ht="15">
      <c r="A140" s="936"/>
      <c r="B140" s="936"/>
      <c r="C140" s="936"/>
      <c r="D140" s="936"/>
      <c r="E140" s="936"/>
      <c r="F140" s="936"/>
      <c r="G140" s="936"/>
      <c r="H140" s="936"/>
      <c r="I140" s="936"/>
      <c r="J140" s="936"/>
      <c r="K140" s="936"/>
      <c r="L140" s="936"/>
      <c r="M140" s="936"/>
      <c r="N140" s="936"/>
      <c r="O140" s="936"/>
      <c r="P140" s="936"/>
    </row>
    <row r="141" spans="1:16" ht="15">
      <c r="A141" s="936"/>
      <c r="B141" s="936"/>
      <c r="C141" s="936"/>
      <c r="D141" s="936"/>
      <c r="E141" s="936"/>
      <c r="F141" s="936"/>
      <c r="G141" s="936"/>
      <c r="H141" s="936"/>
      <c r="I141" s="936"/>
      <c r="J141" s="936"/>
      <c r="K141" s="936"/>
      <c r="L141" s="936"/>
      <c r="M141" s="936"/>
      <c r="N141" s="936"/>
      <c r="O141" s="936"/>
      <c r="P141" s="936"/>
    </row>
    <row r="142" spans="1:16" ht="15">
      <c r="A142" s="936"/>
      <c r="B142" s="936"/>
      <c r="C142" s="936"/>
      <c r="D142" s="936"/>
      <c r="E142" s="936"/>
      <c r="F142" s="936"/>
      <c r="G142" s="936"/>
      <c r="H142" s="936"/>
      <c r="I142" s="936"/>
      <c r="J142" s="936"/>
      <c r="K142" s="936"/>
      <c r="L142" s="936"/>
      <c r="M142" s="936"/>
      <c r="N142" s="936"/>
      <c r="O142" s="936"/>
      <c r="P142" s="936"/>
    </row>
    <row r="143" spans="1:16" ht="15">
      <c r="A143" s="936"/>
      <c r="B143" s="936"/>
      <c r="C143" s="936"/>
      <c r="D143" s="936"/>
      <c r="E143" s="936"/>
      <c r="F143" s="936"/>
      <c r="G143" s="936"/>
      <c r="H143" s="936"/>
      <c r="I143" s="936"/>
      <c r="J143" s="936"/>
      <c r="K143" s="936"/>
      <c r="L143" s="936"/>
      <c r="M143" s="936"/>
      <c r="N143" s="936"/>
      <c r="O143" s="936"/>
      <c r="P143" s="936"/>
    </row>
    <row r="144" spans="1:16" ht="15">
      <c r="A144" s="936"/>
      <c r="B144" s="936"/>
      <c r="C144" s="936"/>
      <c r="D144" s="936"/>
      <c r="E144" s="936"/>
      <c r="F144" s="936"/>
      <c r="G144" s="936"/>
      <c r="H144" s="936"/>
      <c r="I144" s="936"/>
      <c r="J144" s="936"/>
      <c r="K144" s="936"/>
      <c r="L144" s="936"/>
      <c r="M144" s="936"/>
      <c r="N144" s="936"/>
      <c r="O144" s="936"/>
      <c r="P144" s="936"/>
    </row>
    <row r="145" spans="1:16" ht="15">
      <c r="A145" s="936"/>
      <c r="B145" s="936"/>
      <c r="C145" s="936"/>
      <c r="D145" s="936"/>
      <c r="E145" s="936"/>
      <c r="F145" s="936"/>
      <c r="G145" s="936"/>
      <c r="H145" s="936"/>
      <c r="I145" s="936"/>
      <c r="J145" s="936"/>
      <c r="K145" s="936"/>
      <c r="L145" s="936"/>
      <c r="M145" s="936"/>
      <c r="N145" s="936"/>
      <c r="O145" s="936"/>
      <c r="P145" s="936"/>
    </row>
    <row r="146" spans="1:16" ht="15">
      <c r="A146" s="936"/>
      <c r="B146" s="936"/>
      <c r="C146" s="936"/>
      <c r="D146" s="936"/>
      <c r="E146" s="936"/>
      <c r="F146" s="936"/>
      <c r="G146" s="936"/>
      <c r="H146" s="936"/>
      <c r="I146" s="936"/>
      <c r="J146" s="936"/>
      <c r="K146" s="936"/>
      <c r="L146" s="936"/>
      <c r="M146" s="936"/>
      <c r="N146" s="936"/>
      <c r="O146" s="936"/>
      <c r="P146" s="936"/>
    </row>
    <row r="147" spans="1:16" ht="15">
      <c r="A147" s="936"/>
      <c r="B147" s="936"/>
      <c r="C147" s="936"/>
      <c r="D147" s="936"/>
      <c r="E147" s="936"/>
      <c r="F147" s="936"/>
      <c r="G147" s="936"/>
      <c r="H147" s="936"/>
      <c r="I147" s="936"/>
      <c r="J147" s="936"/>
      <c r="K147" s="936"/>
      <c r="L147" s="936"/>
      <c r="M147" s="936"/>
      <c r="N147" s="936"/>
      <c r="O147" s="936"/>
      <c r="P147" s="936"/>
    </row>
    <row r="148" spans="1:16" ht="15">
      <c r="A148" s="936"/>
      <c r="B148" s="936"/>
      <c r="C148" s="936"/>
      <c r="D148" s="936"/>
      <c r="E148" s="936"/>
      <c r="F148" s="936"/>
      <c r="G148" s="936"/>
      <c r="H148" s="936"/>
      <c r="I148" s="936"/>
      <c r="J148" s="936"/>
      <c r="K148" s="936"/>
      <c r="L148" s="936"/>
      <c r="M148" s="936"/>
      <c r="N148" s="936"/>
      <c r="O148" s="936"/>
      <c r="P148" s="936"/>
    </row>
    <row r="149" spans="1:16" ht="15">
      <c r="A149" s="936"/>
      <c r="B149" s="936"/>
      <c r="C149" s="936"/>
      <c r="D149" s="936"/>
      <c r="E149" s="936"/>
      <c r="F149" s="936"/>
      <c r="G149" s="936"/>
      <c r="H149" s="936"/>
      <c r="I149" s="936"/>
      <c r="J149" s="936"/>
      <c r="K149" s="936"/>
      <c r="L149" s="936"/>
      <c r="M149" s="936"/>
      <c r="N149" s="936"/>
      <c r="O149" s="936"/>
      <c r="P149" s="936"/>
    </row>
    <row r="150" spans="1:16" ht="15">
      <c r="A150" s="936"/>
      <c r="B150" s="936"/>
      <c r="C150" s="936"/>
      <c r="D150" s="936"/>
      <c r="E150" s="936"/>
      <c r="F150" s="936"/>
      <c r="G150" s="936"/>
      <c r="H150" s="936"/>
      <c r="I150" s="936"/>
      <c r="J150" s="936"/>
      <c r="K150" s="936"/>
      <c r="L150" s="936"/>
      <c r="M150" s="936"/>
      <c r="N150" s="936"/>
      <c r="O150" s="936"/>
      <c r="P150" s="936"/>
    </row>
    <row r="151" spans="1:16" ht="15">
      <c r="A151" s="936"/>
      <c r="B151" s="936"/>
      <c r="C151" s="936"/>
      <c r="D151" s="936"/>
      <c r="E151" s="936"/>
      <c r="F151" s="936"/>
      <c r="G151" s="936"/>
      <c r="H151" s="936"/>
      <c r="I151" s="936"/>
      <c r="J151" s="936"/>
      <c r="K151" s="936"/>
      <c r="L151" s="936"/>
      <c r="M151" s="936"/>
      <c r="N151" s="936"/>
      <c r="O151" s="936"/>
      <c r="P151" s="936"/>
    </row>
    <row r="152" spans="1:16" ht="15">
      <c r="A152" s="936"/>
      <c r="B152" s="936"/>
      <c r="C152" s="936"/>
      <c r="D152" s="936"/>
      <c r="E152" s="936"/>
      <c r="F152" s="936"/>
      <c r="G152" s="936"/>
      <c r="H152" s="936"/>
      <c r="I152" s="936"/>
      <c r="J152" s="936"/>
      <c r="K152" s="936"/>
      <c r="L152" s="936"/>
      <c r="M152" s="936"/>
      <c r="N152" s="936"/>
      <c r="O152" s="936"/>
      <c r="P152" s="936"/>
    </row>
    <row r="153" spans="1:16" ht="15">
      <c r="A153" s="936"/>
      <c r="B153" s="936"/>
      <c r="C153" s="936"/>
      <c r="D153" s="936"/>
      <c r="E153" s="936"/>
      <c r="F153" s="936"/>
      <c r="G153" s="936"/>
      <c r="H153" s="936"/>
      <c r="I153" s="936"/>
      <c r="J153" s="936"/>
      <c r="K153" s="936"/>
      <c r="L153" s="936"/>
      <c r="M153" s="936"/>
      <c r="N153" s="936"/>
      <c r="O153" s="936"/>
      <c r="P153" s="936"/>
    </row>
    <row r="154" spans="1:16" ht="15">
      <c r="A154" s="936"/>
      <c r="B154" s="936"/>
      <c r="C154" s="936"/>
      <c r="D154" s="936"/>
      <c r="E154" s="936"/>
      <c r="F154" s="936"/>
      <c r="G154" s="936"/>
      <c r="H154" s="936"/>
      <c r="I154" s="936"/>
      <c r="J154" s="936"/>
      <c r="K154" s="936"/>
      <c r="L154" s="936"/>
      <c r="M154" s="936"/>
      <c r="N154" s="936"/>
      <c r="O154" s="936"/>
      <c r="P154" s="936"/>
    </row>
    <row r="155" spans="1:16" ht="15">
      <c r="A155" s="936"/>
      <c r="B155" s="936"/>
      <c r="C155" s="936"/>
      <c r="D155" s="936"/>
      <c r="E155" s="936"/>
      <c r="F155" s="936"/>
      <c r="G155" s="936"/>
      <c r="H155" s="936"/>
      <c r="I155" s="936"/>
      <c r="J155" s="936"/>
      <c r="K155" s="936"/>
      <c r="L155" s="936"/>
      <c r="M155" s="936"/>
      <c r="N155" s="936"/>
      <c r="O155" s="936"/>
      <c r="P155" s="936"/>
    </row>
    <row r="156" spans="1:16" ht="15">
      <c r="A156" s="936"/>
      <c r="B156" s="936"/>
      <c r="C156" s="936"/>
      <c r="D156" s="936"/>
      <c r="E156" s="936"/>
      <c r="F156" s="936"/>
      <c r="G156" s="936"/>
      <c r="H156" s="936"/>
      <c r="I156" s="936"/>
      <c r="J156" s="936"/>
      <c r="K156" s="936"/>
      <c r="L156" s="936"/>
      <c r="M156" s="936"/>
      <c r="N156" s="936"/>
      <c r="O156" s="936"/>
      <c r="P156" s="936"/>
    </row>
    <row r="157" spans="1:16" ht="15">
      <c r="A157" s="936"/>
      <c r="B157" s="936"/>
      <c r="C157" s="936"/>
      <c r="D157" s="936"/>
      <c r="E157" s="936"/>
      <c r="F157" s="936"/>
      <c r="G157" s="936"/>
      <c r="H157" s="936"/>
      <c r="I157" s="936"/>
      <c r="J157" s="936"/>
      <c r="K157" s="936"/>
      <c r="L157" s="936"/>
      <c r="M157" s="936"/>
      <c r="N157" s="936"/>
      <c r="O157" s="936"/>
      <c r="P157" s="936"/>
    </row>
    <row r="158" spans="1:16" ht="15">
      <c r="A158" s="936"/>
      <c r="B158" s="936"/>
      <c r="C158" s="936"/>
      <c r="D158" s="936"/>
      <c r="E158" s="936"/>
      <c r="F158" s="936"/>
      <c r="G158" s="936"/>
      <c r="H158" s="936"/>
      <c r="I158" s="936"/>
      <c r="J158" s="936"/>
      <c r="K158" s="936"/>
      <c r="L158" s="936"/>
      <c r="M158" s="936"/>
      <c r="N158" s="936"/>
      <c r="O158" s="936"/>
      <c r="P158" s="936"/>
    </row>
    <row r="159" spans="1:16" ht="15">
      <c r="A159" s="936"/>
      <c r="B159" s="936"/>
      <c r="C159" s="936"/>
      <c r="D159" s="936"/>
      <c r="E159" s="936"/>
      <c r="F159" s="936"/>
      <c r="G159" s="936"/>
      <c r="H159" s="936"/>
      <c r="I159" s="936"/>
      <c r="J159" s="936"/>
      <c r="K159" s="936"/>
      <c r="L159" s="936"/>
      <c r="M159" s="936"/>
      <c r="N159" s="936"/>
      <c r="O159" s="936"/>
      <c r="P159" s="936"/>
    </row>
    <row r="160" spans="1:16" ht="15">
      <c r="A160" s="936"/>
      <c r="B160" s="936"/>
      <c r="C160" s="936"/>
      <c r="D160" s="936"/>
      <c r="E160" s="936"/>
      <c r="F160" s="936"/>
      <c r="G160" s="936"/>
      <c r="H160" s="936"/>
      <c r="I160" s="936"/>
      <c r="J160" s="936"/>
      <c r="K160" s="936"/>
      <c r="L160" s="936"/>
      <c r="M160" s="936"/>
      <c r="N160" s="936"/>
      <c r="O160" s="936"/>
      <c r="P160" s="936"/>
    </row>
    <row r="161" spans="1:16" ht="15">
      <c r="A161" s="936"/>
      <c r="B161" s="936"/>
      <c r="C161" s="936"/>
      <c r="D161" s="936"/>
      <c r="E161" s="936"/>
      <c r="F161" s="936"/>
      <c r="G161" s="936"/>
      <c r="H161" s="936"/>
      <c r="I161" s="936"/>
      <c r="J161" s="936"/>
      <c r="K161" s="936"/>
      <c r="L161" s="936"/>
      <c r="M161" s="936"/>
      <c r="N161" s="936"/>
      <c r="O161" s="936"/>
      <c r="P161" s="936"/>
    </row>
    <row r="162" spans="1:16" ht="15">
      <c r="A162" s="936"/>
      <c r="B162" s="936"/>
      <c r="C162" s="936"/>
      <c r="D162" s="936"/>
      <c r="E162" s="936"/>
      <c r="F162" s="936"/>
      <c r="G162" s="936"/>
      <c r="H162" s="936"/>
      <c r="I162" s="936"/>
      <c r="J162" s="936"/>
      <c r="K162" s="936"/>
      <c r="L162" s="936"/>
      <c r="M162" s="936"/>
      <c r="N162" s="936"/>
      <c r="O162" s="936"/>
      <c r="P162" s="936"/>
    </row>
    <row r="163" spans="1:16" ht="15">
      <c r="A163" s="936"/>
      <c r="B163" s="936"/>
      <c r="C163" s="936"/>
      <c r="D163" s="936"/>
      <c r="E163" s="936"/>
      <c r="F163" s="936"/>
      <c r="G163" s="936"/>
      <c r="H163" s="936"/>
      <c r="I163" s="936"/>
      <c r="J163" s="936"/>
      <c r="K163" s="936"/>
      <c r="L163" s="936"/>
      <c r="M163" s="936"/>
      <c r="N163" s="936"/>
      <c r="O163" s="936"/>
      <c r="P163" s="936"/>
    </row>
    <row r="164" spans="1:16" ht="15">
      <c r="A164" s="936"/>
      <c r="B164" s="936"/>
      <c r="C164" s="936"/>
      <c r="D164" s="936"/>
      <c r="E164" s="936"/>
      <c r="F164" s="936"/>
      <c r="G164" s="936"/>
      <c r="H164" s="936"/>
      <c r="I164" s="936"/>
      <c r="J164" s="936"/>
      <c r="K164" s="936"/>
      <c r="L164" s="936"/>
      <c r="M164" s="936"/>
      <c r="N164" s="936"/>
      <c r="O164" s="936"/>
      <c r="P164" s="936"/>
    </row>
    <row r="165" spans="1:16" ht="15">
      <c r="A165" s="936"/>
      <c r="B165" s="936"/>
      <c r="C165" s="936"/>
      <c r="D165" s="936"/>
      <c r="E165" s="936"/>
      <c r="F165" s="936"/>
      <c r="G165" s="936"/>
      <c r="H165" s="936"/>
      <c r="I165" s="936"/>
      <c r="J165" s="936"/>
      <c r="K165" s="936"/>
      <c r="L165" s="936"/>
      <c r="M165" s="936"/>
      <c r="N165" s="936"/>
      <c r="O165" s="936"/>
      <c r="P165" s="936"/>
    </row>
    <row r="166" spans="1:16" ht="15">
      <c r="A166" s="936"/>
      <c r="B166" s="936"/>
      <c r="C166" s="936"/>
      <c r="D166" s="936"/>
      <c r="E166" s="936"/>
      <c r="F166" s="936"/>
      <c r="G166" s="936"/>
      <c r="H166" s="936"/>
      <c r="I166" s="936"/>
      <c r="J166" s="936"/>
      <c r="K166" s="936"/>
      <c r="L166" s="936"/>
      <c r="M166" s="936"/>
      <c r="N166" s="936"/>
      <c r="O166" s="936"/>
      <c r="P166" s="936"/>
    </row>
    <row r="167" spans="1:16" ht="15">
      <c r="A167" s="936"/>
      <c r="B167" s="936"/>
      <c r="C167" s="936"/>
      <c r="D167" s="936"/>
      <c r="E167" s="936"/>
      <c r="F167" s="936"/>
      <c r="G167" s="936"/>
      <c r="H167" s="936"/>
      <c r="I167" s="936"/>
      <c r="J167" s="936"/>
      <c r="K167" s="936"/>
      <c r="L167" s="936"/>
      <c r="M167" s="936"/>
      <c r="N167" s="936"/>
      <c r="O167" s="936"/>
      <c r="P167" s="936"/>
    </row>
    <row r="168" spans="1:16" ht="15">
      <c r="A168" s="936"/>
      <c r="B168" s="936"/>
      <c r="C168" s="936"/>
      <c r="D168" s="936"/>
      <c r="E168" s="936"/>
      <c r="F168" s="936"/>
      <c r="G168" s="936"/>
      <c r="H168" s="936"/>
      <c r="I168" s="936"/>
      <c r="J168" s="936"/>
      <c r="K168" s="936"/>
      <c r="L168" s="936"/>
      <c r="M168" s="936"/>
      <c r="N168" s="936"/>
      <c r="O168" s="936"/>
      <c r="P168" s="936"/>
    </row>
    <row r="169" spans="1:16" ht="15">
      <c r="A169" s="936"/>
      <c r="B169" s="936"/>
      <c r="C169" s="936"/>
      <c r="D169" s="936"/>
      <c r="E169" s="936"/>
      <c r="F169" s="936"/>
      <c r="G169" s="936"/>
      <c r="H169" s="936"/>
      <c r="I169" s="936"/>
      <c r="J169" s="936"/>
      <c r="K169" s="936"/>
      <c r="L169" s="936"/>
      <c r="M169" s="936"/>
      <c r="N169" s="936"/>
      <c r="O169" s="936"/>
      <c r="P169" s="936"/>
    </row>
    <row r="170" spans="1:16" ht="15">
      <c r="A170" s="936"/>
      <c r="B170" s="936"/>
      <c r="C170" s="936"/>
      <c r="D170" s="936"/>
      <c r="E170" s="936"/>
      <c r="F170" s="936"/>
      <c r="G170" s="936"/>
      <c r="H170" s="936"/>
      <c r="I170" s="936"/>
      <c r="J170" s="936"/>
      <c r="K170" s="936"/>
      <c r="L170" s="936"/>
      <c r="M170" s="936"/>
      <c r="N170" s="936"/>
      <c r="O170" s="936"/>
      <c r="P170" s="936"/>
    </row>
    <row r="171" spans="1:16" ht="15">
      <c r="A171" s="936"/>
      <c r="B171" s="936"/>
      <c r="C171" s="936"/>
      <c r="D171" s="936"/>
      <c r="E171" s="936"/>
      <c r="F171" s="936"/>
      <c r="G171" s="936"/>
      <c r="H171" s="936"/>
      <c r="I171" s="936"/>
      <c r="J171" s="936"/>
      <c r="K171" s="936"/>
      <c r="L171" s="936"/>
      <c r="M171" s="936"/>
      <c r="N171" s="936"/>
      <c r="O171" s="936"/>
      <c r="P171" s="936"/>
    </row>
    <row r="172" spans="1:16" ht="15">
      <c r="A172" s="936"/>
      <c r="B172" s="936"/>
      <c r="C172" s="936"/>
      <c r="D172" s="936"/>
      <c r="E172" s="936"/>
      <c r="F172" s="936"/>
      <c r="G172" s="936"/>
      <c r="H172" s="936"/>
      <c r="I172" s="936"/>
      <c r="J172" s="936"/>
      <c r="K172" s="936"/>
      <c r="L172" s="936"/>
      <c r="M172" s="936"/>
      <c r="N172" s="936"/>
      <c r="O172" s="936"/>
      <c r="P172" s="936"/>
    </row>
    <row r="173" spans="1:16" ht="15">
      <c r="A173" s="936"/>
      <c r="B173" s="936"/>
      <c r="C173" s="936"/>
      <c r="D173" s="936"/>
      <c r="E173" s="936"/>
      <c r="F173" s="936"/>
      <c r="G173" s="936"/>
      <c r="H173" s="936"/>
      <c r="I173" s="936"/>
      <c r="J173" s="936"/>
      <c r="K173" s="936"/>
      <c r="L173" s="936"/>
      <c r="M173" s="936"/>
      <c r="N173" s="936"/>
      <c r="O173" s="936"/>
      <c r="P173" s="936"/>
    </row>
    <row r="174" spans="1:16" ht="15">
      <c r="A174" s="936"/>
      <c r="B174" s="936"/>
      <c r="C174" s="936"/>
      <c r="D174" s="936"/>
      <c r="E174" s="936"/>
      <c r="F174" s="936"/>
      <c r="G174" s="936"/>
      <c r="H174" s="936"/>
      <c r="I174" s="936"/>
      <c r="J174" s="936"/>
      <c r="K174" s="936"/>
      <c r="L174" s="936"/>
      <c r="M174" s="936"/>
      <c r="N174" s="936"/>
      <c r="O174" s="936"/>
      <c r="P174" s="936"/>
    </row>
    <row r="175" spans="1:16" ht="15">
      <c r="A175" s="936"/>
      <c r="B175" s="936"/>
      <c r="C175" s="936"/>
      <c r="D175" s="936"/>
      <c r="E175" s="936"/>
      <c r="F175" s="936"/>
      <c r="G175" s="936"/>
      <c r="H175" s="936"/>
      <c r="I175" s="936"/>
      <c r="J175" s="936"/>
      <c r="K175" s="936"/>
      <c r="L175" s="936"/>
      <c r="M175" s="936"/>
      <c r="N175" s="936"/>
      <c r="O175" s="936"/>
      <c r="P175" s="936"/>
    </row>
    <row r="176" spans="1:16" ht="15">
      <c r="A176" s="936"/>
      <c r="B176" s="936"/>
      <c r="C176" s="936"/>
      <c r="D176" s="936"/>
      <c r="E176" s="936"/>
      <c r="F176" s="936"/>
      <c r="G176" s="936"/>
      <c r="H176" s="936"/>
      <c r="I176" s="936"/>
      <c r="J176" s="936"/>
      <c r="K176" s="936"/>
      <c r="L176" s="936"/>
      <c r="M176" s="936"/>
      <c r="N176" s="936"/>
      <c r="O176" s="936"/>
      <c r="P176" s="936"/>
    </row>
    <row r="177" spans="1:16" ht="15">
      <c r="A177" s="936"/>
      <c r="B177" s="936"/>
      <c r="C177" s="936"/>
      <c r="D177" s="936"/>
      <c r="E177" s="936"/>
      <c r="F177" s="936"/>
      <c r="G177" s="936"/>
      <c r="H177" s="936"/>
      <c r="I177" s="936"/>
      <c r="J177" s="936"/>
      <c r="K177" s="936"/>
      <c r="L177" s="936"/>
      <c r="M177" s="936"/>
      <c r="N177" s="936"/>
      <c r="O177" s="936"/>
      <c r="P177" s="936"/>
    </row>
    <row r="178" spans="1:16" ht="15">
      <c r="A178" s="936"/>
      <c r="B178" s="936"/>
      <c r="C178" s="936"/>
      <c r="D178" s="936"/>
      <c r="E178" s="936"/>
      <c r="F178" s="936"/>
      <c r="G178" s="936"/>
      <c r="H178" s="936"/>
      <c r="I178" s="936"/>
      <c r="J178" s="936"/>
      <c r="K178" s="936"/>
      <c r="L178" s="936"/>
      <c r="M178" s="936"/>
      <c r="N178" s="936"/>
      <c r="O178" s="936"/>
      <c r="P178" s="936"/>
    </row>
    <row r="179" spans="1:16" ht="15">
      <c r="A179" s="936"/>
      <c r="B179" s="936"/>
      <c r="C179" s="936"/>
      <c r="D179" s="936"/>
      <c r="E179" s="936"/>
      <c r="F179" s="936"/>
      <c r="G179" s="936"/>
      <c r="H179" s="936"/>
      <c r="I179" s="936"/>
      <c r="J179" s="936"/>
      <c r="K179" s="936"/>
      <c r="L179" s="936"/>
      <c r="M179" s="936"/>
      <c r="N179" s="936"/>
      <c r="O179" s="936"/>
      <c r="P179" s="936"/>
    </row>
    <row r="180" spans="1:16" ht="15">
      <c r="A180" s="936"/>
      <c r="B180" s="936"/>
      <c r="C180" s="936"/>
      <c r="D180" s="936"/>
      <c r="E180" s="936"/>
      <c r="F180" s="936"/>
      <c r="G180" s="936"/>
      <c r="H180" s="936"/>
      <c r="I180" s="936"/>
      <c r="J180" s="936"/>
      <c r="K180" s="936"/>
      <c r="L180" s="936"/>
      <c r="M180" s="936"/>
      <c r="N180" s="936"/>
      <c r="O180" s="936"/>
      <c r="P180" s="936"/>
    </row>
    <row r="181" spans="1:16" ht="15">
      <c r="A181" s="936"/>
      <c r="B181" s="936"/>
      <c r="C181" s="936"/>
      <c r="D181" s="936"/>
      <c r="E181" s="936"/>
      <c r="F181" s="936"/>
      <c r="G181" s="936"/>
      <c r="H181" s="936"/>
      <c r="I181" s="936"/>
      <c r="J181" s="936"/>
      <c r="K181" s="936"/>
      <c r="L181" s="936"/>
      <c r="M181" s="936"/>
      <c r="N181" s="936"/>
      <c r="O181" s="936"/>
      <c r="P181" s="936"/>
    </row>
    <row r="182" spans="1:16" ht="15">
      <c r="A182" s="936"/>
      <c r="B182" s="936"/>
      <c r="C182" s="936"/>
      <c r="D182" s="936"/>
      <c r="E182" s="936"/>
      <c r="F182" s="936"/>
      <c r="G182" s="936"/>
      <c r="H182" s="936"/>
      <c r="I182" s="936"/>
      <c r="J182" s="936"/>
      <c r="K182" s="936"/>
      <c r="L182" s="936"/>
      <c r="M182" s="936"/>
      <c r="N182" s="936"/>
      <c r="O182" s="936"/>
      <c r="P182" s="936"/>
    </row>
    <row r="183" spans="1:16" ht="15">
      <c r="A183" s="936"/>
      <c r="B183" s="936"/>
      <c r="C183" s="936"/>
      <c r="D183" s="936"/>
      <c r="E183" s="936"/>
      <c r="F183" s="936"/>
      <c r="G183" s="936"/>
      <c r="H183" s="936"/>
      <c r="I183" s="936"/>
      <c r="J183" s="936"/>
      <c r="K183" s="936"/>
      <c r="L183" s="936"/>
      <c r="M183" s="936"/>
      <c r="N183" s="936"/>
      <c r="O183" s="936"/>
      <c r="P183" s="936"/>
    </row>
    <row r="184" spans="1:16" ht="15">
      <c r="A184" s="936"/>
      <c r="B184" s="936"/>
      <c r="C184" s="936"/>
      <c r="D184" s="936"/>
      <c r="E184" s="936"/>
      <c r="F184" s="936"/>
      <c r="G184" s="936"/>
      <c r="H184" s="936"/>
      <c r="I184" s="936"/>
      <c r="J184" s="936"/>
      <c r="K184" s="936"/>
      <c r="L184" s="936"/>
      <c r="M184" s="936"/>
      <c r="N184" s="936"/>
      <c r="O184" s="936"/>
      <c r="P184" s="936"/>
    </row>
    <row r="185" spans="1:16" ht="15">
      <c r="A185" s="936"/>
      <c r="B185" s="936"/>
      <c r="C185" s="936"/>
      <c r="D185" s="936"/>
      <c r="E185" s="936"/>
      <c r="F185" s="936"/>
      <c r="G185" s="936"/>
      <c r="H185" s="936"/>
      <c r="I185" s="936"/>
      <c r="J185" s="936"/>
      <c r="K185" s="936"/>
      <c r="L185" s="936"/>
      <c r="M185" s="936"/>
      <c r="N185" s="936"/>
      <c r="O185" s="936"/>
      <c r="P185" s="936"/>
    </row>
    <row r="186" spans="1:16" ht="15">
      <c r="A186" s="936"/>
      <c r="B186" s="936"/>
      <c r="C186" s="936"/>
      <c r="D186" s="936"/>
      <c r="E186" s="936"/>
      <c r="F186" s="936"/>
      <c r="G186" s="936"/>
      <c r="H186" s="936"/>
      <c r="I186" s="936"/>
      <c r="J186" s="936"/>
      <c r="K186" s="936"/>
      <c r="L186" s="936"/>
      <c r="M186" s="936"/>
      <c r="N186" s="936"/>
      <c r="O186" s="936"/>
      <c r="P186" s="936"/>
    </row>
    <row r="187" spans="1:16" ht="15">
      <c r="A187" s="936"/>
      <c r="B187" s="936"/>
      <c r="C187" s="936"/>
      <c r="D187" s="936"/>
      <c r="E187" s="936"/>
      <c r="F187" s="936"/>
      <c r="G187" s="936"/>
      <c r="H187" s="936"/>
      <c r="I187" s="936"/>
      <c r="J187" s="936"/>
      <c r="K187" s="936"/>
      <c r="L187" s="936"/>
      <c r="M187" s="936"/>
      <c r="N187" s="936"/>
      <c r="O187" s="936"/>
      <c r="P187" s="936"/>
    </row>
    <row r="188" spans="1:16" ht="15">
      <c r="A188" s="936"/>
      <c r="B188" s="936"/>
      <c r="C188" s="936"/>
      <c r="D188" s="936"/>
      <c r="E188" s="936"/>
      <c r="F188" s="936"/>
      <c r="G188" s="936"/>
      <c r="H188" s="936"/>
      <c r="I188" s="936"/>
      <c r="J188" s="936"/>
      <c r="K188" s="936"/>
      <c r="L188" s="936"/>
      <c r="M188" s="936"/>
      <c r="N188" s="936"/>
      <c r="O188" s="936"/>
      <c r="P188" s="936"/>
    </row>
    <row r="189" spans="1:16" ht="15">
      <c r="A189" s="936"/>
      <c r="B189" s="936"/>
      <c r="C189" s="936"/>
      <c r="D189" s="936"/>
      <c r="E189" s="936"/>
      <c r="F189" s="936"/>
      <c r="G189" s="936"/>
      <c r="H189" s="936"/>
      <c r="I189" s="936"/>
      <c r="J189" s="936"/>
      <c r="K189" s="936"/>
      <c r="L189" s="936"/>
      <c r="M189" s="936"/>
      <c r="N189" s="936"/>
      <c r="O189" s="936"/>
      <c r="P189" s="936"/>
    </row>
    <row r="190" spans="1:16" ht="15">
      <c r="A190" s="936"/>
      <c r="B190" s="936"/>
      <c r="C190" s="936"/>
      <c r="D190" s="936"/>
      <c r="E190" s="936"/>
      <c r="F190" s="936"/>
      <c r="G190" s="936"/>
      <c r="H190" s="936"/>
      <c r="I190" s="936"/>
      <c r="J190" s="936"/>
      <c r="K190" s="936"/>
      <c r="L190" s="936"/>
      <c r="M190" s="936"/>
      <c r="N190" s="936"/>
      <c r="O190" s="936"/>
      <c r="P190" s="936"/>
    </row>
    <row r="191" spans="1:16" ht="15">
      <c r="A191" s="936"/>
      <c r="B191" s="936"/>
      <c r="C191" s="936"/>
      <c r="D191" s="936"/>
      <c r="E191" s="936"/>
      <c r="F191" s="936"/>
      <c r="G191" s="936"/>
      <c r="H191" s="936"/>
      <c r="I191" s="936"/>
      <c r="J191" s="936"/>
      <c r="K191" s="936"/>
      <c r="L191" s="936"/>
      <c r="M191" s="936"/>
      <c r="N191" s="936"/>
      <c r="O191" s="936"/>
      <c r="P191" s="936"/>
    </row>
    <row r="192" spans="1:16" ht="15">
      <c r="A192" s="936"/>
      <c r="B192" s="936"/>
      <c r="C192" s="936"/>
      <c r="D192" s="936"/>
      <c r="E192" s="936"/>
      <c r="F192" s="936"/>
      <c r="G192" s="936"/>
      <c r="H192" s="936"/>
      <c r="I192" s="936"/>
      <c r="J192" s="936"/>
      <c r="K192" s="936"/>
      <c r="L192" s="936"/>
      <c r="M192" s="936"/>
      <c r="N192" s="936"/>
      <c r="O192" s="936"/>
      <c r="P192" s="936"/>
    </row>
    <row r="193" spans="1:16" ht="15">
      <c r="A193" s="936"/>
      <c r="B193" s="936"/>
      <c r="C193" s="936"/>
      <c r="D193" s="936"/>
      <c r="E193" s="936"/>
      <c r="F193" s="936"/>
      <c r="G193" s="936"/>
      <c r="H193" s="936"/>
      <c r="I193" s="936"/>
      <c r="J193" s="936"/>
      <c r="K193" s="936"/>
      <c r="L193" s="936"/>
      <c r="M193" s="936"/>
      <c r="N193" s="936"/>
      <c r="O193" s="936"/>
      <c r="P193" s="936"/>
    </row>
    <row r="194" spans="1:16" ht="15">
      <c r="A194" s="936"/>
      <c r="B194" s="936"/>
      <c r="C194" s="936"/>
      <c r="D194" s="936"/>
      <c r="E194" s="936"/>
      <c r="F194" s="936"/>
      <c r="G194" s="936"/>
      <c r="H194" s="936"/>
      <c r="I194" s="936"/>
      <c r="J194" s="936"/>
      <c r="K194" s="936"/>
      <c r="L194" s="936"/>
      <c r="M194" s="936"/>
      <c r="N194" s="936"/>
      <c r="O194" s="936"/>
      <c r="P194" s="936"/>
    </row>
    <row r="195" spans="1:16" ht="15">
      <c r="A195" s="936"/>
      <c r="B195" s="936"/>
      <c r="C195" s="936"/>
      <c r="D195" s="936"/>
      <c r="E195" s="936"/>
      <c r="F195" s="936"/>
      <c r="G195" s="936"/>
      <c r="H195" s="936"/>
      <c r="I195" s="936"/>
      <c r="J195" s="936"/>
      <c r="K195" s="936"/>
      <c r="L195" s="936"/>
      <c r="M195" s="936"/>
      <c r="N195" s="936"/>
      <c r="O195" s="936"/>
      <c r="P195" s="936"/>
    </row>
    <row r="196" spans="1:16" ht="15">
      <c r="A196" s="936"/>
      <c r="B196" s="936"/>
      <c r="C196" s="936"/>
      <c r="D196" s="936"/>
      <c r="E196" s="936"/>
      <c r="F196" s="936"/>
      <c r="G196" s="936"/>
      <c r="H196" s="936"/>
      <c r="I196" s="936"/>
      <c r="J196" s="936"/>
      <c r="K196" s="936"/>
      <c r="L196" s="936"/>
      <c r="M196" s="936"/>
      <c r="N196" s="936"/>
      <c r="O196" s="936"/>
      <c r="P196" s="936"/>
    </row>
    <row r="197" spans="1:16" ht="15">
      <c r="A197" s="936"/>
      <c r="B197" s="936"/>
      <c r="C197" s="936"/>
      <c r="D197" s="936"/>
      <c r="E197" s="936"/>
      <c r="F197" s="936"/>
      <c r="G197" s="936"/>
      <c r="H197" s="936"/>
      <c r="I197" s="936"/>
      <c r="J197" s="936"/>
      <c r="K197" s="936"/>
      <c r="L197" s="936"/>
      <c r="M197" s="936"/>
      <c r="N197" s="936"/>
      <c r="O197" s="936"/>
      <c r="P197" s="936"/>
    </row>
    <row r="198" spans="1:16" ht="15">
      <c r="A198" s="936"/>
      <c r="B198" s="936"/>
      <c r="C198" s="936"/>
      <c r="D198" s="936"/>
      <c r="E198" s="936"/>
      <c r="F198" s="936"/>
      <c r="G198" s="936"/>
      <c r="H198" s="936"/>
      <c r="I198" s="936"/>
      <c r="J198" s="936"/>
      <c r="K198" s="936"/>
      <c r="L198" s="936"/>
      <c r="M198" s="936"/>
      <c r="N198" s="936"/>
      <c r="O198" s="936"/>
      <c r="P198" s="936"/>
    </row>
    <row r="199" spans="1:16" ht="15">
      <c r="A199" s="936"/>
      <c r="B199" s="936"/>
      <c r="C199" s="936"/>
      <c r="D199" s="936"/>
      <c r="E199" s="936"/>
      <c r="F199" s="936"/>
      <c r="G199" s="936"/>
      <c r="H199" s="936"/>
      <c r="I199" s="936"/>
      <c r="J199" s="936"/>
      <c r="K199" s="936"/>
      <c r="L199" s="936"/>
      <c r="M199" s="936"/>
      <c r="N199" s="936"/>
      <c r="O199" s="936"/>
      <c r="P199" s="936"/>
    </row>
    <row r="200" spans="1:16" ht="15">
      <c r="A200" s="936"/>
      <c r="B200" s="936"/>
      <c r="C200" s="936"/>
      <c r="D200" s="936"/>
      <c r="E200" s="936"/>
      <c r="F200" s="936"/>
      <c r="G200" s="936"/>
      <c r="H200" s="936"/>
      <c r="I200" s="936"/>
      <c r="J200" s="936"/>
      <c r="K200" s="936"/>
      <c r="L200" s="936"/>
      <c r="M200" s="936"/>
      <c r="N200" s="936"/>
      <c r="O200" s="936"/>
      <c r="P200" s="936"/>
    </row>
    <row r="201" spans="1:16" ht="15">
      <c r="A201" s="936"/>
      <c r="B201" s="936"/>
      <c r="C201" s="936"/>
      <c r="D201" s="936"/>
      <c r="E201" s="936"/>
      <c r="F201" s="936"/>
      <c r="G201" s="936"/>
      <c r="H201" s="936"/>
      <c r="I201" s="936"/>
      <c r="J201" s="936"/>
      <c r="K201" s="936"/>
      <c r="L201" s="936"/>
      <c r="M201" s="936"/>
      <c r="N201" s="936"/>
      <c r="O201" s="936"/>
      <c r="P201" s="936"/>
    </row>
    <row r="202" spans="1:16" ht="15">
      <c r="A202" s="936"/>
      <c r="B202" s="936"/>
      <c r="C202" s="936"/>
      <c r="D202" s="936"/>
      <c r="E202" s="936"/>
      <c r="F202" s="936"/>
      <c r="G202" s="936"/>
      <c r="H202" s="936"/>
      <c r="I202" s="936"/>
      <c r="J202" s="936"/>
      <c r="K202" s="936"/>
      <c r="L202" s="936"/>
      <c r="M202" s="936"/>
      <c r="N202" s="936"/>
      <c r="O202" s="936"/>
      <c r="P202" s="936"/>
    </row>
    <row r="203" spans="1:16" ht="15">
      <c r="A203" s="936"/>
      <c r="B203" s="936"/>
      <c r="C203" s="936"/>
      <c r="D203" s="936"/>
      <c r="E203" s="936"/>
      <c r="F203" s="936"/>
      <c r="G203" s="936"/>
      <c r="H203" s="936"/>
      <c r="I203" s="936"/>
      <c r="J203" s="936"/>
      <c r="K203" s="936"/>
      <c r="L203" s="936"/>
      <c r="M203" s="936"/>
      <c r="N203" s="936"/>
      <c r="O203" s="936"/>
      <c r="P203" s="936"/>
    </row>
    <row r="204" spans="1:16" ht="15">
      <c r="A204" s="936"/>
      <c r="B204" s="936"/>
      <c r="C204" s="936"/>
      <c r="D204" s="936"/>
      <c r="E204" s="936"/>
      <c r="F204" s="936"/>
      <c r="G204" s="936"/>
      <c r="H204" s="936"/>
      <c r="I204" s="936"/>
      <c r="J204" s="936"/>
      <c r="K204" s="936"/>
      <c r="L204" s="936"/>
      <c r="M204" s="936"/>
      <c r="N204" s="936"/>
      <c r="O204" s="936"/>
      <c r="P204" s="936"/>
    </row>
    <row r="205" spans="1:16" ht="15">
      <c r="A205" s="936"/>
      <c r="B205" s="936"/>
      <c r="C205" s="936"/>
      <c r="D205" s="936"/>
      <c r="E205" s="936"/>
      <c r="F205" s="936"/>
      <c r="G205" s="936"/>
      <c r="H205" s="936"/>
      <c r="I205" s="936"/>
      <c r="J205" s="936"/>
      <c r="K205" s="936"/>
      <c r="L205" s="936"/>
      <c r="M205" s="936"/>
      <c r="N205" s="936"/>
      <c r="O205" s="936"/>
      <c r="P205" s="936"/>
    </row>
    <row r="206" spans="1:16" ht="15">
      <c r="A206" s="936"/>
      <c r="B206" s="936"/>
      <c r="C206" s="936"/>
      <c r="D206" s="936"/>
      <c r="E206" s="936"/>
      <c r="F206" s="936"/>
      <c r="G206" s="936"/>
      <c r="H206" s="936"/>
      <c r="I206" s="936"/>
      <c r="J206" s="936"/>
      <c r="K206" s="936"/>
      <c r="L206" s="936"/>
      <c r="M206" s="936"/>
      <c r="N206" s="936"/>
      <c r="O206" s="936"/>
      <c r="P206" s="936"/>
    </row>
    <row r="207" spans="1:16" ht="15">
      <c r="A207" s="936"/>
      <c r="B207" s="936"/>
      <c r="C207" s="936"/>
      <c r="D207" s="936"/>
      <c r="E207" s="936"/>
      <c r="F207" s="936"/>
      <c r="G207" s="936"/>
      <c r="H207" s="936"/>
      <c r="I207" s="936"/>
      <c r="J207" s="936"/>
      <c r="K207" s="936"/>
      <c r="L207" s="936"/>
      <c r="M207" s="936"/>
      <c r="N207" s="936"/>
      <c r="O207" s="936"/>
      <c r="P207" s="936"/>
    </row>
    <row r="208" spans="1:16" ht="15">
      <c r="A208" s="936"/>
      <c r="B208" s="936"/>
      <c r="C208" s="936"/>
      <c r="D208" s="936"/>
      <c r="E208" s="936"/>
      <c r="F208" s="936"/>
      <c r="G208" s="936"/>
      <c r="H208" s="936"/>
      <c r="I208" s="936"/>
      <c r="J208" s="936"/>
      <c r="K208" s="936"/>
      <c r="L208" s="936"/>
      <c r="M208" s="936"/>
      <c r="N208" s="936"/>
      <c r="O208" s="936"/>
      <c r="P208" s="936"/>
    </row>
    <row r="209" spans="1:16" ht="15">
      <c r="A209" s="936"/>
      <c r="B209" s="936"/>
      <c r="C209" s="936"/>
      <c r="D209" s="936"/>
      <c r="E209" s="936"/>
      <c r="F209" s="936"/>
      <c r="G209" s="936"/>
      <c r="H209" s="936"/>
      <c r="I209" s="936"/>
      <c r="J209" s="936"/>
      <c r="K209" s="936"/>
      <c r="L209" s="936"/>
      <c r="M209" s="936"/>
      <c r="N209" s="936"/>
      <c r="O209" s="936"/>
      <c r="P209" s="936"/>
    </row>
    <row r="210" spans="1:16" ht="15">
      <c r="A210" s="936"/>
      <c r="B210" s="936"/>
      <c r="C210" s="936"/>
      <c r="D210" s="936"/>
      <c r="E210" s="936"/>
      <c r="F210" s="936"/>
      <c r="G210" s="936"/>
      <c r="H210" s="936"/>
      <c r="I210" s="936"/>
      <c r="J210" s="936"/>
      <c r="K210" s="936"/>
      <c r="L210" s="936"/>
      <c r="M210" s="936"/>
      <c r="N210" s="936"/>
      <c r="O210" s="936"/>
      <c r="P210" s="936"/>
    </row>
    <row r="211" spans="1:16" ht="15">
      <c r="A211" s="936"/>
      <c r="B211" s="936"/>
      <c r="C211" s="936"/>
      <c r="D211" s="936"/>
      <c r="E211" s="936"/>
      <c r="F211" s="936"/>
      <c r="G211" s="936"/>
      <c r="H211" s="936"/>
      <c r="I211" s="936"/>
      <c r="J211" s="936"/>
      <c r="K211" s="936"/>
      <c r="L211" s="936"/>
      <c r="M211" s="936"/>
      <c r="N211" s="936"/>
      <c r="O211" s="936"/>
      <c r="P211" s="936"/>
    </row>
    <row r="212" spans="1:16" ht="15">
      <c r="A212" s="936"/>
      <c r="B212" s="936"/>
      <c r="C212" s="936"/>
      <c r="D212" s="936"/>
      <c r="E212" s="936"/>
      <c r="F212" s="936"/>
      <c r="G212" s="936"/>
      <c r="H212" s="936"/>
      <c r="I212" s="936"/>
      <c r="J212" s="936"/>
      <c r="K212" s="936"/>
      <c r="L212" s="936"/>
      <c r="M212" s="936"/>
      <c r="N212" s="936"/>
      <c r="O212" s="936"/>
      <c r="P212" s="936"/>
    </row>
    <row r="213" spans="1:16" ht="15">
      <c r="A213" s="936"/>
      <c r="B213" s="936"/>
      <c r="C213" s="936"/>
      <c r="D213" s="936"/>
      <c r="E213" s="936"/>
      <c r="F213" s="936"/>
      <c r="G213" s="936"/>
      <c r="H213" s="936"/>
      <c r="I213" s="936"/>
      <c r="J213" s="936"/>
      <c r="K213" s="936"/>
      <c r="L213" s="936"/>
      <c r="M213" s="936"/>
      <c r="N213" s="936"/>
      <c r="O213" s="936"/>
      <c r="P213" s="936"/>
    </row>
    <row r="214" spans="1:16" ht="15">
      <c r="A214" s="936"/>
      <c r="B214" s="936"/>
      <c r="C214" s="936"/>
      <c r="D214" s="936"/>
      <c r="E214" s="936"/>
      <c r="F214" s="936"/>
      <c r="G214" s="936"/>
      <c r="H214" s="936"/>
      <c r="I214" s="936"/>
      <c r="J214" s="936"/>
      <c r="K214" s="936"/>
      <c r="L214" s="936"/>
      <c r="M214" s="936"/>
      <c r="N214" s="936"/>
      <c r="O214" s="936"/>
      <c r="P214" s="936"/>
    </row>
    <row r="215" spans="1:16" ht="15">
      <c r="A215" s="936"/>
      <c r="B215" s="936"/>
      <c r="C215" s="936"/>
      <c r="D215" s="936"/>
      <c r="E215" s="936"/>
      <c r="F215" s="936"/>
      <c r="G215" s="936"/>
      <c r="H215" s="936"/>
      <c r="I215" s="936"/>
      <c r="J215" s="936"/>
      <c r="K215" s="936"/>
      <c r="L215" s="936"/>
      <c r="M215" s="936"/>
      <c r="N215" s="936"/>
      <c r="O215" s="936"/>
      <c r="P215" s="936"/>
    </row>
    <row r="216" spans="1:16" ht="15">
      <c r="A216" s="936"/>
      <c r="B216" s="936"/>
      <c r="C216" s="936"/>
      <c r="D216" s="936"/>
      <c r="E216" s="936"/>
      <c r="F216" s="936"/>
      <c r="G216" s="936"/>
      <c r="H216" s="936"/>
      <c r="I216" s="936"/>
      <c r="J216" s="936"/>
      <c r="K216" s="936"/>
      <c r="L216" s="936"/>
      <c r="M216" s="936"/>
      <c r="N216" s="936"/>
      <c r="O216" s="936"/>
      <c r="P216" s="936"/>
    </row>
    <row r="217" spans="1:16" ht="15">
      <c r="A217" s="936"/>
      <c r="B217" s="936"/>
      <c r="C217" s="936"/>
      <c r="D217" s="936"/>
      <c r="E217" s="936"/>
      <c r="F217" s="936"/>
      <c r="G217" s="936"/>
      <c r="H217" s="936"/>
      <c r="I217" s="936"/>
      <c r="J217" s="936"/>
      <c r="K217" s="936"/>
      <c r="L217" s="936"/>
      <c r="M217" s="936"/>
      <c r="N217" s="936"/>
      <c r="O217" s="936"/>
      <c r="P217" s="936"/>
    </row>
    <row r="218" spans="1:16" ht="15">
      <c r="A218" s="936"/>
      <c r="B218" s="936"/>
      <c r="C218" s="936"/>
      <c r="D218" s="936"/>
      <c r="E218" s="936"/>
      <c r="F218" s="936"/>
      <c r="G218" s="936"/>
      <c r="H218" s="936"/>
      <c r="I218" s="936"/>
      <c r="J218" s="936"/>
      <c r="K218" s="936"/>
      <c r="L218" s="936"/>
      <c r="M218" s="936"/>
      <c r="N218" s="936"/>
      <c r="O218" s="936"/>
      <c r="P218" s="936"/>
    </row>
    <row r="219" spans="1:16" ht="15">
      <c r="A219" s="936"/>
      <c r="B219" s="936"/>
      <c r="C219" s="936"/>
      <c r="D219" s="936"/>
      <c r="E219" s="936"/>
      <c r="F219" s="936"/>
      <c r="G219" s="936"/>
      <c r="H219" s="936"/>
      <c r="I219" s="936"/>
      <c r="J219" s="936"/>
      <c r="K219" s="936"/>
      <c r="L219" s="936"/>
      <c r="M219" s="936"/>
      <c r="N219" s="936"/>
      <c r="O219" s="936"/>
      <c r="P219" s="936"/>
    </row>
    <row r="220" spans="1:16" ht="15">
      <c r="A220" s="936"/>
      <c r="B220" s="936"/>
      <c r="C220" s="936"/>
      <c r="D220" s="936"/>
      <c r="E220" s="936"/>
      <c r="F220" s="936"/>
      <c r="G220" s="936"/>
      <c r="H220" s="936"/>
      <c r="I220" s="936"/>
      <c r="J220" s="936"/>
      <c r="K220" s="936"/>
      <c r="L220" s="936"/>
      <c r="M220" s="936"/>
      <c r="N220" s="936"/>
      <c r="O220" s="936"/>
      <c r="P220" s="936"/>
    </row>
    <row r="221" spans="1:16" ht="15">
      <c r="A221" s="936"/>
      <c r="B221" s="936"/>
      <c r="C221" s="936"/>
      <c r="D221" s="936"/>
      <c r="E221" s="936"/>
      <c r="F221" s="936"/>
      <c r="G221" s="936"/>
      <c r="H221" s="936"/>
      <c r="I221" s="936"/>
      <c r="J221" s="936"/>
      <c r="K221" s="936"/>
      <c r="L221" s="936"/>
      <c r="M221" s="936"/>
      <c r="N221" s="936"/>
      <c r="O221" s="936"/>
      <c r="P221" s="936"/>
    </row>
    <row r="222" spans="1:16" ht="15">
      <c r="A222" s="936"/>
      <c r="B222" s="936"/>
      <c r="C222" s="936"/>
      <c r="D222" s="936"/>
      <c r="E222" s="936"/>
      <c r="F222" s="936"/>
      <c r="G222" s="936"/>
      <c r="H222" s="936"/>
      <c r="I222" s="936"/>
      <c r="J222" s="936"/>
      <c r="K222" s="936"/>
      <c r="L222" s="936"/>
      <c r="M222" s="936"/>
      <c r="N222" s="936"/>
      <c r="O222" s="936"/>
      <c r="P222" s="936"/>
    </row>
    <row r="223" spans="1:16" ht="15">
      <c r="A223" s="936"/>
      <c r="B223" s="936"/>
      <c r="C223" s="936"/>
      <c r="D223" s="936"/>
      <c r="E223" s="936"/>
      <c r="F223" s="936"/>
      <c r="G223" s="936"/>
      <c r="H223" s="936"/>
      <c r="I223" s="936"/>
      <c r="J223" s="936"/>
      <c r="K223" s="936"/>
      <c r="L223" s="936"/>
      <c r="M223" s="936"/>
      <c r="N223" s="936"/>
      <c r="O223" s="936"/>
      <c r="P223" s="936"/>
    </row>
    <row r="224" spans="1:16" ht="15">
      <c r="A224" s="936"/>
      <c r="B224" s="936"/>
      <c r="C224" s="936"/>
      <c r="D224" s="936"/>
      <c r="E224" s="936"/>
      <c r="F224" s="936"/>
      <c r="G224" s="936"/>
      <c r="H224" s="936"/>
      <c r="I224" s="936"/>
      <c r="J224" s="936"/>
      <c r="K224" s="936"/>
      <c r="L224" s="936"/>
      <c r="M224" s="936"/>
      <c r="N224" s="936"/>
      <c r="O224" s="936"/>
      <c r="P224" s="936"/>
    </row>
    <row r="225" spans="1:16" ht="15">
      <c r="A225" s="936"/>
      <c r="B225" s="936"/>
      <c r="C225" s="936"/>
      <c r="D225" s="936"/>
      <c r="E225" s="936"/>
      <c r="F225" s="936"/>
      <c r="G225" s="936"/>
      <c r="H225" s="936"/>
      <c r="I225" s="936"/>
      <c r="J225" s="936"/>
      <c r="K225" s="936"/>
      <c r="L225" s="936"/>
      <c r="M225" s="936"/>
      <c r="N225" s="936"/>
      <c r="O225" s="936"/>
      <c r="P225" s="936"/>
    </row>
    <row r="226" spans="1:16" ht="15">
      <c r="A226" s="936"/>
      <c r="B226" s="936"/>
      <c r="C226" s="936"/>
      <c r="D226" s="936"/>
      <c r="E226" s="936"/>
      <c r="F226" s="936"/>
      <c r="G226" s="936"/>
      <c r="H226" s="936"/>
      <c r="I226" s="936"/>
      <c r="J226" s="936"/>
      <c r="K226" s="936"/>
      <c r="L226" s="936"/>
      <c r="M226" s="936"/>
      <c r="N226" s="936"/>
      <c r="O226" s="936"/>
      <c r="P226" s="936"/>
    </row>
    <row r="227" spans="1:16" ht="15">
      <c r="A227" s="936"/>
      <c r="B227" s="936"/>
      <c r="C227" s="936"/>
      <c r="D227" s="936"/>
      <c r="E227" s="936"/>
      <c r="F227" s="936"/>
      <c r="G227" s="936"/>
      <c r="H227" s="936"/>
      <c r="I227" s="936"/>
      <c r="J227" s="936"/>
      <c r="K227" s="936"/>
      <c r="L227" s="936"/>
      <c r="M227" s="936"/>
      <c r="N227" s="936"/>
      <c r="O227" s="936"/>
      <c r="P227" s="936"/>
    </row>
    <row r="228" spans="1:16" ht="15">
      <c r="A228" s="936"/>
      <c r="B228" s="936"/>
      <c r="C228" s="936"/>
      <c r="D228" s="936"/>
      <c r="E228" s="936"/>
      <c r="F228" s="936"/>
      <c r="G228" s="936"/>
      <c r="H228" s="936"/>
      <c r="I228" s="936"/>
      <c r="J228" s="936"/>
      <c r="K228" s="936"/>
      <c r="L228" s="936"/>
      <c r="M228" s="936"/>
      <c r="N228" s="936"/>
      <c r="O228" s="936"/>
      <c r="P228" s="936"/>
    </row>
    <row r="229" spans="1:16" ht="15">
      <c r="A229" s="936"/>
      <c r="B229" s="936"/>
      <c r="C229" s="936"/>
      <c r="D229" s="936"/>
      <c r="E229" s="936"/>
      <c r="F229" s="936"/>
      <c r="G229" s="936"/>
      <c r="H229" s="936"/>
      <c r="I229" s="936"/>
      <c r="J229" s="936"/>
      <c r="K229" s="936"/>
      <c r="L229" s="936"/>
      <c r="M229" s="936"/>
      <c r="N229" s="936"/>
      <c r="O229" s="936"/>
      <c r="P229" s="936"/>
    </row>
    <row r="230" spans="1:16" ht="15">
      <c r="A230" s="936"/>
      <c r="B230" s="936"/>
      <c r="C230" s="936"/>
      <c r="D230" s="936"/>
      <c r="E230" s="936"/>
      <c r="F230" s="936"/>
      <c r="G230" s="936"/>
      <c r="H230" s="936"/>
      <c r="I230" s="936"/>
      <c r="J230" s="936"/>
      <c r="K230" s="936"/>
      <c r="L230" s="936"/>
      <c r="M230" s="936"/>
      <c r="N230" s="936"/>
      <c r="O230" s="936"/>
      <c r="P230" s="936"/>
    </row>
    <row r="231" spans="1:16" ht="15">
      <c r="A231" s="936"/>
      <c r="B231" s="936"/>
      <c r="C231" s="936"/>
      <c r="D231" s="936"/>
      <c r="E231" s="936"/>
      <c r="F231" s="936"/>
      <c r="G231" s="936"/>
      <c r="H231" s="936"/>
      <c r="I231" s="936"/>
      <c r="J231" s="936"/>
      <c r="K231" s="936"/>
      <c r="L231" s="936"/>
      <c r="M231" s="936"/>
      <c r="N231" s="936"/>
      <c r="O231" s="936"/>
      <c r="P231" s="936"/>
    </row>
    <row r="232" spans="1:16" ht="15">
      <c r="A232" s="936"/>
      <c r="B232" s="936"/>
      <c r="C232" s="936"/>
      <c r="D232" s="936"/>
      <c r="E232" s="936"/>
      <c r="F232" s="936"/>
      <c r="G232" s="936"/>
      <c r="H232" s="936"/>
      <c r="I232" s="936"/>
      <c r="J232" s="936"/>
      <c r="K232" s="936"/>
      <c r="L232" s="936"/>
      <c r="M232" s="936"/>
      <c r="N232" s="936"/>
      <c r="O232" s="936"/>
      <c r="P232" s="936"/>
    </row>
    <row r="233" spans="1:16" ht="15">
      <c r="A233" s="936"/>
      <c r="B233" s="936"/>
      <c r="C233" s="936"/>
      <c r="D233" s="936"/>
      <c r="E233" s="936"/>
      <c r="F233" s="936"/>
      <c r="G233" s="936"/>
      <c r="H233" s="936"/>
      <c r="I233" s="936"/>
      <c r="J233" s="936"/>
      <c r="K233" s="936"/>
      <c r="L233" s="936"/>
      <c r="M233" s="936"/>
      <c r="N233" s="936"/>
      <c r="O233" s="936"/>
      <c r="P233" s="936"/>
    </row>
    <row r="234" spans="1:16" ht="15">
      <c r="A234" s="936"/>
      <c r="B234" s="936"/>
      <c r="C234" s="936"/>
      <c r="D234" s="936"/>
      <c r="E234" s="936"/>
      <c r="F234" s="936"/>
      <c r="G234" s="936"/>
      <c r="H234" s="936"/>
      <c r="I234" s="936"/>
      <c r="J234" s="936"/>
      <c r="K234" s="936"/>
      <c r="L234" s="936"/>
      <c r="M234" s="936"/>
      <c r="N234" s="936"/>
      <c r="O234" s="936"/>
      <c r="P234" s="936"/>
    </row>
    <row r="235" spans="1:16" ht="15">
      <c r="A235" s="936"/>
      <c r="B235" s="936"/>
      <c r="C235" s="936"/>
      <c r="D235" s="936"/>
      <c r="E235" s="936"/>
      <c r="F235" s="936"/>
      <c r="G235" s="936"/>
      <c r="H235" s="936"/>
      <c r="I235" s="936"/>
      <c r="J235" s="936"/>
      <c r="K235" s="936"/>
      <c r="L235" s="936"/>
      <c r="M235" s="936"/>
      <c r="N235" s="936"/>
      <c r="O235" s="936"/>
      <c r="P235" s="936"/>
    </row>
    <row r="236" spans="1:16" ht="15">
      <c r="A236" s="936"/>
      <c r="B236" s="936"/>
      <c r="C236" s="936"/>
      <c r="D236" s="936"/>
      <c r="E236" s="936"/>
      <c r="F236" s="936"/>
      <c r="G236" s="936"/>
      <c r="H236" s="936"/>
      <c r="I236" s="936"/>
      <c r="J236" s="936"/>
      <c r="K236" s="936"/>
      <c r="L236" s="936"/>
      <c r="M236" s="936"/>
      <c r="N236" s="936"/>
      <c r="O236" s="936"/>
      <c r="P236" s="936"/>
    </row>
    <row r="237" spans="1:16" ht="15">
      <c r="A237" s="936"/>
      <c r="B237" s="936"/>
      <c r="C237" s="936"/>
      <c r="D237" s="936"/>
      <c r="E237" s="936"/>
      <c r="F237" s="936"/>
      <c r="G237" s="936"/>
      <c r="H237" s="936"/>
      <c r="I237" s="936"/>
      <c r="J237" s="936"/>
      <c r="K237" s="936"/>
      <c r="L237" s="936"/>
      <c r="M237" s="936"/>
      <c r="N237" s="936"/>
      <c r="O237" s="936"/>
      <c r="P237" s="936"/>
    </row>
    <row r="238" spans="1:16" ht="15">
      <c r="A238" s="936"/>
      <c r="B238" s="936"/>
      <c r="C238" s="936"/>
      <c r="D238" s="936"/>
      <c r="E238" s="936"/>
      <c r="F238" s="936"/>
      <c r="G238" s="936"/>
      <c r="H238" s="936"/>
      <c r="I238" s="936"/>
      <c r="J238" s="936"/>
      <c r="K238" s="936"/>
      <c r="L238" s="936"/>
      <c r="M238" s="936"/>
      <c r="N238" s="936"/>
      <c r="O238" s="936"/>
      <c r="P238" s="936"/>
    </row>
    <row r="239" spans="1:16" ht="15">
      <c r="A239" s="936"/>
      <c r="B239" s="936"/>
      <c r="C239" s="936"/>
      <c r="D239" s="936"/>
      <c r="E239" s="936"/>
      <c r="F239" s="936"/>
      <c r="G239" s="936"/>
      <c r="H239" s="936"/>
      <c r="I239" s="936"/>
      <c r="J239" s="936"/>
      <c r="K239" s="936"/>
      <c r="L239" s="936"/>
      <c r="M239" s="936"/>
      <c r="N239" s="936"/>
      <c r="O239" s="936"/>
      <c r="P239" s="936"/>
    </row>
  </sheetData>
  <pageMargins left="0.78" right="0.28000000000000003" top="0.46" bottom="0.35" header="0.27" footer="0.17"/>
  <pageSetup scale="44" orientation="landscape" r:id="rId1"/>
  <headerFooter alignWithMargins="0">
    <oddFooter>&amp;R&amp;P</oddFooter>
  </headerFooter>
</worksheet>
</file>

<file path=xl/worksheets/sheet162.xml><?xml version="1.0" encoding="utf-8"?>
<worksheet xmlns="http://schemas.openxmlformats.org/spreadsheetml/2006/main" xmlns:r="http://schemas.openxmlformats.org/officeDocument/2006/relationships">
  <sheetPr>
    <pageSetUpPr fitToPage="1"/>
  </sheetPr>
  <dimension ref="A1:AM170"/>
  <sheetViews>
    <sheetView topLeftCell="A25" workbookViewId="0">
      <pane xSplit="1" ySplit="4" topLeftCell="B29" activePane="bottomRight" state="frozen"/>
      <selection activeCell="E46" sqref="E46"/>
      <selection pane="topRight" activeCell="E46" sqref="E46"/>
      <selection pane="bottomLeft" activeCell="E46" sqref="E46"/>
      <selection pane="bottomRight" activeCell="B31" sqref="B31"/>
    </sheetView>
  </sheetViews>
  <sheetFormatPr baseColWidth="10" defaultColWidth="9" defaultRowHeight="15.75"/>
  <cols>
    <col min="1" max="1" width="32.875" customWidth="1"/>
    <col min="2" max="2" width="13.75" style="21" customWidth="1"/>
    <col min="3" max="3" width="13.75" style="20" customWidth="1"/>
    <col min="4" max="5" width="13.75" style="21" customWidth="1"/>
    <col min="6" max="7" width="13.75" style="20" customWidth="1"/>
    <col min="8" max="8" width="16.75" style="20" customWidth="1"/>
    <col min="9" max="9" width="13.75" style="21" customWidth="1"/>
    <col min="10" max="10" width="13.75" style="20" customWidth="1"/>
    <col min="11" max="11" width="13.75" style="21" customWidth="1"/>
    <col min="12" max="12" width="13.125" style="20" customWidth="1"/>
    <col min="13" max="13" width="13.75" style="21" customWidth="1"/>
    <col min="14" max="15" width="15.25" style="20" customWidth="1"/>
    <col min="16" max="16" width="14.375" style="20" customWidth="1"/>
    <col min="17" max="21" width="14.375" customWidth="1"/>
  </cols>
  <sheetData>
    <row r="1" spans="1:14" ht="30">
      <c r="A1" s="949" t="s">
        <v>610</v>
      </c>
      <c r="B1" s="43"/>
      <c r="C1" s="42"/>
      <c r="D1" s="43"/>
      <c r="E1" s="43"/>
      <c r="F1" s="42"/>
      <c r="G1" s="42"/>
      <c r="H1" s="42"/>
      <c r="I1" s="43"/>
      <c r="J1" s="42"/>
      <c r="K1" s="43"/>
      <c r="L1" s="42"/>
      <c r="M1" s="43"/>
      <c r="N1" s="42"/>
    </row>
    <row r="2" spans="1:14">
      <c r="A2" s="111" t="s">
        <v>0</v>
      </c>
      <c r="B2" s="43"/>
      <c r="C2" s="42"/>
      <c r="D2" s="43"/>
      <c r="E2" s="43"/>
      <c r="F2" s="42"/>
      <c r="G2" s="42"/>
      <c r="H2" s="42"/>
      <c r="I2" s="43"/>
      <c r="J2" s="42"/>
      <c r="K2" s="43"/>
      <c r="L2" s="42"/>
      <c r="M2" s="43"/>
      <c r="N2" s="42"/>
    </row>
    <row r="3" spans="1:14">
      <c r="A3" s="111" t="s">
        <v>0</v>
      </c>
      <c r="B3" s="43"/>
      <c r="C3" s="42"/>
      <c r="D3" s="43"/>
      <c r="E3" s="43"/>
      <c r="F3" s="42"/>
      <c r="G3" s="42"/>
      <c r="H3" s="42"/>
      <c r="I3" s="43"/>
      <c r="J3" s="42"/>
      <c r="K3" s="43"/>
      <c r="L3" s="42"/>
      <c r="M3" s="43"/>
      <c r="N3" s="42"/>
    </row>
    <row r="4" spans="1:14" ht="23.25">
      <c r="A4" s="950" t="s">
        <v>968</v>
      </c>
      <c r="B4" s="43"/>
      <c r="C4" s="42"/>
      <c r="D4" s="43"/>
      <c r="E4" s="43"/>
      <c r="F4" s="42"/>
      <c r="G4" s="42"/>
      <c r="H4" s="42"/>
      <c r="I4" s="43"/>
      <c r="J4" s="42"/>
      <c r="K4" s="43"/>
      <c r="L4" s="42"/>
      <c r="M4" s="43"/>
      <c r="N4" s="42"/>
    </row>
    <row r="5" spans="1:14" ht="15" customHeight="1">
      <c r="A5" s="525" t="s">
        <v>0</v>
      </c>
      <c r="B5" s="43"/>
      <c r="C5" s="42"/>
      <c r="D5" s="43"/>
      <c r="E5" s="43"/>
      <c r="F5" s="42"/>
      <c r="G5" s="42"/>
      <c r="H5" s="42"/>
      <c r="I5" s="43"/>
      <c r="J5" s="42"/>
      <c r="K5" s="43"/>
      <c r="L5" s="42"/>
      <c r="M5" s="43"/>
      <c r="N5" s="42"/>
    </row>
    <row r="6" spans="1:14">
      <c r="A6" s="525"/>
      <c r="B6" s="43"/>
      <c r="C6" s="42"/>
      <c r="D6" s="43"/>
      <c r="E6" s="43"/>
      <c r="F6" s="42"/>
      <c r="G6" s="42"/>
      <c r="H6" s="42"/>
      <c r="I6" s="43"/>
      <c r="J6" s="42"/>
      <c r="K6" s="43"/>
      <c r="L6" s="42"/>
      <c r="M6" s="43"/>
      <c r="N6" s="42"/>
    </row>
    <row r="7" spans="1:14">
      <c r="A7" s="525"/>
      <c r="B7" s="43"/>
      <c r="C7" s="42"/>
      <c r="D7" s="43"/>
      <c r="E7" s="43"/>
      <c r="F7" s="42"/>
      <c r="G7" s="42"/>
      <c r="H7" s="42"/>
      <c r="I7" s="43"/>
      <c r="J7" s="42"/>
      <c r="K7" s="43"/>
      <c r="L7" s="42"/>
      <c r="M7" s="43"/>
      <c r="N7" s="42"/>
    </row>
    <row r="8" spans="1:14">
      <c r="A8" s="525"/>
      <c r="B8" s="43"/>
      <c r="C8" s="42"/>
      <c r="D8" s="43"/>
      <c r="E8" s="43"/>
      <c r="F8" s="42"/>
      <c r="G8" s="42"/>
      <c r="H8" s="42"/>
      <c r="I8" s="43"/>
      <c r="J8" s="42"/>
      <c r="K8" s="43"/>
      <c r="L8" s="42"/>
      <c r="M8" s="43"/>
      <c r="N8" s="42"/>
    </row>
    <row r="9" spans="1:14">
      <c r="A9" s="525"/>
      <c r="B9" s="43"/>
      <c r="C9" s="42"/>
      <c r="D9" s="43"/>
      <c r="E9" s="43"/>
      <c r="F9" s="42"/>
      <c r="G9" s="42"/>
      <c r="H9" s="42"/>
      <c r="I9" s="43"/>
      <c r="J9" s="42"/>
      <c r="K9" s="43"/>
      <c r="L9" s="42"/>
      <c r="M9" s="43"/>
      <c r="N9" s="42"/>
    </row>
    <row r="10" spans="1:14">
      <c r="A10" s="525"/>
      <c r="B10" s="43"/>
      <c r="C10" s="42"/>
      <c r="D10" s="43"/>
      <c r="E10" s="43"/>
      <c r="F10" s="42"/>
      <c r="G10" s="42"/>
      <c r="H10" s="42"/>
      <c r="I10" s="43"/>
      <c r="J10" s="42"/>
      <c r="K10" s="43"/>
      <c r="L10" s="42"/>
      <c r="M10" s="43"/>
      <c r="N10" s="42"/>
    </row>
    <row r="11" spans="1:14">
      <c r="A11" s="525"/>
      <c r="B11" s="43"/>
      <c r="C11" s="42"/>
      <c r="D11" s="43"/>
      <c r="E11" s="43"/>
      <c r="F11" s="42"/>
      <c r="G11" s="42"/>
      <c r="H11" s="42"/>
      <c r="I11" s="43"/>
      <c r="J11" s="42"/>
      <c r="K11" s="43"/>
      <c r="L11" s="42"/>
      <c r="M11" s="43"/>
      <c r="N11" s="42"/>
    </row>
    <row r="12" spans="1:14">
      <c r="A12" s="525"/>
      <c r="B12" s="43"/>
      <c r="C12" s="42"/>
      <c r="D12" s="43"/>
      <c r="E12" s="43"/>
      <c r="F12" s="42"/>
      <c r="G12" s="42"/>
      <c r="H12" s="42"/>
      <c r="I12" s="43"/>
      <c r="J12" s="42"/>
      <c r="K12" s="43"/>
      <c r="L12" s="42"/>
      <c r="M12" s="43"/>
      <c r="N12" s="42"/>
    </row>
    <row r="13" spans="1:14">
      <c r="A13" s="525"/>
      <c r="B13" s="43"/>
      <c r="C13" s="42"/>
      <c r="D13" s="43"/>
      <c r="E13" s="43"/>
      <c r="F13" s="42"/>
      <c r="G13" s="42"/>
      <c r="H13" s="42"/>
      <c r="I13" s="43"/>
      <c r="J13" s="42"/>
      <c r="K13" s="43"/>
      <c r="L13" s="42"/>
      <c r="M13" s="43"/>
      <c r="N13" s="42"/>
    </row>
    <row r="14" spans="1:14">
      <c r="A14" s="39"/>
      <c r="B14" s="43"/>
      <c r="C14" s="42"/>
      <c r="D14" s="43"/>
      <c r="E14" s="43"/>
      <c r="F14" s="42"/>
      <c r="G14" s="42"/>
      <c r="H14" s="42"/>
      <c r="I14" s="43"/>
      <c r="J14" s="42"/>
      <c r="K14" s="43"/>
      <c r="L14" s="42"/>
      <c r="M14" s="43"/>
      <c r="N14" s="42"/>
    </row>
    <row r="15" spans="1:14">
      <c r="A15" s="39"/>
      <c r="B15" s="43"/>
      <c r="C15" s="42"/>
      <c r="D15" s="43"/>
      <c r="E15" s="43"/>
      <c r="F15" s="42"/>
      <c r="G15" s="42"/>
      <c r="H15" s="42"/>
      <c r="I15" s="43"/>
      <c r="J15" s="42"/>
      <c r="K15" s="43"/>
      <c r="L15" s="42"/>
      <c r="M15" s="43"/>
      <c r="N15" s="42"/>
    </row>
    <row r="16" spans="1:14">
      <c r="A16" s="39"/>
      <c r="B16" s="43"/>
      <c r="C16" s="42"/>
      <c r="D16" s="43"/>
      <c r="E16" s="43"/>
      <c r="F16" s="42"/>
      <c r="G16" s="42"/>
      <c r="H16" s="42"/>
      <c r="I16" s="43"/>
      <c r="J16" s="42"/>
      <c r="K16" s="43"/>
      <c r="L16" s="42"/>
      <c r="M16" s="43"/>
      <c r="N16" s="42"/>
    </row>
    <row r="17" spans="1:39">
      <c r="A17" s="39"/>
      <c r="B17" s="43"/>
      <c r="C17" s="42"/>
      <c r="D17" s="43"/>
      <c r="E17" s="43"/>
      <c r="F17" s="42"/>
      <c r="G17" s="42"/>
      <c r="H17" s="42"/>
      <c r="I17" s="43"/>
      <c r="J17" s="42"/>
      <c r="K17" s="43"/>
      <c r="L17" s="42"/>
      <c r="M17" s="43"/>
      <c r="N17" s="42"/>
    </row>
    <row r="18" spans="1:39">
      <c r="A18" s="39"/>
      <c r="B18" s="43"/>
      <c r="C18" s="42"/>
      <c r="D18" s="43"/>
      <c r="E18" s="43"/>
      <c r="F18" s="42"/>
      <c r="G18" s="42"/>
      <c r="H18" s="42"/>
      <c r="I18" s="43"/>
      <c r="J18" s="42"/>
      <c r="K18" s="43"/>
      <c r="L18" s="42"/>
      <c r="M18" s="43"/>
      <c r="N18" s="42"/>
    </row>
    <row r="19" spans="1:39">
      <c r="A19" s="39"/>
      <c r="B19" s="43"/>
      <c r="C19" s="42"/>
      <c r="D19" s="43"/>
      <c r="E19" s="43"/>
      <c r="F19" s="42"/>
      <c r="G19" s="42"/>
      <c r="H19" s="42"/>
      <c r="I19" s="43"/>
      <c r="J19" s="42"/>
      <c r="K19" s="43"/>
      <c r="L19" s="42"/>
      <c r="M19" s="43"/>
      <c r="N19" s="42"/>
    </row>
    <row r="20" spans="1:39">
      <c r="A20" s="39"/>
      <c r="B20" s="43"/>
      <c r="C20" s="42"/>
      <c r="D20" s="43"/>
      <c r="E20" s="43"/>
      <c r="F20" s="42"/>
      <c r="G20" s="42"/>
      <c r="H20" s="42"/>
      <c r="I20" s="43"/>
      <c r="J20" s="42"/>
      <c r="K20" s="43"/>
      <c r="L20" s="42"/>
      <c r="M20" s="43"/>
      <c r="N20" s="42"/>
    </row>
    <row r="21" spans="1:39">
      <c r="A21" s="39"/>
      <c r="B21" s="43"/>
      <c r="C21" s="42"/>
      <c r="D21" s="43"/>
      <c r="E21" s="43"/>
      <c r="F21" s="42"/>
      <c r="G21" s="42"/>
      <c r="H21" s="42"/>
      <c r="I21" s="43"/>
      <c r="J21" s="42"/>
      <c r="K21" s="43"/>
      <c r="L21" s="42"/>
      <c r="M21" s="43"/>
      <c r="N21" s="42"/>
    </row>
    <row r="22" spans="1:39">
      <c r="A22" s="39"/>
      <c r="B22" s="43"/>
      <c r="C22" s="42"/>
      <c r="D22" s="43"/>
      <c r="E22" s="43"/>
      <c r="F22" s="42"/>
      <c r="G22" s="42"/>
      <c r="H22" s="42"/>
      <c r="I22" s="43"/>
      <c r="J22" s="42"/>
      <c r="K22" s="43"/>
      <c r="L22" s="42"/>
      <c r="M22" s="43"/>
      <c r="N22" s="42"/>
    </row>
    <row r="23" spans="1:39">
      <c r="A23" s="39"/>
      <c r="B23" s="43"/>
      <c r="C23" s="42"/>
      <c r="D23" s="43"/>
      <c r="E23" s="43"/>
      <c r="F23" s="42"/>
      <c r="G23" s="42"/>
      <c r="H23" s="42"/>
      <c r="I23" s="43"/>
      <c r="J23" s="42"/>
      <c r="K23" s="43"/>
      <c r="L23" s="42"/>
      <c r="M23" s="43"/>
      <c r="N23" s="42"/>
    </row>
    <row r="24" spans="1:39">
      <c r="A24" s="39"/>
      <c r="B24" s="43"/>
      <c r="C24" s="42"/>
      <c r="D24" s="43"/>
      <c r="E24" s="43"/>
      <c r="F24" s="42"/>
      <c r="G24" s="42"/>
      <c r="H24" s="42"/>
      <c r="I24" s="43"/>
      <c r="J24" s="42"/>
      <c r="K24" s="43"/>
      <c r="L24" s="42"/>
      <c r="M24" s="43"/>
      <c r="N24" s="42"/>
    </row>
    <row r="25" spans="1:39">
      <c r="A25" s="39"/>
      <c r="B25" s="43"/>
      <c r="C25" s="42"/>
      <c r="D25" s="43"/>
      <c r="E25" s="43"/>
      <c r="F25" s="42"/>
      <c r="G25" s="42"/>
      <c r="H25" s="42"/>
      <c r="I25" s="43"/>
      <c r="J25" s="42"/>
      <c r="K25" s="43"/>
      <c r="L25" s="42"/>
      <c r="M25" s="43"/>
      <c r="N25" s="42"/>
    </row>
    <row r="26" spans="1:39">
      <c r="A26" s="39"/>
      <c r="B26" s="43"/>
      <c r="C26" s="42"/>
      <c r="D26" s="43"/>
      <c r="E26" s="43"/>
      <c r="F26" s="42"/>
      <c r="G26" s="42"/>
      <c r="H26" s="42"/>
      <c r="I26" s="43"/>
      <c r="J26" s="42"/>
      <c r="K26" s="43"/>
      <c r="L26" s="42"/>
      <c r="M26" s="43"/>
      <c r="N26" s="42"/>
    </row>
    <row r="27" spans="1:39">
      <c r="A27" s="10"/>
      <c r="B27" s="65"/>
      <c r="C27" s="64"/>
      <c r="D27" s="65"/>
      <c r="E27" s="65"/>
      <c r="F27" s="64"/>
      <c r="G27" s="64"/>
      <c r="H27" s="64"/>
      <c r="I27" s="65"/>
      <c r="J27" s="64"/>
      <c r="K27" s="65"/>
      <c r="L27" s="64"/>
      <c r="M27" s="65"/>
      <c r="N27" s="64"/>
      <c r="O27" s="64"/>
      <c r="P27" s="64"/>
      <c r="Q27" s="10"/>
      <c r="R27" s="10"/>
      <c r="S27" s="10"/>
      <c r="T27" s="10"/>
      <c r="U27" s="10"/>
      <c r="V27" s="10"/>
      <c r="W27" s="10"/>
      <c r="X27" s="10"/>
      <c r="Y27" s="10"/>
      <c r="Z27" s="10"/>
      <c r="AA27" s="10"/>
      <c r="AB27" s="10"/>
      <c r="AC27" s="10"/>
      <c r="AD27" s="10"/>
      <c r="AE27" s="10"/>
      <c r="AF27" s="10"/>
      <c r="AG27" s="10"/>
      <c r="AH27" s="10"/>
      <c r="AI27" s="10"/>
      <c r="AJ27" s="10"/>
      <c r="AK27" s="10"/>
      <c r="AL27" s="10"/>
      <c r="AM27" s="10"/>
    </row>
    <row r="28" spans="1:39" ht="16.5" thickBot="1">
      <c r="A28" s="10"/>
      <c r="B28" s="1302" t="s">
        <v>59</v>
      </c>
      <c r="C28" s="1302" t="s">
        <v>60</v>
      </c>
      <c r="D28" s="1302" t="s">
        <v>61</v>
      </c>
      <c r="E28" s="1302" t="s">
        <v>66</v>
      </c>
      <c r="F28" s="951" t="s">
        <v>64</v>
      </c>
      <c r="G28" s="951" t="s">
        <v>858</v>
      </c>
      <c r="H28" s="147" t="s">
        <v>329</v>
      </c>
      <c r="I28" s="951" t="s">
        <v>67</v>
      </c>
      <c r="J28" s="146" t="s">
        <v>329</v>
      </c>
      <c r="K28" s="951" t="s">
        <v>68</v>
      </c>
      <c r="L28" s="1302" t="s">
        <v>69</v>
      </c>
      <c r="M28" s="147" t="s">
        <v>329</v>
      </c>
      <c r="N28" s="147" t="s">
        <v>621</v>
      </c>
      <c r="P28" s="64"/>
      <c r="Q28" s="10"/>
      <c r="R28" s="10"/>
      <c r="S28" s="10"/>
      <c r="T28" s="10"/>
      <c r="U28" s="10"/>
      <c r="V28" s="10"/>
      <c r="W28" s="10"/>
      <c r="X28" s="10"/>
      <c r="Y28" s="10"/>
      <c r="Z28" s="10"/>
      <c r="AA28" s="10"/>
      <c r="AB28" s="10"/>
      <c r="AC28" s="10"/>
      <c r="AD28" s="10"/>
      <c r="AE28" s="10"/>
      <c r="AF28" s="10"/>
      <c r="AG28" s="10"/>
      <c r="AH28" s="10"/>
      <c r="AI28" s="10"/>
      <c r="AJ28" s="10"/>
      <c r="AK28" s="10"/>
      <c r="AL28" s="10"/>
      <c r="AM28" s="10"/>
    </row>
    <row r="29" spans="1:39">
      <c r="A29" s="11" t="s">
        <v>0</v>
      </c>
      <c r="B29" s="10"/>
      <c r="C29" s="10"/>
      <c r="D29" s="10"/>
      <c r="E29" s="10"/>
      <c r="F29" s="10"/>
      <c r="G29" s="10"/>
      <c r="H29" s="142"/>
      <c r="I29" s="952"/>
      <c r="J29" s="142"/>
      <c r="K29" s="952"/>
      <c r="L29" s="952"/>
      <c r="M29" s="142"/>
      <c r="N29" s="182"/>
      <c r="P29" s="66"/>
      <c r="Q29" s="67"/>
      <c r="R29" s="67"/>
      <c r="S29" s="67"/>
      <c r="T29" s="10"/>
      <c r="U29" s="10"/>
      <c r="V29" s="10"/>
      <c r="W29" s="10"/>
      <c r="X29" s="10"/>
      <c r="Y29" s="10"/>
      <c r="Z29" s="10"/>
      <c r="AA29" s="10"/>
      <c r="AB29" s="10"/>
      <c r="AC29" s="10"/>
      <c r="AD29" s="10"/>
      <c r="AE29" s="10"/>
      <c r="AF29" s="10"/>
      <c r="AG29" s="10"/>
      <c r="AH29" s="10"/>
      <c r="AI29" s="10"/>
      <c r="AJ29" s="10"/>
      <c r="AK29" s="10"/>
      <c r="AL29" s="10"/>
      <c r="AM29" s="10"/>
    </row>
    <row r="30" spans="1:39" ht="30" customHeight="1">
      <c r="A30" s="167" t="s">
        <v>611</v>
      </c>
      <c r="B30" s="87">
        <v>41741.51</v>
      </c>
      <c r="C30" s="712">
        <v>3292.7</v>
      </c>
      <c r="D30" s="712">
        <v>5601.1</v>
      </c>
      <c r="E30" s="712">
        <v>12099.2</v>
      </c>
      <c r="F30" s="712">
        <v>58973</v>
      </c>
      <c r="G30" s="87">
        <v>57719.3</v>
      </c>
      <c r="H30" s="172">
        <f>SUM(B30:G30)</f>
        <v>179426.81</v>
      </c>
      <c r="I30" s="712">
        <v>6103.7</v>
      </c>
      <c r="J30" s="178">
        <f>SUM(I30:I30)</f>
        <v>6103.7</v>
      </c>
      <c r="K30" s="712">
        <v>7211.8</v>
      </c>
      <c r="L30" s="712">
        <v>7514.9</v>
      </c>
      <c r="M30" s="178">
        <f>SUM(K30:L30)</f>
        <v>14726.7</v>
      </c>
      <c r="N30" s="953">
        <f>+H30+J30+M30</f>
        <v>200257.21000000002</v>
      </c>
      <c r="P30" s="66"/>
      <c r="Q30" s="67"/>
      <c r="R30" s="67"/>
      <c r="S30" s="67"/>
      <c r="T30" s="10"/>
      <c r="U30" s="10"/>
      <c r="V30" s="10"/>
      <c r="W30" s="10"/>
      <c r="X30" s="10"/>
      <c r="Y30" s="10"/>
      <c r="Z30" s="10"/>
      <c r="AA30" s="10"/>
      <c r="AB30" s="10"/>
      <c r="AC30" s="10"/>
      <c r="AD30" s="10"/>
      <c r="AE30" s="10"/>
      <c r="AF30" s="10"/>
      <c r="AG30" s="10"/>
      <c r="AH30" s="10"/>
      <c r="AI30" s="10"/>
      <c r="AJ30" s="10"/>
      <c r="AK30" s="10"/>
      <c r="AL30" s="10"/>
      <c r="AM30" s="10"/>
    </row>
    <row r="31" spans="1:39" ht="24.95" customHeight="1">
      <c r="A31" s="11"/>
      <c r="B31" s="87"/>
      <c r="C31" s="712" t="s">
        <v>0</v>
      </c>
      <c r="D31" s="712"/>
      <c r="E31" s="1029"/>
      <c r="F31" s="712"/>
      <c r="G31" s="87"/>
      <c r="H31" s="172"/>
      <c r="I31" s="712"/>
      <c r="J31" s="178"/>
      <c r="K31" s="712"/>
      <c r="L31" s="712"/>
      <c r="M31" s="178"/>
      <c r="N31" s="953"/>
      <c r="P31" s="66"/>
      <c r="Q31" s="67"/>
      <c r="R31" s="67"/>
      <c r="S31" s="67"/>
      <c r="T31" s="10"/>
      <c r="U31" s="10"/>
      <c r="V31" s="10"/>
      <c r="W31" s="10"/>
      <c r="X31" s="10"/>
      <c r="Y31" s="10"/>
      <c r="Z31" s="10"/>
      <c r="AA31" s="10"/>
      <c r="AB31" s="10"/>
      <c r="AC31" s="10"/>
      <c r="AD31" s="10"/>
      <c r="AE31" s="10"/>
      <c r="AF31" s="10"/>
      <c r="AG31" s="10"/>
      <c r="AH31" s="10"/>
      <c r="AI31" s="10"/>
      <c r="AJ31" s="10"/>
      <c r="AK31" s="10"/>
      <c r="AL31" s="10"/>
      <c r="AM31" s="10"/>
    </row>
    <row r="32" spans="1:39" ht="30" customHeight="1">
      <c r="A32" s="167" t="s">
        <v>612</v>
      </c>
      <c r="B32" s="87">
        <v>10190.9</v>
      </c>
      <c r="C32" s="712">
        <v>952</v>
      </c>
      <c r="D32" s="712">
        <v>1804.2</v>
      </c>
      <c r="E32" s="712">
        <v>5626.5</v>
      </c>
      <c r="F32" s="712">
        <v>25779.200000000001</v>
      </c>
      <c r="G32" s="87">
        <v>31790.6</v>
      </c>
      <c r="H32" s="172">
        <f>SUM(B32:G32)</f>
        <v>76143.399999999994</v>
      </c>
      <c r="I32" s="712">
        <v>2862.4</v>
      </c>
      <c r="J32" s="178">
        <f>SUM(I32:I32)</f>
        <v>2862.4</v>
      </c>
      <c r="K32" s="712">
        <v>2772.4</v>
      </c>
      <c r="L32" s="712">
        <v>1963.9</v>
      </c>
      <c r="M32" s="178">
        <f>SUM(K32:L32)</f>
        <v>4736.3</v>
      </c>
      <c r="N32" s="953">
        <f>+H32+J32+M32</f>
        <v>83742.099999999991</v>
      </c>
      <c r="P32" s="66"/>
      <c r="Q32" s="67"/>
      <c r="R32" s="67"/>
      <c r="S32" s="67"/>
      <c r="T32" s="10"/>
      <c r="U32" s="10"/>
      <c r="V32" s="10"/>
      <c r="W32" s="10"/>
      <c r="X32" s="10"/>
      <c r="Y32" s="10"/>
      <c r="Z32" s="10"/>
      <c r="AA32" s="10"/>
      <c r="AB32" s="10"/>
      <c r="AC32" s="10"/>
      <c r="AD32" s="10"/>
      <c r="AE32" s="10"/>
      <c r="AF32" s="10"/>
      <c r="AG32" s="10"/>
      <c r="AH32" s="10"/>
      <c r="AI32" s="10"/>
      <c r="AJ32" s="10"/>
      <c r="AK32" s="10"/>
      <c r="AL32" s="10"/>
      <c r="AM32" s="10"/>
    </row>
    <row r="33" spans="1:39" ht="24.95" customHeight="1">
      <c r="A33" s="11"/>
      <c r="B33" s="87"/>
      <c r="C33" s="712"/>
      <c r="D33" s="712"/>
      <c r="E33" s="1029"/>
      <c r="F33" s="712"/>
      <c r="G33" s="87"/>
      <c r="H33" s="172"/>
      <c r="I33" s="712"/>
      <c r="J33" s="178"/>
      <c r="K33" s="712"/>
      <c r="L33" s="712" t="s">
        <v>0</v>
      </c>
      <c r="M33" s="178"/>
      <c r="N33" s="953"/>
      <c r="P33" s="66"/>
      <c r="Q33" s="67"/>
      <c r="R33" s="67"/>
      <c r="S33" s="67"/>
      <c r="T33" s="10"/>
      <c r="U33" s="10"/>
      <c r="V33" s="10"/>
      <c r="W33" s="10"/>
      <c r="X33" s="10"/>
      <c r="Y33" s="10"/>
      <c r="Z33" s="10"/>
      <c r="AA33" s="10"/>
      <c r="AB33" s="10"/>
      <c r="AC33" s="10"/>
      <c r="AD33" s="10"/>
      <c r="AE33" s="10"/>
      <c r="AF33" s="10"/>
      <c r="AG33" s="10"/>
      <c r="AH33" s="10"/>
      <c r="AI33" s="10"/>
      <c r="AJ33" s="10"/>
      <c r="AK33" s="10"/>
      <c r="AL33" s="10"/>
      <c r="AM33" s="10"/>
    </row>
    <row r="34" spans="1:39" ht="30" customHeight="1">
      <c r="A34" s="167" t="s">
        <v>613</v>
      </c>
      <c r="B34" s="87">
        <v>2493.1</v>
      </c>
      <c r="C34" s="712">
        <v>127.8</v>
      </c>
      <c r="D34" s="712">
        <v>410.4</v>
      </c>
      <c r="E34" s="712">
        <v>1072.2</v>
      </c>
      <c r="F34" s="712">
        <v>4030.5</v>
      </c>
      <c r="G34" s="87">
        <v>5642.8</v>
      </c>
      <c r="H34" s="172">
        <f>SUM(B34:G34)</f>
        <v>13776.8</v>
      </c>
      <c r="I34" s="712">
        <v>478.4</v>
      </c>
      <c r="J34" s="178">
        <f>SUM(I34:I34)</f>
        <v>478.4</v>
      </c>
      <c r="K34" s="712">
        <v>492.5</v>
      </c>
      <c r="L34" s="712">
        <v>333.5</v>
      </c>
      <c r="M34" s="178">
        <f>SUM(K34:L34)</f>
        <v>826</v>
      </c>
      <c r="N34" s="953">
        <f>+H34+J34+M34</f>
        <v>15081.199999999999</v>
      </c>
      <c r="P34" s="66"/>
      <c r="Q34" s="67"/>
      <c r="R34" s="67"/>
      <c r="S34" s="67"/>
      <c r="T34" s="10"/>
      <c r="U34" s="10"/>
      <c r="V34" s="10"/>
      <c r="W34" s="10"/>
      <c r="X34" s="10"/>
      <c r="Y34" s="10"/>
      <c r="Z34" s="10"/>
      <c r="AA34" s="10"/>
      <c r="AB34" s="10"/>
      <c r="AC34" s="10"/>
      <c r="AD34" s="10"/>
      <c r="AE34" s="10"/>
      <c r="AF34" s="10"/>
      <c r="AG34" s="10"/>
      <c r="AH34" s="10"/>
      <c r="AI34" s="10"/>
      <c r="AJ34" s="10"/>
      <c r="AK34" s="10"/>
      <c r="AL34" s="10"/>
      <c r="AM34" s="10"/>
    </row>
    <row r="35" spans="1:39" ht="24.95" customHeight="1">
      <c r="A35" s="10" t="s">
        <v>0</v>
      </c>
      <c r="B35" s="65"/>
      <c r="C35" s="952"/>
      <c r="D35" s="679"/>
      <c r="E35" s="679" t="s">
        <v>0</v>
      </c>
      <c r="F35" s="679"/>
      <c r="G35" s="64"/>
      <c r="H35" s="954" t="s">
        <v>0</v>
      </c>
      <c r="I35" s="679"/>
      <c r="J35" s="177"/>
      <c r="K35" s="712"/>
      <c r="L35" s="955" t="s">
        <v>0</v>
      </c>
      <c r="M35" s="171"/>
      <c r="N35" s="171"/>
      <c r="P35" s="64"/>
      <c r="Q35" s="10"/>
      <c r="R35" s="10"/>
      <c r="S35" s="10"/>
      <c r="T35" s="10"/>
      <c r="U35" s="10"/>
      <c r="V35" s="10"/>
      <c r="W35" s="10"/>
      <c r="X35" s="10"/>
      <c r="Y35" s="10"/>
      <c r="Z35" s="10"/>
      <c r="AA35" s="10"/>
      <c r="AB35" s="10"/>
      <c r="AC35" s="10"/>
      <c r="AD35" s="10"/>
      <c r="AE35" s="10"/>
      <c r="AF35" s="10"/>
      <c r="AG35" s="10"/>
      <c r="AH35" s="10"/>
      <c r="AI35" s="10"/>
      <c r="AJ35" s="10"/>
      <c r="AK35" s="10"/>
      <c r="AL35" s="10"/>
      <c r="AM35" s="10"/>
    </row>
    <row r="36" spans="1:39" ht="30" customHeight="1">
      <c r="A36" s="986" t="s">
        <v>633</v>
      </c>
      <c r="B36" s="958">
        <f t="shared" ref="B36:G36" si="0">+B30/B34</f>
        <v>16.742814167101201</v>
      </c>
      <c r="C36" s="958">
        <f t="shared" si="0"/>
        <v>25.764475743348981</v>
      </c>
      <c r="D36" s="958">
        <f t="shared" si="0"/>
        <v>13.647904483430802</v>
      </c>
      <c r="E36" s="958">
        <f t="shared" si="0"/>
        <v>11.284461854131692</v>
      </c>
      <c r="F36" s="958">
        <f t="shared" si="0"/>
        <v>14.63168341396849</v>
      </c>
      <c r="G36" s="958">
        <f t="shared" si="0"/>
        <v>10.22884029205359</v>
      </c>
      <c r="H36" s="957">
        <f t="shared" ref="H36:N36" si="1">+H30/H34</f>
        <v>13.023837901399455</v>
      </c>
      <c r="I36" s="958">
        <f t="shared" si="1"/>
        <v>12.758570234113712</v>
      </c>
      <c r="J36" s="959">
        <f t="shared" si="1"/>
        <v>12.758570234113712</v>
      </c>
      <c r="K36" s="958">
        <f t="shared" si="1"/>
        <v>14.643248730964467</v>
      </c>
      <c r="L36" s="958">
        <f t="shared" si="1"/>
        <v>22.53343328335832</v>
      </c>
      <c r="M36" s="959">
        <f t="shared" si="1"/>
        <v>17.828934624697336</v>
      </c>
      <c r="N36" s="959">
        <f t="shared" si="1"/>
        <v>13.278599183088881</v>
      </c>
      <c r="P36" s="64"/>
      <c r="Q36" s="10"/>
      <c r="R36" s="10"/>
      <c r="S36" s="10"/>
      <c r="T36" s="10"/>
      <c r="U36" s="10"/>
      <c r="V36" s="10"/>
      <c r="W36" s="10"/>
      <c r="X36" s="10"/>
      <c r="Y36" s="10"/>
      <c r="Z36" s="10"/>
      <c r="AA36" s="10"/>
      <c r="AB36" s="10"/>
      <c r="AC36" s="10"/>
      <c r="AD36" s="10"/>
      <c r="AE36" s="10"/>
      <c r="AF36" s="10"/>
      <c r="AG36" s="10"/>
      <c r="AH36" s="10"/>
      <c r="AI36" s="10"/>
      <c r="AJ36" s="10"/>
      <c r="AK36" s="10"/>
      <c r="AL36" s="10"/>
      <c r="AM36" s="10"/>
    </row>
    <row r="37" spans="1:39" ht="24.95" customHeight="1">
      <c r="A37" s="956"/>
      <c r="B37" s="962"/>
      <c r="C37" s="962"/>
      <c r="D37" s="962"/>
      <c r="E37" s="962"/>
      <c r="F37" s="962"/>
      <c r="G37" s="960"/>
      <c r="H37" s="961"/>
      <c r="I37" s="962"/>
      <c r="J37" s="963"/>
      <c r="K37" s="962"/>
      <c r="L37" s="962" t="s">
        <v>0</v>
      </c>
      <c r="M37" s="953"/>
      <c r="N37" s="961"/>
      <c r="P37" s="64"/>
      <c r="Q37" s="10"/>
      <c r="R37" s="10"/>
      <c r="S37" s="10"/>
      <c r="T37" s="10"/>
      <c r="U37" s="10"/>
      <c r="V37" s="10"/>
      <c r="W37" s="10"/>
      <c r="X37" s="10"/>
      <c r="Y37" s="10"/>
      <c r="Z37" s="10"/>
      <c r="AA37" s="10"/>
      <c r="AB37" s="10"/>
      <c r="AC37" s="10"/>
      <c r="AD37" s="10"/>
      <c r="AE37" s="10"/>
      <c r="AF37" s="10"/>
      <c r="AG37" s="10"/>
      <c r="AH37" s="10"/>
      <c r="AI37" s="10"/>
      <c r="AJ37" s="10"/>
      <c r="AK37" s="10"/>
      <c r="AL37" s="10"/>
      <c r="AM37" s="10"/>
    </row>
    <row r="38" spans="1:39" ht="30" customHeight="1">
      <c r="A38" s="986" t="s">
        <v>614</v>
      </c>
      <c r="B38" s="965">
        <f>+B34/B32</f>
        <v>0.24463982572687398</v>
      </c>
      <c r="C38" s="965">
        <f>+C34/C32</f>
        <v>0.13424369747899159</v>
      </c>
      <c r="D38" s="965">
        <f>+D34/D32</f>
        <v>0.22746923844363151</v>
      </c>
      <c r="E38" s="965">
        <f>+E34/E32</f>
        <v>0.1905625166622234</v>
      </c>
      <c r="F38" s="965">
        <f t="shared" ref="F38:N38" si="2">+F34/F32</f>
        <v>0.15634697740814299</v>
      </c>
      <c r="G38" s="965">
        <f t="shared" si="2"/>
        <v>0.17749900914106687</v>
      </c>
      <c r="H38" s="964">
        <f t="shared" si="2"/>
        <v>0.18093229354087156</v>
      </c>
      <c r="I38" s="965">
        <f t="shared" si="2"/>
        <v>0.16713247624371155</v>
      </c>
      <c r="J38" s="966">
        <f t="shared" si="2"/>
        <v>0.16713247624371155</v>
      </c>
      <c r="K38" s="965">
        <f t="shared" si="2"/>
        <v>0.17764391862646081</v>
      </c>
      <c r="L38" s="965">
        <f t="shared" si="2"/>
        <v>0.16981516370487296</v>
      </c>
      <c r="M38" s="966">
        <f t="shared" si="2"/>
        <v>0.17439773662985875</v>
      </c>
      <c r="N38" s="966">
        <f t="shared" si="2"/>
        <v>0.18009101754075907</v>
      </c>
      <c r="P38" s="64"/>
      <c r="Q38" s="10"/>
      <c r="R38" s="10"/>
      <c r="S38" s="10"/>
      <c r="T38" s="10"/>
      <c r="U38" s="10"/>
      <c r="V38" s="10"/>
      <c r="W38" s="10"/>
      <c r="X38" s="10"/>
      <c r="Y38" s="10"/>
      <c r="Z38" s="10"/>
      <c r="AA38" s="10"/>
      <c r="AB38" s="10"/>
      <c r="AC38" s="10"/>
      <c r="AD38" s="10"/>
      <c r="AE38" s="10"/>
      <c r="AF38" s="10"/>
      <c r="AG38" s="10"/>
      <c r="AH38" s="10"/>
      <c r="AI38" s="10"/>
      <c r="AJ38" s="10"/>
      <c r="AK38" s="10"/>
      <c r="AL38" s="10"/>
      <c r="AM38" s="10"/>
    </row>
    <row r="39" spans="1:39" ht="15.6" customHeight="1">
      <c r="A39" s="10"/>
      <c r="B39" s="87" t="s">
        <v>0</v>
      </c>
      <c r="C39" s="87" t="s">
        <v>0</v>
      </c>
      <c r="D39" s="87" t="s">
        <v>0</v>
      </c>
      <c r="E39" s="87"/>
      <c r="F39" s="87" t="s">
        <v>0</v>
      </c>
      <c r="G39" s="87" t="s">
        <v>0</v>
      </c>
      <c r="H39" s="93" t="s">
        <v>0</v>
      </c>
      <c r="I39" s="554"/>
      <c r="J39" s="91" t="s">
        <v>0</v>
      </c>
      <c r="K39" s="269" t="s">
        <v>0</v>
      </c>
      <c r="L39" s="91" t="s">
        <v>0</v>
      </c>
      <c r="M39" s="91" t="s">
        <v>0</v>
      </c>
      <c r="N39" s="114" t="s">
        <v>0</v>
      </c>
      <c r="O39" s="93" t="s">
        <v>0</v>
      </c>
      <c r="P39" s="64"/>
      <c r="Q39" s="10"/>
      <c r="R39" s="10"/>
      <c r="S39" s="10"/>
      <c r="T39" s="10"/>
      <c r="U39" s="10"/>
      <c r="V39" s="10"/>
      <c r="W39" s="10"/>
      <c r="X39" s="10"/>
      <c r="Y39" s="10"/>
      <c r="Z39" s="10"/>
      <c r="AA39" s="10"/>
      <c r="AB39" s="10"/>
      <c r="AC39" s="10"/>
      <c r="AD39" s="10"/>
      <c r="AE39" s="10"/>
      <c r="AF39" s="10"/>
      <c r="AG39" s="10"/>
      <c r="AH39" s="10"/>
      <c r="AI39" s="10"/>
      <c r="AJ39" s="10"/>
      <c r="AK39" s="10"/>
      <c r="AL39" s="10"/>
      <c r="AM39" s="10"/>
    </row>
    <row r="40" spans="1:39">
      <c r="A40" s="4" t="s">
        <v>0</v>
      </c>
      <c r="B40" s="24" t="s">
        <v>0</v>
      </c>
      <c r="D40" s="20"/>
      <c r="E40" s="20"/>
      <c r="H40" s="93" t="s">
        <v>0</v>
      </c>
      <c r="I40" s="81"/>
      <c r="J40" s="81"/>
      <c r="K40" s="269"/>
      <c r="L40" s="132" t="s">
        <v>0</v>
      </c>
      <c r="M40" s="81"/>
      <c r="N40" s="114"/>
      <c r="O40" s="93" t="s">
        <v>0</v>
      </c>
      <c r="P40" s="64"/>
      <c r="Q40" s="10"/>
      <c r="R40" s="10"/>
      <c r="S40" s="10"/>
      <c r="T40" s="10"/>
      <c r="U40" s="10"/>
      <c r="V40" s="10"/>
      <c r="W40" s="10"/>
      <c r="X40" s="10"/>
      <c r="Y40" s="10"/>
      <c r="Z40" s="10"/>
      <c r="AA40" s="10"/>
      <c r="AB40" s="10"/>
      <c r="AC40" s="10"/>
      <c r="AD40" s="10"/>
      <c r="AE40" s="10"/>
      <c r="AF40" s="10"/>
      <c r="AG40" s="10"/>
      <c r="AH40" s="10"/>
      <c r="AI40" s="10"/>
      <c r="AJ40" s="10"/>
      <c r="AK40" s="10"/>
      <c r="AL40" s="10"/>
      <c r="AM40" s="10"/>
    </row>
    <row r="41" spans="1:39" ht="15.6" customHeight="1">
      <c r="A41" s="10"/>
      <c r="B41" s="87" t="s">
        <v>0</v>
      </c>
      <c r="C41" s="87" t="s">
        <v>0</v>
      </c>
      <c r="D41" s="87" t="s">
        <v>0</v>
      </c>
      <c r="E41" s="87"/>
      <c r="F41" s="87" t="s">
        <v>0</v>
      </c>
      <c r="G41" s="87" t="s">
        <v>0</v>
      </c>
      <c r="H41" s="93" t="s">
        <v>0</v>
      </c>
      <c r="I41" s="554"/>
      <c r="J41" s="91" t="s">
        <v>0</v>
      </c>
      <c r="K41" s="269" t="s">
        <v>0</v>
      </c>
      <c r="L41" s="91" t="s">
        <v>0</v>
      </c>
      <c r="M41" s="91" t="s">
        <v>0</v>
      </c>
      <c r="N41" s="114" t="s">
        <v>0</v>
      </c>
      <c r="O41" s="93" t="s">
        <v>0</v>
      </c>
      <c r="P41" s="64"/>
      <c r="Q41" s="10"/>
      <c r="R41" s="10"/>
      <c r="S41" s="10"/>
      <c r="T41" s="10"/>
      <c r="U41" s="10"/>
      <c r="V41" s="10"/>
      <c r="W41" s="10"/>
      <c r="X41" s="10"/>
      <c r="Y41" s="10"/>
      <c r="Z41" s="10"/>
      <c r="AA41" s="10"/>
      <c r="AB41" s="10"/>
      <c r="AC41" s="10"/>
      <c r="AD41" s="10"/>
      <c r="AE41" s="10"/>
      <c r="AF41" s="10"/>
      <c r="AG41" s="10"/>
      <c r="AH41" s="10"/>
      <c r="AI41" s="10"/>
      <c r="AJ41" s="10"/>
      <c r="AK41" s="10"/>
      <c r="AL41" s="10"/>
      <c r="AM41" s="10"/>
    </row>
    <row r="42" spans="1:39">
      <c r="A42" s="4" t="s">
        <v>0</v>
      </c>
      <c r="B42" s="24" t="s">
        <v>0</v>
      </c>
      <c r="D42" s="20"/>
      <c r="E42" s="20"/>
      <c r="H42" s="93" t="s">
        <v>0</v>
      </c>
      <c r="I42" s="81"/>
      <c r="J42" s="81"/>
      <c r="K42" s="269"/>
      <c r="L42" s="132" t="s">
        <v>0</v>
      </c>
      <c r="M42" s="81"/>
      <c r="N42" s="114"/>
      <c r="O42" s="93" t="s">
        <v>0</v>
      </c>
      <c r="P42" s="64"/>
      <c r="Q42" s="10"/>
      <c r="R42" s="10"/>
      <c r="S42" s="10"/>
      <c r="T42" s="10"/>
      <c r="U42" s="10"/>
      <c r="V42" s="10"/>
      <c r="W42" s="10"/>
      <c r="X42" s="10"/>
      <c r="Y42" s="10"/>
      <c r="Z42" s="10"/>
      <c r="AA42" s="10"/>
      <c r="AB42" s="10"/>
      <c r="AC42" s="10"/>
      <c r="AD42" s="10"/>
      <c r="AE42" s="10"/>
      <c r="AF42" s="10"/>
      <c r="AG42" s="10"/>
      <c r="AH42" s="10"/>
      <c r="AI42" s="10"/>
      <c r="AJ42" s="10"/>
      <c r="AK42" s="10"/>
      <c r="AL42" s="10"/>
      <c r="AM42" s="10"/>
    </row>
    <row r="43" spans="1:39" ht="18.75">
      <c r="A43" s="1497" t="s">
        <v>0</v>
      </c>
      <c r="B43"/>
      <c r="C43" t="s">
        <v>0</v>
      </c>
      <c r="D43"/>
      <c r="E43" s="87"/>
      <c r="F43" s="87" t="s">
        <v>0</v>
      </c>
      <c r="G43" s="87" t="s">
        <v>0</v>
      </c>
      <c r="H43" s="93" t="s">
        <v>0</v>
      </c>
      <c r="I43" s="91"/>
      <c r="J43" s="91" t="s">
        <v>0</v>
      </c>
      <c r="K43" s="269" t="s">
        <v>0</v>
      </c>
      <c r="L43" s="91" t="s">
        <v>0</v>
      </c>
      <c r="M43" s="91" t="s">
        <v>0</v>
      </c>
      <c r="N43" s="114" t="s">
        <v>0</v>
      </c>
      <c r="O43" s="93" t="s">
        <v>0</v>
      </c>
      <c r="P43" s="64"/>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c r="A44" s="285" t="s">
        <v>0</v>
      </c>
      <c r="B44" s="87" t="s">
        <v>0</v>
      </c>
      <c r="C44" s="87" t="s">
        <v>0</v>
      </c>
      <c r="D44" s="87" t="s">
        <v>0</v>
      </c>
      <c r="E44" s="87"/>
      <c r="F44" s="87" t="s">
        <v>0</v>
      </c>
      <c r="G44" s="87" t="s">
        <v>0</v>
      </c>
      <c r="H44" s="93" t="s">
        <v>0</v>
      </c>
      <c r="I44" s="91"/>
      <c r="J44" s="91" t="s">
        <v>0</v>
      </c>
      <c r="K44" s="269" t="s">
        <v>0</v>
      </c>
      <c r="L44" s="91" t="s">
        <v>0</v>
      </c>
      <c r="M44" s="91" t="s">
        <v>0</v>
      </c>
      <c r="N44" s="114" t="s">
        <v>0</v>
      </c>
      <c r="O44" s="93" t="s">
        <v>0</v>
      </c>
      <c r="P44" s="64"/>
      <c r="Q44" s="10"/>
      <c r="R44" s="10"/>
      <c r="S44" s="10"/>
      <c r="T44" s="10"/>
      <c r="U44" s="10"/>
      <c r="V44" s="10"/>
      <c r="W44" s="10"/>
      <c r="X44" s="10"/>
      <c r="Y44" s="10"/>
      <c r="Z44" s="10"/>
      <c r="AA44" s="10"/>
      <c r="AB44" s="10"/>
      <c r="AC44" s="10"/>
      <c r="AD44" s="10"/>
      <c r="AE44" s="10"/>
      <c r="AF44" s="10"/>
      <c r="AG44" s="10"/>
      <c r="AH44" s="10"/>
      <c r="AI44" s="10"/>
      <c r="AJ44" s="10"/>
      <c r="AK44" s="10"/>
      <c r="AL44" s="10"/>
      <c r="AM44" s="10"/>
    </row>
    <row r="45" spans="1:39">
      <c r="A45" s="11" t="s">
        <v>0</v>
      </c>
      <c r="B45" s="87" t="s">
        <v>0</v>
      </c>
      <c r="C45" s="87" t="s">
        <v>0</v>
      </c>
      <c r="D45" s="87" t="s">
        <v>0</v>
      </c>
      <c r="E45" s="87"/>
      <c r="F45" s="87" t="s">
        <v>0</v>
      </c>
      <c r="G45" s="87" t="s">
        <v>0</v>
      </c>
      <c r="H45" s="93" t="s">
        <v>0</v>
      </c>
      <c r="I45" s="91"/>
      <c r="J45" s="91" t="s">
        <v>0</v>
      </c>
      <c r="K45" s="269" t="s">
        <v>0</v>
      </c>
      <c r="L45" s="91" t="s">
        <v>0</v>
      </c>
      <c r="M45" s="91" t="s">
        <v>0</v>
      </c>
      <c r="N45" s="114" t="s">
        <v>0</v>
      </c>
      <c r="O45" s="93" t="s">
        <v>0</v>
      </c>
      <c r="P45" s="64"/>
      <c r="Q45" s="10"/>
      <c r="R45" s="10"/>
      <c r="S45" s="10"/>
      <c r="T45" s="10"/>
      <c r="U45" s="10"/>
      <c r="V45" s="10"/>
      <c r="W45" s="10"/>
      <c r="X45" s="10"/>
      <c r="Y45" s="10"/>
      <c r="Z45" s="10"/>
      <c r="AA45" s="10"/>
      <c r="AB45" s="10"/>
      <c r="AC45" s="10"/>
      <c r="AD45" s="10"/>
      <c r="AE45" s="10"/>
      <c r="AF45" s="10"/>
      <c r="AG45" s="10"/>
      <c r="AH45" s="10"/>
      <c r="AI45" s="10"/>
      <c r="AJ45" s="10"/>
      <c r="AK45" s="10"/>
      <c r="AL45" s="10"/>
      <c r="AM45" s="10"/>
    </row>
    <row r="46" spans="1:39">
      <c r="B46" s="52" t="s">
        <v>0</v>
      </c>
      <c r="C46"/>
      <c r="D46"/>
      <c r="E46"/>
      <c r="F46"/>
      <c r="G46"/>
      <c r="H46"/>
      <c r="I46"/>
      <c r="J46"/>
      <c r="K46"/>
      <c r="L46"/>
      <c r="M46"/>
      <c r="N46" s="64"/>
      <c r="O46" s="64"/>
      <c r="P46" s="64"/>
      <c r="Q46" s="10"/>
      <c r="R46" s="10"/>
      <c r="S46" s="10"/>
      <c r="T46" s="10"/>
      <c r="U46" s="10"/>
      <c r="V46" s="10"/>
      <c r="W46" s="10"/>
      <c r="X46" s="10"/>
      <c r="Y46" s="10"/>
      <c r="Z46" s="10"/>
      <c r="AA46" s="10"/>
      <c r="AB46" s="10"/>
      <c r="AC46" s="10"/>
      <c r="AD46" s="10"/>
      <c r="AE46" s="10"/>
      <c r="AF46" s="10"/>
      <c r="AG46" s="10"/>
      <c r="AH46" s="10"/>
      <c r="AI46" s="10"/>
      <c r="AJ46" s="10"/>
      <c r="AK46" s="10"/>
      <c r="AL46" s="10"/>
      <c r="AM46" s="10"/>
    </row>
    <row r="47" spans="1:39">
      <c r="A47" s="4" t="s">
        <v>0</v>
      </c>
      <c r="B47"/>
      <c r="C47"/>
      <c r="D47"/>
      <c r="E47"/>
      <c r="F47"/>
      <c r="G47"/>
      <c r="H47"/>
      <c r="I47"/>
      <c r="J47"/>
      <c r="K47"/>
      <c r="L47"/>
      <c r="M47"/>
      <c r="N47" s="64"/>
      <c r="O47" s="64"/>
      <c r="P47" s="64"/>
      <c r="Q47" s="10"/>
      <c r="R47" s="10"/>
      <c r="S47" s="10"/>
      <c r="T47" s="10"/>
      <c r="U47" s="10"/>
      <c r="V47" s="10"/>
      <c r="W47" s="10"/>
      <c r="X47" s="10"/>
      <c r="Y47" s="10"/>
      <c r="Z47" s="10"/>
      <c r="AA47" s="10"/>
      <c r="AB47" s="10"/>
      <c r="AC47" s="10"/>
      <c r="AD47" s="10"/>
      <c r="AE47" s="10"/>
      <c r="AF47" s="10"/>
      <c r="AG47" s="10"/>
      <c r="AH47" s="10"/>
      <c r="AI47" s="10"/>
      <c r="AJ47" s="10"/>
      <c r="AK47" s="10"/>
      <c r="AL47" s="10"/>
      <c r="AM47" s="10"/>
    </row>
    <row r="48" spans="1:39">
      <c r="B48" s="230" t="s">
        <v>0</v>
      </c>
      <c r="C48"/>
      <c r="D48"/>
      <c r="E48"/>
      <c r="F48"/>
      <c r="G48"/>
      <c r="H48"/>
      <c r="I48"/>
      <c r="J48"/>
      <c r="K48"/>
      <c r="L48"/>
      <c r="M48"/>
      <c r="N48" s="64"/>
      <c r="O48" s="64"/>
      <c r="P48" s="64"/>
      <c r="Q48" s="10"/>
      <c r="R48" s="10"/>
      <c r="S48" s="10"/>
      <c r="T48" s="10"/>
      <c r="U48" s="10"/>
      <c r="V48" s="10"/>
      <c r="W48" s="10"/>
      <c r="X48" s="10"/>
      <c r="Y48" s="10"/>
      <c r="Z48" s="10"/>
      <c r="AA48" s="10"/>
      <c r="AB48" s="10"/>
      <c r="AC48" s="10"/>
      <c r="AD48" s="10"/>
      <c r="AE48" s="10"/>
      <c r="AF48" s="10"/>
      <c r="AG48" s="10"/>
      <c r="AH48" s="10"/>
      <c r="AI48" s="10"/>
      <c r="AJ48" s="10"/>
      <c r="AK48" s="10"/>
      <c r="AL48" s="10"/>
      <c r="AM48" s="10"/>
    </row>
    <row r="49" spans="2:39">
      <c r="B49"/>
      <c r="C49"/>
      <c r="D49"/>
      <c r="E49"/>
      <c r="F49"/>
      <c r="G49"/>
      <c r="H49"/>
      <c r="I49"/>
      <c r="J49"/>
      <c r="K49"/>
      <c r="L49"/>
      <c r="M49"/>
      <c r="N49" s="64"/>
      <c r="O49" s="64"/>
      <c r="P49" s="64"/>
      <c r="Q49" s="10"/>
      <c r="R49" s="10"/>
      <c r="S49" s="10"/>
      <c r="T49" s="10"/>
      <c r="U49" s="10"/>
      <c r="V49" s="10"/>
      <c r="W49" s="10"/>
      <c r="X49" s="10"/>
      <c r="Y49" s="10"/>
      <c r="Z49" s="10"/>
      <c r="AA49" s="10"/>
      <c r="AB49" s="10"/>
      <c r="AC49" s="10"/>
      <c r="AD49" s="10"/>
      <c r="AE49" s="10"/>
      <c r="AF49" s="10"/>
      <c r="AG49" s="10"/>
      <c r="AH49" s="10"/>
      <c r="AI49" s="10"/>
      <c r="AJ49" s="10"/>
      <c r="AK49" s="10"/>
      <c r="AL49" s="10"/>
      <c r="AM49" s="10"/>
    </row>
    <row r="50" spans="2:39">
      <c r="B50"/>
      <c r="C50"/>
      <c r="D50"/>
      <c r="E50"/>
      <c r="F50"/>
      <c r="G50"/>
      <c r="H50"/>
      <c r="I50"/>
      <c r="J50"/>
      <c r="K50"/>
      <c r="L50"/>
      <c r="M50"/>
      <c r="N50" s="64"/>
      <c r="O50" s="64"/>
      <c r="P50" s="64"/>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pans="2:39">
      <c r="B51"/>
      <c r="C51"/>
      <c r="D51"/>
      <c r="E51"/>
      <c r="F51"/>
      <c r="G51"/>
      <c r="H51"/>
      <c r="I51"/>
      <c r="J51"/>
      <c r="K51"/>
      <c r="L51"/>
      <c r="M51"/>
      <c r="N51" s="64"/>
      <c r="O51" s="64"/>
      <c r="P51" s="64"/>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pans="2:39">
      <c r="B52"/>
      <c r="C52"/>
      <c r="D52"/>
      <c r="E52"/>
      <c r="F52"/>
      <c r="G52"/>
      <c r="H52"/>
      <c r="I52"/>
      <c r="J52"/>
      <c r="K52"/>
      <c r="L52"/>
      <c r="M52"/>
      <c r="N52" s="64"/>
      <c r="O52" s="64"/>
      <c r="P52" s="64"/>
      <c r="Q52" s="10"/>
      <c r="R52" s="10"/>
      <c r="S52" s="10"/>
      <c r="T52" s="10"/>
      <c r="U52" s="10"/>
      <c r="V52" s="10"/>
      <c r="W52" s="10"/>
      <c r="X52" s="10"/>
      <c r="Y52" s="10"/>
      <c r="Z52" s="10"/>
      <c r="AA52" s="10"/>
      <c r="AB52" s="10"/>
      <c r="AC52" s="10"/>
      <c r="AD52" s="10"/>
      <c r="AE52" s="10"/>
      <c r="AF52" s="10"/>
      <c r="AG52" s="10"/>
      <c r="AH52" s="10"/>
      <c r="AI52" s="10"/>
      <c r="AJ52" s="10"/>
      <c r="AK52" s="10"/>
      <c r="AL52" s="10"/>
      <c r="AM52" s="10"/>
    </row>
    <row r="53" spans="2:39" ht="15" customHeight="1">
      <c r="B53"/>
      <c r="C53"/>
      <c r="D53"/>
      <c r="E53"/>
      <c r="F53"/>
      <c r="G53"/>
      <c r="H53"/>
      <c r="I53"/>
      <c r="J53"/>
      <c r="K53"/>
      <c r="L53"/>
      <c r="M53"/>
      <c r="N53" s="64"/>
      <c r="O53" s="64"/>
      <c r="P53" s="64"/>
      <c r="Q53" s="10"/>
      <c r="R53" s="10"/>
      <c r="S53" s="10"/>
      <c r="T53" s="10"/>
      <c r="U53" s="10"/>
      <c r="V53" s="10"/>
      <c r="W53" s="10"/>
      <c r="X53" s="10"/>
      <c r="Y53" s="10"/>
      <c r="Z53" s="10"/>
      <c r="AA53" s="10"/>
      <c r="AB53" s="10"/>
      <c r="AC53" s="10"/>
      <c r="AD53" s="10"/>
      <c r="AE53" s="10"/>
      <c r="AF53" s="10"/>
      <c r="AG53" s="10"/>
      <c r="AH53" s="10"/>
      <c r="AI53" s="10"/>
      <c r="AJ53" s="10"/>
      <c r="AK53" s="10"/>
      <c r="AL53" s="10"/>
      <c r="AM53" s="10"/>
    </row>
    <row r="54" spans="2:39">
      <c r="B54"/>
      <c r="C54"/>
      <c r="D54"/>
      <c r="E54"/>
      <c r="F54"/>
      <c r="G54"/>
      <c r="H54"/>
      <c r="I54"/>
      <c r="J54"/>
      <c r="K54"/>
      <c r="L54"/>
      <c r="M54"/>
      <c r="N54" s="64"/>
      <c r="O54" s="64"/>
      <c r="P54" s="64"/>
      <c r="Q54" s="10"/>
      <c r="R54" s="10"/>
      <c r="S54" s="10"/>
      <c r="T54" s="10"/>
      <c r="U54" s="10"/>
      <c r="V54" s="10"/>
      <c r="W54" s="10"/>
      <c r="X54" s="10"/>
      <c r="Y54" s="10"/>
      <c r="Z54" s="10"/>
      <c r="AA54" s="10"/>
      <c r="AB54" s="10"/>
      <c r="AC54" s="10"/>
      <c r="AD54" s="10"/>
      <c r="AE54" s="10"/>
      <c r="AF54" s="10"/>
      <c r="AG54" s="10"/>
      <c r="AH54" s="10"/>
      <c r="AI54" s="10"/>
      <c r="AJ54" s="10"/>
      <c r="AK54" s="10"/>
      <c r="AL54" s="10"/>
      <c r="AM54" s="10"/>
    </row>
    <row r="55" spans="2:39">
      <c r="B55"/>
      <c r="C55"/>
      <c r="D55"/>
      <c r="E55"/>
      <c r="F55"/>
      <c r="G55"/>
      <c r="H55"/>
      <c r="I55"/>
      <c r="J55"/>
      <c r="K55"/>
      <c r="L55"/>
      <c r="M55"/>
      <c r="N55" s="64"/>
      <c r="O55" s="64"/>
      <c r="P55" s="64"/>
      <c r="Q55" s="10"/>
      <c r="R55" s="10"/>
      <c r="S55" s="10"/>
      <c r="T55" s="10"/>
      <c r="U55" s="10"/>
      <c r="V55" s="10"/>
      <c r="W55" s="10"/>
      <c r="X55" s="10"/>
      <c r="Y55" s="10"/>
      <c r="Z55" s="10"/>
      <c r="AA55" s="10"/>
      <c r="AB55" s="10"/>
      <c r="AC55" s="10"/>
      <c r="AD55" s="10"/>
      <c r="AE55" s="10"/>
      <c r="AF55" s="10"/>
      <c r="AG55" s="10"/>
      <c r="AH55" s="10"/>
      <c r="AI55" s="10"/>
      <c r="AJ55" s="10"/>
      <c r="AK55" s="10"/>
      <c r="AL55" s="10"/>
      <c r="AM55" s="10"/>
    </row>
    <row r="56" spans="2:39">
      <c r="B56"/>
      <c r="C56"/>
      <c r="D56"/>
      <c r="E56"/>
      <c r="F56"/>
      <c r="G56"/>
      <c r="H56"/>
      <c r="I56"/>
      <c r="J56"/>
      <c r="K56"/>
      <c r="L56"/>
      <c r="M56"/>
      <c r="N56" s="64"/>
      <c r="O56" s="64"/>
      <c r="P56" s="64"/>
      <c r="Q56" s="10"/>
      <c r="R56" s="10"/>
      <c r="S56" s="10"/>
      <c r="T56" s="10"/>
      <c r="U56" s="10"/>
      <c r="V56" s="10"/>
      <c r="W56" s="10"/>
      <c r="X56" s="10"/>
      <c r="Y56" s="10"/>
      <c r="Z56" s="10"/>
      <c r="AA56" s="10"/>
      <c r="AB56" s="10"/>
      <c r="AC56" s="10"/>
      <c r="AD56" s="10"/>
      <c r="AE56" s="10"/>
      <c r="AF56" s="10"/>
      <c r="AG56" s="10"/>
      <c r="AH56" s="10"/>
      <c r="AI56" s="10"/>
      <c r="AJ56" s="10"/>
      <c r="AK56" s="10"/>
      <c r="AL56" s="10"/>
      <c r="AM56" s="10"/>
    </row>
    <row r="57" spans="2:39">
      <c r="B57"/>
      <c r="C57"/>
      <c r="D57"/>
      <c r="E57"/>
      <c r="F57"/>
      <c r="G57"/>
      <c r="H57"/>
      <c r="I57"/>
      <c r="J57"/>
      <c r="K57"/>
      <c r="L57"/>
      <c r="M57"/>
      <c r="N57" s="64"/>
      <c r="O57" s="64"/>
      <c r="P57" s="64"/>
      <c r="Q57" s="10"/>
      <c r="R57" s="10"/>
      <c r="S57" s="10"/>
      <c r="T57" s="10"/>
      <c r="U57" s="10"/>
      <c r="V57" s="10"/>
      <c r="W57" s="10"/>
      <c r="X57" s="10"/>
      <c r="Y57" s="10"/>
      <c r="Z57" s="10"/>
      <c r="AA57" s="10"/>
      <c r="AB57" s="10"/>
      <c r="AC57" s="10"/>
      <c r="AD57" s="10"/>
      <c r="AE57" s="10"/>
      <c r="AF57" s="10"/>
      <c r="AG57" s="10"/>
      <c r="AH57" s="10"/>
      <c r="AI57" s="10"/>
      <c r="AJ57" s="10"/>
      <c r="AK57" s="10"/>
      <c r="AL57" s="10"/>
      <c r="AM57" s="10"/>
    </row>
    <row r="58" spans="2:39">
      <c r="B58"/>
      <c r="C58"/>
      <c r="D58"/>
      <c r="E58"/>
      <c r="F58"/>
      <c r="G58"/>
      <c r="H58"/>
      <c r="I58"/>
      <c r="J58"/>
      <c r="K58"/>
      <c r="L58"/>
      <c r="M58"/>
      <c r="N58" s="64"/>
      <c r="O58" s="64"/>
      <c r="P58" s="64"/>
      <c r="Q58" s="10"/>
      <c r="R58" s="10"/>
      <c r="S58" s="10"/>
      <c r="T58" s="10"/>
      <c r="U58" s="10"/>
      <c r="V58" s="10"/>
      <c r="W58" s="10"/>
      <c r="X58" s="10"/>
      <c r="Y58" s="10"/>
      <c r="Z58" s="10"/>
      <c r="AA58" s="10"/>
      <c r="AB58" s="10"/>
      <c r="AC58" s="10"/>
      <c r="AD58" s="10"/>
      <c r="AE58" s="10"/>
      <c r="AF58" s="10"/>
      <c r="AG58" s="10"/>
      <c r="AH58" s="10"/>
      <c r="AI58" s="10"/>
      <c r="AJ58" s="10"/>
      <c r="AK58" s="10"/>
      <c r="AL58" s="10"/>
      <c r="AM58" s="10"/>
    </row>
    <row r="59" spans="2:39">
      <c r="B59"/>
      <c r="C59"/>
      <c r="D59"/>
      <c r="E59"/>
      <c r="F59"/>
      <c r="G59"/>
      <c r="H59"/>
      <c r="I59"/>
      <c r="J59"/>
      <c r="K59"/>
      <c r="L59"/>
      <c r="M59"/>
      <c r="N59" s="64"/>
      <c r="O59" s="64"/>
      <c r="P59" s="64"/>
      <c r="Q59" s="10"/>
      <c r="R59" s="10"/>
      <c r="S59" s="10"/>
      <c r="T59" s="10"/>
      <c r="U59" s="10"/>
      <c r="V59" s="10"/>
      <c r="W59" s="10"/>
      <c r="X59" s="10"/>
      <c r="Y59" s="10"/>
      <c r="Z59" s="10"/>
      <c r="AA59" s="10"/>
      <c r="AB59" s="10"/>
      <c r="AC59" s="10"/>
      <c r="AD59" s="10"/>
      <c r="AE59" s="10"/>
      <c r="AF59" s="10"/>
      <c r="AG59" s="10"/>
      <c r="AH59" s="10"/>
      <c r="AI59" s="10"/>
      <c r="AJ59" s="10"/>
      <c r="AK59" s="10"/>
      <c r="AL59" s="10"/>
      <c r="AM59" s="10"/>
    </row>
    <row r="60" spans="2:39">
      <c r="B60"/>
      <c r="C60"/>
      <c r="D60"/>
      <c r="E60"/>
      <c r="F60"/>
      <c r="G60"/>
      <c r="H60"/>
      <c r="I60"/>
      <c r="J60"/>
      <c r="K60"/>
      <c r="L60"/>
      <c r="M60"/>
      <c r="N60" s="64"/>
      <c r="O60" s="64"/>
      <c r="P60" s="64"/>
      <c r="Q60" s="10"/>
      <c r="R60" s="10"/>
      <c r="S60" s="10"/>
      <c r="T60" s="10"/>
      <c r="U60" s="10"/>
      <c r="V60" s="10"/>
      <c r="W60" s="10"/>
      <c r="X60" s="10"/>
      <c r="Y60" s="10"/>
      <c r="Z60" s="10"/>
      <c r="AA60" s="10"/>
      <c r="AB60" s="10"/>
      <c r="AC60" s="10"/>
      <c r="AD60" s="10"/>
      <c r="AE60" s="10"/>
      <c r="AF60" s="10"/>
      <c r="AG60" s="10"/>
      <c r="AH60" s="10"/>
      <c r="AI60" s="10"/>
      <c r="AJ60" s="10"/>
      <c r="AK60" s="10"/>
      <c r="AL60" s="10"/>
      <c r="AM60" s="10"/>
    </row>
    <row r="61" spans="2:39">
      <c r="B61"/>
      <c r="C61"/>
      <c r="D61"/>
      <c r="E61"/>
      <c r="F61"/>
      <c r="G61"/>
      <c r="H61"/>
      <c r="I61"/>
      <c r="J61"/>
      <c r="K61"/>
      <c r="L61"/>
      <c r="M61"/>
      <c r="N61" s="64"/>
      <c r="O61" s="64"/>
      <c r="P61" s="64"/>
      <c r="Q61" s="10"/>
      <c r="R61" s="10"/>
      <c r="S61" s="10"/>
      <c r="T61" s="10"/>
      <c r="U61" s="10"/>
      <c r="V61" s="10"/>
      <c r="W61" s="10"/>
      <c r="X61" s="10"/>
      <c r="Y61" s="10"/>
      <c r="Z61" s="10"/>
      <c r="AA61" s="10"/>
      <c r="AB61" s="10"/>
      <c r="AC61" s="10"/>
      <c r="AD61" s="10"/>
      <c r="AE61" s="10"/>
      <c r="AF61" s="10"/>
      <c r="AG61" s="10"/>
      <c r="AH61" s="10"/>
      <c r="AI61" s="10"/>
      <c r="AJ61" s="10"/>
      <c r="AK61" s="10"/>
      <c r="AL61" s="10"/>
      <c r="AM61" s="10"/>
    </row>
    <row r="62" spans="2:39">
      <c r="B62"/>
      <c r="C62"/>
      <c r="D62"/>
      <c r="E62"/>
      <c r="F62"/>
      <c r="G62"/>
      <c r="H62"/>
      <c r="I62"/>
      <c r="J62"/>
      <c r="K62"/>
      <c r="L62"/>
      <c r="M62"/>
      <c r="N62" s="64"/>
      <c r="O62" s="64"/>
      <c r="P62" s="64"/>
      <c r="Q62" s="10"/>
      <c r="R62" s="10"/>
      <c r="S62" s="10"/>
      <c r="T62" s="10"/>
      <c r="U62" s="10"/>
      <c r="V62" s="10"/>
      <c r="W62" s="10"/>
      <c r="X62" s="10"/>
      <c r="Y62" s="10"/>
      <c r="Z62" s="10"/>
      <c r="AA62" s="10"/>
      <c r="AB62" s="10"/>
      <c r="AC62" s="10"/>
      <c r="AD62" s="10"/>
      <c r="AE62" s="10"/>
      <c r="AF62" s="10"/>
      <c r="AG62" s="10"/>
      <c r="AH62" s="10"/>
      <c r="AI62" s="10"/>
      <c r="AJ62" s="10"/>
      <c r="AK62" s="10"/>
      <c r="AL62" s="10"/>
      <c r="AM62" s="10"/>
    </row>
    <row r="63" spans="2:39">
      <c r="B63"/>
      <c r="C63"/>
      <c r="D63"/>
      <c r="E63"/>
      <c r="F63"/>
      <c r="G63"/>
      <c r="H63"/>
      <c r="I63"/>
      <c r="J63"/>
      <c r="K63"/>
      <c r="L63"/>
      <c r="M63"/>
      <c r="N63" s="64"/>
      <c r="O63" s="64"/>
      <c r="P63" s="64"/>
      <c r="Q63" s="10"/>
      <c r="R63" s="10"/>
      <c r="S63" s="10"/>
      <c r="T63" s="10"/>
      <c r="U63" s="10"/>
      <c r="V63" s="10"/>
      <c r="W63" s="10"/>
      <c r="X63" s="10"/>
      <c r="Y63" s="10"/>
      <c r="Z63" s="10"/>
      <c r="AA63" s="10"/>
      <c r="AB63" s="10"/>
      <c r="AC63" s="10"/>
      <c r="AD63" s="10"/>
      <c r="AE63" s="10"/>
      <c r="AF63" s="10"/>
      <c r="AG63" s="10"/>
      <c r="AH63" s="10"/>
      <c r="AI63" s="10"/>
      <c r="AJ63" s="10"/>
      <c r="AK63" s="10"/>
      <c r="AL63" s="10"/>
      <c r="AM63" s="10"/>
    </row>
    <row r="64" spans="2:39">
      <c r="B64"/>
      <c r="C64"/>
      <c r="D64"/>
      <c r="E64"/>
      <c r="F64"/>
      <c r="G64"/>
      <c r="H64"/>
      <c r="I64"/>
      <c r="J64"/>
      <c r="K64"/>
      <c r="L64"/>
      <c r="M64"/>
      <c r="N64" s="64"/>
      <c r="O64" s="64"/>
      <c r="P64" s="64"/>
      <c r="Q64" s="10"/>
      <c r="R64" s="10"/>
      <c r="S64" s="10"/>
      <c r="T64" s="10"/>
      <c r="U64" s="10"/>
      <c r="V64" s="10"/>
      <c r="W64" s="10"/>
      <c r="X64" s="10"/>
      <c r="Y64" s="10"/>
      <c r="Z64" s="10"/>
      <c r="AA64" s="10"/>
      <c r="AB64" s="10"/>
      <c r="AC64" s="10"/>
      <c r="AD64" s="10"/>
      <c r="AE64" s="10"/>
      <c r="AF64" s="10"/>
      <c r="AG64" s="10"/>
      <c r="AH64" s="10"/>
      <c r="AI64" s="10"/>
      <c r="AJ64" s="10"/>
      <c r="AK64" s="10"/>
      <c r="AL64" s="10"/>
      <c r="AM64" s="10"/>
    </row>
    <row r="65" spans="2:39">
      <c r="B65"/>
      <c r="C65"/>
      <c r="D65"/>
      <c r="E65"/>
      <c r="F65"/>
      <c r="G65"/>
      <c r="H65"/>
      <c r="I65"/>
      <c r="J65"/>
      <c r="K65"/>
      <c r="L65"/>
      <c r="M65"/>
      <c r="N65" s="64"/>
      <c r="O65" s="64"/>
      <c r="P65" s="64"/>
      <c r="Q65" s="10"/>
      <c r="R65" s="10"/>
      <c r="S65" s="10"/>
      <c r="T65" s="10"/>
      <c r="U65" s="10"/>
      <c r="V65" s="10"/>
      <c r="W65" s="10"/>
      <c r="X65" s="10"/>
      <c r="Y65" s="10"/>
      <c r="Z65" s="10"/>
      <c r="AA65" s="10"/>
      <c r="AB65" s="10"/>
      <c r="AC65" s="10"/>
      <c r="AD65" s="10"/>
      <c r="AE65" s="10"/>
      <c r="AF65" s="10"/>
      <c r="AG65" s="10"/>
      <c r="AH65" s="10"/>
      <c r="AI65" s="10"/>
      <c r="AJ65" s="10"/>
      <c r="AK65" s="10"/>
      <c r="AL65" s="10"/>
      <c r="AM65" s="10"/>
    </row>
    <row r="66" spans="2:39">
      <c r="B66"/>
      <c r="C66"/>
      <c r="D66"/>
      <c r="E66"/>
      <c r="F66"/>
      <c r="G66"/>
      <c r="H66"/>
      <c r="I66"/>
      <c r="J66"/>
      <c r="K66"/>
      <c r="L66"/>
      <c r="M66"/>
      <c r="N66" s="64"/>
      <c r="O66" s="64"/>
      <c r="P66" s="64"/>
      <c r="Q66" s="10"/>
      <c r="R66" s="10"/>
      <c r="S66" s="10"/>
      <c r="T66" s="10"/>
      <c r="U66" s="10"/>
      <c r="V66" s="10"/>
      <c r="W66" s="10"/>
      <c r="X66" s="10"/>
      <c r="Y66" s="10"/>
      <c r="Z66" s="10"/>
      <c r="AA66" s="10"/>
      <c r="AB66" s="10"/>
      <c r="AC66" s="10"/>
      <c r="AD66" s="10"/>
      <c r="AE66" s="10"/>
      <c r="AF66" s="10"/>
      <c r="AG66" s="10"/>
      <c r="AH66" s="10"/>
      <c r="AI66" s="10"/>
      <c r="AJ66" s="10"/>
      <c r="AK66" s="10"/>
      <c r="AL66" s="10"/>
      <c r="AM66" s="10"/>
    </row>
    <row r="67" spans="2:39">
      <c r="B67"/>
      <c r="C67"/>
      <c r="D67"/>
      <c r="E67"/>
      <c r="F67"/>
      <c r="G67"/>
      <c r="H67"/>
      <c r="I67"/>
      <c r="J67"/>
      <c r="K67"/>
      <c r="L67"/>
      <c r="M67"/>
      <c r="N67" s="64"/>
      <c r="O67" s="64"/>
      <c r="P67" s="64"/>
      <c r="Q67" s="10"/>
      <c r="R67" s="10"/>
      <c r="S67" s="10"/>
      <c r="T67" s="10"/>
      <c r="U67" s="10"/>
      <c r="V67" s="10"/>
      <c r="W67" s="10"/>
      <c r="X67" s="10"/>
      <c r="Y67" s="10"/>
      <c r="Z67" s="10"/>
      <c r="AA67" s="10"/>
      <c r="AB67" s="10"/>
      <c r="AC67" s="10"/>
      <c r="AD67" s="10"/>
      <c r="AE67" s="10"/>
      <c r="AF67" s="10"/>
      <c r="AG67" s="10"/>
      <c r="AH67" s="10"/>
      <c r="AI67" s="10"/>
      <c r="AJ67" s="10"/>
      <c r="AK67" s="10"/>
      <c r="AL67" s="10"/>
      <c r="AM67" s="10"/>
    </row>
    <row r="68" spans="2:39">
      <c r="B68"/>
      <c r="C68"/>
      <c r="D68"/>
      <c r="E68"/>
      <c r="F68"/>
      <c r="G68"/>
      <c r="H68"/>
      <c r="I68"/>
      <c r="J68"/>
      <c r="K68"/>
      <c r="L68"/>
      <c r="M68"/>
      <c r="N68" s="64"/>
      <c r="O68" s="64"/>
      <c r="P68" s="64"/>
      <c r="Q68" s="10"/>
      <c r="R68" s="10"/>
      <c r="S68" s="10"/>
      <c r="T68" s="10"/>
      <c r="U68" s="10"/>
      <c r="V68" s="10"/>
      <c r="W68" s="10"/>
      <c r="X68" s="10"/>
      <c r="Y68" s="10"/>
      <c r="Z68" s="10"/>
      <c r="AA68" s="10"/>
      <c r="AB68" s="10"/>
      <c r="AC68" s="10"/>
      <c r="AD68" s="10"/>
      <c r="AE68" s="10"/>
      <c r="AF68" s="10"/>
      <c r="AG68" s="10"/>
      <c r="AH68" s="10"/>
      <c r="AI68" s="10"/>
      <c r="AJ68" s="10"/>
      <c r="AK68" s="10"/>
      <c r="AL68" s="10"/>
      <c r="AM68" s="10"/>
    </row>
    <row r="69" spans="2:39">
      <c r="B69"/>
      <c r="C69"/>
      <c r="D69"/>
      <c r="E69"/>
      <c r="F69"/>
      <c r="G69"/>
      <c r="H69"/>
      <c r="I69"/>
      <c r="J69"/>
      <c r="K69"/>
      <c r="L69"/>
      <c r="M69"/>
      <c r="N69" s="64"/>
      <c r="O69" s="64"/>
      <c r="P69" s="64"/>
      <c r="Q69" s="10"/>
      <c r="R69" s="10"/>
      <c r="S69" s="10"/>
      <c r="T69" s="10"/>
      <c r="U69" s="10"/>
      <c r="V69" s="10"/>
      <c r="W69" s="10"/>
      <c r="X69" s="10"/>
      <c r="Y69" s="10"/>
      <c r="Z69" s="10"/>
      <c r="AA69" s="10"/>
      <c r="AB69" s="10"/>
      <c r="AC69" s="10"/>
      <c r="AD69" s="10"/>
      <c r="AE69" s="10"/>
      <c r="AF69" s="10"/>
      <c r="AG69" s="10"/>
      <c r="AH69" s="10"/>
      <c r="AI69" s="10"/>
      <c r="AJ69" s="10"/>
      <c r="AK69" s="10"/>
      <c r="AL69" s="10"/>
      <c r="AM69" s="10"/>
    </row>
    <row r="70" spans="2:39">
      <c r="B70"/>
      <c r="C70"/>
      <c r="D70"/>
      <c r="E70"/>
      <c r="F70"/>
      <c r="G70"/>
      <c r="H70"/>
      <c r="I70"/>
      <c r="J70"/>
      <c r="K70"/>
      <c r="L70"/>
      <c r="M70"/>
      <c r="N70" s="64"/>
      <c r="O70" s="64"/>
      <c r="P70" s="64"/>
      <c r="Q70" s="10"/>
      <c r="R70" s="10"/>
      <c r="S70" s="10"/>
      <c r="T70" s="10"/>
      <c r="U70" s="10"/>
      <c r="V70" s="10"/>
      <c r="W70" s="10"/>
      <c r="X70" s="10"/>
      <c r="Y70" s="10"/>
      <c r="Z70" s="10"/>
      <c r="AA70" s="10"/>
      <c r="AB70" s="10"/>
      <c r="AC70" s="10"/>
      <c r="AD70" s="10"/>
      <c r="AE70" s="10"/>
      <c r="AF70" s="10"/>
      <c r="AG70" s="10"/>
      <c r="AH70" s="10"/>
      <c r="AI70" s="10"/>
      <c r="AJ70" s="10"/>
      <c r="AK70" s="10"/>
      <c r="AL70" s="10"/>
      <c r="AM70" s="10"/>
    </row>
    <row r="71" spans="2:39">
      <c r="B71"/>
      <c r="C71"/>
      <c r="D71"/>
      <c r="E71"/>
      <c r="F71"/>
      <c r="G71"/>
      <c r="H71"/>
      <c r="I71"/>
      <c r="J71"/>
      <c r="K71"/>
      <c r="L71"/>
      <c r="M71"/>
      <c r="N71" s="64"/>
      <c r="O71" s="64"/>
      <c r="P71" s="64"/>
      <c r="Q71" s="10"/>
      <c r="R71" s="10"/>
      <c r="S71" s="10"/>
      <c r="T71" s="10"/>
      <c r="U71" s="10"/>
      <c r="V71" s="10"/>
      <c r="W71" s="10"/>
      <c r="X71" s="10"/>
      <c r="Y71" s="10"/>
      <c r="Z71" s="10"/>
      <c r="AA71" s="10"/>
      <c r="AB71" s="10"/>
      <c r="AC71" s="10"/>
      <c r="AD71" s="10"/>
      <c r="AE71" s="10"/>
      <c r="AF71" s="10"/>
      <c r="AG71" s="10"/>
      <c r="AH71" s="10"/>
      <c r="AI71" s="10"/>
      <c r="AJ71" s="10"/>
      <c r="AK71" s="10"/>
      <c r="AL71" s="10"/>
      <c r="AM71" s="10"/>
    </row>
    <row r="72" spans="2:39">
      <c r="B72"/>
      <c r="C72"/>
      <c r="D72"/>
      <c r="E72"/>
      <c r="F72"/>
      <c r="G72"/>
      <c r="H72"/>
      <c r="I72"/>
      <c r="J72"/>
      <c r="K72"/>
      <c r="L72"/>
      <c r="M72"/>
      <c r="N72" s="64"/>
      <c r="O72" s="64"/>
      <c r="P72" s="64"/>
      <c r="Q72" s="10"/>
      <c r="R72" s="10"/>
      <c r="S72" s="10"/>
      <c r="T72" s="10"/>
      <c r="U72" s="10"/>
      <c r="V72" s="10"/>
      <c r="W72" s="10"/>
      <c r="X72" s="10"/>
      <c r="Y72" s="10"/>
      <c r="Z72" s="10"/>
      <c r="AA72" s="10"/>
      <c r="AB72" s="10"/>
      <c r="AC72" s="10"/>
      <c r="AD72" s="10"/>
      <c r="AE72" s="10"/>
      <c r="AF72" s="10"/>
      <c r="AG72" s="10"/>
      <c r="AH72" s="10"/>
      <c r="AI72" s="10"/>
      <c r="AJ72" s="10"/>
      <c r="AK72" s="10"/>
      <c r="AL72" s="10"/>
      <c r="AM72" s="10"/>
    </row>
    <row r="73" spans="2:39">
      <c r="B73"/>
      <c r="C73"/>
      <c r="D73"/>
      <c r="E73"/>
      <c r="F73"/>
      <c r="G73"/>
      <c r="H73"/>
      <c r="I73"/>
      <c r="J73"/>
      <c r="K73"/>
      <c r="L73"/>
      <c r="M73"/>
      <c r="N73" s="64"/>
      <c r="O73" s="64"/>
      <c r="P73" s="64"/>
      <c r="Q73" s="10"/>
      <c r="R73" s="10"/>
      <c r="S73" s="10"/>
      <c r="T73" s="10"/>
      <c r="U73" s="10"/>
      <c r="V73" s="10"/>
      <c r="W73" s="10"/>
      <c r="X73" s="10"/>
      <c r="Y73" s="10"/>
      <c r="Z73" s="10"/>
      <c r="AA73" s="10"/>
      <c r="AB73" s="10"/>
      <c r="AC73" s="10"/>
      <c r="AD73" s="10"/>
      <c r="AE73" s="10"/>
      <c r="AF73" s="10"/>
      <c r="AG73" s="10"/>
      <c r="AH73" s="10"/>
      <c r="AI73" s="10"/>
      <c r="AJ73" s="10"/>
      <c r="AK73" s="10"/>
      <c r="AL73" s="10"/>
      <c r="AM73" s="10"/>
    </row>
    <row r="74" spans="2:39">
      <c r="B74"/>
      <c r="C74"/>
      <c r="D74"/>
      <c r="E74"/>
      <c r="F74"/>
      <c r="G74"/>
      <c r="H74"/>
      <c r="I74"/>
      <c r="J74"/>
      <c r="K74"/>
      <c r="L74"/>
      <c r="M74"/>
      <c r="N74" s="64"/>
      <c r="O74" s="64"/>
      <c r="P74" s="64"/>
      <c r="Q74" s="10"/>
      <c r="R74" s="10"/>
      <c r="S74" s="10"/>
      <c r="T74" s="10"/>
      <c r="U74" s="10"/>
      <c r="V74" s="10"/>
      <c r="W74" s="10"/>
      <c r="X74" s="10"/>
      <c r="Y74" s="10"/>
      <c r="Z74" s="10"/>
      <c r="AA74" s="10"/>
      <c r="AB74" s="10"/>
      <c r="AC74" s="10"/>
      <c r="AD74" s="10"/>
      <c r="AE74" s="10"/>
      <c r="AF74" s="10"/>
      <c r="AG74" s="10"/>
      <c r="AH74" s="10"/>
      <c r="AI74" s="10"/>
      <c r="AJ74" s="10"/>
      <c r="AK74" s="10"/>
      <c r="AL74" s="10"/>
      <c r="AM74" s="10"/>
    </row>
    <row r="75" spans="2:39">
      <c r="B75"/>
      <c r="C75"/>
      <c r="D75"/>
      <c r="E75"/>
      <c r="F75"/>
      <c r="G75"/>
      <c r="H75"/>
      <c r="I75"/>
      <c r="J75"/>
      <c r="K75"/>
      <c r="L75"/>
      <c r="M75"/>
      <c r="N75" s="64"/>
      <c r="O75" s="64"/>
      <c r="P75" s="64"/>
      <c r="Q75" s="10"/>
      <c r="R75" s="10"/>
      <c r="S75" s="10"/>
      <c r="T75" s="10"/>
      <c r="U75" s="10"/>
      <c r="V75" s="10"/>
      <c r="W75" s="10"/>
      <c r="X75" s="10"/>
      <c r="Y75" s="10"/>
      <c r="Z75" s="10"/>
      <c r="AA75" s="10"/>
      <c r="AB75" s="10"/>
      <c r="AC75" s="10"/>
      <c r="AD75" s="10"/>
      <c r="AE75" s="10"/>
      <c r="AF75" s="10"/>
      <c r="AG75" s="10"/>
      <c r="AH75" s="10"/>
      <c r="AI75" s="10"/>
      <c r="AJ75" s="10"/>
      <c r="AK75" s="10"/>
      <c r="AL75" s="10"/>
      <c r="AM75" s="10"/>
    </row>
    <row r="76" spans="2:39">
      <c r="B76"/>
      <c r="C76"/>
      <c r="D76"/>
      <c r="E76"/>
      <c r="F76"/>
      <c r="G76"/>
      <c r="H76"/>
      <c r="I76"/>
      <c r="J76"/>
      <c r="K76"/>
      <c r="L76"/>
      <c r="M76"/>
      <c r="N76" s="64"/>
      <c r="O76" s="64"/>
      <c r="P76" s="64"/>
      <c r="Q76" s="10"/>
      <c r="R76" s="10"/>
      <c r="S76" s="10"/>
      <c r="T76" s="10"/>
      <c r="U76" s="10"/>
      <c r="V76" s="10"/>
      <c r="W76" s="10"/>
      <c r="X76" s="10"/>
      <c r="Y76" s="10"/>
      <c r="Z76" s="10"/>
      <c r="AA76" s="10"/>
      <c r="AB76" s="10"/>
      <c r="AC76" s="10"/>
      <c r="AD76" s="10"/>
      <c r="AE76" s="10"/>
      <c r="AF76" s="10"/>
      <c r="AG76" s="10"/>
      <c r="AH76" s="10"/>
      <c r="AI76" s="10"/>
      <c r="AJ76" s="10"/>
      <c r="AK76" s="10"/>
      <c r="AL76" s="10"/>
      <c r="AM76" s="10"/>
    </row>
    <row r="77" spans="2:39">
      <c r="B77"/>
      <c r="C77"/>
      <c r="D77"/>
      <c r="E77"/>
      <c r="F77"/>
      <c r="G77"/>
      <c r="H77"/>
      <c r="I77"/>
      <c r="J77"/>
      <c r="K77"/>
      <c r="L77"/>
      <c r="M77"/>
      <c r="N77" s="64"/>
      <c r="O77" s="64"/>
      <c r="P77" s="64"/>
      <c r="Q77" s="10"/>
      <c r="R77" s="10"/>
      <c r="S77" s="10"/>
      <c r="T77" s="10"/>
      <c r="U77" s="10"/>
      <c r="V77" s="10"/>
      <c r="W77" s="10"/>
      <c r="X77" s="10"/>
      <c r="Y77" s="10"/>
      <c r="Z77" s="10"/>
      <c r="AA77" s="10"/>
      <c r="AB77" s="10"/>
      <c r="AC77" s="10"/>
      <c r="AD77" s="10"/>
      <c r="AE77" s="10"/>
      <c r="AF77" s="10"/>
      <c r="AG77" s="10"/>
      <c r="AH77" s="10"/>
      <c r="AI77" s="10"/>
      <c r="AJ77" s="10"/>
      <c r="AK77" s="10"/>
      <c r="AL77" s="10"/>
      <c r="AM77" s="10"/>
    </row>
    <row r="78" spans="2:39">
      <c r="B78"/>
      <c r="C78"/>
      <c r="D78"/>
      <c r="E78"/>
      <c r="F78"/>
      <c r="G78"/>
      <c r="H78"/>
      <c r="I78"/>
      <c r="J78"/>
      <c r="K78"/>
      <c r="L78"/>
      <c r="M78"/>
      <c r="N78" s="64"/>
      <c r="O78" s="64"/>
      <c r="P78" s="64"/>
      <c r="Q78" s="10"/>
      <c r="R78" s="10"/>
      <c r="S78" s="10"/>
      <c r="T78" s="10"/>
      <c r="U78" s="10"/>
      <c r="V78" s="10"/>
      <c r="W78" s="10"/>
      <c r="X78" s="10"/>
      <c r="Y78" s="10"/>
      <c r="Z78" s="10"/>
      <c r="AA78" s="10"/>
      <c r="AB78" s="10"/>
      <c r="AC78" s="10"/>
      <c r="AD78" s="10"/>
      <c r="AE78" s="10"/>
      <c r="AF78" s="10"/>
      <c r="AG78" s="10"/>
      <c r="AH78" s="10"/>
      <c r="AI78" s="10"/>
      <c r="AJ78" s="10"/>
      <c r="AK78" s="10"/>
      <c r="AL78" s="10"/>
      <c r="AM78" s="10"/>
    </row>
    <row r="79" spans="2:39">
      <c r="B79"/>
      <c r="C79"/>
      <c r="D79"/>
      <c r="E79"/>
      <c r="F79"/>
      <c r="G79"/>
      <c r="H79"/>
      <c r="I79"/>
      <c r="J79"/>
      <c r="K79"/>
      <c r="L79"/>
      <c r="M79"/>
      <c r="N79" s="64"/>
      <c r="O79" s="64"/>
      <c r="P79" s="64"/>
      <c r="Q79" s="10"/>
      <c r="R79" s="10"/>
      <c r="S79" s="10"/>
      <c r="T79" s="10"/>
      <c r="U79" s="10"/>
      <c r="V79" s="10"/>
      <c r="W79" s="10"/>
      <c r="X79" s="10"/>
      <c r="Y79" s="10"/>
      <c r="Z79" s="10"/>
      <c r="AA79" s="10"/>
      <c r="AB79" s="10"/>
      <c r="AC79" s="10"/>
      <c r="AD79" s="10"/>
      <c r="AE79" s="10"/>
      <c r="AF79" s="10"/>
      <c r="AG79" s="10"/>
      <c r="AH79" s="10"/>
      <c r="AI79" s="10"/>
      <c r="AJ79" s="10"/>
      <c r="AK79" s="10"/>
      <c r="AL79" s="10"/>
      <c r="AM79" s="10"/>
    </row>
    <row r="80" spans="2:39">
      <c r="B80"/>
      <c r="C80"/>
      <c r="D80"/>
      <c r="E80"/>
      <c r="F80"/>
      <c r="G80"/>
      <c r="H80"/>
      <c r="I80"/>
      <c r="J80"/>
      <c r="K80"/>
      <c r="L80"/>
      <c r="M80"/>
      <c r="N80" s="64"/>
      <c r="O80" s="64"/>
      <c r="P80" s="64"/>
      <c r="Q80" s="10"/>
      <c r="R80" s="10"/>
      <c r="S80" s="10"/>
      <c r="T80" s="10"/>
      <c r="U80" s="10"/>
      <c r="V80" s="10"/>
      <c r="W80" s="10"/>
      <c r="X80" s="10"/>
      <c r="Y80" s="10"/>
      <c r="Z80" s="10"/>
      <c r="AA80" s="10"/>
      <c r="AB80" s="10"/>
      <c r="AC80" s="10"/>
      <c r="AD80" s="10"/>
      <c r="AE80" s="10"/>
      <c r="AF80" s="10"/>
      <c r="AG80" s="10"/>
      <c r="AH80" s="10"/>
      <c r="AI80" s="10"/>
      <c r="AJ80" s="10"/>
      <c r="AK80" s="10"/>
      <c r="AL80" s="10"/>
      <c r="AM80" s="10"/>
    </row>
    <row r="81" spans="2:39">
      <c r="B81"/>
      <c r="C81"/>
      <c r="D81"/>
      <c r="E81"/>
      <c r="F81"/>
      <c r="G81"/>
      <c r="H81"/>
      <c r="I81"/>
      <c r="J81"/>
      <c r="K81"/>
      <c r="L81"/>
      <c r="M81"/>
      <c r="N81" s="64"/>
      <c r="O81" s="64"/>
      <c r="P81" s="64"/>
      <c r="Q81" s="10"/>
      <c r="R81" s="10"/>
      <c r="S81" s="10"/>
      <c r="T81" s="10"/>
      <c r="U81" s="10"/>
      <c r="V81" s="10"/>
      <c r="W81" s="10"/>
      <c r="X81" s="10"/>
      <c r="Y81" s="10"/>
      <c r="Z81" s="10"/>
      <c r="AA81" s="10"/>
      <c r="AB81" s="10"/>
      <c r="AC81" s="10"/>
      <c r="AD81" s="10"/>
      <c r="AE81" s="10"/>
      <c r="AF81" s="10"/>
      <c r="AG81" s="10"/>
      <c r="AH81" s="10"/>
      <c r="AI81" s="10"/>
      <c r="AJ81" s="10"/>
      <c r="AK81" s="10"/>
      <c r="AL81" s="10"/>
      <c r="AM81" s="10"/>
    </row>
    <row r="82" spans="2:39">
      <c r="B82"/>
      <c r="C82"/>
      <c r="D82"/>
      <c r="E82"/>
      <c r="F82"/>
      <c r="G82"/>
      <c r="H82"/>
      <c r="I82"/>
      <c r="J82"/>
      <c r="K82"/>
      <c r="L82"/>
      <c r="M82"/>
      <c r="N82" s="64"/>
      <c r="O82" s="64"/>
      <c r="P82" s="64"/>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2:39">
      <c r="B83"/>
      <c r="C83"/>
      <c r="D83"/>
      <c r="E83"/>
      <c r="F83"/>
      <c r="G83"/>
      <c r="H83"/>
      <c r="I83"/>
      <c r="J83"/>
      <c r="K83"/>
      <c r="L83"/>
      <c r="M83"/>
      <c r="N83" s="64"/>
      <c r="O83" s="64"/>
      <c r="P83" s="64"/>
      <c r="Q83" s="10"/>
      <c r="R83" s="10"/>
      <c r="S83" s="10"/>
      <c r="T83" s="10"/>
      <c r="U83" s="10"/>
      <c r="V83" s="10"/>
      <c r="W83" s="10"/>
      <c r="X83" s="10"/>
      <c r="Y83" s="10"/>
      <c r="Z83" s="10"/>
      <c r="AA83" s="10"/>
      <c r="AB83" s="10"/>
      <c r="AC83" s="10"/>
      <c r="AD83" s="10"/>
      <c r="AE83" s="10"/>
      <c r="AF83" s="10"/>
      <c r="AG83" s="10"/>
      <c r="AH83" s="10"/>
      <c r="AI83" s="10"/>
      <c r="AJ83" s="10"/>
      <c r="AK83" s="10"/>
      <c r="AL83" s="10"/>
      <c r="AM83" s="10"/>
    </row>
    <row r="84" spans="2:39">
      <c r="B84"/>
      <c r="C84"/>
      <c r="D84"/>
      <c r="E84"/>
      <c r="F84"/>
      <c r="G84"/>
      <c r="H84"/>
      <c r="I84"/>
      <c r="J84"/>
      <c r="K84"/>
      <c r="L84"/>
      <c r="M84"/>
      <c r="N84" s="64"/>
      <c r="O84" s="64"/>
      <c r="P84" s="64"/>
      <c r="Q84" s="10"/>
      <c r="R84" s="10"/>
      <c r="S84" s="10"/>
      <c r="T84" s="10"/>
      <c r="U84" s="10"/>
      <c r="V84" s="10"/>
      <c r="W84" s="10"/>
      <c r="X84" s="10"/>
      <c r="Y84" s="10"/>
      <c r="Z84" s="10"/>
      <c r="AA84" s="10"/>
      <c r="AB84" s="10"/>
      <c r="AC84" s="10"/>
      <c r="AD84" s="10"/>
      <c r="AE84" s="10"/>
      <c r="AF84" s="10"/>
      <c r="AG84" s="10"/>
      <c r="AH84" s="10"/>
      <c r="AI84" s="10"/>
      <c r="AJ84" s="10"/>
      <c r="AK84" s="10"/>
      <c r="AL84" s="10"/>
      <c r="AM84" s="10"/>
    </row>
    <row r="85" spans="2:39">
      <c r="B85"/>
      <c r="C85"/>
      <c r="D85"/>
      <c r="E85"/>
      <c r="F85"/>
      <c r="G85"/>
      <c r="H85"/>
      <c r="I85"/>
      <c r="J85"/>
      <c r="K85"/>
      <c r="L85"/>
      <c r="M85"/>
      <c r="N85" s="64"/>
      <c r="O85" s="64"/>
      <c r="P85" s="64"/>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2:39">
      <c r="B86"/>
      <c r="C86"/>
      <c r="D86"/>
      <c r="E86"/>
      <c r="F86"/>
      <c r="G86"/>
      <c r="H86"/>
      <c r="I86"/>
      <c r="J86"/>
      <c r="K86"/>
      <c r="L86"/>
      <c r="M86"/>
      <c r="N86" s="64"/>
      <c r="O86" s="64"/>
      <c r="P86" s="64"/>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2:39">
      <c r="B87"/>
      <c r="C87"/>
      <c r="D87"/>
      <c r="E87"/>
      <c r="F87"/>
      <c r="G87"/>
      <c r="H87"/>
      <c r="I87"/>
      <c r="J87"/>
      <c r="K87"/>
      <c r="L87"/>
      <c r="M87"/>
      <c r="N87" s="64"/>
      <c r="O87" s="64"/>
      <c r="P87" s="64"/>
      <c r="Q87" s="10"/>
      <c r="R87" s="10"/>
      <c r="S87" s="10"/>
      <c r="T87" s="10"/>
      <c r="U87" s="10"/>
      <c r="V87" s="10"/>
      <c r="W87" s="10"/>
      <c r="X87" s="10"/>
      <c r="Y87" s="10"/>
      <c r="Z87" s="10"/>
      <c r="AA87" s="10"/>
      <c r="AB87" s="10"/>
      <c r="AC87" s="10"/>
      <c r="AD87" s="10"/>
      <c r="AE87" s="10"/>
      <c r="AF87" s="10"/>
      <c r="AG87" s="10"/>
      <c r="AH87" s="10"/>
      <c r="AI87" s="10"/>
      <c r="AJ87" s="10"/>
      <c r="AK87" s="10"/>
      <c r="AL87" s="10"/>
      <c r="AM87" s="10"/>
    </row>
    <row r="88" spans="2:39">
      <c r="B88"/>
      <c r="C88"/>
      <c r="D88"/>
      <c r="E88"/>
      <c r="F88"/>
      <c r="G88"/>
      <c r="H88"/>
      <c r="I88"/>
      <c r="J88"/>
      <c r="K88"/>
      <c r="L88"/>
      <c r="M88"/>
      <c r="N88" s="64"/>
      <c r="O88" s="64"/>
      <c r="P88" s="64"/>
      <c r="Q88" s="10"/>
      <c r="R88" s="10"/>
      <c r="S88" s="10"/>
      <c r="T88" s="10"/>
      <c r="U88" s="10"/>
      <c r="V88" s="10"/>
      <c r="W88" s="10"/>
      <c r="X88" s="10"/>
      <c r="Y88" s="10"/>
      <c r="Z88" s="10"/>
      <c r="AA88" s="10"/>
      <c r="AB88" s="10"/>
      <c r="AC88" s="10"/>
      <c r="AD88" s="10"/>
      <c r="AE88" s="10"/>
      <c r="AF88" s="10"/>
      <c r="AG88" s="10"/>
      <c r="AH88" s="10"/>
      <c r="AI88" s="10"/>
      <c r="AJ88" s="10"/>
      <c r="AK88" s="10"/>
      <c r="AL88" s="10"/>
      <c r="AM88" s="10"/>
    </row>
    <row r="89" spans="2:39">
      <c r="B89"/>
      <c r="C89"/>
      <c r="D89"/>
      <c r="E89"/>
      <c r="F89"/>
      <c r="G89"/>
      <c r="H89"/>
      <c r="I89"/>
      <c r="J89"/>
      <c r="K89"/>
      <c r="L89"/>
      <c r="M89"/>
      <c r="N89" s="64"/>
      <c r="O89" s="64"/>
      <c r="P89" s="64"/>
      <c r="Q89" s="10"/>
      <c r="R89" s="10"/>
      <c r="S89" s="10"/>
      <c r="T89" s="10"/>
      <c r="U89" s="10"/>
      <c r="V89" s="10"/>
      <c r="W89" s="10"/>
      <c r="X89" s="10"/>
      <c r="Y89" s="10"/>
      <c r="Z89" s="10"/>
      <c r="AA89" s="10"/>
      <c r="AB89" s="10"/>
      <c r="AC89" s="10"/>
      <c r="AD89" s="10"/>
      <c r="AE89" s="10"/>
      <c r="AF89" s="10"/>
      <c r="AG89" s="10"/>
      <c r="AH89" s="10"/>
      <c r="AI89" s="10"/>
      <c r="AJ89" s="10"/>
      <c r="AK89" s="10"/>
      <c r="AL89" s="10"/>
      <c r="AM89" s="10"/>
    </row>
    <row r="90" spans="2:39">
      <c r="B90"/>
      <c r="C90"/>
      <c r="D90"/>
      <c r="E90"/>
      <c r="F90"/>
      <c r="G90"/>
      <c r="H90"/>
      <c r="I90"/>
      <c r="J90"/>
      <c r="K90"/>
      <c r="L90"/>
      <c r="M90"/>
      <c r="N90" s="64"/>
      <c r="O90" s="64"/>
      <c r="P90" s="64"/>
      <c r="Q90" s="10"/>
      <c r="R90" s="10"/>
      <c r="S90" s="10"/>
      <c r="T90" s="10"/>
      <c r="U90" s="10"/>
      <c r="V90" s="10"/>
      <c r="W90" s="10"/>
      <c r="X90" s="10"/>
      <c r="Y90" s="10"/>
      <c r="Z90" s="10"/>
      <c r="AA90" s="10"/>
      <c r="AB90" s="10"/>
      <c r="AC90" s="10"/>
      <c r="AD90" s="10"/>
      <c r="AE90" s="10"/>
      <c r="AF90" s="10"/>
      <c r="AG90" s="10"/>
      <c r="AH90" s="10"/>
      <c r="AI90" s="10"/>
      <c r="AJ90" s="10"/>
      <c r="AK90" s="10"/>
      <c r="AL90" s="10"/>
      <c r="AM90" s="10"/>
    </row>
    <row r="91" spans="2:39">
      <c r="B91"/>
      <c r="C91"/>
      <c r="D91"/>
      <c r="E91"/>
      <c r="F91"/>
      <c r="G91"/>
      <c r="H91"/>
      <c r="I91"/>
      <c r="J91"/>
      <c r="K91"/>
      <c r="L91"/>
      <c r="M91"/>
      <c r="N91" s="64"/>
      <c r="O91" s="64"/>
      <c r="P91" s="64"/>
      <c r="Q91" s="10"/>
      <c r="R91" s="10"/>
      <c r="S91" s="10"/>
      <c r="T91" s="10"/>
      <c r="U91" s="10"/>
      <c r="V91" s="10"/>
      <c r="W91" s="10"/>
      <c r="X91" s="10"/>
      <c r="Y91" s="10"/>
      <c r="Z91" s="10"/>
      <c r="AA91" s="10"/>
      <c r="AB91" s="10"/>
      <c r="AC91" s="10"/>
      <c r="AD91" s="10"/>
      <c r="AE91" s="10"/>
      <c r="AF91" s="10"/>
      <c r="AG91" s="10"/>
      <c r="AH91" s="10"/>
      <c r="AI91" s="10"/>
      <c r="AJ91" s="10"/>
      <c r="AK91" s="10"/>
      <c r="AL91" s="10"/>
      <c r="AM91" s="10"/>
    </row>
    <row r="92" spans="2:39">
      <c r="B92"/>
      <c r="C92"/>
      <c r="D92"/>
      <c r="E92"/>
      <c r="F92"/>
      <c r="G92"/>
      <c r="H92"/>
      <c r="I92"/>
      <c r="J92"/>
      <c r="K92"/>
      <c r="L92"/>
      <c r="M92"/>
      <c r="N92" s="64"/>
      <c r="O92" s="64"/>
      <c r="P92" s="64"/>
      <c r="Q92" s="10"/>
      <c r="R92" s="10"/>
      <c r="S92" s="10"/>
      <c r="T92" s="10"/>
      <c r="U92" s="10"/>
      <c r="V92" s="10"/>
      <c r="W92" s="10"/>
      <c r="X92" s="10"/>
      <c r="Y92" s="10"/>
      <c r="Z92" s="10"/>
      <c r="AA92" s="10"/>
      <c r="AB92" s="10"/>
      <c r="AC92" s="10"/>
      <c r="AD92" s="10"/>
      <c r="AE92" s="10"/>
      <c r="AF92" s="10"/>
      <c r="AG92" s="10"/>
      <c r="AH92" s="10"/>
      <c r="AI92" s="10"/>
      <c r="AJ92" s="10"/>
      <c r="AK92" s="10"/>
      <c r="AL92" s="10"/>
      <c r="AM92" s="10"/>
    </row>
    <row r="93" spans="2:39">
      <c r="B93"/>
      <c r="C93"/>
      <c r="D93"/>
      <c r="E93"/>
      <c r="F93"/>
      <c r="G93"/>
      <c r="H93"/>
      <c r="I93"/>
      <c r="J93"/>
      <c r="K93"/>
      <c r="L93"/>
      <c r="M93"/>
      <c r="N93" s="64"/>
      <c r="O93" s="64"/>
      <c r="P93" s="64"/>
      <c r="Q93" s="10"/>
      <c r="R93" s="10"/>
      <c r="S93" s="10"/>
      <c r="T93" s="10"/>
      <c r="U93" s="10"/>
      <c r="V93" s="10"/>
      <c r="W93" s="10"/>
      <c r="X93" s="10"/>
      <c r="Y93" s="10"/>
      <c r="Z93" s="10"/>
      <c r="AA93" s="10"/>
      <c r="AB93" s="10"/>
      <c r="AC93" s="10"/>
      <c r="AD93" s="10"/>
      <c r="AE93" s="10"/>
      <c r="AF93" s="10"/>
      <c r="AG93" s="10"/>
      <c r="AH93" s="10"/>
      <c r="AI93" s="10"/>
      <c r="AJ93" s="10"/>
      <c r="AK93" s="10"/>
      <c r="AL93" s="10"/>
      <c r="AM93" s="10"/>
    </row>
    <row r="94" spans="2:39">
      <c r="B94"/>
      <c r="C94"/>
      <c r="D94"/>
      <c r="E94"/>
      <c r="F94"/>
      <c r="G94"/>
      <c r="H94"/>
      <c r="I94"/>
      <c r="J94"/>
      <c r="K94"/>
      <c r="L94"/>
      <c r="M94"/>
      <c r="N94" s="64"/>
      <c r="O94" s="64"/>
      <c r="P94" s="64"/>
      <c r="Q94" s="10"/>
      <c r="R94" s="10"/>
      <c r="S94" s="10"/>
      <c r="T94" s="10"/>
      <c r="U94" s="10"/>
      <c r="V94" s="10"/>
      <c r="W94" s="10"/>
      <c r="X94" s="10"/>
      <c r="Y94" s="10"/>
      <c r="Z94" s="10"/>
      <c r="AA94" s="10"/>
      <c r="AB94" s="10"/>
      <c r="AC94" s="10"/>
      <c r="AD94" s="10"/>
      <c r="AE94" s="10"/>
      <c r="AF94" s="10"/>
      <c r="AG94" s="10"/>
      <c r="AH94" s="10"/>
      <c r="AI94" s="10"/>
      <c r="AJ94" s="10"/>
      <c r="AK94" s="10"/>
      <c r="AL94" s="10"/>
      <c r="AM94" s="10"/>
    </row>
    <row r="95" spans="2:39">
      <c r="B95"/>
      <c r="C95"/>
      <c r="D95"/>
      <c r="E95"/>
      <c r="F95"/>
      <c r="G95"/>
      <c r="H95"/>
      <c r="I95"/>
      <c r="J95"/>
      <c r="K95"/>
      <c r="L95"/>
      <c r="M95"/>
      <c r="N95" s="64"/>
      <c r="O95" s="64"/>
      <c r="P95" s="64"/>
      <c r="Q95" s="10"/>
      <c r="R95" s="10"/>
      <c r="S95" s="10"/>
      <c r="T95" s="10"/>
      <c r="U95" s="10"/>
      <c r="V95" s="10"/>
      <c r="W95" s="10"/>
      <c r="X95" s="10"/>
      <c r="Y95" s="10"/>
      <c r="Z95" s="10"/>
      <c r="AA95" s="10"/>
      <c r="AB95" s="10"/>
      <c r="AC95" s="10"/>
      <c r="AD95" s="10"/>
      <c r="AE95" s="10"/>
      <c r="AF95" s="10"/>
      <c r="AG95" s="10"/>
      <c r="AH95" s="10"/>
      <c r="AI95" s="10"/>
      <c r="AJ95" s="10"/>
      <c r="AK95" s="10"/>
      <c r="AL95" s="10"/>
      <c r="AM95" s="10"/>
    </row>
    <row r="96" spans="2:39">
      <c r="B96"/>
      <c r="C96"/>
      <c r="D96"/>
      <c r="E96"/>
      <c r="F96"/>
      <c r="G96"/>
      <c r="H96"/>
      <c r="I96"/>
      <c r="J96"/>
      <c r="K96"/>
      <c r="L96"/>
      <c r="M96"/>
      <c r="N96" s="64"/>
      <c r="O96" s="64"/>
      <c r="P96" s="64"/>
      <c r="Q96" s="10"/>
      <c r="R96" s="10"/>
      <c r="S96" s="10"/>
      <c r="T96" s="10"/>
      <c r="U96" s="10"/>
      <c r="V96" s="10"/>
      <c r="W96" s="10"/>
      <c r="X96" s="10"/>
      <c r="Y96" s="10"/>
      <c r="Z96" s="10"/>
      <c r="AA96" s="10"/>
      <c r="AB96" s="10"/>
      <c r="AC96" s="10"/>
      <c r="AD96" s="10"/>
      <c r="AE96" s="10"/>
      <c r="AF96" s="10"/>
      <c r="AG96" s="10"/>
      <c r="AH96" s="10"/>
      <c r="AI96" s="10"/>
      <c r="AJ96" s="10"/>
      <c r="AK96" s="10"/>
      <c r="AL96" s="10"/>
      <c r="AM96" s="10"/>
    </row>
    <row r="97" spans="2:39">
      <c r="B97"/>
      <c r="C97"/>
      <c r="D97"/>
      <c r="E97"/>
      <c r="F97"/>
      <c r="G97"/>
      <c r="H97"/>
      <c r="I97"/>
      <c r="J97"/>
      <c r="K97"/>
      <c r="L97"/>
      <c r="M97"/>
      <c r="N97" s="64"/>
      <c r="O97" s="64"/>
      <c r="P97" s="64"/>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2:39">
      <c r="B98"/>
      <c r="C98"/>
      <c r="D98"/>
      <c r="E98"/>
      <c r="F98"/>
      <c r="G98"/>
      <c r="H98"/>
      <c r="I98"/>
      <c r="J98"/>
      <c r="K98"/>
      <c r="L98"/>
      <c r="M98"/>
      <c r="N98" s="64"/>
      <c r="O98" s="64"/>
      <c r="P98" s="64"/>
      <c r="Q98" s="10"/>
      <c r="R98" s="10"/>
      <c r="S98" s="10"/>
      <c r="T98" s="10"/>
      <c r="U98" s="10"/>
      <c r="V98" s="10"/>
      <c r="W98" s="10"/>
      <c r="X98" s="10"/>
      <c r="Y98" s="10"/>
      <c r="Z98" s="10"/>
      <c r="AA98" s="10"/>
      <c r="AB98" s="10"/>
      <c r="AC98" s="10"/>
      <c r="AD98" s="10"/>
      <c r="AE98" s="10"/>
      <c r="AF98" s="10"/>
      <c r="AG98" s="10"/>
      <c r="AH98" s="10"/>
      <c r="AI98" s="10"/>
      <c r="AJ98" s="10"/>
      <c r="AK98" s="10"/>
      <c r="AL98" s="10"/>
      <c r="AM98" s="10"/>
    </row>
    <row r="99" spans="2:39">
      <c r="B99"/>
      <c r="C99"/>
      <c r="D99"/>
      <c r="E99"/>
      <c r="F99"/>
      <c r="G99"/>
      <c r="H99"/>
      <c r="I99"/>
      <c r="J99"/>
      <c r="K99"/>
      <c r="L99"/>
      <c r="M99"/>
      <c r="N99" s="64"/>
      <c r="O99" s="64"/>
      <c r="P99" s="64"/>
      <c r="Q99" s="10"/>
      <c r="R99" s="10"/>
      <c r="S99" s="10"/>
      <c r="T99" s="10"/>
      <c r="U99" s="10"/>
      <c r="V99" s="10"/>
      <c r="W99" s="10"/>
      <c r="X99" s="10"/>
      <c r="Y99" s="10"/>
      <c r="Z99" s="10"/>
      <c r="AA99" s="10"/>
      <c r="AB99" s="10"/>
      <c r="AC99" s="10"/>
      <c r="AD99" s="10"/>
      <c r="AE99" s="10"/>
      <c r="AF99" s="10"/>
      <c r="AG99" s="10"/>
      <c r="AH99" s="10"/>
      <c r="AI99" s="10"/>
      <c r="AJ99" s="10"/>
      <c r="AK99" s="10"/>
      <c r="AL99" s="10"/>
      <c r="AM99" s="10"/>
    </row>
    <row r="100" spans="2:39">
      <c r="B100"/>
      <c r="C100"/>
      <c r="D100"/>
      <c r="E100"/>
      <c r="F100"/>
      <c r="G100"/>
      <c r="H100"/>
      <c r="I100"/>
      <c r="J100"/>
      <c r="K100"/>
      <c r="L100"/>
      <c r="M100"/>
      <c r="N100" s="64"/>
      <c r="O100" s="64"/>
      <c r="P100" s="64"/>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row>
    <row r="101" spans="2:39">
      <c r="B101"/>
      <c r="C101"/>
      <c r="D101"/>
      <c r="E101"/>
      <c r="F101"/>
      <c r="G101"/>
      <c r="H101"/>
      <c r="I101"/>
      <c r="J101"/>
      <c r="K101"/>
      <c r="L101"/>
      <c r="M101"/>
      <c r="N101" s="64"/>
      <c r="O101" s="64"/>
      <c r="P101" s="64"/>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row>
    <row r="102" spans="2:39">
      <c r="B102"/>
      <c r="C102"/>
      <c r="D102"/>
      <c r="E102"/>
      <c r="F102"/>
      <c r="G102"/>
      <c r="H102"/>
      <c r="I102"/>
      <c r="J102"/>
      <c r="K102"/>
      <c r="L102"/>
      <c r="M102"/>
      <c r="N102" s="64"/>
      <c r="O102" s="64"/>
      <c r="P102" s="64"/>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row>
    <row r="103" spans="2:39">
      <c r="B103"/>
      <c r="C103"/>
      <c r="D103"/>
      <c r="E103"/>
      <c r="F103"/>
      <c r="G103"/>
      <c r="H103"/>
      <c r="I103"/>
      <c r="J103"/>
      <c r="K103"/>
      <c r="L103"/>
      <c r="M103"/>
      <c r="N103" s="64"/>
      <c r="O103" s="64"/>
      <c r="P103" s="64"/>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2:39">
      <c r="B104"/>
      <c r="C104"/>
      <c r="D104"/>
      <c r="E104"/>
      <c r="F104"/>
      <c r="G104"/>
      <c r="H104"/>
      <c r="I104"/>
      <c r="J104"/>
      <c r="K104"/>
      <c r="L104"/>
      <c r="M104"/>
      <c r="N104" s="64"/>
      <c r="O104" s="64"/>
      <c r="P104" s="64"/>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row>
    <row r="105" spans="2:39">
      <c r="B105"/>
      <c r="C105"/>
      <c r="D105"/>
      <c r="E105"/>
      <c r="F105"/>
      <c r="G105"/>
      <c r="H105"/>
      <c r="I105"/>
      <c r="J105"/>
      <c r="K105"/>
      <c r="L105"/>
      <c r="M105"/>
      <c r="N105" s="64"/>
      <c r="O105" s="64"/>
      <c r="P105" s="64"/>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row>
    <row r="106" spans="2:39">
      <c r="B106"/>
      <c r="C106"/>
      <c r="D106"/>
      <c r="E106"/>
      <c r="F106"/>
      <c r="G106"/>
      <c r="H106"/>
      <c r="I106"/>
      <c r="J106"/>
      <c r="K106"/>
      <c r="L106"/>
      <c r="M106"/>
      <c r="N106" s="64"/>
      <c r="O106" s="64"/>
      <c r="P106" s="64"/>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row>
    <row r="107" spans="2:39">
      <c r="B107"/>
      <c r="C107"/>
      <c r="D107"/>
      <c r="E107"/>
      <c r="F107"/>
      <c r="G107"/>
      <c r="H107"/>
      <c r="I107"/>
      <c r="J107"/>
      <c r="K107"/>
      <c r="L107"/>
      <c r="M107"/>
      <c r="N107" s="64"/>
      <c r="O107" s="64"/>
      <c r="P107" s="64"/>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row>
    <row r="108" spans="2:39">
      <c r="B108"/>
      <c r="C108"/>
      <c r="D108"/>
      <c r="E108"/>
      <c r="F108"/>
      <c r="G108"/>
      <c r="H108"/>
      <c r="I108"/>
      <c r="J108"/>
      <c r="K108"/>
      <c r="L108"/>
      <c r="M108"/>
      <c r="N108" s="64"/>
      <c r="O108" s="64"/>
      <c r="P108" s="64"/>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row>
    <row r="109" spans="2:39">
      <c r="B109"/>
      <c r="C109"/>
      <c r="D109"/>
      <c r="E109"/>
      <c r="F109"/>
      <c r="G109"/>
      <c r="H109"/>
      <c r="I109"/>
      <c r="J109"/>
      <c r="K109"/>
      <c r="L109"/>
      <c r="M109"/>
      <c r="N109" s="64"/>
      <c r="O109" s="64"/>
      <c r="P109" s="64"/>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row>
    <row r="110" spans="2:39">
      <c r="B110"/>
      <c r="C110"/>
      <c r="D110"/>
      <c r="E110"/>
      <c r="F110"/>
      <c r="G110"/>
      <c r="H110"/>
      <c r="I110"/>
      <c r="J110"/>
      <c r="K110"/>
      <c r="L110"/>
      <c r="M110"/>
      <c r="N110" s="64"/>
      <c r="O110" s="64"/>
      <c r="P110" s="64"/>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row>
    <row r="111" spans="2:39">
      <c r="B111"/>
      <c r="C111"/>
      <c r="D111"/>
      <c r="E111"/>
      <c r="F111"/>
      <c r="G111"/>
      <c r="H111"/>
      <c r="I111"/>
      <c r="J111"/>
      <c r="K111"/>
      <c r="L111"/>
      <c r="M111"/>
      <c r="N111" s="64"/>
      <c r="O111" s="64"/>
      <c r="P111" s="64"/>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row>
    <row r="112" spans="2:39">
      <c r="B112"/>
      <c r="C112"/>
      <c r="D112"/>
      <c r="E112"/>
      <c r="F112"/>
      <c r="G112"/>
      <c r="H112"/>
      <c r="I112"/>
      <c r="J112"/>
      <c r="K112"/>
      <c r="L112"/>
      <c r="M112"/>
      <c r="N112" s="64"/>
      <c r="O112" s="64"/>
      <c r="P112" s="64"/>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row>
    <row r="113" spans="1:39">
      <c r="B113"/>
      <c r="C113"/>
      <c r="D113"/>
      <c r="E113"/>
      <c r="F113"/>
      <c r="G113"/>
      <c r="H113"/>
      <c r="I113"/>
      <c r="J113"/>
      <c r="K113"/>
      <c r="L113"/>
      <c r="M113"/>
      <c r="N113" s="64"/>
      <c r="O113" s="64"/>
      <c r="P113" s="64"/>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row>
    <row r="114" spans="1:39">
      <c r="B114"/>
      <c r="C114"/>
      <c r="D114"/>
      <c r="E114"/>
      <c r="F114"/>
      <c r="G114"/>
      <c r="H114"/>
      <c r="I114"/>
      <c r="J114"/>
      <c r="K114"/>
      <c r="L114"/>
      <c r="M114"/>
      <c r="N114" s="64"/>
      <c r="O114" s="64"/>
      <c r="P114" s="64"/>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row>
    <row r="115" spans="1:39">
      <c r="B115"/>
      <c r="C115"/>
      <c r="D115"/>
      <c r="E115"/>
      <c r="F115"/>
      <c r="G115"/>
      <c r="H115"/>
      <c r="I115"/>
      <c r="J115"/>
      <c r="K115"/>
      <c r="L115"/>
      <c r="M115"/>
      <c r="N115" s="64"/>
      <c r="O115" s="64"/>
      <c r="P115" s="64"/>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row>
    <row r="116" spans="1:39">
      <c r="B116"/>
      <c r="C116"/>
      <c r="D116"/>
      <c r="E116"/>
      <c r="F116"/>
      <c r="G116"/>
      <c r="H116"/>
      <c r="I116"/>
      <c r="J116"/>
      <c r="K116"/>
      <c r="L116"/>
      <c r="M116"/>
      <c r="N116" s="64"/>
      <c r="O116" s="64"/>
      <c r="P116" s="64"/>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row>
    <row r="117" spans="1:39">
      <c r="B117"/>
      <c r="C117"/>
      <c r="D117"/>
      <c r="E117"/>
      <c r="F117"/>
      <c r="G117"/>
      <c r="H117"/>
      <c r="I117"/>
      <c r="J117"/>
      <c r="K117"/>
      <c r="L117"/>
      <c r="M117"/>
      <c r="N117" s="64"/>
      <c r="O117" s="64"/>
      <c r="P117" s="64"/>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row>
    <row r="118" spans="1:39">
      <c r="B118"/>
      <c r="C118"/>
      <c r="D118"/>
      <c r="E118"/>
      <c r="F118"/>
      <c r="G118"/>
      <c r="H118"/>
      <c r="I118"/>
      <c r="J118"/>
      <c r="K118"/>
      <c r="L118"/>
      <c r="M118"/>
      <c r="N118" s="64"/>
      <c r="O118" s="64"/>
      <c r="P118" s="64"/>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row>
    <row r="119" spans="1:39">
      <c r="B119"/>
      <c r="C119"/>
      <c r="D119"/>
      <c r="E119"/>
      <c r="F119"/>
      <c r="G119"/>
      <c r="H119"/>
      <c r="I119"/>
      <c r="J119"/>
      <c r="K119"/>
      <c r="L119"/>
      <c r="M119"/>
      <c r="N119" s="64"/>
      <c r="O119" s="64"/>
      <c r="P119" s="64"/>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row>
    <row r="120" spans="1:39">
      <c r="B120"/>
      <c r="C120"/>
      <c r="D120"/>
      <c r="E120"/>
      <c r="F120"/>
      <c r="G120"/>
      <c r="H120"/>
      <c r="I120"/>
      <c r="J120"/>
      <c r="K120"/>
      <c r="L120"/>
      <c r="M120"/>
      <c r="N120" s="64"/>
      <c r="O120" s="64"/>
      <c r="P120" s="64"/>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row>
    <row r="121" spans="1:39">
      <c r="B121"/>
      <c r="C121"/>
      <c r="D121"/>
      <c r="E121"/>
      <c r="F121"/>
      <c r="G121"/>
      <c r="H121"/>
      <c r="I121"/>
      <c r="J121"/>
      <c r="K121"/>
      <c r="L121"/>
      <c r="M121"/>
      <c r="N121" s="64"/>
      <c r="O121" s="64"/>
      <c r="P121" s="64"/>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row>
    <row r="122" spans="1:39">
      <c r="A122" s="10"/>
      <c r="B122" s="65"/>
      <c r="C122" s="64"/>
      <c r="D122" s="65"/>
      <c r="E122" s="65"/>
      <c r="F122" s="64"/>
      <c r="G122" s="64"/>
      <c r="H122" s="64"/>
      <c r="I122" s="65"/>
      <c r="J122" s="64"/>
      <c r="K122" s="65"/>
      <c r="L122" s="64"/>
      <c r="M122" s="65"/>
      <c r="N122" s="64"/>
      <c r="O122" s="64"/>
      <c r="P122" s="64"/>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1:39">
      <c r="A123" s="10"/>
      <c r="B123" s="71"/>
      <c r="C123" s="69"/>
      <c r="D123" s="71"/>
      <c r="E123" s="71"/>
      <c r="F123" s="69"/>
      <c r="G123" s="69"/>
      <c r="H123" s="69"/>
      <c r="I123" s="71"/>
      <c r="J123" s="69"/>
      <c r="K123" s="71"/>
      <c r="L123" s="64"/>
      <c r="M123" s="71"/>
      <c r="N123" s="64"/>
      <c r="O123" s="64"/>
      <c r="P123" s="64"/>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row>
    <row r="124" spans="1:39">
      <c r="A124" s="10"/>
      <c r="B124" s="65"/>
      <c r="C124" s="64"/>
      <c r="D124" s="65"/>
      <c r="E124" s="65"/>
      <c r="F124" s="64"/>
      <c r="G124" s="64"/>
      <c r="H124" s="64"/>
      <c r="I124" s="65"/>
      <c r="J124" s="64"/>
      <c r="K124" s="65"/>
      <c r="L124" s="64"/>
      <c r="M124" s="65"/>
      <c r="N124" s="64"/>
      <c r="O124" s="64"/>
      <c r="P124" s="64"/>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row>
    <row r="125" spans="1:39">
      <c r="A125" s="10"/>
      <c r="B125" s="71"/>
      <c r="C125" s="69"/>
      <c r="D125" s="71"/>
      <c r="E125" s="71"/>
      <c r="F125" s="69"/>
      <c r="G125" s="69"/>
      <c r="H125" s="69"/>
      <c r="I125" s="71"/>
      <c r="J125" s="69"/>
      <c r="K125" s="71"/>
      <c r="L125" s="64"/>
      <c r="M125" s="71"/>
      <c r="N125" s="64"/>
      <c r="O125" s="64"/>
      <c r="P125" s="64"/>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1:39">
      <c r="A126" s="10"/>
      <c r="B126" s="65"/>
      <c r="C126" s="64"/>
      <c r="D126" s="65"/>
      <c r="E126" s="65"/>
      <c r="F126" s="64"/>
      <c r="G126" s="64"/>
      <c r="H126" s="64"/>
      <c r="I126" s="65"/>
      <c r="J126" s="64"/>
      <c r="K126" s="65"/>
      <c r="L126" s="64"/>
      <c r="M126" s="65"/>
      <c r="N126" s="64"/>
      <c r="O126" s="64"/>
      <c r="P126" s="64"/>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row>
    <row r="127" spans="1:39">
      <c r="A127" s="10"/>
      <c r="B127" s="71"/>
      <c r="C127" s="69"/>
      <c r="D127" s="71"/>
      <c r="E127" s="71"/>
      <c r="F127" s="69"/>
      <c r="G127" s="69"/>
      <c r="H127" s="69"/>
      <c r="I127" s="71"/>
      <c r="J127" s="69"/>
      <c r="K127" s="71"/>
      <c r="L127" s="64"/>
      <c r="M127" s="71"/>
      <c r="N127" s="64"/>
      <c r="O127" s="64"/>
      <c r="P127" s="64"/>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row>
    <row r="128" spans="1:39">
      <c r="A128" s="10"/>
      <c r="B128" s="65"/>
      <c r="C128" s="64"/>
      <c r="D128" s="65"/>
      <c r="E128" s="65"/>
      <c r="F128" s="64"/>
      <c r="G128" s="64"/>
      <c r="H128" s="64"/>
      <c r="I128" s="65"/>
      <c r="J128" s="64"/>
      <c r="K128" s="65"/>
      <c r="L128" s="64"/>
      <c r="M128" s="65"/>
      <c r="N128" s="64"/>
      <c r="O128" s="64"/>
      <c r="P128" s="64"/>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row>
    <row r="129" spans="1:39">
      <c r="A129" s="10"/>
      <c r="B129" s="65"/>
      <c r="C129" s="64"/>
      <c r="D129" s="65"/>
      <c r="E129" s="65"/>
      <c r="F129" s="64"/>
      <c r="G129" s="64"/>
      <c r="H129" s="64"/>
      <c r="I129" s="65"/>
      <c r="J129" s="64"/>
      <c r="K129" s="65"/>
      <c r="L129" s="64"/>
      <c r="M129" s="65"/>
      <c r="N129" s="64"/>
      <c r="O129" s="64"/>
      <c r="P129" s="64"/>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row>
    <row r="130" spans="1:39">
      <c r="A130" s="10"/>
      <c r="B130" s="65"/>
      <c r="C130" s="64"/>
      <c r="D130" s="65"/>
      <c r="E130" s="65"/>
      <c r="F130" s="64"/>
      <c r="G130" s="64"/>
      <c r="H130" s="64"/>
      <c r="I130" s="65"/>
      <c r="J130" s="64"/>
      <c r="K130" s="65"/>
      <c r="L130" s="64"/>
      <c r="M130" s="65"/>
      <c r="N130" s="64"/>
      <c r="O130" s="64"/>
      <c r="P130" s="64"/>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row>
    <row r="131" spans="1:39">
      <c r="A131" s="10"/>
      <c r="B131" s="65"/>
      <c r="C131" s="64"/>
      <c r="D131" s="65"/>
      <c r="E131" s="65"/>
      <c r="F131" s="64"/>
      <c r="G131" s="64"/>
      <c r="H131" s="64"/>
      <c r="I131" s="65"/>
      <c r="J131" s="64"/>
      <c r="K131" s="65"/>
      <c r="L131" s="64"/>
      <c r="M131" s="65"/>
      <c r="N131" s="64"/>
      <c r="O131" s="64"/>
      <c r="P131" s="64"/>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row>
    <row r="132" spans="1:39">
      <c r="A132" s="10"/>
      <c r="B132" s="65"/>
      <c r="C132" s="64"/>
      <c r="D132" s="65"/>
      <c r="E132" s="65"/>
      <c r="F132" s="64"/>
      <c r="G132" s="64"/>
      <c r="H132" s="64"/>
      <c r="I132" s="65"/>
      <c r="J132" s="64"/>
      <c r="K132" s="65"/>
      <c r="L132" s="64"/>
      <c r="M132" s="65"/>
      <c r="N132" s="64"/>
      <c r="O132" s="64"/>
      <c r="P132" s="64"/>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row>
    <row r="133" spans="1:39">
      <c r="A133" s="10"/>
      <c r="B133" s="65"/>
      <c r="C133" s="64"/>
      <c r="D133" s="65"/>
      <c r="E133" s="65"/>
      <c r="F133" s="64"/>
      <c r="G133" s="64"/>
      <c r="H133" s="64"/>
      <c r="I133" s="65"/>
      <c r="J133" s="64"/>
      <c r="K133" s="65"/>
      <c r="L133" s="64"/>
      <c r="M133" s="65"/>
      <c r="N133" s="64"/>
      <c r="O133" s="64"/>
      <c r="P133" s="64"/>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row>
    <row r="134" spans="1:39">
      <c r="A134" s="10"/>
      <c r="B134" s="71"/>
      <c r="C134" s="69"/>
      <c r="D134" s="71"/>
      <c r="E134" s="71"/>
      <c r="F134" s="69"/>
      <c r="G134" s="69"/>
      <c r="H134" s="69"/>
      <c r="I134" s="71"/>
      <c r="J134" s="69"/>
      <c r="K134" s="71"/>
      <c r="L134" s="64"/>
      <c r="M134" s="71"/>
      <c r="N134" s="64"/>
      <c r="O134" s="64"/>
      <c r="P134" s="64"/>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row>
    <row r="135" spans="1:39">
      <c r="A135" s="10"/>
      <c r="B135" s="65"/>
      <c r="C135" s="64"/>
      <c r="D135" s="65"/>
      <c r="E135" s="65"/>
      <c r="F135" s="64"/>
      <c r="G135" s="64"/>
      <c r="H135" s="64"/>
      <c r="I135" s="65"/>
      <c r="J135" s="64"/>
      <c r="K135" s="65"/>
      <c r="L135" s="64"/>
      <c r="M135" s="65"/>
      <c r="N135" s="64"/>
      <c r="O135" s="64"/>
      <c r="P135" s="64"/>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row>
    <row r="136" spans="1:39">
      <c r="A136" s="10"/>
      <c r="B136" s="65"/>
      <c r="C136" s="64"/>
      <c r="D136" s="65"/>
      <c r="E136" s="65"/>
      <c r="F136" s="64"/>
      <c r="G136" s="64"/>
      <c r="H136" s="64"/>
      <c r="I136" s="65"/>
      <c r="J136" s="64"/>
      <c r="K136" s="65"/>
      <c r="L136" s="64"/>
      <c r="M136" s="65"/>
      <c r="N136" s="64"/>
      <c r="O136" s="64"/>
      <c r="P136" s="64"/>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row>
    <row r="137" spans="1:39">
      <c r="A137" s="10"/>
      <c r="B137" s="65"/>
      <c r="C137" s="64"/>
      <c r="D137" s="65"/>
      <c r="E137" s="65"/>
      <c r="F137" s="64"/>
      <c r="G137" s="64"/>
      <c r="H137" s="64"/>
      <c r="I137" s="65"/>
      <c r="J137" s="64"/>
      <c r="K137" s="65"/>
      <c r="L137" s="64"/>
      <c r="M137" s="65"/>
      <c r="N137" s="64"/>
      <c r="O137" s="64"/>
      <c r="P137" s="64"/>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row>
    <row r="138" spans="1:39">
      <c r="A138" s="10"/>
      <c r="B138" s="71"/>
      <c r="C138" s="69"/>
      <c r="D138" s="71"/>
      <c r="E138" s="71"/>
      <c r="F138" s="69"/>
      <c r="G138" s="69"/>
      <c r="H138" s="69"/>
      <c r="I138" s="71"/>
      <c r="J138" s="69">
        <f>+J89+J93+J95+J97+J112+J121+J123+J125+J127+J134</f>
        <v>0</v>
      </c>
      <c r="K138" s="71">
        <f>+K89+K93+K95+K97+K112+K121+K123+K125+K127+K134</f>
        <v>0</v>
      </c>
      <c r="L138" s="64"/>
      <c r="M138" s="71">
        <f>+M89+M93+M95+M97+M112+M121+M123+M125+M127+M134</f>
        <v>0</v>
      </c>
      <c r="N138" s="64"/>
      <c r="O138" s="64"/>
      <c r="P138" s="64"/>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row>
    <row r="139" spans="1:39">
      <c r="A139" s="10"/>
      <c r="B139" s="65"/>
      <c r="C139" s="64"/>
      <c r="D139" s="65"/>
      <c r="E139" s="65"/>
      <c r="F139" s="64"/>
      <c r="G139" s="64"/>
      <c r="H139" s="64"/>
      <c r="I139" s="65"/>
      <c r="J139" s="64"/>
      <c r="K139" s="65"/>
      <c r="L139" s="64"/>
      <c r="M139" s="65"/>
      <c r="N139" s="64"/>
      <c r="O139" s="64"/>
      <c r="P139" s="64"/>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row>
    <row r="140" spans="1:39">
      <c r="A140" s="10"/>
      <c r="B140" s="65"/>
      <c r="C140" s="64"/>
      <c r="D140" s="65"/>
      <c r="E140" s="65"/>
      <c r="F140" s="64"/>
      <c r="G140" s="64"/>
      <c r="H140" s="64"/>
      <c r="I140" s="65"/>
      <c r="J140" s="64"/>
      <c r="K140" s="65"/>
      <c r="L140" s="64"/>
      <c r="M140" s="65"/>
      <c r="N140" s="64"/>
      <c r="O140" s="64"/>
      <c r="P140" s="64"/>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row>
    <row r="141" spans="1:39">
      <c r="A141" s="10"/>
      <c r="B141" s="65"/>
      <c r="C141" s="64"/>
      <c r="D141" s="65"/>
      <c r="E141" s="65"/>
      <c r="F141" s="64"/>
      <c r="G141" s="64"/>
      <c r="H141" s="64"/>
      <c r="I141" s="65"/>
      <c r="J141" s="64"/>
      <c r="K141" s="65"/>
      <c r="L141" s="64"/>
      <c r="M141" s="65"/>
      <c r="N141" s="64"/>
      <c r="O141" s="64"/>
      <c r="P141" s="64"/>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row>
    <row r="142" spans="1:39">
      <c r="A142" s="10"/>
      <c r="B142" s="65"/>
      <c r="C142" s="64"/>
      <c r="D142" s="65"/>
      <c r="E142" s="65"/>
      <c r="F142" s="64"/>
      <c r="G142" s="64"/>
      <c r="H142" s="64"/>
      <c r="I142" s="65"/>
      <c r="J142" s="64"/>
      <c r="K142" s="65"/>
      <c r="L142" s="64"/>
      <c r="M142" s="65"/>
      <c r="N142" s="64"/>
      <c r="O142" s="64"/>
      <c r="P142" s="64"/>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row>
    <row r="143" spans="1:39">
      <c r="A143" s="10"/>
      <c r="B143" s="65"/>
      <c r="C143" s="64"/>
      <c r="D143" s="65"/>
      <c r="E143" s="65"/>
      <c r="F143" s="64"/>
      <c r="G143" s="64"/>
      <c r="H143" s="64"/>
      <c r="I143" s="65"/>
      <c r="J143" s="64"/>
      <c r="K143" s="65"/>
      <c r="L143" s="64"/>
      <c r="M143" s="65"/>
      <c r="N143" s="64"/>
      <c r="O143" s="64"/>
      <c r="P143" s="64"/>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row>
    <row r="144" spans="1:39">
      <c r="A144" s="10"/>
      <c r="B144" s="65"/>
      <c r="C144" s="64"/>
      <c r="D144" s="65"/>
      <c r="E144" s="65"/>
      <c r="F144" s="64"/>
      <c r="G144" s="64"/>
      <c r="H144" s="64"/>
      <c r="I144" s="65"/>
      <c r="J144" s="64"/>
      <c r="K144" s="65"/>
      <c r="L144" s="64"/>
      <c r="M144" s="65"/>
      <c r="N144" s="64"/>
      <c r="O144" s="64"/>
      <c r="P144" s="64"/>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row>
    <row r="145" spans="1:39">
      <c r="A145" s="10"/>
      <c r="B145" s="65"/>
      <c r="C145" s="64"/>
      <c r="D145" s="65"/>
      <c r="E145" s="65"/>
      <c r="F145" s="64"/>
      <c r="G145" s="64"/>
      <c r="H145" s="64"/>
      <c r="I145" s="65"/>
      <c r="J145" s="64"/>
      <c r="K145" s="65"/>
      <c r="L145" s="64"/>
      <c r="M145" s="65"/>
      <c r="N145" s="64"/>
      <c r="O145" s="64"/>
      <c r="P145" s="64"/>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row>
    <row r="146" spans="1:39">
      <c r="A146" s="10"/>
      <c r="B146" s="65"/>
      <c r="C146" s="64"/>
      <c r="D146" s="65"/>
      <c r="E146" s="65"/>
      <c r="F146" s="64"/>
      <c r="G146" s="64"/>
      <c r="H146" s="64"/>
      <c r="I146" s="65"/>
      <c r="J146" s="64"/>
      <c r="K146" s="65"/>
      <c r="L146" s="64"/>
      <c r="M146" s="65"/>
      <c r="N146" s="64"/>
      <c r="O146" s="64"/>
      <c r="P146" s="64"/>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row>
    <row r="147" spans="1:39">
      <c r="A147" s="10"/>
      <c r="B147" s="65"/>
      <c r="C147" s="64"/>
      <c r="D147" s="65"/>
      <c r="E147" s="65"/>
      <c r="F147" s="64"/>
      <c r="G147" s="64"/>
      <c r="H147" s="64"/>
      <c r="I147" s="65"/>
      <c r="J147" s="64"/>
      <c r="K147" s="65"/>
      <c r="L147" s="64"/>
      <c r="M147" s="65"/>
      <c r="N147" s="64"/>
      <c r="O147" s="64"/>
      <c r="P147" s="64"/>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row>
    <row r="148" spans="1:39">
      <c r="A148" s="10"/>
      <c r="B148" s="65"/>
      <c r="C148" s="64"/>
      <c r="D148" s="65"/>
      <c r="E148" s="65"/>
      <c r="F148" s="64"/>
      <c r="G148" s="64"/>
      <c r="H148" s="64"/>
      <c r="I148" s="65"/>
      <c r="J148" s="64"/>
      <c r="K148" s="65"/>
      <c r="L148" s="64"/>
      <c r="M148" s="65"/>
      <c r="N148" s="64"/>
      <c r="O148" s="64"/>
      <c r="P148" s="64"/>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row>
    <row r="149" spans="1:39">
      <c r="A149" s="10"/>
      <c r="B149" s="65"/>
      <c r="C149" s="64"/>
      <c r="D149" s="65"/>
      <c r="E149" s="65"/>
      <c r="F149" s="64"/>
      <c r="G149" s="64"/>
      <c r="H149" s="64"/>
      <c r="I149" s="65"/>
      <c r="J149" s="64"/>
      <c r="K149" s="65"/>
      <c r="L149" s="64"/>
      <c r="M149" s="65"/>
      <c r="N149" s="64"/>
      <c r="O149" s="64"/>
      <c r="P149" s="64"/>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row>
    <row r="150" spans="1:39">
      <c r="A150" s="10"/>
      <c r="B150" s="65"/>
      <c r="C150" s="64"/>
      <c r="D150" s="65"/>
      <c r="E150" s="65"/>
      <c r="F150" s="64"/>
      <c r="G150" s="64"/>
      <c r="H150" s="64"/>
      <c r="I150" s="65"/>
      <c r="J150" s="64"/>
      <c r="K150" s="65"/>
      <c r="L150" s="64"/>
      <c r="M150" s="65"/>
      <c r="N150" s="64"/>
      <c r="O150" s="64"/>
      <c r="P150" s="64"/>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row>
    <row r="151" spans="1:39">
      <c r="A151" s="10"/>
      <c r="B151" s="65"/>
      <c r="C151" s="64"/>
      <c r="D151" s="65"/>
      <c r="E151" s="65"/>
      <c r="F151" s="64"/>
      <c r="G151" s="64"/>
      <c r="H151" s="64"/>
      <c r="I151" s="65"/>
      <c r="J151" s="64"/>
      <c r="K151" s="65"/>
      <c r="L151" s="64"/>
      <c r="M151" s="65"/>
      <c r="N151" s="64"/>
      <c r="O151" s="64"/>
      <c r="P151" s="64"/>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row>
    <row r="152" spans="1:39">
      <c r="A152" s="10"/>
      <c r="B152" s="65"/>
      <c r="C152" s="64"/>
      <c r="D152" s="65"/>
      <c r="E152" s="65"/>
      <c r="F152" s="64"/>
      <c r="G152" s="64"/>
      <c r="H152" s="64"/>
      <c r="I152" s="65"/>
      <c r="J152" s="64"/>
      <c r="K152" s="65"/>
      <c r="L152" s="64"/>
      <c r="M152" s="65"/>
      <c r="N152" s="64"/>
      <c r="O152" s="64"/>
      <c r="P152" s="64"/>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row>
    <row r="153" spans="1:39">
      <c r="A153" s="10"/>
      <c r="B153" s="65"/>
      <c r="C153" s="64"/>
      <c r="D153" s="65"/>
      <c r="E153" s="65"/>
      <c r="F153" s="64"/>
      <c r="G153" s="64"/>
      <c r="H153" s="64"/>
      <c r="I153" s="65"/>
      <c r="J153" s="64"/>
      <c r="K153" s="65"/>
      <c r="L153" s="64"/>
      <c r="M153" s="65"/>
      <c r="N153" s="64"/>
      <c r="O153" s="64"/>
      <c r="P153" s="64"/>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row>
    <row r="154" spans="1:39">
      <c r="A154" s="10"/>
      <c r="B154" s="65"/>
      <c r="C154" s="64"/>
      <c r="D154" s="65"/>
      <c r="E154" s="65"/>
      <c r="F154" s="64"/>
      <c r="G154" s="64"/>
      <c r="H154" s="64"/>
      <c r="I154" s="65"/>
      <c r="J154" s="64"/>
      <c r="K154" s="65"/>
      <c r="L154" s="64"/>
      <c r="M154" s="65"/>
      <c r="N154" s="64"/>
      <c r="O154" s="64"/>
      <c r="P154" s="64"/>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row>
    <row r="155" spans="1:39">
      <c r="A155" s="10"/>
      <c r="B155" s="65"/>
      <c r="C155" s="64"/>
      <c r="D155" s="65"/>
      <c r="E155" s="65"/>
      <c r="F155" s="64"/>
      <c r="G155" s="64"/>
      <c r="H155" s="64"/>
      <c r="I155" s="65"/>
      <c r="J155" s="64"/>
      <c r="K155" s="65"/>
      <c r="L155" s="64"/>
      <c r="M155" s="65"/>
      <c r="N155" s="64"/>
      <c r="O155" s="64"/>
      <c r="P155" s="64"/>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row>
    <row r="156" spans="1:39">
      <c r="A156" s="10"/>
      <c r="B156" s="65"/>
      <c r="C156" s="64"/>
      <c r="D156" s="65"/>
      <c r="E156" s="65"/>
      <c r="F156" s="64"/>
      <c r="G156" s="64"/>
      <c r="H156" s="64"/>
      <c r="I156" s="65"/>
      <c r="J156" s="64"/>
      <c r="K156" s="65"/>
      <c r="L156" s="64"/>
      <c r="M156" s="65"/>
      <c r="N156" s="64"/>
      <c r="O156" s="64"/>
      <c r="P156" s="64"/>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row>
    <row r="157" spans="1:39">
      <c r="A157" s="10"/>
      <c r="B157" s="65"/>
      <c r="C157" s="64"/>
      <c r="D157" s="65"/>
      <c r="E157" s="65"/>
      <c r="F157" s="64"/>
      <c r="G157" s="64"/>
      <c r="H157" s="64"/>
      <c r="I157" s="65"/>
      <c r="J157" s="64"/>
      <c r="K157" s="65"/>
      <c r="L157" s="64"/>
      <c r="M157" s="65"/>
      <c r="N157" s="64"/>
      <c r="O157" s="64"/>
      <c r="P157" s="64"/>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row>
    <row r="158" spans="1:39">
      <c r="A158" s="10"/>
      <c r="B158" s="65"/>
      <c r="C158" s="64"/>
      <c r="D158" s="65"/>
      <c r="E158" s="65"/>
      <c r="F158" s="64"/>
      <c r="G158" s="64"/>
      <c r="H158" s="64"/>
      <c r="I158" s="65"/>
      <c r="J158" s="64"/>
      <c r="K158" s="65"/>
      <c r="L158" s="64"/>
      <c r="M158" s="65"/>
      <c r="N158" s="64"/>
      <c r="O158" s="64"/>
      <c r="P158" s="64"/>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row>
    <row r="159" spans="1:39">
      <c r="A159" s="10"/>
      <c r="B159" s="65"/>
      <c r="C159" s="64"/>
      <c r="D159" s="65"/>
      <c r="E159" s="65"/>
      <c r="F159" s="64"/>
      <c r="G159" s="64"/>
      <c r="H159" s="64"/>
      <c r="I159" s="65"/>
      <c r="J159" s="64"/>
      <c r="K159" s="65"/>
      <c r="L159" s="64"/>
      <c r="M159" s="65"/>
      <c r="N159" s="64"/>
      <c r="O159" s="64"/>
      <c r="P159" s="64"/>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row>
    <row r="160" spans="1:39">
      <c r="A160" s="10"/>
      <c r="B160" s="65"/>
      <c r="C160" s="64"/>
      <c r="D160" s="65"/>
      <c r="E160" s="65"/>
      <c r="F160" s="64"/>
      <c r="G160" s="64"/>
      <c r="H160" s="64"/>
      <c r="I160" s="65"/>
      <c r="J160" s="64"/>
      <c r="K160" s="65"/>
      <c r="L160" s="64"/>
      <c r="M160" s="65"/>
      <c r="N160" s="64"/>
      <c r="O160" s="64"/>
      <c r="P160" s="64"/>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row>
    <row r="161" spans="1:39">
      <c r="A161" s="10"/>
      <c r="B161" s="65"/>
      <c r="C161" s="64"/>
      <c r="D161" s="65"/>
      <c r="E161" s="65"/>
      <c r="F161" s="64"/>
      <c r="G161" s="64"/>
      <c r="H161" s="64"/>
      <c r="I161" s="65"/>
      <c r="J161" s="64"/>
      <c r="K161" s="65"/>
      <c r="L161" s="64"/>
      <c r="M161" s="65"/>
      <c r="N161" s="64"/>
      <c r="O161" s="64"/>
      <c r="P161" s="64"/>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row>
    <row r="162" spans="1:39">
      <c r="A162" s="10"/>
      <c r="B162" s="65"/>
      <c r="C162" s="64"/>
      <c r="D162" s="65"/>
      <c r="E162" s="65"/>
      <c r="F162" s="64"/>
      <c r="G162" s="64"/>
      <c r="H162" s="64"/>
      <c r="I162" s="65"/>
      <c r="J162" s="64"/>
      <c r="K162" s="65"/>
      <c r="L162" s="64"/>
      <c r="M162" s="65"/>
      <c r="N162" s="64"/>
      <c r="O162" s="64"/>
      <c r="P162" s="64"/>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row>
    <row r="163" spans="1:39">
      <c r="A163" s="10"/>
      <c r="B163" s="65"/>
      <c r="C163" s="64"/>
      <c r="D163" s="65"/>
      <c r="E163" s="65"/>
      <c r="F163" s="64"/>
      <c r="G163" s="64"/>
      <c r="H163" s="64"/>
      <c r="I163" s="65"/>
      <c r="J163" s="64"/>
      <c r="K163" s="65"/>
      <c r="L163" s="64"/>
      <c r="M163" s="65"/>
      <c r="N163" s="64"/>
      <c r="O163" s="64"/>
      <c r="P163" s="64"/>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row>
    <row r="164" spans="1:39">
      <c r="A164" s="10"/>
      <c r="B164" s="65"/>
      <c r="C164" s="64"/>
      <c r="D164" s="65"/>
      <c r="E164" s="65"/>
      <c r="F164" s="64"/>
      <c r="G164" s="64"/>
      <c r="H164" s="64"/>
      <c r="I164" s="65"/>
      <c r="J164" s="64"/>
      <c r="K164" s="65"/>
      <c r="L164" s="64"/>
      <c r="M164" s="65"/>
      <c r="N164" s="64"/>
      <c r="O164" s="64"/>
      <c r="P164" s="64"/>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row>
    <row r="165" spans="1:39">
      <c r="A165" s="10"/>
      <c r="B165" s="65"/>
      <c r="C165" s="64"/>
      <c r="D165" s="65"/>
      <c r="E165" s="65"/>
      <c r="F165" s="64"/>
      <c r="G165" s="64"/>
      <c r="H165" s="64"/>
      <c r="I165" s="65"/>
      <c r="J165" s="64"/>
      <c r="K165" s="65"/>
      <c r="L165" s="64"/>
      <c r="M165" s="65"/>
      <c r="N165" s="64"/>
      <c r="O165" s="64"/>
      <c r="P165" s="64"/>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row>
    <row r="166" spans="1:39">
      <c r="A166" s="10"/>
      <c r="B166" s="65"/>
      <c r="C166" s="64"/>
      <c r="D166" s="65"/>
      <c r="E166" s="65"/>
      <c r="F166" s="64"/>
      <c r="G166" s="64"/>
      <c r="H166" s="64"/>
      <c r="I166" s="65"/>
      <c r="J166" s="64"/>
      <c r="K166" s="65"/>
      <c r="L166" s="64"/>
      <c r="M166" s="65"/>
      <c r="N166" s="64"/>
      <c r="O166" s="64"/>
      <c r="P166" s="64"/>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row>
    <row r="167" spans="1:39">
      <c r="A167" s="10"/>
      <c r="B167" s="65"/>
      <c r="C167" s="64"/>
      <c r="D167" s="65"/>
      <c r="E167" s="65"/>
      <c r="F167" s="64"/>
      <c r="G167" s="64"/>
      <c r="H167" s="64"/>
      <c r="I167" s="65"/>
      <c r="J167" s="64"/>
      <c r="K167" s="65"/>
      <c r="L167" s="64"/>
      <c r="M167" s="65"/>
      <c r="N167" s="64"/>
      <c r="O167" s="64"/>
      <c r="P167" s="64"/>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row>
    <row r="168" spans="1:39">
      <c r="A168" s="10"/>
      <c r="B168" s="65"/>
      <c r="C168" s="64"/>
      <c r="D168" s="65"/>
      <c r="E168" s="65"/>
      <c r="F168" s="64"/>
      <c r="G168" s="64"/>
      <c r="H168" s="64"/>
      <c r="I168" s="65"/>
      <c r="J168" s="64"/>
      <c r="K168" s="65"/>
      <c r="L168" s="64"/>
      <c r="M168" s="65"/>
      <c r="N168" s="64"/>
      <c r="O168" s="64"/>
      <c r="P168" s="64"/>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row>
    <row r="169" spans="1:39">
      <c r="A169" s="10"/>
      <c r="B169" s="65"/>
      <c r="C169" s="64"/>
      <c r="D169" s="65"/>
      <c r="E169" s="65"/>
      <c r="F169" s="64"/>
      <c r="G169" s="64"/>
      <c r="H169" s="64"/>
      <c r="I169" s="65"/>
      <c r="J169" s="64"/>
      <c r="K169" s="65"/>
      <c r="L169" s="64"/>
      <c r="M169" s="65"/>
      <c r="N169" s="64"/>
      <c r="O169" s="64"/>
      <c r="P169" s="64"/>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row>
    <row r="170" spans="1:39">
      <c r="A170" s="10"/>
      <c r="B170" s="65"/>
      <c r="C170" s="64"/>
      <c r="D170" s="65"/>
      <c r="E170" s="65"/>
      <c r="F170" s="64"/>
      <c r="G170" s="64"/>
      <c r="H170" s="64"/>
      <c r="I170" s="65"/>
      <c r="J170" s="64"/>
      <c r="K170" s="65"/>
      <c r="L170" s="64"/>
      <c r="M170" s="65"/>
      <c r="N170" s="64"/>
      <c r="O170" s="64"/>
      <c r="P170" s="64"/>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row>
  </sheetData>
  <phoneticPr fontId="0" type="noConversion"/>
  <pageMargins left="0.2" right="0.2" top="0.62" bottom="0.75" header="0.5" footer="0.5"/>
  <pageSetup scale="54" orientation="landscape" r:id="rId1"/>
  <headerFooter alignWithMargins="0">
    <oddFooter>&amp;R&amp;16&amp;P</oddFooter>
  </headerFooter>
  <drawing r:id="rId2"/>
</worksheet>
</file>

<file path=xl/worksheets/sheet163.xml><?xml version="1.0" encoding="utf-8"?>
<worksheet xmlns="http://schemas.openxmlformats.org/spreadsheetml/2006/main" xmlns:r="http://schemas.openxmlformats.org/officeDocument/2006/relationships">
  <sheetPr>
    <pageSetUpPr fitToPage="1"/>
  </sheetPr>
  <dimension ref="A1:I35"/>
  <sheetViews>
    <sheetView topLeftCell="A7" workbookViewId="0">
      <selection activeCell="E46" sqref="E46"/>
    </sheetView>
  </sheetViews>
  <sheetFormatPr baseColWidth="10" defaultColWidth="9" defaultRowHeight="15.75"/>
  <cols>
    <col min="5" max="5" width="55.875" customWidth="1"/>
    <col min="6" max="6" width="13.125" customWidth="1"/>
  </cols>
  <sheetData>
    <row r="1" spans="1:9">
      <c r="A1" s="466"/>
      <c r="B1" s="466"/>
      <c r="C1" s="466"/>
      <c r="D1" s="466"/>
      <c r="E1" s="466"/>
      <c r="F1" s="466"/>
      <c r="G1" s="466"/>
      <c r="H1" s="466"/>
      <c r="I1" s="466"/>
    </row>
    <row r="2" spans="1:9">
      <c r="A2" s="466"/>
      <c r="B2" s="466"/>
      <c r="C2" s="466"/>
      <c r="D2" s="466"/>
      <c r="E2" s="466"/>
      <c r="F2" s="466"/>
      <c r="G2" s="466"/>
      <c r="H2" s="466"/>
      <c r="I2" s="466"/>
    </row>
    <row r="3" spans="1:9">
      <c r="A3" s="466"/>
      <c r="B3" s="466"/>
      <c r="C3" s="466"/>
      <c r="D3" s="466"/>
      <c r="E3" s="466"/>
      <c r="F3" s="466"/>
      <c r="G3" s="466"/>
      <c r="H3" s="466"/>
      <c r="I3" s="466"/>
    </row>
    <row r="4" spans="1:9">
      <c r="A4" s="466"/>
      <c r="B4" s="466"/>
      <c r="C4" s="466"/>
      <c r="D4" s="466"/>
      <c r="E4" s="466"/>
      <c r="F4" s="466"/>
      <c r="G4" s="466"/>
      <c r="H4" s="466"/>
      <c r="I4" s="466"/>
    </row>
    <row r="5" spans="1:9">
      <c r="A5" s="466"/>
      <c r="B5" s="466"/>
      <c r="C5" s="466"/>
      <c r="D5" s="466"/>
      <c r="E5" s="466"/>
      <c r="F5" s="466"/>
      <c r="G5" s="466"/>
      <c r="H5" s="466"/>
      <c r="I5" s="466"/>
    </row>
    <row r="6" spans="1:9">
      <c r="A6" s="466"/>
      <c r="B6" s="466"/>
      <c r="C6" s="466"/>
      <c r="D6" s="466"/>
      <c r="E6" s="466"/>
      <c r="F6" s="466"/>
      <c r="G6" s="466"/>
      <c r="H6" s="466"/>
      <c r="I6" s="466"/>
    </row>
    <row r="7" spans="1:9">
      <c r="A7" s="466"/>
      <c r="B7" s="466"/>
      <c r="C7" s="466"/>
      <c r="D7" s="466"/>
      <c r="E7" s="466"/>
      <c r="F7" s="466"/>
      <c r="G7" s="466"/>
      <c r="H7" s="466"/>
      <c r="I7" s="466"/>
    </row>
    <row r="8" spans="1:9">
      <c r="A8" s="466"/>
      <c r="B8" s="466"/>
      <c r="C8" s="466"/>
      <c r="D8" s="466"/>
      <c r="E8" s="466"/>
      <c r="F8" s="466"/>
      <c r="G8" s="466"/>
      <c r="H8" s="466"/>
      <c r="I8" s="466"/>
    </row>
    <row r="9" spans="1:9">
      <c r="A9" s="466"/>
      <c r="B9" s="466"/>
      <c r="C9" s="466"/>
      <c r="D9" s="466"/>
      <c r="E9" s="466"/>
      <c r="F9" s="466"/>
      <c r="G9" s="466"/>
      <c r="H9" s="466"/>
      <c r="I9" s="466"/>
    </row>
    <row r="10" spans="1:9">
      <c r="A10" s="466"/>
      <c r="B10" s="466"/>
      <c r="C10" s="466"/>
      <c r="D10" s="466"/>
      <c r="E10" s="466"/>
      <c r="F10" s="466"/>
      <c r="G10" s="466"/>
      <c r="H10" s="466"/>
      <c r="I10" s="466"/>
    </row>
    <row r="11" spans="1:9">
      <c r="A11" s="466"/>
      <c r="B11" s="466"/>
      <c r="C11" s="466"/>
      <c r="D11" s="466"/>
      <c r="E11" s="466"/>
      <c r="F11" s="466"/>
      <c r="G11" s="466"/>
      <c r="H11" s="466"/>
      <c r="I11" s="466"/>
    </row>
    <row r="12" spans="1:9">
      <c r="A12" s="466"/>
      <c r="B12" s="466"/>
      <c r="C12" s="466"/>
      <c r="D12" s="466"/>
      <c r="E12" s="466"/>
      <c r="F12" s="466"/>
      <c r="G12" s="466"/>
      <c r="H12" s="466"/>
      <c r="I12" s="466"/>
    </row>
    <row r="13" spans="1:9">
      <c r="A13" s="466"/>
      <c r="B13" s="466"/>
      <c r="C13" s="466"/>
      <c r="D13" s="466"/>
      <c r="E13" s="466"/>
      <c r="F13" s="466"/>
      <c r="G13" s="466"/>
      <c r="H13" s="466"/>
      <c r="I13" s="466"/>
    </row>
    <row r="14" spans="1:9">
      <c r="A14" s="466"/>
      <c r="B14" s="466"/>
      <c r="C14" s="466"/>
      <c r="D14" s="466"/>
      <c r="E14" s="466"/>
      <c r="F14" s="466"/>
      <c r="G14" s="466"/>
      <c r="H14" s="466"/>
      <c r="I14" s="466"/>
    </row>
    <row r="15" spans="1:9">
      <c r="A15" s="466"/>
      <c r="B15" s="466"/>
      <c r="C15" s="466"/>
      <c r="D15" s="466"/>
      <c r="E15" s="466"/>
      <c r="F15" s="466"/>
      <c r="G15" s="466"/>
      <c r="H15" s="466"/>
      <c r="I15" s="466"/>
    </row>
    <row r="16" spans="1:9" ht="25.5">
      <c r="A16" s="441" t="s">
        <v>42</v>
      </c>
      <c r="B16" s="435"/>
      <c r="C16" s="435"/>
      <c r="D16" s="435"/>
      <c r="E16" s="435"/>
      <c r="F16" s="435"/>
      <c r="G16" s="435"/>
      <c r="H16" s="435"/>
      <c r="I16" s="435"/>
    </row>
    <row r="17" spans="1:9">
      <c r="A17" s="466"/>
      <c r="B17" s="466"/>
      <c r="C17" s="466"/>
      <c r="D17" s="466"/>
      <c r="E17" s="466"/>
      <c r="F17" s="466"/>
      <c r="G17" s="466"/>
      <c r="H17" s="466"/>
      <c r="I17" s="466"/>
    </row>
    <row r="18" spans="1:9">
      <c r="A18" s="466"/>
      <c r="B18" s="466"/>
      <c r="C18" s="466"/>
      <c r="D18" s="466"/>
      <c r="E18" s="466"/>
      <c r="F18" s="466"/>
      <c r="G18" s="466"/>
      <c r="H18" s="466"/>
      <c r="I18" s="466"/>
    </row>
    <row r="19" spans="1:9" ht="20.25">
      <c r="A19" s="468" t="s">
        <v>414</v>
      </c>
      <c r="B19" s="467"/>
      <c r="C19" s="467"/>
      <c r="D19" s="467"/>
      <c r="E19" s="467"/>
      <c r="F19" s="467"/>
      <c r="G19" s="467"/>
      <c r="H19" s="467"/>
      <c r="I19" s="467"/>
    </row>
    <row r="20" spans="1:9">
      <c r="A20" s="466"/>
      <c r="B20" s="466"/>
      <c r="C20" s="466"/>
      <c r="D20" s="466"/>
      <c r="E20" s="466"/>
      <c r="F20" s="466"/>
      <c r="G20" s="466"/>
      <c r="H20" s="466"/>
      <c r="I20" s="466"/>
    </row>
    <row r="21" spans="1:9">
      <c r="A21" s="466"/>
      <c r="B21" s="466"/>
      <c r="C21" s="466"/>
      <c r="D21" s="466"/>
      <c r="E21" s="466"/>
      <c r="F21" s="466"/>
      <c r="G21" s="466"/>
      <c r="H21" s="466"/>
      <c r="I21" s="466"/>
    </row>
    <row r="22" spans="1:9">
      <c r="A22" s="466"/>
      <c r="B22" s="466"/>
      <c r="C22" s="466"/>
      <c r="D22" s="466"/>
      <c r="E22" s="466"/>
      <c r="F22" s="466"/>
      <c r="G22" s="466"/>
      <c r="H22" s="466"/>
      <c r="I22" s="466"/>
    </row>
    <row r="23" spans="1:9">
      <c r="A23" s="466"/>
      <c r="B23" s="467"/>
      <c r="C23" s="467"/>
      <c r="D23" s="467"/>
      <c r="E23" s="467"/>
      <c r="F23" s="467"/>
      <c r="G23" s="467"/>
      <c r="H23" s="467"/>
      <c r="I23" s="467"/>
    </row>
    <row r="24" spans="1:9">
      <c r="A24" s="466"/>
      <c r="B24" s="466"/>
      <c r="C24" s="466"/>
      <c r="D24" s="466"/>
      <c r="E24" s="466"/>
      <c r="F24" s="466"/>
      <c r="G24" s="466"/>
      <c r="H24" s="466"/>
      <c r="I24" s="466"/>
    </row>
    <row r="25" spans="1:9">
      <c r="A25" s="466"/>
      <c r="B25" s="466"/>
      <c r="C25" s="466"/>
      <c r="D25" s="466"/>
      <c r="E25" s="466"/>
      <c r="F25" s="466"/>
      <c r="G25" s="466"/>
      <c r="H25" s="466"/>
      <c r="I25" s="466"/>
    </row>
    <row r="26" spans="1:9">
      <c r="A26" s="466"/>
      <c r="B26" s="466"/>
      <c r="C26" s="466"/>
      <c r="D26" s="466"/>
      <c r="E26" s="466"/>
      <c r="F26" s="466"/>
      <c r="G26" s="466"/>
      <c r="H26" s="466"/>
      <c r="I26" s="466"/>
    </row>
    <row r="27" spans="1:9">
      <c r="A27" s="466"/>
      <c r="B27" s="466"/>
      <c r="C27" s="466"/>
      <c r="D27" s="466"/>
      <c r="E27" s="466"/>
      <c r="F27" s="466"/>
      <c r="G27" s="466"/>
      <c r="H27" s="466"/>
      <c r="I27" s="466"/>
    </row>
    <row r="28" spans="1:9">
      <c r="A28" s="466"/>
      <c r="B28" s="466"/>
      <c r="C28" s="466"/>
      <c r="D28" s="466"/>
      <c r="E28" s="466"/>
      <c r="F28" s="466"/>
      <c r="G28" s="466"/>
      <c r="H28" s="466"/>
      <c r="I28" s="466"/>
    </row>
    <row r="29" spans="1:9">
      <c r="A29" s="466"/>
      <c r="B29" s="466"/>
      <c r="C29" s="466"/>
      <c r="D29" s="466"/>
      <c r="E29" s="466"/>
      <c r="F29" s="466"/>
      <c r="G29" s="466"/>
      <c r="H29" s="466"/>
      <c r="I29" s="466"/>
    </row>
    <row r="30" spans="1:9">
      <c r="A30" s="466"/>
      <c r="B30" s="466"/>
      <c r="C30" s="466"/>
      <c r="D30" s="466"/>
      <c r="E30" s="466"/>
      <c r="F30" s="466"/>
      <c r="G30" s="466"/>
      <c r="H30" s="466"/>
      <c r="I30" s="466"/>
    </row>
    <row r="31" spans="1:9">
      <c r="A31" s="466"/>
      <c r="B31" s="466"/>
      <c r="C31" s="466"/>
      <c r="D31" s="466"/>
      <c r="E31" s="466"/>
      <c r="F31" s="466"/>
      <c r="G31" s="466"/>
      <c r="H31" s="466"/>
      <c r="I31" s="466"/>
    </row>
    <row r="32" spans="1:9">
      <c r="A32" s="466"/>
      <c r="B32" s="466"/>
      <c r="C32" s="466"/>
      <c r="D32" s="466"/>
      <c r="E32" s="466"/>
      <c r="F32" s="466"/>
      <c r="G32" s="466"/>
      <c r="H32" s="466"/>
      <c r="I32" s="466"/>
    </row>
    <row r="33" spans="1:9">
      <c r="A33" s="466"/>
      <c r="B33" s="466"/>
      <c r="C33" s="466"/>
      <c r="D33" s="466"/>
      <c r="E33" s="466"/>
      <c r="F33" s="466"/>
      <c r="G33" s="466"/>
      <c r="H33" s="466"/>
      <c r="I33" s="466"/>
    </row>
    <row r="34" spans="1:9">
      <c r="A34" s="466"/>
      <c r="B34" s="466"/>
      <c r="C34" s="466"/>
      <c r="D34" s="466"/>
      <c r="E34" s="466"/>
      <c r="F34" s="466"/>
      <c r="G34" s="466"/>
      <c r="H34" s="466"/>
      <c r="I34" s="466"/>
    </row>
    <row r="35" spans="1:9">
      <c r="A35" s="466"/>
      <c r="B35" s="466"/>
      <c r="C35" s="466"/>
      <c r="D35" s="466"/>
      <c r="E35" s="466"/>
      <c r="F35" s="466"/>
      <c r="G35" s="466"/>
      <c r="H35" s="466"/>
      <c r="I35" s="466"/>
    </row>
  </sheetData>
  <sheetProtection password="C7D6" sheet="1" objects="1" scenarios="1"/>
  <phoneticPr fontId="0" type="noConversion"/>
  <pageMargins left="0.78740157499999996" right="0.38" top="0.81" bottom="0.85" header="0.5" footer="0.44"/>
  <pageSetup scale="89" orientation="landscape" r:id="rId1"/>
  <headerFooter alignWithMargins="0"/>
</worksheet>
</file>

<file path=xl/worksheets/sheet164.xml><?xml version="1.0" encoding="utf-8"?>
<worksheet xmlns="http://schemas.openxmlformats.org/spreadsheetml/2006/main" xmlns:r="http://schemas.openxmlformats.org/officeDocument/2006/relationships">
  <dimension ref="A1:L30"/>
  <sheetViews>
    <sheetView workbookViewId="0">
      <selection activeCell="E46" sqref="E46"/>
    </sheetView>
  </sheetViews>
  <sheetFormatPr baseColWidth="10" defaultColWidth="9" defaultRowHeight="15.75"/>
  <cols>
    <col min="5" max="5" width="14.625" customWidth="1"/>
    <col min="12" max="12" width="12.625" customWidth="1"/>
  </cols>
  <sheetData>
    <row r="1" spans="1:12" ht="27">
      <c r="A1" s="440" t="s">
        <v>415</v>
      </c>
      <c r="B1" s="435"/>
      <c r="C1" s="435"/>
      <c r="D1" s="435"/>
      <c r="E1" s="435"/>
      <c r="F1" s="435"/>
      <c r="G1" s="435"/>
      <c r="H1" s="435"/>
      <c r="I1" s="435"/>
      <c r="J1" s="435"/>
      <c r="K1" s="435"/>
      <c r="L1" s="435"/>
    </row>
    <row r="3" spans="1:12">
      <c r="A3" s="442" t="s">
        <v>345</v>
      </c>
    </row>
    <row r="5" spans="1:12">
      <c r="A5" s="11" t="s">
        <v>416</v>
      </c>
      <c r="G5" s="100" t="s">
        <v>671</v>
      </c>
      <c r="H5" s="100"/>
      <c r="I5" s="108"/>
    </row>
    <row r="6" spans="1:12">
      <c r="A6" s="11" t="s">
        <v>417</v>
      </c>
      <c r="G6" t="s">
        <v>662</v>
      </c>
    </row>
    <row r="9" spans="1:12">
      <c r="A9" s="11" t="s">
        <v>418</v>
      </c>
      <c r="G9" s="100" t="s">
        <v>664</v>
      </c>
    </row>
    <row r="10" spans="1:12">
      <c r="G10" t="s">
        <v>663</v>
      </c>
    </row>
    <row r="13" spans="1:12">
      <c r="A13" s="442" t="s">
        <v>348</v>
      </c>
    </row>
    <row r="14" spans="1:12">
      <c r="G14" t="s">
        <v>0</v>
      </c>
    </row>
    <row r="15" spans="1:12">
      <c r="A15" s="11" t="s">
        <v>419</v>
      </c>
      <c r="G15" s="501" t="s">
        <v>665</v>
      </c>
      <c r="H15" s="444"/>
      <c r="I15" s="444"/>
    </row>
    <row r="16" spans="1:12">
      <c r="A16" s="11" t="s">
        <v>420</v>
      </c>
      <c r="G16" t="s">
        <v>666</v>
      </c>
    </row>
    <row r="17" spans="1:10">
      <c r="G17" t="s">
        <v>421</v>
      </c>
    </row>
    <row r="21" spans="1:10">
      <c r="A21" t="s">
        <v>422</v>
      </c>
      <c r="G21" s="501" t="s">
        <v>667</v>
      </c>
      <c r="H21" s="444"/>
      <c r="I21" s="444"/>
      <c r="J21" s="444"/>
    </row>
    <row r="22" spans="1:10">
      <c r="A22" t="s">
        <v>423</v>
      </c>
      <c r="G22" t="s">
        <v>668</v>
      </c>
    </row>
    <row r="26" spans="1:10">
      <c r="G26" t="s">
        <v>0</v>
      </c>
    </row>
    <row r="27" spans="1:10">
      <c r="A27" t="s">
        <v>424</v>
      </c>
      <c r="G27" s="501" t="s">
        <v>669</v>
      </c>
      <c r="H27" s="444"/>
      <c r="I27" s="444"/>
    </row>
    <row r="28" spans="1:10">
      <c r="A28" s="11" t="s">
        <v>425</v>
      </c>
      <c r="G28" t="s">
        <v>670</v>
      </c>
    </row>
    <row r="30" spans="1:10">
      <c r="A30" s="444"/>
      <c r="B30" s="444"/>
      <c r="C30" s="444"/>
    </row>
  </sheetData>
  <sheetProtection password="C7D6" sheet="1" objects="1" scenarios="1"/>
  <phoneticPr fontId="0" type="noConversion"/>
  <pageMargins left="0.38" right="0.35" top="0.9" bottom="0.85" header="0.5" footer="0.56000000000000005"/>
  <pageSetup scale="90" orientation="landscape" r:id="rId1"/>
  <headerFooter alignWithMargins="0">
    <oddFooter>&amp;L&amp;10&amp;X 1&amp;X Période signifie : trimestre, cumul ou année selon qu'il s'agisse du calcul d'un ratio trimestriel, cumulatif ou annuel.&amp;R&amp;P</oddFooter>
  </headerFooter>
  <drawing r:id="rId2"/>
</worksheet>
</file>

<file path=xl/worksheets/sheet165.xml><?xml version="1.0" encoding="utf-8"?>
<worksheet xmlns="http://schemas.openxmlformats.org/spreadsheetml/2006/main" xmlns:r="http://schemas.openxmlformats.org/officeDocument/2006/relationships">
  <sheetPr>
    <pageSetUpPr fitToPage="1"/>
  </sheetPr>
  <dimension ref="A2:I33"/>
  <sheetViews>
    <sheetView workbookViewId="0">
      <selection activeCell="E46" sqref="E46"/>
    </sheetView>
  </sheetViews>
  <sheetFormatPr baseColWidth="10" defaultColWidth="9" defaultRowHeight="15.75"/>
  <cols>
    <col min="4" max="4" width="6.5" customWidth="1"/>
    <col min="5" max="5" width="26.25" customWidth="1"/>
    <col min="6" max="6" width="6.625" customWidth="1"/>
    <col min="10" max="10" width="18.875" customWidth="1"/>
  </cols>
  <sheetData>
    <row r="2" spans="1:9">
      <c r="A2" s="442" t="s">
        <v>351</v>
      </c>
    </row>
    <row r="4" spans="1:9" ht="18.75">
      <c r="A4" s="11" t="s">
        <v>426</v>
      </c>
      <c r="G4" s="443" t="s">
        <v>672</v>
      </c>
      <c r="I4" s="443"/>
    </row>
    <row r="5" spans="1:9">
      <c r="G5" t="s">
        <v>427</v>
      </c>
    </row>
    <row r="6" spans="1:9">
      <c r="G6" t="s">
        <v>428</v>
      </c>
    </row>
    <row r="7" spans="1:9" ht="9" customHeight="1"/>
    <row r="8" spans="1:9" ht="18.75">
      <c r="A8" s="11" t="s">
        <v>429</v>
      </c>
      <c r="G8" s="443" t="s">
        <v>430</v>
      </c>
    </row>
    <row r="9" spans="1:9">
      <c r="A9" s="11" t="s">
        <v>431</v>
      </c>
      <c r="G9" t="s">
        <v>432</v>
      </c>
    </row>
    <row r="10" spans="1:9">
      <c r="G10" t="s">
        <v>433</v>
      </c>
    </row>
    <row r="11" spans="1:9" ht="10.5" customHeight="1"/>
    <row r="12" spans="1:9">
      <c r="G12" t="s">
        <v>434</v>
      </c>
    </row>
    <row r="13" spans="1:9">
      <c r="A13" s="11" t="s">
        <v>435</v>
      </c>
      <c r="G13" s="443" t="s">
        <v>436</v>
      </c>
    </row>
    <row r="14" spans="1:9">
      <c r="A14" s="11" t="s">
        <v>437</v>
      </c>
      <c r="G14" t="s">
        <v>438</v>
      </c>
    </row>
    <row r="15" spans="1:9" ht="10.5" customHeight="1"/>
    <row r="16" spans="1:9" ht="9" customHeight="1"/>
    <row r="17" spans="1:7" ht="18.75">
      <c r="A17" s="11" t="s">
        <v>439</v>
      </c>
      <c r="G17" s="443" t="s">
        <v>440</v>
      </c>
    </row>
    <row r="18" spans="1:7">
      <c r="G18" t="s">
        <v>441</v>
      </c>
    </row>
    <row r="19" spans="1:7">
      <c r="G19" t="s">
        <v>442</v>
      </c>
    </row>
    <row r="21" spans="1:7" ht="18.75">
      <c r="A21" s="11" t="s">
        <v>443</v>
      </c>
      <c r="G21" s="443" t="s">
        <v>444</v>
      </c>
    </row>
    <row r="22" spans="1:7">
      <c r="G22" t="s">
        <v>445</v>
      </c>
    </row>
    <row r="23" spans="1:7">
      <c r="G23" t="s">
        <v>446</v>
      </c>
    </row>
    <row r="25" spans="1:7">
      <c r="A25" s="11" t="s">
        <v>447</v>
      </c>
    </row>
    <row r="26" spans="1:7">
      <c r="A26" s="11" t="s">
        <v>448</v>
      </c>
      <c r="G26" s="443" t="s">
        <v>449</v>
      </c>
    </row>
    <row r="27" spans="1:7">
      <c r="A27" s="11" t="s">
        <v>450</v>
      </c>
      <c r="G27" t="s">
        <v>451</v>
      </c>
    </row>
    <row r="29" spans="1:7" ht="18.75">
      <c r="A29" s="11" t="s">
        <v>452</v>
      </c>
      <c r="G29" s="100" t="s">
        <v>453</v>
      </c>
    </row>
    <row r="30" spans="1:7">
      <c r="A30" s="11" t="s">
        <v>454</v>
      </c>
      <c r="G30" t="s">
        <v>455</v>
      </c>
    </row>
    <row r="31" spans="1:7">
      <c r="A31" s="444"/>
      <c r="B31" s="444"/>
      <c r="C31" s="444"/>
      <c r="G31" t="s">
        <v>456</v>
      </c>
    </row>
    <row r="32" spans="1:7">
      <c r="A32" s="26"/>
      <c r="B32" s="26"/>
      <c r="C32" s="26"/>
    </row>
    <row r="33" spans="1:3" ht="18.75">
      <c r="A33" s="510" t="s">
        <v>457</v>
      </c>
      <c r="B33" s="443"/>
      <c r="C33" s="443"/>
    </row>
  </sheetData>
  <sheetProtection password="C7D6" sheet="1" objects="1" scenarios="1"/>
  <phoneticPr fontId="0" type="noConversion"/>
  <pageMargins left="0.37" right="0.26" top="0.54" bottom="1.04" header="0.25" footer="0.56000000000000005"/>
  <pageSetup orientation="landscape" r:id="rId1"/>
  <headerFooter alignWithMargins="0">
    <oddFooter>&amp;L&amp;X2&amp;X &amp;10Ces ratios sont annualisés pour fins de comparaison.Un ratio trimestriel est multiplié par 4 alors qu'un ratio cumulatif est
multiplié par 4, par 2, par 4/3 ou par 1 selon qu'il s'agisse du premier, deuxième, troisième ou quatrième trimestre.</oddFooter>
  </headerFooter>
</worksheet>
</file>

<file path=xl/worksheets/sheet166.xml><?xml version="1.0" encoding="utf-8"?>
<worksheet xmlns="http://schemas.openxmlformats.org/spreadsheetml/2006/main" xmlns:r="http://schemas.openxmlformats.org/officeDocument/2006/relationships">
  <dimension ref="A2:P62"/>
  <sheetViews>
    <sheetView workbookViewId="0">
      <selection activeCell="L64" sqref="L64"/>
    </sheetView>
  </sheetViews>
  <sheetFormatPr baseColWidth="10" defaultColWidth="9" defaultRowHeight="15.75"/>
  <cols>
    <col min="1" max="1" width="41.5" customWidth="1"/>
    <col min="5" max="5" width="9.375" bestFit="1" customWidth="1"/>
  </cols>
  <sheetData>
    <row r="2" spans="1:6">
      <c r="A2" s="1556" t="s">
        <v>728</v>
      </c>
      <c r="B2" s="1556"/>
      <c r="C2" s="1556"/>
      <c r="D2" s="1556"/>
      <c r="E2" s="1556"/>
      <c r="F2" s="1556"/>
    </row>
    <row r="3" spans="1:6">
      <c r="A3" s="1556" t="s">
        <v>724</v>
      </c>
      <c r="B3" s="1556"/>
      <c r="C3" s="1556"/>
      <c r="D3" s="1556"/>
      <c r="E3" s="1556"/>
      <c r="F3" s="1556"/>
    </row>
    <row r="4" spans="1:6" ht="16.5" thickBot="1"/>
    <row r="5" spans="1:6" ht="17.25" thickTop="1" thickBot="1">
      <c r="A5" s="1236" t="s">
        <v>749</v>
      </c>
      <c r="B5" s="1237">
        <v>2008</v>
      </c>
      <c r="C5" s="1237">
        <v>2009</v>
      </c>
      <c r="D5" s="1237">
        <v>2010</v>
      </c>
      <c r="E5" s="1275" t="s">
        <v>754</v>
      </c>
      <c r="F5" s="1275" t="s">
        <v>755</v>
      </c>
    </row>
    <row r="6" spans="1:6" ht="21.75" customHeight="1">
      <c r="A6" s="1234" t="s">
        <v>291</v>
      </c>
      <c r="B6" s="1226"/>
      <c r="D6" s="1235"/>
      <c r="E6" s="1276"/>
      <c r="F6" s="1276"/>
    </row>
    <row r="7" spans="1:6" ht="16.5" customHeight="1">
      <c r="A7" s="1238" t="s">
        <v>752</v>
      </c>
      <c r="B7" s="1245">
        <f>+sofiinfisys!L12/1000</f>
        <v>175932.02670316098</v>
      </c>
      <c r="C7" s="1245">
        <f>+sofiinfisys!J12/1000</f>
        <v>194501.6951051314</v>
      </c>
      <c r="D7" s="1245">
        <f>+sofiinfisys!H12/1000</f>
        <v>0</v>
      </c>
      <c r="E7" s="1277">
        <f t="shared" ref="E7:F11" si="0">+C7/B7-1</f>
        <v>0.10555024431851656</v>
      </c>
      <c r="F7" s="1277">
        <f t="shared" si="0"/>
        <v>-1</v>
      </c>
    </row>
    <row r="8" spans="1:6" ht="18.75" customHeight="1">
      <c r="A8" s="1238" t="s">
        <v>750</v>
      </c>
      <c r="B8" s="1245">
        <f>+sofiinfisys!L13/1000</f>
        <v>5944.9849999999997</v>
      </c>
      <c r="C8" s="1245">
        <f>+sofiinfisys!J13/1000</f>
        <v>4508.5550000000003</v>
      </c>
      <c r="D8" s="1245">
        <f>+sofiinfisys!H13/1000</f>
        <v>0</v>
      </c>
      <c r="E8" s="1277">
        <f t="shared" si="0"/>
        <v>-0.24162045825178691</v>
      </c>
      <c r="F8" s="1277">
        <f t="shared" si="0"/>
        <v>-1</v>
      </c>
    </row>
    <row r="9" spans="1:6" ht="18" customHeight="1">
      <c r="A9" s="1238" t="s">
        <v>751</v>
      </c>
      <c r="B9" s="1245">
        <f>+sofiinfisys!L14/1000</f>
        <v>62165.980086414151</v>
      </c>
      <c r="C9" s="1245">
        <f>+sofiinfisys!J14/1000</f>
        <v>68178.247386450777</v>
      </c>
      <c r="D9" s="1245">
        <f>+sofiinfisys!H14/1000</f>
        <v>0</v>
      </c>
      <c r="E9" s="1277">
        <f t="shared" si="0"/>
        <v>9.6713142649391903E-2</v>
      </c>
      <c r="F9" s="1277">
        <f t="shared" si="0"/>
        <v>-1</v>
      </c>
    </row>
    <row r="10" spans="1:6" ht="16.5" customHeight="1">
      <c r="A10" s="1238" t="s">
        <v>729</v>
      </c>
      <c r="B10" s="1245">
        <f>+sofiinfisys!L15/1000</f>
        <v>145645.94626564052</v>
      </c>
      <c r="C10" s="1245">
        <f>+sofiinfisys!J15/1000</f>
        <v>157549.12249165741</v>
      </c>
      <c r="D10" s="1245">
        <f>+sofiinfisys!H15/1000</f>
        <v>0</v>
      </c>
      <c r="E10" s="1277">
        <f t="shared" si="0"/>
        <v>8.1726793853273083E-2</v>
      </c>
      <c r="F10" s="1277">
        <f t="shared" si="0"/>
        <v>-1</v>
      </c>
    </row>
    <row r="11" spans="1:6" ht="17.25" customHeight="1">
      <c r="A11" s="1238" t="s">
        <v>730</v>
      </c>
      <c r="B11" s="1245">
        <f>+sofiinfisys!L16/1000</f>
        <v>13063.913640410001</v>
      </c>
      <c r="C11" s="1245">
        <f>+sofiinfisys!J16/1000</f>
        <v>14750.485644229997</v>
      </c>
      <c r="D11" s="1245">
        <f>+sofiinfisys!H16/1000</f>
        <v>0</v>
      </c>
      <c r="E11" s="1277">
        <f t="shared" si="0"/>
        <v>0.12910158856248111</v>
      </c>
      <c r="F11" s="1277">
        <f t="shared" si="0"/>
        <v>-1</v>
      </c>
    </row>
    <row r="12" spans="1:6">
      <c r="A12" s="1238"/>
      <c r="B12" s="1226"/>
      <c r="C12" s="1226"/>
      <c r="D12" s="1226"/>
      <c r="E12" s="1276"/>
      <c r="F12" s="1276"/>
    </row>
    <row r="13" spans="1:6">
      <c r="A13" s="1239" t="s">
        <v>331</v>
      </c>
      <c r="B13" s="1226"/>
      <c r="C13" s="1226"/>
      <c r="D13" s="1226"/>
      <c r="E13" s="1276"/>
      <c r="F13" s="1276"/>
    </row>
    <row r="14" spans="1:6">
      <c r="A14" s="1238" t="s">
        <v>731</v>
      </c>
      <c r="B14" s="1245">
        <f>+somfindétvan!H17/1000</f>
        <v>4872.2995410100002</v>
      </c>
      <c r="C14" s="1245">
        <f>+somfindétvan!F17/1000</f>
        <v>5404.7514316504303</v>
      </c>
      <c r="D14" s="1245">
        <f>+somfindétvan!B17/1000</f>
        <v>1543.9487882354319</v>
      </c>
      <c r="E14" s="1277">
        <f t="shared" ref="E14:F18" si="1">+C14/B14-1</f>
        <v>0.1092814360362695</v>
      </c>
      <c r="F14" s="1277">
        <f t="shared" si="1"/>
        <v>-0.71433491294456042</v>
      </c>
    </row>
    <row r="15" spans="1:6">
      <c r="A15" s="1238" t="s">
        <v>732</v>
      </c>
      <c r="B15" s="1245">
        <f>+somfindétvan!H23/1000</f>
        <v>4736.9500728852008</v>
      </c>
      <c r="C15" s="1245">
        <f>+somfindétvan!F23/1000</f>
        <v>5424.6203289782588</v>
      </c>
      <c r="D15" s="1245">
        <f>+somfindétvan!B23/1000</f>
        <v>1266.33581712</v>
      </c>
      <c r="E15" s="1277">
        <f t="shared" si="1"/>
        <v>0.14517152292344271</v>
      </c>
      <c r="F15" s="1277">
        <f t="shared" si="1"/>
        <v>-0.76655770536506518</v>
      </c>
    </row>
    <row r="16" spans="1:6">
      <c r="A16" s="1238" t="s">
        <v>733</v>
      </c>
      <c r="B16" s="1245">
        <f>+somfindétvan!H27/1000</f>
        <v>418.84786529000007</v>
      </c>
      <c r="C16" s="1245">
        <f>+somfindétvan!F27/1000</f>
        <v>640.29460252000001</v>
      </c>
      <c r="D16" s="1245">
        <f>+somfindétvan!B27/1000</f>
        <v>144.56641715000004</v>
      </c>
      <c r="E16" s="1277">
        <f t="shared" si="1"/>
        <v>0.52870446666040816</v>
      </c>
      <c r="F16" s="1277">
        <f t="shared" si="1"/>
        <v>-0.77421890395291215</v>
      </c>
    </row>
    <row r="17" spans="1:6">
      <c r="A17" s="1238" t="s">
        <v>734</v>
      </c>
      <c r="B17" s="1245">
        <f>+somfindétvan!H37/1000</f>
        <v>6251.5458609200005</v>
      </c>
      <c r="C17" s="1245">
        <f>+somfindétvan!F37/1000</f>
        <v>6977.26390223</v>
      </c>
      <c r="D17" s="1245">
        <f>+somfindétvan!B37/1000</f>
        <v>1800.3671200799997</v>
      </c>
      <c r="E17" s="1277">
        <f t="shared" si="1"/>
        <v>0.11608617411681288</v>
      </c>
      <c r="F17" s="1277">
        <f t="shared" si="1"/>
        <v>-0.741966601047642</v>
      </c>
    </row>
    <row r="18" spans="1:6">
      <c r="A18" s="1238" t="s">
        <v>735</v>
      </c>
      <c r="B18" s="1245">
        <f>+somfindétvan!H43/1000</f>
        <v>2620.6642832552002</v>
      </c>
      <c r="C18" s="1245">
        <f>+somfindétvan!F43/1000</f>
        <v>2852.0317689186891</v>
      </c>
      <c r="D18" s="1245">
        <f>+somfindétvan!B43/1000</f>
        <v>752.52707447543241</v>
      </c>
      <c r="E18" s="1277">
        <f t="shared" si="1"/>
        <v>8.8285816364124692E-2</v>
      </c>
      <c r="F18" s="1277">
        <f t="shared" si="1"/>
        <v>-0.73614351611491924</v>
      </c>
    </row>
    <row r="19" spans="1:6" ht="16.5" thickBot="1">
      <c r="A19" s="1240"/>
      <c r="B19" s="1225"/>
      <c r="C19" s="1228"/>
      <c r="D19" s="1228"/>
      <c r="E19" s="1278"/>
      <c r="F19" s="1278"/>
    </row>
    <row r="20" spans="1:6" ht="18" customHeight="1" thickTop="1" thickBot="1">
      <c r="A20" s="1244" t="s">
        <v>753</v>
      </c>
      <c r="B20" s="1229"/>
      <c r="C20" s="1230"/>
      <c r="D20" s="1230"/>
    </row>
    <row r="21" spans="1:6" ht="16.5" thickTop="1">
      <c r="A21" s="1241"/>
      <c r="B21" s="1225"/>
      <c r="C21" s="1226"/>
      <c r="D21" s="1227" t="s">
        <v>727</v>
      </c>
    </row>
    <row r="22" spans="1:6" ht="19.5" customHeight="1">
      <c r="A22" s="1239" t="s">
        <v>345</v>
      </c>
      <c r="B22" s="1225"/>
      <c r="C22" s="1104"/>
      <c r="D22" s="1104"/>
      <c r="E22" s="1104"/>
    </row>
    <row r="23" spans="1:6" ht="18.75" customHeight="1">
      <c r="A23" s="1238" t="s">
        <v>736</v>
      </c>
      <c r="B23" s="1247" t="e">
        <f>+#REF!</f>
        <v>#REF!</v>
      </c>
      <c r="C23" s="1246" t="e">
        <f>+#REF!</f>
        <v>#REF!</v>
      </c>
      <c r="D23" s="1246">
        <f>+'sysratfinclédéc. 14'!N10</f>
        <v>7.9625237150012448E-2</v>
      </c>
    </row>
    <row r="24" spans="1:6" ht="17.25" customHeight="1">
      <c r="A24" s="1238" t="s">
        <v>737</v>
      </c>
      <c r="B24" s="1246" t="e">
        <f>+#REF!</f>
        <v>#REF!</v>
      </c>
      <c r="C24" s="1246" t="e">
        <f>+#REF!</f>
        <v>#REF!</v>
      </c>
      <c r="D24" s="1246">
        <f>+'sysratfinclédéc. 14'!N14</f>
        <v>0.81396565530531495</v>
      </c>
    </row>
    <row r="25" spans="1:6">
      <c r="A25" s="1238"/>
      <c r="B25" s="1226"/>
      <c r="C25" s="1226"/>
      <c r="D25" s="1226" t="s">
        <v>0</v>
      </c>
    </row>
    <row r="26" spans="1:6">
      <c r="A26" s="1239" t="s">
        <v>725</v>
      </c>
      <c r="B26" s="1226"/>
      <c r="C26" s="1226"/>
      <c r="D26" s="1226"/>
    </row>
    <row r="27" spans="1:6" ht="21.75" customHeight="1">
      <c r="A27" s="1238" t="s">
        <v>738</v>
      </c>
      <c r="B27" s="1246" t="e">
        <f>+#REF!</f>
        <v>#REF!</v>
      </c>
      <c r="C27" s="1246" t="e">
        <f>+#REF!</f>
        <v>#REF!</v>
      </c>
      <c r="D27" s="1246">
        <f>+'sysratfinclédéc. 14'!N20</f>
        <v>4.2586031980094891E-2</v>
      </c>
    </row>
    <row r="28" spans="1:6" ht="17.25" customHeight="1">
      <c r="A28" s="1238" t="s">
        <v>726</v>
      </c>
      <c r="B28" s="1226"/>
      <c r="C28" s="1226"/>
      <c r="D28" s="1226"/>
    </row>
    <row r="29" spans="1:6" ht="17.25" customHeight="1">
      <c r="A29" s="1238" t="s">
        <v>739</v>
      </c>
      <c r="B29" s="1246" t="e">
        <f>+#REF!</f>
        <v>#REF!</v>
      </c>
      <c r="C29" s="1246" t="e">
        <f>+#REF!</f>
        <v>#REF!</v>
      </c>
      <c r="D29" s="1246">
        <f>+'sysratfinclédéc. 14'!N25</f>
        <v>0.5488372868420589</v>
      </c>
    </row>
    <row r="30" spans="1:6" ht="18.75" customHeight="1">
      <c r="A30" s="1238" t="s">
        <v>740</v>
      </c>
      <c r="B30" s="1246" t="e">
        <f>+#REF!</f>
        <v>#REF!</v>
      </c>
      <c r="C30" s="1246" t="e">
        <f>+#REF!</f>
        <v>#REF!</v>
      </c>
      <c r="D30" s="1246">
        <f>+'sysratfinclédéc. 14'!N30</f>
        <v>8.8519626265440327E-2</v>
      </c>
    </row>
    <row r="31" spans="1:6">
      <c r="A31" s="1238" t="s">
        <v>0</v>
      </c>
      <c r="B31" s="1226"/>
      <c r="C31" s="1226"/>
      <c r="D31" s="1226"/>
    </row>
    <row r="32" spans="1:6">
      <c r="A32" s="1239" t="s">
        <v>351</v>
      </c>
      <c r="B32" s="1226"/>
      <c r="C32" s="1226"/>
      <c r="D32" s="1226"/>
    </row>
    <row r="33" spans="1:16" ht="15.75" customHeight="1">
      <c r="A33" s="1238" t="s">
        <v>741</v>
      </c>
      <c r="B33" s="1246" t="e">
        <f>+#REF!</f>
        <v>#REF!</v>
      </c>
      <c r="C33" s="1246" t="e">
        <f>+#REF!</f>
        <v>#REF!</v>
      </c>
      <c r="D33" s="1246">
        <f>+'sysratfinclédéc. 14'!N37</f>
        <v>1.546411314207231E-2</v>
      </c>
    </row>
    <row r="34" spans="1:16" ht="18.75" customHeight="1">
      <c r="A34" s="1238" t="s">
        <v>742</v>
      </c>
      <c r="B34" s="1246" t="e">
        <f>+#REF!</f>
        <v>#REF!</v>
      </c>
      <c r="C34" s="1246" t="e">
        <f>+#REF!</f>
        <v>#REF!</v>
      </c>
      <c r="D34" s="1246">
        <f>+'sysratfinclédéc. 14'!N43</f>
        <v>0.19893953706560319</v>
      </c>
    </row>
    <row r="35" spans="1:16" ht="21.75" customHeight="1">
      <c r="A35" s="1238" t="s">
        <v>743</v>
      </c>
      <c r="B35" s="1246" t="e">
        <f>+#REF!</f>
        <v>#REF!</v>
      </c>
      <c r="C35" s="1246" t="e">
        <f>+#REF!</f>
        <v>#REF!</v>
      </c>
      <c r="D35" s="1246">
        <f>+'sysratfinclédéc. 14'!N50</f>
        <v>0.87623370529570543</v>
      </c>
    </row>
    <row r="36" spans="1:16" ht="20.25" customHeight="1">
      <c r="A36" s="1238" t="s">
        <v>744</v>
      </c>
      <c r="B36" s="1246" t="e">
        <f>+#REF!</f>
        <v>#REF!</v>
      </c>
      <c r="C36" s="1246" t="e">
        <f>+#REF!</f>
        <v>#REF!</v>
      </c>
      <c r="D36" s="1246">
        <f>+'sysratfinclédéc. 14'!N56</f>
        <v>8.3744099007106262E-2</v>
      </c>
    </row>
    <row r="37" spans="1:16" ht="20.25" customHeight="1">
      <c r="A37" s="1238" t="s">
        <v>745</v>
      </c>
      <c r="B37" s="1246" t="e">
        <f>+#REF!</f>
        <v>#REF!</v>
      </c>
      <c r="C37" s="1246" t="e">
        <f>+#REF!</f>
        <v>#REF!</v>
      </c>
      <c r="D37" s="1246">
        <f>+'sysratfinclédéc. 14'!N68</f>
        <v>5.5190811246523053E-3</v>
      </c>
    </row>
    <row r="38" spans="1:16" ht="20.25" customHeight="1">
      <c r="A38" s="1238" t="s">
        <v>746</v>
      </c>
      <c r="B38" s="1246" t="e">
        <f>+#REF!</f>
        <v>#REF!</v>
      </c>
      <c r="C38" s="1246" t="e">
        <f>+#REF!</f>
        <v>#REF!</v>
      </c>
      <c r="D38" s="1246">
        <f>+'sysratfinclédéc. 14'!N76</f>
        <v>0.64063515725386733</v>
      </c>
    </row>
    <row r="39" spans="1:16" ht="16.5" thickBot="1">
      <c r="A39" s="1242"/>
      <c r="B39" s="1231"/>
      <c r="C39" s="1232"/>
      <c r="D39" s="1232"/>
    </row>
    <row r="40" spans="1:16" ht="17.25" customHeight="1">
      <c r="A40" s="1238" t="s">
        <v>747</v>
      </c>
      <c r="B40" s="1248" t="e">
        <f>+#REF!</f>
        <v>#REF!</v>
      </c>
      <c r="C40" s="1248" t="e">
        <f>+#REF!</f>
        <v>#REF!</v>
      </c>
      <c r="D40" s="1248">
        <f>+'sysratfinclédéc. 14'!N82</f>
        <v>2624.2881805583588</v>
      </c>
    </row>
    <row r="41" spans="1:16" ht="16.5" thickBot="1">
      <c r="A41" s="1243" t="s">
        <v>748</v>
      </c>
      <c r="B41" s="1233">
        <f>+employés!AC88</f>
        <v>3909</v>
      </c>
      <c r="C41" s="1233">
        <f>+employés!AC96</f>
        <v>3919</v>
      </c>
      <c r="D41" s="1233">
        <f>+employés!AC106</f>
        <v>3393</v>
      </c>
    </row>
    <row r="42" spans="1:16" ht="16.5" thickTop="1"/>
    <row r="44" spans="1:16">
      <c r="A44" s="1556" t="s">
        <v>756</v>
      </c>
      <c r="B44" s="1556"/>
      <c r="C44" s="1556"/>
      <c r="D44" s="1556"/>
      <c r="E44" s="1556"/>
      <c r="F44" s="1556"/>
      <c r="G44" s="1556"/>
      <c r="H44" s="1556"/>
      <c r="I44" s="1556"/>
      <c r="J44" s="1556"/>
      <c r="K44" s="1556"/>
      <c r="L44" s="1556"/>
      <c r="M44" s="1556"/>
      <c r="N44" s="1556"/>
      <c r="O44" s="1556"/>
      <c r="P44" s="1556"/>
    </row>
    <row r="45" spans="1:16">
      <c r="A45" s="1556" t="s">
        <v>724</v>
      </c>
      <c r="B45" s="1556"/>
      <c r="C45" s="1556"/>
      <c r="D45" s="1556"/>
      <c r="E45" s="1556"/>
      <c r="F45" s="1556"/>
      <c r="G45" s="1556"/>
      <c r="H45" s="1556"/>
      <c r="I45" s="1556"/>
      <c r="J45" s="1556"/>
      <c r="K45" s="1556"/>
      <c r="L45" s="1556"/>
      <c r="M45" s="1556"/>
      <c r="N45" s="1556"/>
      <c r="O45" s="1556"/>
      <c r="P45" s="1556"/>
    </row>
    <row r="46" spans="1:16" ht="16.5" thickBot="1"/>
    <row r="47" spans="1:16" ht="17.25" thickTop="1" thickBot="1">
      <c r="A47" s="1297" t="s">
        <v>749</v>
      </c>
      <c r="B47" s="1569">
        <v>2008</v>
      </c>
      <c r="C47" s="1570"/>
      <c r="D47" s="1571"/>
      <c r="E47" s="1566">
        <v>2009</v>
      </c>
      <c r="F47" s="1567"/>
      <c r="G47" s="1568"/>
      <c r="H47" s="1566">
        <v>2010</v>
      </c>
      <c r="I47" s="1567"/>
      <c r="J47" s="1568"/>
      <c r="K47" s="1566" t="s">
        <v>754</v>
      </c>
      <c r="L47" s="1567"/>
      <c r="M47" s="1568"/>
      <c r="N47" s="1566" t="s">
        <v>755</v>
      </c>
      <c r="O47" s="1567"/>
      <c r="P47" s="1568"/>
    </row>
    <row r="48" spans="1:16" ht="16.5" thickBot="1">
      <c r="A48" s="1298"/>
      <c r="B48" s="1279" t="s">
        <v>757</v>
      </c>
      <c r="C48" s="1279" t="s">
        <v>758</v>
      </c>
      <c r="D48" s="1279" t="s">
        <v>59</v>
      </c>
      <c r="E48" s="1275" t="s">
        <v>757</v>
      </c>
      <c r="F48" s="1275" t="s">
        <v>758</v>
      </c>
      <c r="G48" s="1275" t="s">
        <v>59</v>
      </c>
      <c r="H48" s="1275" t="s">
        <v>757</v>
      </c>
      <c r="I48" s="1275" t="s">
        <v>758</v>
      </c>
      <c r="J48" s="1275" t="s">
        <v>59</v>
      </c>
      <c r="K48" s="1275" t="s">
        <v>757</v>
      </c>
      <c r="L48" s="1275" t="s">
        <v>758</v>
      </c>
      <c r="M48" s="1275" t="s">
        <v>59</v>
      </c>
      <c r="N48" s="1275" t="s">
        <v>757</v>
      </c>
      <c r="O48" s="1275" t="s">
        <v>758</v>
      </c>
      <c r="P48" s="1275" t="s">
        <v>59</v>
      </c>
    </row>
    <row r="49" spans="1:16">
      <c r="A49" s="1297" t="s">
        <v>291</v>
      </c>
      <c r="B49" s="1282"/>
      <c r="C49" s="1283"/>
      <c r="D49" s="1284"/>
      <c r="E49" s="1292"/>
      <c r="F49" s="1283"/>
      <c r="G49" s="1284"/>
      <c r="H49" s="1292"/>
      <c r="I49" s="1283"/>
      <c r="J49" s="1284"/>
      <c r="K49" s="1292"/>
      <c r="L49" s="1283"/>
      <c r="M49" s="1284"/>
      <c r="N49" s="1292"/>
      <c r="O49" s="1283"/>
      <c r="P49" s="1284"/>
    </row>
    <row r="50" spans="1:16">
      <c r="A50" s="1294" t="s">
        <v>759</v>
      </c>
      <c r="B50" s="1285">
        <f>+sogebkvar!L23/1000</f>
        <v>47242.844155240004</v>
      </c>
      <c r="C50" s="1280">
        <f>+unibkvar!L23/1000</f>
        <v>53646.035588584418</v>
      </c>
      <c r="D50" s="1286">
        <f>+bncvar!L23/1000</f>
        <v>42562.734959219997</v>
      </c>
      <c r="E50" s="1285">
        <f>+sogebkvar!J23/1000</f>
        <v>52053.383624530004</v>
      </c>
      <c r="F50" s="1280">
        <f>+unibkvar!J23/1000</f>
        <v>59077.362734374467</v>
      </c>
      <c r="G50" s="1286">
        <f>+bncvar!J23/1000</f>
        <v>44677.768619939998</v>
      </c>
      <c r="H50" s="1285">
        <f>+sogebkvar!H23/1000</f>
        <v>0</v>
      </c>
      <c r="I50" s="1280">
        <f>+unibkvar!H23/1000</f>
        <v>0</v>
      </c>
      <c r="J50" s="1286">
        <f>+bncvar!H23/1000</f>
        <v>0</v>
      </c>
      <c r="K50" s="1299">
        <f t="shared" ref="K50:P54" si="2">+E50/B50-1</f>
        <v>0.10182578029135092</v>
      </c>
      <c r="L50" s="1300">
        <f t="shared" si="2"/>
        <v>0.1012437747952768</v>
      </c>
      <c r="M50" s="1301">
        <f t="shared" si="2"/>
        <v>4.9692146492617217E-2</v>
      </c>
      <c r="N50" s="1299">
        <f t="shared" si="2"/>
        <v>-1</v>
      </c>
      <c r="O50" s="1300">
        <f t="shared" si="2"/>
        <v>-1</v>
      </c>
      <c r="P50" s="1301">
        <f t="shared" si="2"/>
        <v>-1</v>
      </c>
    </row>
    <row r="51" spans="1:16">
      <c r="A51" s="1294" t="s">
        <v>760</v>
      </c>
      <c r="B51" s="1285">
        <f>+sogebkvar!L17/1000</f>
        <v>100</v>
      </c>
      <c r="C51" s="1280">
        <f>+unibkvar!L17/1000</f>
        <v>0</v>
      </c>
      <c r="D51" s="1286">
        <f>+bncvar!L17/1000</f>
        <v>5670</v>
      </c>
      <c r="E51" s="1285">
        <f>+sogebkvar!J17/1000</f>
        <v>1950</v>
      </c>
      <c r="F51" s="1280">
        <f>+unibkvar!J17/1000</f>
        <v>0</v>
      </c>
      <c r="G51" s="1286">
        <f>+bncvar!J17/1000</f>
        <v>2334</v>
      </c>
      <c r="H51" s="1285">
        <f>+sogebkvar!H17/1000</f>
        <v>0</v>
      </c>
      <c r="I51" s="1280">
        <f>+unibkvar!H17/1000</f>
        <v>0</v>
      </c>
      <c r="J51" s="1286">
        <f>+bncvar!H17/1000</f>
        <v>0</v>
      </c>
      <c r="K51" s="1299">
        <f t="shared" si="2"/>
        <v>18.5</v>
      </c>
      <c r="L51" s="1300" t="e">
        <f t="shared" si="2"/>
        <v>#DIV/0!</v>
      </c>
      <c r="M51" s="1301">
        <f t="shared" si="2"/>
        <v>-0.58835978835978842</v>
      </c>
      <c r="N51" s="1299">
        <f t="shared" si="2"/>
        <v>-1</v>
      </c>
      <c r="O51" s="1300" t="e">
        <f t="shared" si="2"/>
        <v>#DIV/0!</v>
      </c>
      <c r="P51" s="1301">
        <f t="shared" si="2"/>
        <v>-1</v>
      </c>
    </row>
    <row r="52" spans="1:16">
      <c r="A52" s="1294" t="s">
        <v>761</v>
      </c>
      <c r="B52" s="1285">
        <f>+sogebkvar!L20/1000</f>
        <v>18747.203521859999</v>
      </c>
      <c r="C52" s="1280">
        <f>+unibkvar!L20/1000</f>
        <v>20039.270123089998</v>
      </c>
      <c r="D52" s="1286">
        <f>+bncvar!L20/1000</f>
        <v>10111.946507410001</v>
      </c>
      <c r="E52" s="1285">
        <f>+sogebkvar!J20/1000</f>
        <v>19001.04277665</v>
      </c>
      <c r="F52" s="1280">
        <f>+unibkvar!J20/1000</f>
        <v>22477.640604379998</v>
      </c>
      <c r="G52" s="1286">
        <f>+bncvar!J20/1000</f>
        <v>11264.487994499999</v>
      </c>
      <c r="H52" s="1285">
        <f>+sogebkvar!H20/1000</f>
        <v>0</v>
      </c>
      <c r="I52" s="1280">
        <f>+unibkvar!H20/1000</f>
        <v>0</v>
      </c>
      <c r="J52" s="1286">
        <f>+bncvar!H20/1000</f>
        <v>0</v>
      </c>
      <c r="K52" s="1299">
        <f t="shared" si="2"/>
        <v>1.3540113035739543E-2</v>
      </c>
      <c r="L52" s="1300">
        <f t="shared" si="2"/>
        <v>0.12167960541039946</v>
      </c>
      <c r="M52" s="1301">
        <f t="shared" si="2"/>
        <v>0.11397820253948332</v>
      </c>
      <c r="N52" s="1299">
        <f t="shared" si="2"/>
        <v>-1</v>
      </c>
      <c r="O52" s="1300">
        <f t="shared" si="2"/>
        <v>-1</v>
      </c>
      <c r="P52" s="1301">
        <f t="shared" si="2"/>
        <v>-1</v>
      </c>
    </row>
    <row r="53" spans="1:16">
      <c r="A53" s="1294" t="s">
        <v>762</v>
      </c>
      <c r="B53" s="1285">
        <f>+sogebkvar!L30/1000</f>
        <v>38659.805485894103</v>
      </c>
      <c r="C53" s="1280">
        <f>+unibkvar!L30/1000</f>
        <v>45712.814625168045</v>
      </c>
      <c r="D53" s="1286">
        <f>+bncvar!L30/1000</f>
        <v>34943.124978070009</v>
      </c>
      <c r="E53" s="1285">
        <f>+sogebkvar!J30/1000</f>
        <v>41458.042765893188</v>
      </c>
      <c r="F53" s="1280">
        <f>+unibkvar!J30/1000</f>
        <v>48486.999598265422</v>
      </c>
      <c r="G53" s="1286">
        <f>+bncvar!J30/1000</f>
        <v>35961.593233419997</v>
      </c>
      <c r="H53" s="1285">
        <f>+sogebkvar!H30/1000</f>
        <v>0</v>
      </c>
      <c r="I53" s="1280">
        <f>+unibkvar!H30/1000</f>
        <v>0</v>
      </c>
      <c r="J53" s="1286">
        <f>+bncvar!H30/1000</f>
        <v>0</v>
      </c>
      <c r="K53" s="1299">
        <f t="shared" si="2"/>
        <v>7.2381049124007779E-2</v>
      </c>
      <c r="L53" s="1300">
        <f t="shared" si="2"/>
        <v>6.0687249206702765E-2</v>
      </c>
      <c r="M53" s="1301">
        <f t="shared" si="2"/>
        <v>2.9146456019293332E-2</v>
      </c>
      <c r="N53" s="1299">
        <f t="shared" si="2"/>
        <v>-1</v>
      </c>
      <c r="O53" s="1300">
        <f t="shared" si="2"/>
        <v>-1</v>
      </c>
      <c r="P53" s="1301">
        <f t="shared" si="2"/>
        <v>-1</v>
      </c>
    </row>
    <row r="54" spans="1:16">
      <c r="A54" s="1294" t="s">
        <v>763</v>
      </c>
      <c r="B54" s="1285">
        <f>+sogebkvar!L52/1000</f>
        <v>3475.33</v>
      </c>
      <c r="C54" s="1280">
        <f>+unibkvar!L52/1000</f>
        <v>4743.9468534299995</v>
      </c>
      <c r="D54" s="1286">
        <f>+bncvar!L52/1000</f>
        <v>2684.0786054100004</v>
      </c>
      <c r="E54" s="1285">
        <f>+sogebkvar!J52/1000</f>
        <v>3767.4400748800003</v>
      </c>
      <c r="F54" s="1280">
        <f>+unibkvar!J52/1000</f>
        <v>5455.6900570500002</v>
      </c>
      <c r="G54" s="1286">
        <f>+bncvar!J52/1000</f>
        <v>3036.67579643</v>
      </c>
      <c r="H54" s="1285">
        <f>+sogebkvar!H52/1000</f>
        <v>0</v>
      </c>
      <c r="I54" s="1280">
        <f>+unibkvar!H52/1000</f>
        <v>0</v>
      </c>
      <c r="J54" s="1286">
        <f>+bncvar!H52/1000</f>
        <v>0</v>
      </c>
      <c r="K54" s="1299">
        <f t="shared" si="2"/>
        <v>8.4052471241579996E-2</v>
      </c>
      <c r="L54" s="1300">
        <f t="shared" si="2"/>
        <v>0.15003186705293525</v>
      </c>
      <c r="M54" s="1301">
        <f t="shared" si="2"/>
        <v>0.13136619408586192</v>
      </c>
      <c r="N54" s="1299">
        <f t="shared" si="2"/>
        <v>-1</v>
      </c>
      <c r="O54" s="1300">
        <f t="shared" si="2"/>
        <v>-1</v>
      </c>
      <c r="P54" s="1301">
        <f t="shared" si="2"/>
        <v>-1</v>
      </c>
    </row>
    <row r="55" spans="1:16">
      <c r="A55" s="1294"/>
      <c r="B55" s="1287"/>
      <c r="C55" s="1281"/>
      <c r="D55" s="1288"/>
      <c r="E55" s="1287"/>
      <c r="F55" s="1281"/>
      <c r="G55" s="1288"/>
      <c r="H55" s="1287"/>
      <c r="I55" s="1281"/>
      <c r="J55" s="1288"/>
      <c r="K55" s="1287"/>
      <c r="L55" s="1281"/>
      <c r="M55" s="1288"/>
      <c r="N55" s="1287"/>
      <c r="O55" s="1281"/>
      <c r="P55" s="1288"/>
    </row>
    <row r="56" spans="1:16">
      <c r="A56" s="1295" t="s">
        <v>331</v>
      </c>
      <c r="B56" s="1287"/>
      <c r="C56" s="1281"/>
      <c r="D56" s="1288"/>
      <c r="E56" s="1287"/>
      <c r="F56" s="1281"/>
      <c r="G56" s="1288"/>
      <c r="H56" s="1287"/>
      <c r="I56" s="1281"/>
      <c r="J56" s="1288"/>
      <c r="K56" s="1287"/>
      <c r="L56" s="1281"/>
      <c r="M56" s="1288"/>
      <c r="N56" s="1287"/>
      <c r="O56" s="1281"/>
      <c r="P56" s="1288"/>
    </row>
    <row r="57" spans="1:16">
      <c r="A57" s="1294" t="s">
        <v>764</v>
      </c>
      <c r="B57" s="1285">
        <f>+'SOGEBKVARAN '!H17/1000</f>
        <v>1280.1877286700001</v>
      </c>
      <c r="C57" s="1280">
        <f>+'UNIBKVARAN     '!H17/1000</f>
        <v>1239.308</v>
      </c>
      <c r="D57" s="1286">
        <f>+'BNCVARAN '!H17/1000</f>
        <v>983.62090000000001</v>
      </c>
      <c r="E57" s="1285">
        <f>+'SOGEBKVARAN '!F17/1000</f>
        <v>1450.4292419199999</v>
      </c>
      <c r="F57" s="1280">
        <f>+'UNIBKVARAN     '!F17/1000</f>
        <v>1393.5832533399998</v>
      </c>
      <c r="G57" s="1286">
        <f>+'BNCVARAN '!F17/1000</f>
        <v>1114.0266747600001</v>
      </c>
      <c r="H57" s="1285">
        <f>+'SOGEBKVARAN '!B17/1000</f>
        <v>377.69066683</v>
      </c>
      <c r="I57" s="1280">
        <f>+'UNIBKVARAN     '!B17/1000</f>
        <v>438.90868257</v>
      </c>
      <c r="J57" s="1286">
        <f>+'BNCVARAN '!B17/1000</f>
        <v>327.28790830999998</v>
      </c>
      <c r="K57" s="1299">
        <f t="shared" ref="K57:P58" si="3">+E57/B57-1</f>
        <v>0.13298167873149769</v>
      </c>
      <c r="L57" s="1300">
        <f t="shared" si="3"/>
        <v>0.12448499754701814</v>
      </c>
      <c r="M57" s="1301">
        <f t="shared" si="3"/>
        <v>0.1325772711417581</v>
      </c>
      <c r="N57" s="1299">
        <f t="shared" si="3"/>
        <v>-0.73960076375043737</v>
      </c>
      <c r="O57" s="1300">
        <f t="shared" si="3"/>
        <v>-0.68505026052941731</v>
      </c>
      <c r="P57" s="1301">
        <f t="shared" si="3"/>
        <v>-0.70621178493727799</v>
      </c>
    </row>
    <row r="58" spans="1:16">
      <c r="A58" s="1294" t="s">
        <v>765</v>
      </c>
      <c r="B58" s="1285">
        <f>+'SOGEBKVARAN '!H23/1000</f>
        <v>1399.6703792551998</v>
      </c>
      <c r="C58" s="1280">
        <f>+'UNIBKVARAN     '!H23/1000</f>
        <v>1903.5886</v>
      </c>
      <c r="D58" s="1286">
        <f>+'BNCVARAN '!H23/1000</f>
        <v>507.96289999999999</v>
      </c>
      <c r="E58" s="1285">
        <f>+'SOGEBKVARAN '!F23/1000</f>
        <v>1559.9186234082601</v>
      </c>
      <c r="F58" s="1280">
        <f>+'UNIBKVARAN     '!F23/1000</f>
        <v>2250.6900890299999</v>
      </c>
      <c r="G58" s="1286">
        <f>+'BNCVARAN '!F23/1000</f>
        <v>530.62193405999994</v>
      </c>
      <c r="H58" s="1285">
        <f>+'SOGEBKVARAN '!B23/1000</f>
        <v>377.35721606999999</v>
      </c>
      <c r="I58" s="1280">
        <f>+'UNIBKVARAN     '!B23/1000</f>
        <v>491.79889596999999</v>
      </c>
      <c r="J58" s="1286">
        <f>+'BNCVARAN '!B23/1000</f>
        <v>115.49514137000001</v>
      </c>
      <c r="K58" s="1299">
        <f t="shared" si="3"/>
        <v>0.11448998744856809</v>
      </c>
      <c r="L58" s="1300">
        <f t="shared" si="3"/>
        <v>0.18234060081574333</v>
      </c>
      <c r="M58" s="1301">
        <f t="shared" si="3"/>
        <v>4.4607655519723899E-2</v>
      </c>
      <c r="N58" s="1299">
        <f t="shared" si="3"/>
        <v>-0.7580917296534907</v>
      </c>
      <c r="O58" s="1300">
        <f t="shared" si="3"/>
        <v>-0.78148973136414579</v>
      </c>
      <c r="P58" s="1301">
        <f t="shared" si="3"/>
        <v>-0.78234005427121978</v>
      </c>
    </row>
    <row r="59" spans="1:16">
      <c r="A59" s="1294" t="s">
        <v>768</v>
      </c>
      <c r="B59" s="1285">
        <f>+'SOGEBKVARAN '!H27/1000</f>
        <v>291.59567194000005</v>
      </c>
      <c r="C59" s="1280">
        <f>+'UNIBKVARAN     '!H27/1000</f>
        <v>40.653500000000001</v>
      </c>
      <c r="D59" s="1286">
        <f>+'BNCVARAN '!H27/1000</f>
        <v>65</v>
      </c>
      <c r="E59" s="1285">
        <f>+'SOGEBKVARAN '!F27/1000</f>
        <v>409.78901376999994</v>
      </c>
      <c r="F59" s="1280">
        <f>+'UNIBKVARAN     '!F27/1000</f>
        <v>54.988805469999996</v>
      </c>
      <c r="G59" s="1286">
        <f>+'BNCVARAN '!F27/1000</f>
        <v>121.85287374000001</v>
      </c>
      <c r="H59" s="1285">
        <f>+'SOGEBKVARAN '!B27/1000</f>
        <v>102.62275981000001</v>
      </c>
      <c r="I59" s="1280">
        <f>+'UNIBKVARAN     '!B27/1000</f>
        <v>18.007300999999998</v>
      </c>
      <c r="J59" s="1286">
        <f>+'BNCVARAN '!B27/1000</f>
        <v>0</v>
      </c>
      <c r="K59" s="1299">
        <f t="shared" ref="K59:N61" si="4">+E59/B59-1</f>
        <v>0.40533297714487282</v>
      </c>
      <c r="L59" s="1300">
        <f t="shared" si="4"/>
        <v>0.35262168005214778</v>
      </c>
      <c r="M59" s="1301">
        <f t="shared" si="4"/>
        <v>0.87465959600000009</v>
      </c>
      <c r="N59" s="1299">
        <f t="shared" si="4"/>
        <v>-0.74957171529347411</v>
      </c>
      <c r="O59" s="1300"/>
      <c r="P59" s="1301">
        <f>+J59/G59-1</f>
        <v>-1</v>
      </c>
    </row>
    <row r="60" spans="1:16">
      <c r="A60" s="1294" t="s">
        <v>766</v>
      </c>
      <c r="B60" s="1285">
        <f>+'SOGEBKVARAN '!H37/1000</f>
        <v>1768.6944265700001</v>
      </c>
      <c r="C60" s="1280">
        <f>+'UNIBKVARAN     '!H37/1000</f>
        <v>1743.1696000000002</v>
      </c>
      <c r="D60" s="1286">
        <f>+'BNCVARAN '!H37/1000</f>
        <v>990.19580000000008</v>
      </c>
      <c r="E60" s="1285">
        <f>+'SOGEBKVARAN '!F37/1000</f>
        <v>2045.7413795800003</v>
      </c>
      <c r="F60" s="1280">
        <f>+'UNIBKVARAN     '!F37/1000</f>
        <v>1919.9672864800002</v>
      </c>
      <c r="G60" s="1286">
        <f>+'BNCVARAN '!F37/1000</f>
        <v>1112.6521838499996</v>
      </c>
      <c r="H60" s="1285">
        <f>+'SOGEBKVARAN '!B37/1000</f>
        <v>554.61862898999993</v>
      </c>
      <c r="I60" s="1280">
        <f>+'UNIBKVARAN     '!B37/1000</f>
        <v>518.22796238000001</v>
      </c>
      <c r="J60" s="1286">
        <f>+'BNCVARAN '!B37/1000</f>
        <v>262.49739581999995</v>
      </c>
      <c r="K60" s="1299">
        <f t="shared" si="4"/>
        <v>0.15663924126638018</v>
      </c>
      <c r="L60" s="1300">
        <f t="shared" si="4"/>
        <v>0.10142311251871305</v>
      </c>
      <c r="M60" s="1301">
        <f t="shared" si="4"/>
        <v>0.12366885806827255</v>
      </c>
      <c r="N60" s="1299">
        <f t="shared" si="4"/>
        <v>-0.7288911323170939</v>
      </c>
      <c r="O60" s="1300">
        <f>+I60/F60-1</f>
        <v>-0.73008500403665688</v>
      </c>
      <c r="P60" s="1301">
        <f>+J60/G60-1</f>
        <v>-0.76407955726855592</v>
      </c>
    </row>
    <row r="61" spans="1:16">
      <c r="A61" s="1294" t="s">
        <v>767</v>
      </c>
      <c r="B61" s="1285">
        <f>+'SOGEBKVARAN '!H43/1000</f>
        <v>499.62876511519994</v>
      </c>
      <c r="C61" s="1280">
        <f>+'UNIBKVARAN     '!H43/1000</f>
        <v>1286.9051000000002</v>
      </c>
      <c r="D61" s="1286">
        <f>+'BNCVARAN '!H43/1000</f>
        <v>436.38799999999998</v>
      </c>
      <c r="E61" s="1285">
        <f>+'SOGEBKVARAN '!F43/1000</f>
        <v>453.68747197825951</v>
      </c>
      <c r="F61" s="1280">
        <f>+'UNIBKVARAN     '!F43/1000</f>
        <v>1562.1067790299994</v>
      </c>
      <c r="G61" s="1286">
        <f>+'BNCVARAN '!F43/1000</f>
        <v>410.14355123000058</v>
      </c>
      <c r="H61" s="1285">
        <f>+'SOGEBKVARAN '!B43/1000</f>
        <v>82.636494100000121</v>
      </c>
      <c r="I61" s="1280">
        <f>+'UNIBKVARAN     '!B43/1000</f>
        <v>341.72359331999996</v>
      </c>
      <c r="J61" s="1286">
        <f>+'BNCVARAN '!B43/1000</f>
        <v>180.28565386000002</v>
      </c>
      <c r="K61" s="1299">
        <f t="shared" si="4"/>
        <v>-9.1950857005496212E-2</v>
      </c>
      <c r="L61" s="1300">
        <f t="shared" si="4"/>
        <v>0.21384768700504742</v>
      </c>
      <c r="M61" s="1301">
        <f t="shared" si="4"/>
        <v>-6.0140170605056498E-2</v>
      </c>
      <c r="N61" s="1299">
        <f t="shared" si="4"/>
        <v>-0.81785590477146786</v>
      </c>
      <c r="O61" s="1300">
        <f>+I61/F61-1</f>
        <v>-0.78124184728767676</v>
      </c>
      <c r="P61" s="1301">
        <f>+J61/G61-1</f>
        <v>-0.56043279647008437</v>
      </c>
    </row>
    <row r="62" spans="1:16" ht="16.5" thickBot="1">
      <c r="A62" s="1296"/>
      <c r="B62" s="1289"/>
      <c r="C62" s="1290"/>
      <c r="D62" s="1291"/>
      <c r="E62" s="1293"/>
      <c r="F62" s="1290"/>
      <c r="G62" s="1291"/>
      <c r="H62" s="1293"/>
      <c r="I62" s="1290"/>
      <c r="J62" s="1291"/>
      <c r="K62" s="1293"/>
      <c r="L62" s="1290"/>
      <c r="M62" s="1291"/>
      <c r="N62" s="1293"/>
      <c r="O62" s="1290"/>
      <c r="P62" s="1291"/>
    </row>
  </sheetData>
  <mergeCells count="9">
    <mergeCell ref="H47:J47"/>
    <mergeCell ref="K47:M47"/>
    <mergeCell ref="N47:P47"/>
    <mergeCell ref="A2:F2"/>
    <mergeCell ref="A3:F3"/>
    <mergeCell ref="A44:P44"/>
    <mergeCell ref="A45:P45"/>
    <mergeCell ref="B47:D47"/>
    <mergeCell ref="E47:G47"/>
  </mergeCells>
  <phoneticPr fontId="73" type="noConversion"/>
  <printOptions horizontalCentered="1"/>
  <pageMargins left="0.47" right="0.7" top="0.27" bottom="0.25" header="0.17" footer="0.22"/>
  <pageSetup paperSize="5" scale="82" orientation="landscape" r:id="rId1"/>
  <rowBreaks count="1" manualBreakCount="1">
    <brk id="42"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165</vt:i4>
      </vt:variant>
      <vt:variant>
        <vt:lpstr>Plages nommées</vt:lpstr>
      </vt:variant>
      <vt:variant>
        <vt:i4>137</vt:i4>
      </vt:variant>
    </vt:vector>
  </HeadingPairs>
  <TitlesOfParts>
    <vt:vector size="302" baseType="lpstr">
      <vt:lpstr>pagecouvert.</vt:lpstr>
      <vt:lpstr>tabmat</vt:lpstr>
      <vt:lpstr>Noteutili</vt:lpstr>
      <vt:lpstr>pageint.sect1</vt:lpstr>
      <vt:lpstr>actifs</vt:lpstr>
      <vt:lpstr>dispo.</vt:lpstr>
      <vt:lpstr>bonsbrh</vt:lpstr>
      <vt:lpstr>prêts nets</vt:lpstr>
      <vt:lpstr>dépôts</vt:lpstr>
      <vt:lpstr>dépôts us</vt:lpstr>
      <vt:lpstr>av.desact.</vt:lpstr>
      <vt:lpstr>revint.</vt:lpstr>
      <vt:lpstr>m.net%revint</vt:lpstr>
      <vt:lpstr>aut.rev.</vt:lpstr>
      <vt:lpstr>fraisd'expl.</vt:lpstr>
      <vt:lpstr>f.d'exp%pnb</vt:lpstr>
      <vt:lpstr>bénef.net</vt:lpstr>
      <vt:lpstr>employés</vt:lpstr>
      <vt:lpstr>nbre de prêts</vt:lpstr>
      <vt:lpstr>nbre de cptes de dépôts </vt:lpstr>
      <vt:lpstr>dépôts P-AU-P et Prov. </vt:lpstr>
      <vt:lpstr> dépôts à vue</vt:lpstr>
      <vt:lpstr> dépôts d'épargne</vt:lpstr>
      <vt:lpstr> dépôts à terme</vt:lpstr>
      <vt:lpstr>pageintsect2</vt:lpstr>
      <vt:lpstr>sofiinfisys</vt:lpstr>
      <vt:lpstr>partdemarc. </vt:lpstr>
      <vt:lpstr>partdemarc.  (2)</vt:lpstr>
      <vt:lpstr>partdemarc.  (3)</vt:lpstr>
      <vt:lpstr>partdemarc. (4)</vt:lpstr>
      <vt:lpstr>partdemarc. (5)</vt:lpstr>
      <vt:lpstr>somfinbilsys</vt:lpstr>
      <vt:lpstr>sofibilcompsys</vt:lpstr>
      <vt:lpstr>sofibilgdes&amp;$ </vt:lpstr>
      <vt:lpstr>somfinrésys</vt:lpstr>
      <vt:lpstr>somfindétvan</vt:lpstr>
      <vt:lpstr>pageint.sect3</vt:lpstr>
      <vt:lpstr>somfindétfsfin </vt:lpstr>
      <vt:lpstr>sysratfinclédéc. 14</vt:lpstr>
      <vt:lpstr>sysratfinclésept. 14 </vt:lpstr>
      <vt:lpstr>sysratfincléjuin 14 </vt:lpstr>
      <vt:lpstr>sysratfinclémars 14 </vt:lpstr>
      <vt:lpstr>sysratfinclédéc. 13 </vt:lpstr>
      <vt:lpstr>sysratfinclésept. 13</vt:lpstr>
      <vt:lpstr>sysratfincléjuin 13 </vt:lpstr>
      <vt:lpstr>sysratfinclémars 13 </vt:lpstr>
      <vt:lpstr>sysratfinclédéc. 12</vt:lpstr>
      <vt:lpstr>bilsysbandéc. 14  </vt:lpstr>
      <vt:lpstr>bilsysbandéc, 14gdes </vt:lpstr>
      <vt:lpstr>bilsysbandéc. 14$</vt:lpstr>
      <vt:lpstr>bilsysbansept. 14  </vt:lpstr>
      <vt:lpstr>bilsysbanjuin 14  </vt:lpstr>
      <vt:lpstr>bilsysbanmars 14  </vt:lpstr>
      <vt:lpstr>bilsysbandéc. 13 </vt:lpstr>
      <vt:lpstr>bilsysbanjuin 13  </vt:lpstr>
      <vt:lpstr>bilsysbanmars 13 </vt:lpstr>
      <vt:lpstr>bilsysbandéc. 12  </vt:lpstr>
      <vt:lpstr>bilsysbansept. 14.  </vt:lpstr>
      <vt:lpstr>bilsysbansept. 13</vt:lpstr>
      <vt:lpstr>bilsysbansept. 12 </vt:lpstr>
      <vt:lpstr>bilsysbansept. 11</vt:lpstr>
      <vt:lpstr>RÉSULTsyst  </vt:lpstr>
      <vt:lpstr>résultsyscumul </vt:lpstr>
      <vt:lpstr>pageint.sect4</vt:lpstr>
      <vt:lpstr>bncinfin </vt:lpstr>
      <vt:lpstr>bncvar</vt:lpstr>
      <vt:lpstr>bnccomp </vt:lpstr>
      <vt:lpstr>bncgdes&amp;$ </vt:lpstr>
      <vt:lpstr>bncrésult </vt:lpstr>
      <vt:lpstr>BNCVARAN </vt:lpstr>
      <vt:lpstr>bphinfin     </vt:lpstr>
      <vt:lpstr>bphvar</vt:lpstr>
      <vt:lpstr>bphcomp  </vt:lpstr>
      <vt:lpstr>bphgdes&amp;$</vt:lpstr>
      <vt:lpstr>BPHRÉSULT  </vt:lpstr>
      <vt:lpstr>BPHVARAN    </vt:lpstr>
      <vt:lpstr>buhinfin</vt:lpstr>
      <vt:lpstr>buhvar</vt:lpstr>
      <vt:lpstr>buhcomp</vt:lpstr>
      <vt:lpstr>buhgdes&amp;$</vt:lpstr>
      <vt:lpstr>buhrésult</vt:lpstr>
      <vt:lpstr>BUHVARAN</vt:lpstr>
      <vt:lpstr>capitalbkinfin </vt:lpstr>
      <vt:lpstr>capitalbkvar</vt:lpstr>
      <vt:lpstr>capitalbkcomp </vt:lpstr>
      <vt:lpstr>capitalbkgdes&amp;$</vt:lpstr>
      <vt:lpstr>CAPITALBKRÉSULT      </vt:lpstr>
      <vt:lpstr>CAPITALBKVARAN        </vt:lpstr>
      <vt:lpstr>cbnainfin</vt:lpstr>
      <vt:lpstr>cbnavar</vt:lpstr>
      <vt:lpstr>cbnacomp </vt:lpstr>
      <vt:lpstr>cbnagdes&amp;$</vt:lpstr>
      <vt:lpstr>CBNARÉSULT         </vt:lpstr>
      <vt:lpstr>CBNAVARAN           </vt:lpstr>
      <vt:lpstr>scotiainfin</vt:lpstr>
      <vt:lpstr>scotiavar</vt:lpstr>
      <vt:lpstr>scotiacomp  </vt:lpstr>
      <vt:lpstr>scotiagdes&amp;$</vt:lpstr>
      <vt:lpstr>SCOTIARÉSULT         </vt:lpstr>
      <vt:lpstr>SCOTIAVARAN            </vt:lpstr>
      <vt:lpstr>sogebkinfin  </vt:lpstr>
      <vt:lpstr>sogebkvar</vt:lpstr>
      <vt:lpstr>sogebkcomp </vt:lpstr>
      <vt:lpstr>sogebkgdes&amp;$  </vt:lpstr>
      <vt:lpstr>SOGEBKRÉSULT</vt:lpstr>
      <vt:lpstr>SOGEBKVARAN </vt:lpstr>
      <vt:lpstr>sgbelinfin</vt:lpstr>
      <vt:lpstr>sgbelvar</vt:lpstr>
      <vt:lpstr>sgbelcomp  </vt:lpstr>
      <vt:lpstr>sgbelgdes&amp;$</vt:lpstr>
      <vt:lpstr>SGBELRÉSULT       </vt:lpstr>
      <vt:lpstr>SGBELVARAN         </vt:lpstr>
      <vt:lpstr>unibkinfin</vt:lpstr>
      <vt:lpstr>unibkvar</vt:lpstr>
      <vt:lpstr>unibkcomp   </vt:lpstr>
      <vt:lpstr>unibkgdes&amp;$</vt:lpstr>
      <vt:lpstr>UNIBKRÉSULT   </vt:lpstr>
      <vt:lpstr>UNIBKVARAN     </vt:lpstr>
      <vt:lpstr>pageint.sect5</vt:lpstr>
      <vt:lpstr>posinette</vt:lpstr>
      <vt:lpstr>Apparentés déc. 14 </vt:lpstr>
      <vt:lpstr>Apparentés sept. 14 </vt:lpstr>
      <vt:lpstr>Apparentés juin 14 </vt:lpstr>
      <vt:lpstr>Apparentés mars 14 </vt:lpstr>
      <vt:lpstr>Apparentés déc. 13 </vt:lpstr>
      <vt:lpstr>Apparentés sept. 13 </vt:lpstr>
      <vt:lpstr>Apparentés juin 13</vt:lpstr>
      <vt:lpstr>Apparentés mars 13</vt:lpstr>
      <vt:lpstr>Apparentés déc. 12 </vt:lpstr>
      <vt:lpstr>Non apparentés déc. 14 </vt:lpstr>
      <vt:lpstr>Non apparentés sept. 14 </vt:lpstr>
      <vt:lpstr>Non apparentés juin 14 </vt:lpstr>
      <vt:lpstr>Non apparentés mars 14 </vt:lpstr>
      <vt:lpstr>Non apparentés déc. 13</vt:lpstr>
      <vt:lpstr>Non apparentés sept. 13 </vt:lpstr>
      <vt:lpstr>Non apparentés juin 13</vt:lpstr>
      <vt:lpstr>Non apparentés mars 13</vt:lpstr>
      <vt:lpstr>Non apparentés déc. 12 </vt:lpstr>
      <vt:lpstr>Secteur d'activité déc. 14 </vt:lpstr>
      <vt:lpstr>Secteur d'activité déc. 14 % </vt:lpstr>
      <vt:lpstr>Secteur d'activité déc. 14glob</vt:lpstr>
      <vt:lpstr>Secteur d'activité sept. 14 </vt:lpstr>
      <vt:lpstr>Secteur d'activité sept. 14 % </vt:lpstr>
      <vt:lpstr>Secteur d'activité sept. 14glob</vt:lpstr>
      <vt:lpstr>Secteur d'activité juin 14 </vt:lpstr>
      <vt:lpstr>Secteur d'activité juin 14 %</vt:lpstr>
      <vt:lpstr>Secteur d'activité juin 14g </vt:lpstr>
      <vt:lpstr>Secteur d'activité mars 14 </vt:lpstr>
      <vt:lpstr>Secteur d'activité mars 14 %</vt:lpstr>
      <vt:lpstr>Secteur d'activité mars 14g </vt:lpstr>
      <vt:lpstr>Secteur d'activité déc. 13 </vt:lpstr>
      <vt:lpstr>Secteur d'activité déc. 13 %</vt:lpstr>
      <vt:lpstr>Secteur d'activité sept. 13</vt:lpstr>
      <vt:lpstr>Secteur d'activité sept 13 %</vt:lpstr>
      <vt:lpstr>Secteur d'activité juin 13 </vt:lpstr>
      <vt:lpstr>Secteur d'activité juin 13 %</vt:lpstr>
      <vt:lpstr>Secteur d'activité mars 13 </vt:lpstr>
      <vt:lpstr>Secteur d'activité mars 13 % </vt:lpstr>
      <vt:lpstr>Secteur d'activité déc. 12 </vt:lpstr>
      <vt:lpstr>Secteur d'activité déc. 12 % </vt:lpstr>
      <vt:lpstr>suffondspropres</vt:lpstr>
      <vt:lpstr>pageint.annexe</vt:lpstr>
      <vt:lpstr>explication1</vt:lpstr>
      <vt:lpstr>explication2</vt:lpstr>
      <vt:lpstr>Sheet1</vt:lpstr>
      <vt:lpstr>' dépôts à terme'!Zone_d_impression</vt:lpstr>
      <vt:lpstr>' dépôts à vue'!Zone_d_impression</vt:lpstr>
      <vt:lpstr>' dépôts d''épargne'!Zone_d_impression</vt:lpstr>
      <vt:lpstr>'Apparentés déc. 12 '!Zone_d_impression</vt:lpstr>
      <vt:lpstr>'Apparentés déc. 13 '!Zone_d_impression</vt:lpstr>
      <vt:lpstr>'Apparentés déc. 14 '!Zone_d_impression</vt:lpstr>
      <vt:lpstr>'Apparentés juin 13'!Zone_d_impression</vt:lpstr>
      <vt:lpstr>'Apparentés juin 14 '!Zone_d_impression</vt:lpstr>
      <vt:lpstr>'Apparentés mars 13'!Zone_d_impression</vt:lpstr>
      <vt:lpstr>'Apparentés mars 14 '!Zone_d_impression</vt:lpstr>
      <vt:lpstr>'Apparentés sept. 13 '!Zone_d_impression</vt:lpstr>
      <vt:lpstr>'Apparentés sept. 14 '!Zone_d_impression</vt:lpstr>
      <vt:lpstr>'bilsysbandéc, 14gdes '!Zone_d_impression</vt:lpstr>
      <vt:lpstr>'bilsysbandéc. 12  '!Zone_d_impression</vt:lpstr>
      <vt:lpstr>'bilsysbandéc. 13 '!Zone_d_impression</vt:lpstr>
      <vt:lpstr>'bilsysbandéc. 14  '!Zone_d_impression</vt:lpstr>
      <vt:lpstr>'bilsysbandéc. 14$'!Zone_d_impression</vt:lpstr>
      <vt:lpstr>'bilsysbanjuin 13  '!Zone_d_impression</vt:lpstr>
      <vt:lpstr>'bilsysbanjuin 14  '!Zone_d_impression</vt:lpstr>
      <vt:lpstr>'bilsysbanmars 13 '!Zone_d_impression</vt:lpstr>
      <vt:lpstr>'bilsysbanmars 14  '!Zone_d_impression</vt:lpstr>
      <vt:lpstr>'bilsysbansept. 11'!Zone_d_impression</vt:lpstr>
      <vt:lpstr>'bilsysbansept. 12 '!Zone_d_impression</vt:lpstr>
      <vt:lpstr>'bilsysbansept. 13'!Zone_d_impression</vt:lpstr>
      <vt:lpstr>'bilsysbansept. 14  '!Zone_d_impression</vt:lpstr>
      <vt:lpstr>'bilsysbansept. 14.  '!Zone_d_impression</vt:lpstr>
      <vt:lpstr>'bnccomp '!Zone_d_impression</vt:lpstr>
      <vt:lpstr>'bncgdes&amp;$ '!Zone_d_impression</vt:lpstr>
      <vt:lpstr>'bncinfin '!Zone_d_impression</vt:lpstr>
      <vt:lpstr>'bncrésult '!Zone_d_impression</vt:lpstr>
      <vt:lpstr>bncvar!Zone_d_impression</vt:lpstr>
      <vt:lpstr>'bphcomp  '!Zone_d_impression</vt:lpstr>
      <vt:lpstr>'bphgdes&amp;$'!Zone_d_impression</vt:lpstr>
      <vt:lpstr>'bphinfin     '!Zone_d_impression</vt:lpstr>
      <vt:lpstr>'BPHRÉSULT  '!Zone_d_impression</vt:lpstr>
      <vt:lpstr>bphvar!Zone_d_impression</vt:lpstr>
      <vt:lpstr>buhcomp!Zone_d_impression</vt:lpstr>
      <vt:lpstr>'buhgdes&amp;$'!Zone_d_impression</vt:lpstr>
      <vt:lpstr>buhinfin!Zone_d_impression</vt:lpstr>
      <vt:lpstr>buhrésult!Zone_d_impression</vt:lpstr>
      <vt:lpstr>buhvar!Zone_d_impression</vt:lpstr>
      <vt:lpstr>'capitalbkcomp '!Zone_d_impression</vt:lpstr>
      <vt:lpstr>'capitalbkgdes&amp;$'!Zone_d_impression</vt:lpstr>
      <vt:lpstr>'capitalbkinfin '!Zone_d_impression</vt:lpstr>
      <vt:lpstr>'CAPITALBKRÉSULT      '!Zone_d_impression</vt:lpstr>
      <vt:lpstr>capitalbkvar!Zone_d_impression</vt:lpstr>
      <vt:lpstr>'cbnacomp '!Zone_d_impression</vt:lpstr>
      <vt:lpstr>'cbnagdes&amp;$'!Zone_d_impression</vt:lpstr>
      <vt:lpstr>cbnainfin!Zone_d_impression</vt:lpstr>
      <vt:lpstr>'CBNARÉSULT         '!Zone_d_impression</vt:lpstr>
      <vt:lpstr>cbnavar!Zone_d_impression</vt:lpstr>
      <vt:lpstr>'dépôts P-AU-P et Prov. '!Zone_d_impression</vt:lpstr>
      <vt:lpstr>employés!Zone_d_impression</vt:lpstr>
      <vt:lpstr>explication2!Zone_d_impression</vt:lpstr>
      <vt:lpstr>'f.d''exp%pnb'!Zone_d_impression</vt:lpstr>
      <vt:lpstr>'nbre de cptes de dépôts '!Zone_d_impression</vt:lpstr>
      <vt:lpstr>'nbre de prêts'!Zone_d_impression</vt:lpstr>
      <vt:lpstr>'Non apparentés déc. 12 '!Zone_d_impression</vt:lpstr>
      <vt:lpstr>'Non apparentés déc. 13'!Zone_d_impression</vt:lpstr>
      <vt:lpstr>'Non apparentés déc. 14 '!Zone_d_impression</vt:lpstr>
      <vt:lpstr>'Non apparentés juin 13'!Zone_d_impression</vt:lpstr>
      <vt:lpstr>'Non apparentés juin 14 '!Zone_d_impression</vt:lpstr>
      <vt:lpstr>'Non apparentés mars 13'!Zone_d_impression</vt:lpstr>
      <vt:lpstr>'Non apparentés mars 14 '!Zone_d_impression</vt:lpstr>
      <vt:lpstr>'Non apparentés sept. 13 '!Zone_d_impression</vt:lpstr>
      <vt:lpstr>'Non apparentés sept. 14 '!Zone_d_impression</vt:lpstr>
      <vt:lpstr>Noteutili!Zone_d_impression</vt:lpstr>
      <vt:lpstr>pagecouvert.!Zone_d_impression</vt:lpstr>
      <vt:lpstr>'partdemarc. '!Zone_d_impression</vt:lpstr>
      <vt:lpstr>'partdemarc.  (2)'!Zone_d_impression</vt:lpstr>
      <vt:lpstr>'partdemarc.  (3)'!Zone_d_impression</vt:lpstr>
      <vt:lpstr>'partdemarc. (4)'!Zone_d_impression</vt:lpstr>
      <vt:lpstr>'partdemarc. (5)'!Zone_d_impression</vt:lpstr>
      <vt:lpstr>posinette!Zone_d_impression</vt:lpstr>
      <vt:lpstr>'résultsyscumul '!Zone_d_impression</vt:lpstr>
      <vt:lpstr>'RÉSULTsyst  '!Zone_d_impression</vt:lpstr>
      <vt:lpstr>'scotiacomp  '!Zone_d_impression</vt:lpstr>
      <vt:lpstr>'scotiagdes&amp;$'!Zone_d_impression</vt:lpstr>
      <vt:lpstr>scotiainfin!Zone_d_impression</vt:lpstr>
      <vt:lpstr>'SCOTIARÉSULT         '!Zone_d_impression</vt:lpstr>
      <vt:lpstr>scotiavar!Zone_d_impression</vt:lpstr>
      <vt:lpstr>'Secteur d''activité déc. 12 '!Zone_d_impression</vt:lpstr>
      <vt:lpstr>'Secteur d''activité déc. 12 % '!Zone_d_impression</vt:lpstr>
      <vt:lpstr>'Secteur d''activité déc. 13 '!Zone_d_impression</vt:lpstr>
      <vt:lpstr>'Secteur d''activité déc. 13 %'!Zone_d_impression</vt:lpstr>
      <vt:lpstr>'Secteur d''activité déc. 14 '!Zone_d_impression</vt:lpstr>
      <vt:lpstr>'Secteur d''activité déc. 14 % '!Zone_d_impression</vt:lpstr>
      <vt:lpstr>'Secteur d''activité déc. 14glob'!Zone_d_impression</vt:lpstr>
      <vt:lpstr>'Secteur d''activité juin 13 '!Zone_d_impression</vt:lpstr>
      <vt:lpstr>'Secteur d''activité juin 13 %'!Zone_d_impression</vt:lpstr>
      <vt:lpstr>'Secteur d''activité juin 14 '!Zone_d_impression</vt:lpstr>
      <vt:lpstr>'Secteur d''activité juin 14 %'!Zone_d_impression</vt:lpstr>
      <vt:lpstr>'Secteur d''activité juin 14g '!Zone_d_impression</vt:lpstr>
      <vt:lpstr>'Secteur d''activité mars 13 '!Zone_d_impression</vt:lpstr>
      <vt:lpstr>'Secteur d''activité mars 13 % '!Zone_d_impression</vt:lpstr>
      <vt:lpstr>'Secteur d''activité mars 14 '!Zone_d_impression</vt:lpstr>
      <vt:lpstr>'Secteur d''activité mars 14 %'!Zone_d_impression</vt:lpstr>
      <vt:lpstr>'Secteur d''activité mars 14g '!Zone_d_impression</vt:lpstr>
      <vt:lpstr>'Secteur d''activité sept 13 %'!Zone_d_impression</vt:lpstr>
      <vt:lpstr>'Secteur d''activité sept. 13'!Zone_d_impression</vt:lpstr>
      <vt:lpstr>'Secteur d''activité sept. 14 '!Zone_d_impression</vt:lpstr>
      <vt:lpstr>'Secteur d''activité sept. 14 % '!Zone_d_impression</vt:lpstr>
      <vt:lpstr>'Secteur d''activité sept. 14glob'!Zone_d_impression</vt:lpstr>
      <vt:lpstr>'sgbelcomp  '!Zone_d_impression</vt:lpstr>
      <vt:lpstr>'sgbelgdes&amp;$'!Zone_d_impression</vt:lpstr>
      <vt:lpstr>sgbelinfin!Zone_d_impression</vt:lpstr>
      <vt:lpstr>'SGBELRÉSULT       '!Zone_d_impression</vt:lpstr>
      <vt:lpstr>sgbelvar!Zone_d_impression</vt:lpstr>
      <vt:lpstr>Sheet1!Zone_d_impression</vt:lpstr>
      <vt:lpstr>sofibilcompsys!Zone_d_impression</vt:lpstr>
      <vt:lpstr>'sofibilgdes&amp;$ '!Zone_d_impression</vt:lpstr>
      <vt:lpstr>sofiinfisys!Zone_d_impression</vt:lpstr>
      <vt:lpstr>'sogebkcomp '!Zone_d_impression</vt:lpstr>
      <vt:lpstr>'sogebkgdes&amp;$  '!Zone_d_impression</vt:lpstr>
      <vt:lpstr>'sogebkinfin  '!Zone_d_impression</vt:lpstr>
      <vt:lpstr>SOGEBKRÉSULT!Zone_d_impression</vt:lpstr>
      <vt:lpstr>sogebkvar!Zone_d_impression</vt:lpstr>
      <vt:lpstr>somfinbilsys!Zone_d_impression</vt:lpstr>
      <vt:lpstr>'somfindétfsfin '!Zone_d_impression</vt:lpstr>
      <vt:lpstr>somfindétvan!Zone_d_impression</vt:lpstr>
      <vt:lpstr>somfinrésys!Zone_d_impression</vt:lpstr>
      <vt:lpstr>suffondspropres!Zone_d_impression</vt:lpstr>
      <vt:lpstr>'sysratfinclédéc. 12'!Zone_d_impression</vt:lpstr>
      <vt:lpstr>'sysratfinclédéc. 13 '!Zone_d_impression</vt:lpstr>
      <vt:lpstr>'sysratfinclédéc. 14'!Zone_d_impression</vt:lpstr>
      <vt:lpstr>'sysratfincléjuin 13 '!Zone_d_impression</vt:lpstr>
      <vt:lpstr>'sysratfincléjuin 14 '!Zone_d_impression</vt:lpstr>
      <vt:lpstr>'sysratfinclémars 13 '!Zone_d_impression</vt:lpstr>
      <vt:lpstr>'sysratfinclémars 14 '!Zone_d_impression</vt:lpstr>
      <vt:lpstr>'sysratfinclésept. 13'!Zone_d_impression</vt:lpstr>
      <vt:lpstr>'sysratfinclésept. 14 '!Zone_d_impression</vt:lpstr>
      <vt:lpstr>tabmat!Zone_d_impression</vt:lpstr>
      <vt:lpstr>'unibkcomp   '!Zone_d_impression</vt:lpstr>
      <vt:lpstr>'unibkgdes&amp;$'!Zone_d_impression</vt:lpstr>
      <vt:lpstr>unibkinfin!Zone_d_impression</vt:lpstr>
      <vt:lpstr>'UNIBKRÉSULT   '!Zone_d_impression</vt:lpstr>
      <vt:lpstr>unibkvar!Zone_d_impression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ronjeanba</dc:creator>
  <cp:lastModifiedBy>rnoel</cp:lastModifiedBy>
  <cp:lastPrinted>2015-02-27T18:34:17Z</cp:lastPrinted>
  <dcterms:created xsi:type="dcterms:W3CDTF">1997-02-07T14:24:14Z</dcterms:created>
  <dcterms:modified xsi:type="dcterms:W3CDTF">2015-03-04T20:09:50Z</dcterms:modified>
</cp:coreProperties>
</file>